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529" codeName="{5022B3EB-BCE5-7840-4BB8-8062D341818C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invias-my.sharepoint.com/personal/lcasilimas_invias_gov_co/Documents/INVIAS/2024/05. PROCESOS DE CONTRATACION/02. MENOR CUANTIA/07. SA-MC-DT-VAL-005-2024 Monto A VR/08. EVALUACION FINAL/"/>
    </mc:Choice>
  </mc:AlternateContent>
  <xr:revisionPtr revIDLastSave="5" documentId="8_{324BF1B1-45B4-4163-B821-DB337BD62FF9}" xr6:coauthVersionLast="47" xr6:coauthVersionMax="47" xr10:uidLastSave="{9F0A42CE-D318-4AFB-9911-46B67C16B944}"/>
  <bookViews>
    <workbookView xWindow="-120" yWindow="-120" windowWidth="29040" windowHeight="15720" activeTab="5" xr2:uid="{00000000-000D-0000-FFFF-FFFF00000000}"/>
  </bookViews>
  <sheets>
    <sheet name="PRESUPUESTOS" sheetId="1" r:id="rId1"/>
    <sheet name="PROPONENTES" sheetId="2" r:id="rId2"/>
    <sheet name="INTEGRANTES" sheetId="24" r:id="rId3"/>
    <sheet name="EXPERIENCIA" sheetId="4" r:id="rId4"/>
    <sheet name="RESUMEN" sheetId="11" r:id="rId5"/>
    <sheet name="HAB.GEN." sheetId="25" r:id="rId6"/>
    <sheet name="LISTAS" sheetId="10" state="veryHidden" r:id="rId7"/>
    <sheet name="SMLM" sheetId="8" state="veryHidden" r:id="rId8"/>
  </sheets>
  <externalReferences>
    <externalReference r:id="rId9"/>
  </externalReferences>
  <definedNames>
    <definedName name="_xlnm._FilterDatabase" localSheetId="1" hidden="1">PROPONENTES!$B$12:$E$20</definedName>
    <definedName name="_xlnm._FilterDatabase" localSheetId="7" hidden="1">SMLM!#REF!</definedName>
    <definedName name="CUMPLIMIENTO">LISTAS!$C$2:$C$4</definedName>
    <definedName name="CUMPLIMIENTOLP">LISTAS!$C$2:$C$5</definedName>
    <definedName name="DEPENDENCIAS" localSheetId="5">[1]LISTAS!$B$2:$B$16</definedName>
    <definedName name="DEPENDENCIAS">LISTAS!$B$2:$B$29</definedName>
    <definedName name="Estado" localSheetId="5">[1]LISTAS!$D$2:$D$3</definedName>
    <definedName name="Estado">LISTAS!$D$2:$D$3</definedName>
    <definedName name="EXPERACEPTABLE" localSheetId="5">[1]LISTAS!$G$2:$G$3</definedName>
    <definedName name="EXPERACEPTABLE">LISTAS!$G$2:$G$3</definedName>
    <definedName name="fcierre" localSheetId="5">[1]PRESUPUESTOS!$D$8</definedName>
    <definedName name="fcierre">PRESUPUESTOS!$D$8</definedName>
    <definedName name="HABILIDAD">LISTAS!$K$2:$K$4</definedName>
    <definedName name="PEJECUCION" localSheetId="5">[1]LISTAS!$F$2:$F$3</definedName>
    <definedName name="PEJECUCION">LISTAS!$F$2:$F$3</definedName>
    <definedName name="PORPOM" localSheetId="5">[1]EXPERIENCIA!$J$14</definedName>
    <definedName name="PORPOM">EXPERIENCIA!$J$14</definedName>
    <definedName name="POSMMLV" localSheetId="5">[1]PRESUPUESTOS!$E$15</definedName>
    <definedName name="POSMMLV">PRESUPUESTOS!$E$15</definedName>
    <definedName name="SALACTUAL">SMLM!$H$14</definedName>
    <definedName name="SINO" localSheetId="5">[1]LISTAS!$E$2:$E$5</definedName>
    <definedName name="SINO">LISTAS!$E$2:$E$5</definedName>
    <definedName name="TIPODEVIA" localSheetId="5">[1]LISTAS!$H$2:$H$7</definedName>
    <definedName name="TIPODEVIA">LISTAS!$H$2:$H$7</definedName>
    <definedName name="TIPOPAVIMENTO" localSheetId="5">[1]LISTAS!$J$2:$J$5</definedName>
    <definedName name="TIPOPAVIMENTO">LISTAS!$J$2:$J$5</definedName>
    <definedName name="VALIDEZANCHOCALZADA">LISTAS!$I$2:$I$4</definedName>
    <definedName name="Z_00BEB2F7_D512_4FD6_99EC_38A9140053B0_.wvu.FilterData" localSheetId="1" hidden="1">PROPONENTES!$B$12:$E$20</definedName>
    <definedName name="Z_00EF4F74_F9E2_492F_AEA5_03A6F90E7A6E_.wvu.FilterData" localSheetId="1" hidden="1">PROPONENTES!$B$12:$E$20</definedName>
    <definedName name="Z_0CBEA09E_24B8_4CE5_A052_7237E9208379_.wvu.FilterData" localSheetId="1" hidden="1">PROPONENTES!$B$12:$E$20</definedName>
    <definedName name="Z_0DC298A3_8B91_4A6F_A522_C9D38E35323A_.wvu.FilterData" localSheetId="1" hidden="1">PROPONENTES!$B$12:$E$20</definedName>
    <definedName name="Z_14541BF5_0465_48AC_AA9B_6DF727C28C3B_.wvu.FilterData" localSheetId="1" hidden="1">PROPONENTES!$B$12:$E$20</definedName>
    <definedName name="Z_2BAEC9B3_0E7A_438A_8BED_8CDDD975B704_.wvu.FilterData" localSheetId="1" hidden="1">PROPONENTES!$B$12:$E$20</definedName>
    <definedName name="Z_336D9D86_D608_4C98_B125_75472AF8FF76_.wvu.FilterData" localSheetId="1" hidden="1">PROPONENTES!$B$12:$E$20</definedName>
    <definedName name="Z_3CE2D034_8410_4FEE_8A95_E4A408FB563E_.wvu.FilterData" localSheetId="1" hidden="1">PROPONENTES!$B$12:$E$20</definedName>
    <definedName name="Z_43E77DE3_13DE_4141_9AEA_CB62AA362231_.wvu.FilterData" localSheetId="1" hidden="1">PROPONENTES!$B$12:$E$20</definedName>
    <definedName name="Z_44DFA7AA_9337_473F_AB91_A113A02AA536_.wvu.FilterData" localSheetId="1" hidden="1">PROPONENTES!$B$12:$E$20</definedName>
    <definedName name="Z_4798D01C_6FEB_456B_9549_CC57C41D40CE_.wvu.FilterData" localSheetId="1" hidden="1">PROPONENTES!$B$12:$E$20</definedName>
    <definedName name="Z_48994EF3_2C60_40C7_8646_A8CDD55A3134_.wvu.FilterData" localSheetId="1" hidden="1">PROPONENTES!$B$12:$E$20</definedName>
    <definedName name="Z_4FD7B380_97FE_41A2_99C1_9E1A481B7C5B_.wvu.PrintTitles" localSheetId="1" hidden="1">PROPONENTES!$1:$11</definedName>
    <definedName name="Z_4FD7B380_97FE_41A2_99C1_9E1A481B7C5B_.wvu.Rows" localSheetId="0" hidden="1">PRESUPUESTOS!#REF!</definedName>
    <definedName name="Z_57591DBC_B804_4CA7_AA77_59493D1063DD_.wvu.FilterData" localSheetId="1" hidden="1">PROPONENTES!$B$12:$E$20</definedName>
    <definedName name="Z_6277E10A_9678_4C88_A4C6_6256483178E1_.wvu.FilterData" localSheetId="1" hidden="1">PROPONENTES!$B$12:$E$20</definedName>
    <definedName name="Z_62AD5D6F_77AE_40FD_98FA_201B32EA9342_.wvu.FilterData" localSheetId="1" hidden="1">PROPONENTES!$B$12:$E$20</definedName>
    <definedName name="Z_66FF8151_5B7E_43FC_892D_8CA6BF800F5A_.wvu.FilterData" localSheetId="1" hidden="1">PROPONENTES!$B$12:$E$20</definedName>
    <definedName name="Z_6751C600_851D_4A22_A20E_216F070F80D3_.wvu.FilterData" localSheetId="1" hidden="1">PROPONENTES!$B$12:$E$20</definedName>
    <definedName name="Z_6DEBB5B4_F7A8_4E6E_B9B3_D2238ED58EF8_.wvu.FilterData" localSheetId="1" hidden="1">PROPONENTES!$B$12:$E$20</definedName>
    <definedName name="Z_6E71BEFB_61B2_401E_9961_32884E4CD56C_.wvu.FilterData" localSheetId="1" hidden="1">PROPONENTES!$B$12:$E$20</definedName>
    <definedName name="Z_7517B15E_DA4F_4EAC_A529_B68C216260ED_.wvu.FilterData" localSheetId="1" hidden="1">PROPONENTES!$B$12:$E$20</definedName>
    <definedName name="Z_80C24600_88D4_451B_BBA1_9A0E392E1697_.wvu.FilterData" localSheetId="1" hidden="1">PROPONENTES!$B$12:$E$20</definedName>
    <definedName name="Z_81968FDB_1391_4AD4_A424_A72ABFD4A155_.wvu.FilterData" localSheetId="1" hidden="1">PROPONENTES!$B$12:$E$20</definedName>
    <definedName name="Z_87D853F2_10B3_42D8_86B9_C26B04067625_.wvu.FilterData" localSheetId="1" hidden="1">PROPONENTES!$B$12:$E$20</definedName>
    <definedName name="Z_894C2253_06BD_4885_9575_926D57CB5026_.wvu.FilterData" localSheetId="1" hidden="1">PROPONENTES!$B$12:$E$20</definedName>
    <definedName name="Z_8AEC0B40_CE7B_4EFE_B23E_A2A81A08A70A_.wvu.FilterData" localSheetId="1" hidden="1">PROPONENTES!$B$12:$E$20</definedName>
    <definedName name="Z_9F94E489_9692_4C63_A554_7FBA98A324C0_.wvu.FilterData" localSheetId="1" hidden="1">PROPONENTES!$B$12:$E$20</definedName>
    <definedName name="Z_ACC049A5_7811_4145_BF10_ED04E3DC85BB_.wvu.FilterData" localSheetId="1" hidden="1">PROPONENTES!$B$12:$E$20</definedName>
    <definedName name="Z_B11F0B59_33A5_455A_9188_E654E3F3DBD9_.wvu.FilterData" localSheetId="1" hidden="1">PROPONENTES!$B$12:$E$20</definedName>
    <definedName name="Z_B2E23012_3637_467B_8059_2A5A9B8E348F_.wvu.FilterData" localSheetId="1" hidden="1">PROPONENTES!$B$12:$E$20</definedName>
    <definedName name="Z_C194E63C_6FBF_416C_85D5_A9CDFAB52174_.wvu.FilterData" localSheetId="1" hidden="1">PROPONENTES!$B$12:$E$20</definedName>
    <definedName name="Z_C26976F7_FA5C_4AE5_B1F4_350BEE2336ED_.wvu.FilterData" localSheetId="1" hidden="1">PROPONENTES!$B$12:$E$20</definedName>
    <definedName name="Z_CEAAB41B_958E_4E73_9883_41493A92D0A8_.wvu.FilterData" localSheetId="1" hidden="1">PROPONENTES!$B$12:$E$20</definedName>
    <definedName name="Z_D26B9AD6_92B9_4593_89A4_73335607D464_.wvu.FilterData" localSheetId="1" hidden="1">PROPONENTES!$B$12:$E$20</definedName>
    <definedName name="Z_D8444D4F_EC6B_4A64_BA76_1FBCE0F138D4_.wvu.FilterData" localSheetId="1" hidden="1">PROPONENTES!$B$12:$E$20</definedName>
    <definedName name="Z_DC3CA17E_103C_4351_B2ED_8ED8C3F346A6_.wvu.FilterData" localSheetId="1" hidden="1">PROPONENTES!$B$12:$E$20</definedName>
    <definedName name="Z_DDA08836_FFF7_4F47_B058_4616FC9BD320_.wvu.PrintTitles" localSheetId="1" hidden="1">PROPONENTES!$1:$11</definedName>
    <definedName name="Z_DDA08836_FFF7_4F47_B058_4616FC9BD320_.wvu.Rows" localSheetId="0" hidden="1">PRESUPUESTOS!#REF!</definedName>
    <definedName name="Z_DEEFDB1C_DF26_42BE_9311_252B204EC022_.wvu.FilterData" localSheetId="1" hidden="1">PROPONENTES!$B$12:$E$20</definedName>
    <definedName name="Z_ED692DE3_DE6C_4D84_8E7E_C57C1AC713E7_.wvu.FilterData" localSheetId="1" hidden="1">PROPONENTES!$B$12:$E$20</definedName>
    <definedName name="Z_F79A193F_3EF9_4855_9B36_928080A7233E_.wvu.FilterData" localSheetId="1" hidden="1">PROPONENTES!$B$12:$E$20</definedName>
    <definedName name="Z_F91B3D9E_99BE_431C_9408_7249A370ED24_.wvu.FilterData" localSheetId="1" hidden="1">PROPONENTES!$B$12:$E$20</definedName>
    <definedName name="Z_FE45C100_E653_4B65_8B8E_835909EF4CC2_.wvu.FilterData" localSheetId="1" hidden="1">PROPONENTES!$B$12:$E$20</definedName>
  </definedNames>
  <calcPr calcId="191029"/>
  <customWorkbookViews>
    <customWorkbookView name="Francisco G. - Vista personalizada" guid="{9F94E489-9692-4C63-A554-7FBA98A324C0}" mergeInterval="0" personalView="1" maximized="1" xWindow="1" yWindow="1" windowWidth="1280" windowHeight="764" tabRatio="800" activeSheetId="2" showComments="commIndAndComment"/>
    <customWorkbookView name="hmelendez - Vista personalizada" guid="{0CBEA09E-24B8-4CE5-A052-7237E9208379}" mergeInterval="0" personalView="1" maximized="1" windowWidth="1020" windowHeight="597" tabRatio="800" activeSheetId="4"/>
    <customWorkbookView name="FREDY CASTELLANOS OVIEDO - Vista personalizada" guid="{6E71BEFB-61B2-401E-9961-32884E4CD56C}" mergeInterval="0" personalView="1" maximized="1" windowWidth="1020" windowHeight="561" tabRatio="800" activeSheetId="5"/>
    <customWorkbookView name="gamartinez - Vista personalizada" guid="{74BDB053-C30B-49CC-8134-2CE4C1966D2C}" mergeInterval="0" personalView="1" maximized="1" windowWidth="1020" windowHeight="491" tabRatio="800" activeSheetId="5"/>
    <customWorkbookView name="jaolaya - Vista personalizada" guid="{40B815EE-4446-47D1-839D-2EFF5F5EF0E5}" mergeInterval="0" personalView="1" maximized="1" windowWidth="1020" windowHeight="573" tabRatio="800" activeSheetId="7"/>
    <customWorkbookView name="rfgomez - Vista personalizada" guid="{52F59514-34F3-4352-A05C-5BB41CEA0827}" mergeInterval="0" personalView="1" maximized="1" windowWidth="1276" windowHeight="833" tabRatio="800" activeSheetId="7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15" i="24" l="1"/>
  <c r="R21" i="4"/>
  <c r="Y64" i="4"/>
  <c r="X64" i="4"/>
  <c r="Y41" i="4"/>
  <c r="X41" i="4"/>
  <c r="D17" i="24"/>
  <c r="D17" i="25"/>
  <c r="D18" i="25"/>
  <c r="D19" i="25"/>
  <c r="D20" i="25"/>
  <c r="D21" i="25"/>
  <c r="D22" i="25"/>
  <c r="C18" i="25"/>
  <c r="B16" i="11"/>
  <c r="C16" i="11" s="1"/>
  <c r="B17" i="11"/>
  <c r="B18" i="11"/>
  <c r="C18" i="11" s="1"/>
  <c r="B19" i="11"/>
  <c r="B20" i="11"/>
  <c r="R43" i="4"/>
  <c r="Y178" i="4"/>
  <c r="R178" i="4"/>
  <c r="S178" i="4" s="1"/>
  <c r="M178" i="4"/>
  <c r="Y177" i="4"/>
  <c r="R177" i="4"/>
  <c r="S177" i="4" s="1"/>
  <c r="M177" i="4"/>
  <c r="Y176" i="4"/>
  <c r="R176" i="4"/>
  <c r="S176" i="4" s="1"/>
  <c r="M176" i="4"/>
  <c r="R175" i="4"/>
  <c r="S175" i="4" s="1"/>
  <c r="M175" i="4"/>
  <c r="R174" i="4"/>
  <c r="R173" i="4"/>
  <c r="E169" i="4"/>
  <c r="A191" i="4" s="1"/>
  <c r="Y151" i="4"/>
  <c r="R151" i="4"/>
  <c r="S151" i="4" s="1"/>
  <c r="M151" i="4"/>
  <c r="Y150" i="4"/>
  <c r="R150" i="4"/>
  <c r="S150" i="4" s="1"/>
  <c r="M150" i="4"/>
  <c r="Y149" i="4"/>
  <c r="R149" i="4"/>
  <c r="S149" i="4" s="1"/>
  <c r="M149" i="4"/>
  <c r="R148" i="4"/>
  <c r="S148" i="4" s="1"/>
  <c r="M148" i="4"/>
  <c r="R147" i="4"/>
  <c r="S147" i="4" s="1"/>
  <c r="M147" i="4"/>
  <c r="R146" i="4"/>
  <c r="E142" i="4"/>
  <c r="A164" i="4" s="1"/>
  <c r="Y124" i="4"/>
  <c r="R124" i="4"/>
  <c r="S124" i="4" s="1"/>
  <c r="M124" i="4"/>
  <c r="Y123" i="4"/>
  <c r="R123" i="4"/>
  <c r="S123" i="4" s="1"/>
  <c r="M123" i="4"/>
  <c r="Y122" i="4"/>
  <c r="R122" i="4"/>
  <c r="S122" i="4" s="1"/>
  <c r="M122" i="4"/>
  <c r="R121" i="4"/>
  <c r="S121" i="4" s="1"/>
  <c r="M121" i="4"/>
  <c r="R120" i="4"/>
  <c r="S120" i="4" s="1"/>
  <c r="M120" i="4"/>
  <c r="R119" i="4"/>
  <c r="E115" i="4"/>
  <c r="A137" i="4" s="1"/>
  <c r="R97" i="4"/>
  <c r="R96" i="4"/>
  <c r="R95" i="4"/>
  <c r="R94" i="4"/>
  <c r="R93" i="4"/>
  <c r="R92" i="4"/>
  <c r="E88" i="4"/>
  <c r="A110" i="4" s="1"/>
  <c r="B17" i="24"/>
  <c r="C17" i="24" s="1"/>
  <c r="B20" i="24"/>
  <c r="C20" i="24" s="1"/>
  <c r="B21" i="24"/>
  <c r="C21" i="24" s="1"/>
  <c r="B22" i="24"/>
  <c r="C22" i="24" s="1"/>
  <c r="B23" i="24"/>
  <c r="C23" i="24" s="1"/>
  <c r="H15" i="2"/>
  <c r="H16" i="2"/>
  <c r="H17" i="2"/>
  <c r="H18" i="2"/>
  <c r="H19" i="2"/>
  <c r="H20" i="2"/>
  <c r="E15" i="1"/>
  <c r="G165" i="4" l="1"/>
  <c r="Y180" i="4"/>
  <c r="Y126" i="4"/>
  <c r="C19" i="11"/>
  <c r="C20" i="11"/>
  <c r="C17" i="11"/>
  <c r="Y99" i="4"/>
  <c r="A177" i="4"/>
  <c r="A186" i="4"/>
  <c r="A187" i="4"/>
  <c r="A189" i="4"/>
  <c r="A183" i="4"/>
  <c r="T186" i="4"/>
  <c r="A174" i="4"/>
  <c r="A192" i="4"/>
  <c r="F169" i="4"/>
  <c r="A176" i="4"/>
  <c r="A193" i="4"/>
  <c r="A162" i="4"/>
  <c r="A165" i="4"/>
  <c r="A150" i="4"/>
  <c r="A159" i="4"/>
  <c r="F115" i="4"/>
  <c r="A133" i="4"/>
  <c r="A138" i="4"/>
  <c r="A139" i="4"/>
  <c r="T132" i="4"/>
  <c r="A122" i="4"/>
  <c r="A135" i="4"/>
  <c r="A120" i="4"/>
  <c r="A123" i="4"/>
  <c r="A129" i="4"/>
  <c r="A132" i="4"/>
  <c r="A93" i="4"/>
  <c r="A96" i="4"/>
  <c r="A111" i="4"/>
  <c r="A95" i="4"/>
  <c r="A105" i="4"/>
  <c r="A108" i="4"/>
  <c r="G192" i="4"/>
  <c r="A178" i="4"/>
  <c r="A184" i="4"/>
  <c r="A190" i="4"/>
  <c r="M184" i="4"/>
  <c r="A188" i="4"/>
  <c r="A173" i="4"/>
  <c r="A175" i="4"/>
  <c r="A185" i="4"/>
  <c r="Y153" i="4"/>
  <c r="A160" i="4"/>
  <c r="A151" i="4"/>
  <c r="A157" i="4"/>
  <c r="A163" i="4"/>
  <c r="A147" i="4"/>
  <c r="A149" i="4"/>
  <c r="T159" i="4"/>
  <c r="A156" i="4"/>
  <c r="A166" i="4"/>
  <c r="F142" i="4"/>
  <c r="M157" i="4"/>
  <c r="A161" i="4"/>
  <c r="A146" i="4"/>
  <c r="A148" i="4"/>
  <c r="A158" i="4"/>
  <c r="G138" i="4"/>
  <c r="A124" i="4"/>
  <c r="A130" i="4"/>
  <c r="A136" i="4"/>
  <c r="M130" i="4"/>
  <c r="A134" i="4"/>
  <c r="A119" i="4"/>
  <c r="A121" i="4"/>
  <c r="A131" i="4"/>
  <c r="G111" i="4"/>
  <c r="A103" i="4"/>
  <c r="A109" i="4"/>
  <c r="T105" i="4"/>
  <c r="A102" i="4"/>
  <c r="A106" i="4"/>
  <c r="A112" i="4"/>
  <c r="F88" i="4"/>
  <c r="M103" i="4"/>
  <c r="A107" i="4"/>
  <c r="A97" i="4"/>
  <c r="A92" i="4"/>
  <c r="A94" i="4"/>
  <c r="A104" i="4"/>
  <c r="R66" i="4"/>
  <c r="H14" i="2"/>
  <c r="H15" i="1"/>
  <c r="R20" i="4"/>
  <c r="B15" i="11"/>
  <c r="E39" i="4"/>
  <c r="R68" i="4"/>
  <c r="R67" i="4"/>
  <c r="E62" i="4"/>
  <c r="A81" i="4" s="1"/>
  <c r="B16" i="24"/>
  <c r="C16" i="24" s="1"/>
  <c r="G82" i="4" l="1"/>
  <c r="I188" i="4"/>
  <c r="I190" i="4"/>
  <c r="I187" i="4"/>
  <c r="I189" i="4"/>
  <c r="I192" i="4"/>
  <c r="I191" i="4"/>
  <c r="I161" i="4"/>
  <c r="I163" i="4"/>
  <c r="I162" i="4"/>
  <c r="I165" i="4"/>
  <c r="I160" i="4"/>
  <c r="I164" i="4"/>
  <c r="I134" i="4"/>
  <c r="I136" i="4"/>
  <c r="I133" i="4"/>
  <c r="I135" i="4"/>
  <c r="I138" i="4"/>
  <c r="I137" i="4"/>
  <c r="I107" i="4"/>
  <c r="I109" i="4"/>
  <c r="I108" i="4"/>
  <c r="I111" i="4"/>
  <c r="I106" i="4"/>
  <c r="I110" i="4"/>
  <c r="Y70" i="4"/>
  <c r="C15" i="11"/>
  <c r="A79" i="4"/>
  <c r="F62" i="4"/>
  <c r="A67" i="4"/>
  <c r="A82" i="4"/>
  <c r="A76" i="4"/>
  <c r="T76" i="4"/>
  <c r="A73" i="4"/>
  <c r="A77" i="4"/>
  <c r="A83" i="4"/>
  <c r="A66" i="4"/>
  <c r="A74" i="4"/>
  <c r="A80" i="4"/>
  <c r="A68" i="4"/>
  <c r="M74" i="4"/>
  <c r="A78" i="4"/>
  <c r="A75" i="4"/>
  <c r="R44" i="4"/>
  <c r="A57" i="4"/>
  <c r="P191" i="4" l="1"/>
  <c r="Q191" i="4" s="1"/>
  <c r="K191" i="4"/>
  <c r="J191" i="4"/>
  <c r="N191" i="4"/>
  <c r="M191" i="4"/>
  <c r="L191" i="4"/>
  <c r="K187" i="4"/>
  <c r="J187" i="4"/>
  <c r="N187" i="4"/>
  <c r="M187" i="4"/>
  <c r="L187" i="4"/>
  <c r="P187" i="4"/>
  <c r="M192" i="4"/>
  <c r="L192" i="4"/>
  <c r="N192" i="4"/>
  <c r="K192" i="4"/>
  <c r="J192" i="4"/>
  <c r="P192" i="4"/>
  <c r="Q192" i="4" s="1"/>
  <c r="L189" i="4"/>
  <c r="K189" i="4"/>
  <c r="N189" i="4"/>
  <c r="M189" i="4"/>
  <c r="J189" i="4"/>
  <c r="P189" i="4"/>
  <c r="Q189" i="4" s="1"/>
  <c r="J190" i="4"/>
  <c r="N190" i="4"/>
  <c r="M190" i="4"/>
  <c r="L190" i="4"/>
  <c r="K190" i="4"/>
  <c r="P190" i="4"/>
  <c r="Q190" i="4" s="1"/>
  <c r="P188" i="4"/>
  <c r="Q188" i="4" s="1"/>
  <c r="L188" i="4"/>
  <c r="K188" i="4"/>
  <c r="N188" i="4"/>
  <c r="M188" i="4"/>
  <c r="J188" i="4"/>
  <c r="J163" i="4"/>
  <c r="M163" i="4"/>
  <c r="K163" i="4"/>
  <c r="P163" i="4"/>
  <c r="Q163" i="4" s="1"/>
  <c r="N163" i="4"/>
  <c r="L163" i="4"/>
  <c r="L162" i="4"/>
  <c r="N162" i="4"/>
  <c r="M162" i="4"/>
  <c r="K162" i="4"/>
  <c r="P162" i="4"/>
  <c r="Q162" i="4" s="1"/>
  <c r="J162" i="4"/>
  <c r="P164" i="4"/>
  <c r="Q164" i="4" s="1"/>
  <c r="K164" i="4"/>
  <c r="J164" i="4"/>
  <c r="M164" i="4"/>
  <c r="L164" i="4"/>
  <c r="N164" i="4"/>
  <c r="M165" i="4"/>
  <c r="L165" i="4"/>
  <c r="P165" i="4"/>
  <c r="Q165" i="4" s="1"/>
  <c r="N165" i="4"/>
  <c r="K165" i="4"/>
  <c r="J165" i="4"/>
  <c r="L161" i="4"/>
  <c r="K161" i="4"/>
  <c r="P161" i="4"/>
  <c r="Q161" i="4" s="1"/>
  <c r="M161" i="4"/>
  <c r="N161" i="4"/>
  <c r="J161" i="4"/>
  <c r="K160" i="4"/>
  <c r="N160" i="4"/>
  <c r="L160" i="4"/>
  <c r="J160" i="4"/>
  <c r="P160" i="4"/>
  <c r="M160" i="4"/>
  <c r="L135" i="4"/>
  <c r="K135" i="4"/>
  <c r="P135" i="4"/>
  <c r="Q135" i="4" s="1"/>
  <c r="J135" i="4"/>
  <c r="N135" i="4"/>
  <c r="M135" i="4"/>
  <c r="K133" i="4"/>
  <c r="J133" i="4"/>
  <c r="N133" i="4"/>
  <c r="M133" i="4"/>
  <c r="L133" i="4"/>
  <c r="P133" i="4"/>
  <c r="P137" i="4"/>
  <c r="Q137" i="4" s="1"/>
  <c r="L137" i="4"/>
  <c r="K137" i="4"/>
  <c r="N137" i="4"/>
  <c r="M137" i="4"/>
  <c r="J137" i="4"/>
  <c r="M138" i="4"/>
  <c r="L138" i="4"/>
  <c r="K138" i="4"/>
  <c r="J138" i="4"/>
  <c r="P138" i="4"/>
  <c r="Q138" i="4" s="1"/>
  <c r="N138" i="4"/>
  <c r="J136" i="4"/>
  <c r="M136" i="4"/>
  <c r="K136" i="4"/>
  <c r="P136" i="4"/>
  <c r="Q136" i="4" s="1"/>
  <c r="N136" i="4"/>
  <c r="L136" i="4"/>
  <c r="P134" i="4"/>
  <c r="Q134" i="4" s="1"/>
  <c r="M134" i="4"/>
  <c r="L134" i="4"/>
  <c r="J134" i="4"/>
  <c r="N134" i="4"/>
  <c r="K134" i="4"/>
  <c r="M111" i="4"/>
  <c r="P111" i="4"/>
  <c r="Q111" i="4" s="1"/>
  <c r="L111" i="4"/>
  <c r="J111" i="4"/>
  <c r="K111" i="4"/>
  <c r="N111" i="4"/>
  <c r="P110" i="4"/>
  <c r="Q110" i="4" s="1"/>
  <c r="K110" i="4"/>
  <c r="M110" i="4"/>
  <c r="N110" i="4"/>
  <c r="L110" i="4"/>
  <c r="J110" i="4"/>
  <c r="L108" i="4"/>
  <c r="M108" i="4"/>
  <c r="K108" i="4"/>
  <c r="J108" i="4"/>
  <c r="P108" i="4"/>
  <c r="Q108" i="4" s="1"/>
  <c r="N108" i="4"/>
  <c r="J109" i="4"/>
  <c r="M109" i="4"/>
  <c r="K109" i="4"/>
  <c r="N109" i="4"/>
  <c r="L109" i="4"/>
  <c r="P109" i="4"/>
  <c r="Q109" i="4" s="1"/>
  <c r="L107" i="4"/>
  <c r="J107" i="4"/>
  <c r="P107" i="4"/>
  <c r="Q107" i="4" s="1"/>
  <c r="M107" i="4"/>
  <c r="K107" i="4"/>
  <c r="N107" i="4"/>
  <c r="K106" i="4"/>
  <c r="N106" i="4"/>
  <c r="M106" i="4"/>
  <c r="J106" i="4"/>
  <c r="P106" i="4"/>
  <c r="L106" i="4"/>
  <c r="I80" i="4"/>
  <c r="I82" i="4"/>
  <c r="I81" i="4"/>
  <c r="A55" i="4"/>
  <c r="F39" i="4"/>
  <c r="A44" i="4"/>
  <c r="A58" i="4"/>
  <c r="A49" i="4"/>
  <c r="A53" i="4"/>
  <c r="A59" i="4"/>
  <c r="A52" i="4"/>
  <c r="T52" i="4"/>
  <c r="A43" i="4"/>
  <c r="A50" i="4"/>
  <c r="A56" i="4"/>
  <c r="M50" i="4"/>
  <c r="A54" i="4"/>
  <c r="A51" i="4"/>
  <c r="O135" i="4" l="1"/>
  <c r="O136" i="4"/>
  <c r="O111" i="4"/>
  <c r="O107" i="4"/>
  <c r="O134" i="4"/>
  <c r="O110" i="4"/>
  <c r="P166" i="4"/>
  <c r="P112" i="4"/>
  <c r="P193" i="4"/>
  <c r="O190" i="4"/>
  <c r="O109" i="4"/>
  <c r="Q187" i="4"/>
  <c r="O192" i="4"/>
  <c r="O191" i="4"/>
  <c r="O189" i="4"/>
  <c r="O188" i="4"/>
  <c r="O187" i="4"/>
  <c r="M193" i="4"/>
  <c r="N193" i="4"/>
  <c r="O162" i="4"/>
  <c r="O161" i="4"/>
  <c r="O165" i="4"/>
  <c r="O160" i="4"/>
  <c r="N166" i="4"/>
  <c r="M166" i="4"/>
  <c r="Q160" i="4"/>
  <c r="O164" i="4"/>
  <c r="O163" i="4"/>
  <c r="P139" i="4"/>
  <c r="O137" i="4"/>
  <c r="Q133" i="4"/>
  <c r="O138" i="4"/>
  <c r="O133" i="4"/>
  <c r="M139" i="4"/>
  <c r="N139" i="4"/>
  <c r="Q106" i="4"/>
  <c r="O106" i="4"/>
  <c r="M112" i="4"/>
  <c r="N112" i="4"/>
  <c r="O108" i="4"/>
  <c r="P81" i="4"/>
  <c r="Q81" i="4" s="1"/>
  <c r="N81" i="4"/>
  <c r="M81" i="4"/>
  <c r="L81" i="4"/>
  <c r="K81" i="4"/>
  <c r="J81" i="4"/>
  <c r="J80" i="4"/>
  <c r="P80" i="4"/>
  <c r="Q80" i="4" s="1"/>
  <c r="N80" i="4"/>
  <c r="M80" i="4"/>
  <c r="L80" i="4"/>
  <c r="K80" i="4"/>
  <c r="M82" i="4"/>
  <c r="L82" i="4"/>
  <c r="K82" i="4"/>
  <c r="J82" i="4"/>
  <c r="P82" i="4"/>
  <c r="Q82" i="4" s="1"/>
  <c r="N82" i="4"/>
  <c r="I56" i="4"/>
  <c r="I58" i="4"/>
  <c r="I57" i="4"/>
  <c r="O80" i="4" l="1"/>
  <c r="O82" i="4"/>
  <c r="O81" i="4"/>
  <c r="M58" i="4"/>
  <c r="L58" i="4"/>
  <c r="K58" i="4"/>
  <c r="J58" i="4"/>
  <c r="P58" i="4"/>
  <c r="N58" i="4"/>
  <c r="P57" i="4"/>
  <c r="Q57" i="4" s="1"/>
  <c r="N57" i="4"/>
  <c r="L57" i="4"/>
  <c r="K57" i="4"/>
  <c r="M57" i="4"/>
  <c r="J57" i="4"/>
  <c r="J56" i="4"/>
  <c r="P56" i="4"/>
  <c r="Q56" i="4" s="1"/>
  <c r="N56" i="4"/>
  <c r="M56" i="4"/>
  <c r="L56" i="4"/>
  <c r="K56" i="4"/>
  <c r="Q58" i="4" l="1"/>
  <c r="O56" i="4"/>
  <c r="O58" i="4"/>
  <c r="O57" i="4"/>
  <c r="E45" i="8" l="1"/>
  <c r="E44" i="8"/>
  <c r="C17" i="25" l="1"/>
  <c r="D16" i="25"/>
  <c r="C16" i="25"/>
  <c r="K17" i="25"/>
  <c r="K16" i="25"/>
  <c r="B8" i="25"/>
  <c r="E46" i="8" l="1"/>
  <c r="E16" i="4" l="1"/>
  <c r="T29" i="4" s="1"/>
  <c r="B14" i="11"/>
  <c r="B8" i="11"/>
  <c r="E43" i="8"/>
  <c r="E42" i="8"/>
  <c r="L14" i="4"/>
  <c r="M43" i="4" s="1"/>
  <c r="B15" i="24"/>
  <c r="G14" i="8"/>
  <c r="H14" i="8" s="1"/>
  <c r="B6" i="1"/>
  <c r="B6" i="24" s="1"/>
  <c r="B5" i="24"/>
  <c r="E38" i="8"/>
  <c r="E39" i="8"/>
  <c r="E40" i="8"/>
  <c r="E41" i="8"/>
  <c r="E47" i="8"/>
  <c r="E48" i="8"/>
  <c r="E49" i="8"/>
  <c r="E50" i="8"/>
  <c r="E51" i="8"/>
  <c r="E52" i="8"/>
  <c r="E53" i="8"/>
  <c r="E54" i="8"/>
  <c r="E55" i="8"/>
  <c r="E56" i="8"/>
  <c r="E57" i="8"/>
  <c r="E58" i="8"/>
  <c r="E59" i="8"/>
  <c r="E60" i="8"/>
  <c r="E61" i="8"/>
  <c r="E62" i="8"/>
  <c r="E63" i="8"/>
  <c r="E64" i="8"/>
  <c r="E65" i="8"/>
  <c r="E66" i="8"/>
  <c r="E67" i="8"/>
  <c r="E68" i="8"/>
  <c r="E69" i="8"/>
  <c r="E70" i="8"/>
  <c r="E71" i="8"/>
  <c r="E72" i="8"/>
  <c r="E73" i="8"/>
  <c r="E74" i="8"/>
  <c r="E75" i="8"/>
  <c r="E76" i="8"/>
  <c r="E77" i="8"/>
  <c r="E78" i="8"/>
  <c r="E79" i="8"/>
  <c r="E80" i="8"/>
  <c r="E81" i="8"/>
  <c r="E82" i="8"/>
  <c r="E83" i="8"/>
  <c r="E84" i="8"/>
  <c r="E85" i="8"/>
  <c r="E86" i="8"/>
  <c r="E87" i="8"/>
  <c r="E88" i="8"/>
  <c r="E89" i="8"/>
  <c r="E90" i="8"/>
  <c r="E91" i="8"/>
  <c r="E92" i="8"/>
  <c r="E93" i="8"/>
  <c r="E94" i="8"/>
  <c r="E95" i="8"/>
  <c r="E96" i="8"/>
  <c r="E97" i="8"/>
  <c r="E98" i="8"/>
  <c r="E99" i="8"/>
  <c r="E100" i="8"/>
  <c r="E101" i="8"/>
  <c r="E102" i="8"/>
  <c r="E103" i="8"/>
  <c r="E104" i="8"/>
  <c r="E105" i="8"/>
  <c r="E106" i="8"/>
  <c r="E107" i="8"/>
  <c r="E108" i="8"/>
  <c r="E109" i="8"/>
  <c r="E110" i="8"/>
  <c r="E111" i="8"/>
  <c r="E112" i="8"/>
  <c r="E113" i="8"/>
  <c r="E114" i="8"/>
  <c r="E115" i="8"/>
  <c r="E116" i="8"/>
  <c r="E117" i="8"/>
  <c r="E118" i="8"/>
  <c r="E119" i="8"/>
  <c r="E120" i="8"/>
  <c r="E121" i="8"/>
  <c r="E122" i="8"/>
  <c r="E123" i="8"/>
  <c r="E124" i="8"/>
  <c r="E125" i="8"/>
  <c r="E126" i="8"/>
  <c r="E127" i="8"/>
  <c r="E128" i="8"/>
  <c r="E129" i="8"/>
  <c r="E130" i="8"/>
  <c r="E131" i="8"/>
  <c r="E132" i="8"/>
  <c r="E133" i="8"/>
  <c r="E134" i="8"/>
  <c r="E135" i="8"/>
  <c r="E136" i="8"/>
  <c r="E137" i="8"/>
  <c r="E138" i="8"/>
  <c r="E139" i="8"/>
  <c r="E140" i="8"/>
  <c r="E141" i="8"/>
  <c r="E142" i="8"/>
  <c r="E143" i="8"/>
  <c r="E144" i="8"/>
  <c r="E145" i="8"/>
  <c r="E146" i="8"/>
  <c r="E147" i="8"/>
  <c r="E148" i="8"/>
  <c r="E149" i="8"/>
  <c r="E150" i="8"/>
  <c r="E151" i="8"/>
  <c r="E152" i="8"/>
  <c r="E153" i="8"/>
  <c r="E154" i="8"/>
  <c r="E155" i="8"/>
  <c r="E156" i="8"/>
  <c r="E157" i="8"/>
  <c r="E158" i="8"/>
  <c r="E159" i="8"/>
  <c r="E160" i="8"/>
  <c r="E161" i="8"/>
  <c r="E162" i="8"/>
  <c r="E163" i="8"/>
  <c r="E164" i="8"/>
  <c r="E165" i="8"/>
  <c r="E166" i="8"/>
  <c r="E167" i="8"/>
  <c r="E168" i="8"/>
  <c r="E169" i="8"/>
  <c r="E170" i="8"/>
  <c r="E171" i="8"/>
  <c r="E172" i="8"/>
  <c r="E173" i="8"/>
  <c r="E174" i="8"/>
  <c r="E175" i="8"/>
  <c r="E176" i="8"/>
  <c r="E177" i="8"/>
  <c r="E178" i="8"/>
  <c r="E179" i="8"/>
  <c r="E180" i="8"/>
  <c r="E181" i="8"/>
  <c r="E182" i="8"/>
  <c r="E183" i="8"/>
  <c r="E184" i="8"/>
  <c r="E185" i="8"/>
  <c r="E186" i="8"/>
  <c r="E187" i="8"/>
  <c r="E188" i="8"/>
  <c r="E189" i="8"/>
  <c r="E190" i="8"/>
  <c r="E191" i="8"/>
  <c r="E192" i="8"/>
  <c r="E193" i="8"/>
  <c r="E194" i="8"/>
  <c r="E195" i="8"/>
  <c r="E196" i="8"/>
  <c r="E197" i="8"/>
  <c r="E198" i="8"/>
  <c r="E199" i="8"/>
  <c r="E200" i="8"/>
  <c r="E201" i="8"/>
  <c r="E202" i="8"/>
  <c r="E203" i="8"/>
  <c r="E204" i="8"/>
  <c r="E205" i="8"/>
  <c r="E206" i="8"/>
  <c r="E207" i="8"/>
  <c r="E208" i="8"/>
  <c r="E209" i="8"/>
  <c r="E210" i="8"/>
  <c r="E211" i="8"/>
  <c r="E212" i="8"/>
  <c r="E213" i="8"/>
  <c r="E214" i="8"/>
  <c r="E215" i="8"/>
  <c r="E216" i="8"/>
  <c r="E217" i="8"/>
  <c r="E218" i="8"/>
  <c r="E219" i="8"/>
  <c r="E220" i="8"/>
  <c r="E221" i="8"/>
  <c r="E222" i="8"/>
  <c r="E223" i="8"/>
  <c r="E224" i="8"/>
  <c r="E225" i="8"/>
  <c r="E226" i="8"/>
  <c r="E227" i="8"/>
  <c r="E228" i="8"/>
  <c r="E229" i="8"/>
  <c r="E230" i="8"/>
  <c r="E231" i="8"/>
  <c r="E232" i="8"/>
  <c r="E233" i="8"/>
  <c r="E234" i="8"/>
  <c r="E235" i="8"/>
  <c r="E236" i="8"/>
  <c r="E237" i="8"/>
  <c r="E238" i="8"/>
  <c r="E239" i="8"/>
  <c r="E240" i="8"/>
  <c r="E241" i="8"/>
  <c r="E242" i="8"/>
  <c r="E243" i="8"/>
  <c r="E244" i="8"/>
  <c r="E245" i="8"/>
  <c r="E246" i="8"/>
  <c r="E247" i="8"/>
  <c r="E248" i="8"/>
  <c r="E249" i="8"/>
  <c r="E250" i="8"/>
  <c r="E251" i="8"/>
  <c r="E252" i="8"/>
  <c r="E253" i="8"/>
  <c r="E254" i="8"/>
  <c r="E255" i="8"/>
  <c r="E256" i="8"/>
  <c r="E257" i="8"/>
  <c r="E258" i="8"/>
  <c r="E259" i="8"/>
  <c r="E260" i="8"/>
  <c r="E261" i="8"/>
  <c r="E262" i="8"/>
  <c r="E263" i="8"/>
  <c r="E264" i="8"/>
  <c r="E265" i="8"/>
  <c r="E266" i="8"/>
  <c r="E267" i="8"/>
  <c r="E268" i="8"/>
  <c r="E269" i="8"/>
  <c r="E270" i="8"/>
  <c r="E271" i="8"/>
  <c r="E272" i="8"/>
  <c r="E273" i="8"/>
  <c r="E274" i="8"/>
  <c r="E275" i="8"/>
  <c r="E276" i="8"/>
  <c r="E277" i="8"/>
  <c r="E278" i="8"/>
  <c r="E279" i="8"/>
  <c r="E280" i="8"/>
  <c r="E281" i="8"/>
  <c r="E282" i="8"/>
  <c r="E283" i="8"/>
  <c r="E284" i="8"/>
  <c r="E285" i="8"/>
  <c r="E286" i="8"/>
  <c r="E287" i="8"/>
  <c r="E288" i="8"/>
  <c r="E289" i="8"/>
  <c r="E290" i="8"/>
  <c r="E291" i="8"/>
  <c r="E292" i="8"/>
  <c r="E293" i="8"/>
  <c r="E294" i="8"/>
  <c r="E295" i="8"/>
  <c r="E296" i="8"/>
  <c r="E297" i="8"/>
  <c r="E298" i="8"/>
  <c r="E299" i="8"/>
  <c r="E300" i="8"/>
  <c r="E301" i="8"/>
  <c r="E302" i="8"/>
  <c r="E303" i="8"/>
  <c r="E304" i="8"/>
  <c r="E305" i="8"/>
  <c r="E306" i="8"/>
  <c r="E307" i="8"/>
  <c r="E308" i="8"/>
  <c r="E309" i="8"/>
  <c r="E310" i="8"/>
  <c r="E311" i="8"/>
  <c r="E312" i="8"/>
  <c r="E313" i="8"/>
  <c r="E314" i="8"/>
  <c r="E315" i="8"/>
  <c r="E316" i="8"/>
  <c r="E317" i="8"/>
  <c r="E318" i="8"/>
  <c r="E319" i="8"/>
  <c r="E320" i="8"/>
  <c r="E321" i="8"/>
  <c r="E322" i="8"/>
  <c r="E323" i="8"/>
  <c r="E324" i="8"/>
  <c r="E325" i="8"/>
  <c r="E326" i="8"/>
  <c r="E327" i="8"/>
  <c r="E328" i="8"/>
  <c r="E329" i="8"/>
  <c r="E330" i="8"/>
  <c r="E331" i="8"/>
  <c r="E332" i="8"/>
  <c r="E333" i="8"/>
  <c r="E334" i="8"/>
  <c r="E335" i="8"/>
  <c r="E336" i="8"/>
  <c r="E337" i="8"/>
  <c r="E338" i="8"/>
  <c r="E339" i="8"/>
  <c r="E340" i="8"/>
  <c r="E341" i="8"/>
  <c r="E342" i="8"/>
  <c r="E343" i="8"/>
  <c r="E344" i="8"/>
  <c r="E345" i="8"/>
  <c r="E346" i="8"/>
  <c r="E347" i="8"/>
  <c r="E348" i="8"/>
  <c r="E349" i="8"/>
  <c r="E350" i="8"/>
  <c r="E351" i="8"/>
  <c r="E352" i="8"/>
  <c r="E353" i="8"/>
  <c r="E354" i="8"/>
  <c r="E355" i="8"/>
  <c r="E356" i="8"/>
  <c r="E357" i="8"/>
  <c r="E358" i="8"/>
  <c r="E359" i="8"/>
  <c r="E360" i="8"/>
  <c r="E361" i="8"/>
  <c r="E362" i="8"/>
  <c r="E363" i="8"/>
  <c r="E364" i="8"/>
  <c r="E365" i="8"/>
  <c r="E366" i="8"/>
  <c r="E367" i="8"/>
  <c r="E368" i="8"/>
  <c r="E369" i="8"/>
  <c r="E370" i="8"/>
  <c r="E371" i="8"/>
  <c r="E372" i="8"/>
  <c r="E373" i="8"/>
  <c r="E374" i="8"/>
  <c r="E375" i="8"/>
  <c r="E376" i="8"/>
  <c r="E377" i="8"/>
  <c r="E378" i="8"/>
  <c r="E379" i="8"/>
  <c r="E380" i="8"/>
  <c r="E381" i="8"/>
  <c r="E37" i="8"/>
  <c r="E36" i="8"/>
  <c r="B22" i="1"/>
  <c r="E35" i="8"/>
  <c r="B4" i="24"/>
  <c r="B3" i="24"/>
  <c r="B2" i="24"/>
  <c r="B1" i="24"/>
  <c r="E3" i="8"/>
  <c r="E4" i="8"/>
  <c r="E5" i="8"/>
  <c r="E6" i="8"/>
  <c r="E7" i="8"/>
  <c r="E8" i="8"/>
  <c r="E9" i="8"/>
  <c r="E10" i="8"/>
  <c r="E11" i="8"/>
  <c r="E12" i="8"/>
  <c r="E13" i="8"/>
  <c r="E14" i="8"/>
  <c r="E15" i="8"/>
  <c r="E16" i="8"/>
  <c r="E17" i="8"/>
  <c r="E18" i="8"/>
  <c r="E19" i="8"/>
  <c r="E20" i="8"/>
  <c r="E21" i="8"/>
  <c r="E22" i="8"/>
  <c r="E23" i="8"/>
  <c r="E24" i="8"/>
  <c r="E25" i="8"/>
  <c r="E26" i="8"/>
  <c r="E27" i="8"/>
  <c r="E28" i="8"/>
  <c r="E29" i="8"/>
  <c r="E30" i="8"/>
  <c r="E31" i="8"/>
  <c r="E32" i="8"/>
  <c r="E33" i="8"/>
  <c r="E34" i="8"/>
  <c r="B1" i="11"/>
  <c r="B2" i="11"/>
  <c r="B3" i="11"/>
  <c r="B4" i="11"/>
  <c r="B5" i="11"/>
  <c r="B1" i="4"/>
  <c r="B2" i="4"/>
  <c r="B3" i="4"/>
  <c r="B4" i="4"/>
  <c r="B5" i="4"/>
  <c r="B1" i="2"/>
  <c r="B1" i="25" s="1"/>
  <c r="B2" i="2"/>
  <c r="B2" i="25" s="1"/>
  <c r="B3" i="2"/>
  <c r="B3" i="25" s="1"/>
  <c r="B4" i="2"/>
  <c r="B4" i="25" s="1"/>
  <c r="B5" i="2"/>
  <c r="B5" i="25" s="1"/>
  <c r="E16" i="1"/>
  <c r="E17" i="1"/>
  <c r="E18" i="1"/>
  <c r="E19" i="1"/>
  <c r="E20" i="1"/>
  <c r="D22" i="1"/>
  <c r="D30" i="1" s="1"/>
  <c r="M21" i="4" l="1"/>
  <c r="S21" i="4"/>
  <c r="M94" i="4"/>
  <c r="M174" i="4"/>
  <c r="M96" i="4"/>
  <c r="M92" i="4"/>
  <c r="M93" i="4"/>
  <c r="M119" i="4"/>
  <c r="M173" i="4"/>
  <c r="M146" i="4"/>
  <c r="M95" i="4"/>
  <c r="M97" i="4"/>
  <c r="S119" i="4"/>
  <c r="S92" i="4"/>
  <c r="S95" i="4"/>
  <c r="S96" i="4"/>
  <c r="S146" i="4"/>
  <c r="S174" i="4"/>
  <c r="S173" i="4"/>
  <c r="S97" i="4"/>
  <c r="S94" i="4"/>
  <c r="S93" i="4"/>
  <c r="S20" i="4"/>
  <c r="I77" i="4"/>
  <c r="I79" i="4"/>
  <c r="I78" i="4"/>
  <c r="M20" i="4"/>
  <c r="S66" i="4"/>
  <c r="M68" i="4"/>
  <c r="M66" i="4"/>
  <c r="S67" i="4"/>
  <c r="M67" i="4"/>
  <c r="S68" i="4"/>
  <c r="M44" i="4"/>
  <c r="Y46" i="4"/>
  <c r="S44" i="4"/>
  <c r="I55" i="4"/>
  <c r="B6" i="2"/>
  <c r="B6" i="25" s="1"/>
  <c r="S43" i="4"/>
  <c r="Y23" i="4"/>
  <c r="I53" i="4"/>
  <c r="I54" i="4"/>
  <c r="L54" i="4" s="1"/>
  <c r="B6" i="4"/>
  <c r="E22" i="1"/>
  <c r="G23" i="24"/>
  <c r="G15" i="24"/>
  <c r="A20" i="4"/>
  <c r="C14" i="11"/>
  <c r="B6" i="11"/>
  <c r="F16" i="4"/>
  <c r="A34" i="4"/>
  <c r="A32" i="4"/>
  <c r="A29" i="4"/>
  <c r="A26" i="4"/>
  <c r="A36" i="4"/>
  <c r="A35" i="4"/>
  <c r="A31" i="4"/>
  <c r="A28" i="4"/>
  <c r="A27" i="4"/>
  <c r="M27" i="4"/>
  <c r="I32" i="4" s="1"/>
  <c r="A33" i="4"/>
  <c r="A21" i="4"/>
  <c r="A30" i="4"/>
  <c r="E51" i="4" l="1"/>
  <c r="E75" i="4"/>
  <c r="G75" i="4" s="1"/>
  <c r="E79" i="4" s="1"/>
  <c r="S153" i="4"/>
  <c r="E158" i="4"/>
  <c r="G158" i="4" s="1"/>
  <c r="E162" i="4" s="1"/>
  <c r="S99" i="4"/>
  <c r="E104" i="4"/>
  <c r="G104" i="4" s="1"/>
  <c r="E108" i="4" s="1"/>
  <c r="F108" i="4" s="1"/>
  <c r="G108" i="4" s="1"/>
  <c r="S126" i="4"/>
  <c r="E131" i="4"/>
  <c r="G131" i="4" s="1"/>
  <c r="E135" i="4" s="1"/>
  <c r="F135" i="4" s="1"/>
  <c r="G135" i="4" s="1"/>
  <c r="S180" i="4"/>
  <c r="E185" i="4"/>
  <c r="G185" i="4" s="1"/>
  <c r="E189" i="4" s="1"/>
  <c r="L78" i="4"/>
  <c r="J78" i="4"/>
  <c r="J79" i="4"/>
  <c r="L79" i="4"/>
  <c r="L77" i="4"/>
  <c r="J77" i="4"/>
  <c r="F18" i="11"/>
  <c r="E18" i="11"/>
  <c r="F16" i="11"/>
  <c r="E20" i="11"/>
  <c r="E17" i="11"/>
  <c r="F19" i="11"/>
  <c r="F17" i="11"/>
  <c r="E19" i="11"/>
  <c r="F20" i="11"/>
  <c r="D17" i="11"/>
  <c r="D19" i="11"/>
  <c r="D18" i="11"/>
  <c r="D20" i="11"/>
  <c r="S23" i="4"/>
  <c r="S70" i="4"/>
  <c r="E28" i="4"/>
  <c r="G28" i="4" s="1"/>
  <c r="E32" i="4" s="1"/>
  <c r="J55" i="4"/>
  <c r="L55" i="4"/>
  <c r="G51" i="4"/>
  <c r="S46" i="4"/>
  <c r="L53" i="4"/>
  <c r="J53" i="4"/>
  <c r="J54" i="4"/>
  <c r="L32" i="4"/>
  <c r="P32" i="4"/>
  <c r="I30" i="4"/>
  <c r="I33" i="4"/>
  <c r="I35" i="4"/>
  <c r="I34" i="4"/>
  <c r="I31" i="4"/>
  <c r="F189" i="4" l="1"/>
  <c r="G189" i="4" s="1"/>
  <c r="F162" i="4"/>
  <c r="G162" i="4" s="1"/>
  <c r="P79" i="4"/>
  <c r="Q79" i="4" s="1"/>
  <c r="P77" i="4"/>
  <c r="Q77" i="4" s="1"/>
  <c r="K79" i="4"/>
  <c r="M79" i="4" s="1"/>
  <c r="N79" i="4" s="1"/>
  <c r="K78" i="4"/>
  <c r="M78" i="4" s="1"/>
  <c r="N78" i="4" s="1"/>
  <c r="K77" i="4"/>
  <c r="M77" i="4" s="1"/>
  <c r="N77" i="4" s="1"/>
  <c r="G18" i="11"/>
  <c r="H20" i="25" s="1"/>
  <c r="I20" i="25" s="1"/>
  <c r="G20" i="11"/>
  <c r="H22" i="25" s="1"/>
  <c r="I22" i="25" s="1"/>
  <c r="G17" i="11"/>
  <c r="H19" i="25" s="1"/>
  <c r="I19" i="25" s="1"/>
  <c r="G19" i="11"/>
  <c r="H21" i="25" s="1"/>
  <c r="I21" i="25" s="1"/>
  <c r="L31" i="4"/>
  <c r="J30" i="4"/>
  <c r="P30" i="4" s="1"/>
  <c r="L30" i="4"/>
  <c r="K30" i="4"/>
  <c r="F79" i="4"/>
  <c r="G79" i="4" s="1"/>
  <c r="F32" i="4"/>
  <c r="G32" i="4" s="1"/>
  <c r="E55" i="4"/>
  <c r="K54" i="4" s="1"/>
  <c r="M54" i="4" s="1"/>
  <c r="N54" i="4" s="1"/>
  <c r="G35" i="4"/>
  <c r="F14" i="11" s="1"/>
  <c r="G58" i="4"/>
  <c r="P34" i="4"/>
  <c r="Q34" i="4" s="1"/>
  <c r="L34" i="4"/>
  <c r="L35" i="4"/>
  <c r="P35" i="4"/>
  <c r="L33" i="4"/>
  <c r="P33" i="4"/>
  <c r="Q33" i="4" s="1"/>
  <c r="K35" i="4"/>
  <c r="Q32" i="4"/>
  <c r="K32" i="4"/>
  <c r="K33" i="4"/>
  <c r="K31" i="4"/>
  <c r="K34" i="4"/>
  <c r="J35" i="4"/>
  <c r="J31" i="4"/>
  <c r="P31" i="4" s="1"/>
  <c r="M32" i="4"/>
  <c r="N32" i="4"/>
  <c r="J32" i="4"/>
  <c r="J34" i="4"/>
  <c r="N34" i="4"/>
  <c r="O78" i="4" l="1"/>
  <c r="O77" i="4"/>
  <c r="O79" i="4"/>
  <c r="N83" i="4"/>
  <c r="E16" i="11" s="1"/>
  <c r="M83" i="4"/>
  <c r="D16" i="11" s="1"/>
  <c r="O30" i="4"/>
  <c r="F15" i="11"/>
  <c r="P55" i="4"/>
  <c r="Q55" i="4" s="1"/>
  <c r="K55" i="4"/>
  <c r="M55" i="4" s="1"/>
  <c r="N55" i="4" s="1"/>
  <c r="Q31" i="4"/>
  <c r="M31" i="4"/>
  <c r="N31" i="4" s="1"/>
  <c r="M30" i="4"/>
  <c r="N30" i="4" s="1"/>
  <c r="N33" i="4"/>
  <c r="Q35" i="4"/>
  <c r="K53" i="4"/>
  <c r="M53" i="4" s="1"/>
  <c r="N53" i="4" s="1"/>
  <c r="F55" i="4"/>
  <c r="P53" i="4"/>
  <c r="Q53" i="4" s="1"/>
  <c r="Q30" i="4"/>
  <c r="P36" i="4"/>
  <c r="O32" i="4"/>
  <c r="M33" i="4"/>
  <c r="J33" i="4"/>
  <c r="P54" i="4" s="1"/>
  <c r="M34" i="4"/>
  <c r="O35" i="4"/>
  <c r="M35" i="4"/>
  <c r="N35" i="4" s="1"/>
  <c r="O34" i="4"/>
  <c r="O31" i="4"/>
  <c r="G16" i="11" l="1"/>
  <c r="H18" i="25" s="1"/>
  <c r="P78" i="4"/>
  <c r="N59" i="4"/>
  <c r="E15" i="11" s="1"/>
  <c r="O53" i="4"/>
  <c r="O55" i="4"/>
  <c r="M59" i="4"/>
  <c r="G55" i="4"/>
  <c r="O54" i="4"/>
  <c r="Q54" i="4"/>
  <c r="P59" i="4"/>
  <c r="O33" i="4"/>
  <c r="M36" i="4"/>
  <c r="D14" i="11" s="1"/>
  <c r="N36" i="4"/>
  <c r="E14" i="11" s="1"/>
  <c r="Q78" i="4" l="1"/>
  <c r="P83" i="4"/>
  <c r="G14" i="11"/>
  <c r="I18" i="25"/>
  <c r="D15" i="11"/>
  <c r="G15" i="11" s="1"/>
  <c r="H17" i="25" s="1"/>
  <c r="H16" i="25" l="1"/>
  <c r="I16" i="25" s="1"/>
  <c r="I17" i="25"/>
</calcChain>
</file>

<file path=xl/sharedStrings.xml><?xml version="1.0" encoding="utf-8"?>
<sst xmlns="http://schemas.openxmlformats.org/spreadsheetml/2006/main" count="753" uniqueCount="233">
  <si>
    <t>% DE PARTICIPACION</t>
  </si>
  <si>
    <t>PROPONENTE:</t>
  </si>
  <si>
    <t>Integrante que aporta experiencia</t>
  </si>
  <si>
    <t>VFA</t>
  </si>
  <si>
    <t>Objeto</t>
  </si>
  <si>
    <t>PERIODO</t>
  </si>
  <si>
    <t>SMLM</t>
  </si>
  <si>
    <t>NUMERO</t>
  </si>
  <si>
    <t>PROPUESTA No.</t>
  </si>
  <si>
    <t>No.</t>
  </si>
  <si>
    <t>PROPONENTE</t>
  </si>
  <si>
    <t>INSTITUTO NACIONAL DE VÍAS</t>
  </si>
  <si>
    <t>DIRECCIÓN GENERAL</t>
  </si>
  <si>
    <t>DEPENDENCIAS</t>
  </si>
  <si>
    <t>I,C,UT</t>
  </si>
  <si>
    <t>INTEGRANTE</t>
  </si>
  <si>
    <t xml:space="preserve">NÚMERO DE INTEGRANTES DEL CONSORCIO O UNIÓN TEMPORAL = </t>
  </si>
  <si>
    <t>OBSERVACIONES A LOS CONTRATOS</t>
  </si>
  <si>
    <t>CUADRO No. 1</t>
  </si>
  <si>
    <t>CUADRO No. 3</t>
  </si>
  <si>
    <t>ID</t>
  </si>
  <si>
    <t>PROPUESTA NÚMERO</t>
  </si>
  <si>
    <t>OBSERVACIONES GENERALES</t>
  </si>
  <si>
    <t>DESCRIPCIÓN TRAMO/MODULO</t>
  </si>
  <si>
    <t>FECHA ACTUAL</t>
  </si>
  <si>
    <t>SALARIO ACTUAL</t>
  </si>
  <si>
    <t>Fecha de Iniciacion
(DD-MM-AA)</t>
  </si>
  <si>
    <t>Fecha de Terminacion
(DD-MM-AA)</t>
  </si>
  <si>
    <t>Tiempo Total Empleado
(Meses)</t>
  </si>
  <si>
    <t>VÁLIDO</t>
  </si>
  <si>
    <t>NO VÁLIDO</t>
  </si>
  <si>
    <t>VALIDACIÓN</t>
  </si>
  <si>
    <t>CUMPLIMIENTO</t>
  </si>
  <si>
    <t>CUMPLE</t>
  </si>
  <si>
    <t>NO CUMPLE</t>
  </si>
  <si>
    <t>COL pesos $</t>
  </si>
  <si>
    <t>SMMLV</t>
  </si>
  <si>
    <t>INCREMENTO</t>
  </si>
  <si>
    <t>i</t>
  </si>
  <si>
    <t>PRESUPUESTO OFICIAL</t>
  </si>
  <si>
    <t>SUMATORIA =</t>
  </si>
  <si>
    <t>CUENTA</t>
  </si>
  <si>
    <t>EVALUACIÓN CRITERIOS DE EXPERIENCIA</t>
  </si>
  <si>
    <t>TOTAL</t>
  </si>
  <si>
    <t>Estado</t>
  </si>
  <si>
    <t>Entidad contratante</t>
  </si>
  <si>
    <t>SINO</t>
  </si>
  <si>
    <t>SI</t>
  </si>
  <si>
    <t>NO</t>
  </si>
  <si>
    <t>NA</t>
  </si>
  <si>
    <t>PROPONENTE/INTEGRANTE</t>
  </si>
  <si>
    <t>(Razon social/nombre)</t>
  </si>
  <si>
    <t>CUADRO No. 2</t>
  </si>
  <si>
    <t>Porcentaje de Participación</t>
  </si>
  <si>
    <t>%</t>
  </si>
  <si>
    <t>Fecha mínima experiencia</t>
  </si>
  <si>
    <t>Fecha de cierre</t>
  </si>
  <si>
    <t>SECRETARIA GENERAL - SUBDIRECCIÓN FINANCIERA</t>
  </si>
  <si>
    <t>CONFORMACIÓN DE LOS PROPONENTES</t>
  </si>
  <si>
    <t>¿EL CONTRATO SE ENCUENTRA INSCRITO EN EL RUP? (SI/NO)</t>
  </si>
  <si>
    <t>VFA POR CONTRATO
(SMMLV)</t>
  </si>
  <si>
    <t>VERIFICACIÓN RUP</t>
  </si>
  <si>
    <t>VERIFICAR</t>
  </si>
  <si>
    <t>NO APLICA</t>
  </si>
  <si>
    <t>VALOR TOTAL EJECUTADO DEL CONTRATO AFECTADO POR EL % DE PARTICIPACIÓN</t>
  </si>
  <si>
    <t>PRESUPUESTO OFICIAL DEL PROCESO</t>
  </si>
  <si>
    <t>MÓDULO</t>
  </si>
  <si>
    <t>NOMBRE O RAZÓN SOCIAL</t>
  </si>
  <si>
    <t>NÚMERO DE INTEGRANTES</t>
  </si>
  <si>
    <t>NÚMERO DE PROPUESTA</t>
  </si>
  <si>
    <t>Fecha de cierre del proceso:</t>
  </si>
  <si>
    <t>No. de orden</t>
  </si>
  <si>
    <t>Pais de Ejecución</t>
  </si>
  <si>
    <t>Participación
(%)</t>
  </si>
  <si>
    <t>PAÍS DE EJECUCIÓN</t>
  </si>
  <si>
    <t>EXPERIENCIA ACEPTABLE</t>
  </si>
  <si>
    <t>Formas de Ejecución</t>
  </si>
  <si>
    <t>TIPO DE VÍA</t>
  </si>
  <si>
    <t>N.A.</t>
  </si>
  <si>
    <t>ANCHO DE CALZADA</t>
  </si>
  <si>
    <t>REQUISITO PROPONENTE SINGULAR O PLURAL</t>
  </si>
  <si>
    <t>VALOR TOTAL EJECUTADO</t>
  </si>
  <si>
    <t xml:space="preserve">CONDICIÓN </t>
  </si>
  <si>
    <t>REQUISITO PARA EL PROPONENTE PLURAL</t>
  </si>
  <si>
    <t>OBSERVACIONES DEL EVALUADOR A LOS CONTRATOS</t>
  </si>
  <si>
    <t>Validación Experiencia General
(SI/NO)</t>
  </si>
  <si>
    <t>No. de Consecutivo del Contrato en el RUP</t>
  </si>
  <si>
    <t>¿EL CONTRATO SE ENCUENTRA CLASIFICADO EN ALGUNA DE LAS CLASIFICACIONES ESTABLECIDAS EN EL PLIEGO? (SI/NO)</t>
  </si>
  <si>
    <t>CONDICIONES ADICIONALES CUMPLIMIENTO DE EXPERIENCIA</t>
  </si>
  <si>
    <t>¿EL PROPONENTE ACREDITA LOS REQUERIMIENTOS ADICIONALES DE EXPERIENCIA SOLICITADOS EN EL PLIEGO DE CONDICIONES?</t>
  </si>
  <si>
    <t>PRIMARIA</t>
  </si>
  <si>
    <t>SECUNDARIA</t>
  </si>
  <si>
    <t>URBANA</t>
  </si>
  <si>
    <t>PISTA DE AEROPUERTO</t>
  </si>
  <si>
    <t>TERCIARIA</t>
  </si>
  <si>
    <t>EXTRANJERO</t>
  </si>
  <si>
    <t>COLOMBIA</t>
  </si>
  <si>
    <t>RECHAZO</t>
  </si>
  <si>
    <t>TIPO PAVIMENTO</t>
  </si>
  <si>
    <t>ASFÁLTICO</t>
  </si>
  <si>
    <t>HIDRÁULICO</t>
  </si>
  <si>
    <t>NO ACREDITA</t>
  </si>
  <si>
    <t>LISTADO DE PROPONENTES</t>
  </si>
  <si>
    <t>VERIFICACIÓN DEL CUMPLIMIENTO DE LA EXPERIENCIA SOLICITADA EN EL PLIEGO DE CONDICIONES</t>
  </si>
  <si>
    <t>Contrato</t>
  </si>
  <si>
    <t>NÚMERO DE CONTRATOS VÁLIDOS APORTADOS POR EL PROPONENTE</t>
  </si>
  <si>
    <t>% DE PO A TENER EN CUENTA PARA LA EVALUACIÓN</t>
  </si>
  <si>
    <t>% MÍNIMO DE PO A CERTIFICAR</t>
  </si>
  <si>
    <t>VALOR EN SMMLV DEL PROPONENTE</t>
  </si>
  <si>
    <t>REQUERIDO</t>
  </si>
  <si>
    <t>ACREDITADO</t>
  </si>
  <si>
    <t>Porcentaje requerido respecto al PO</t>
  </si>
  <si>
    <t>CONDICIONES PARA EL CUMPLIMIENTO DE LA EXPERIENCIA REQUERIDA</t>
  </si>
  <si>
    <t>CONDICIÓN CUMPLIMIENTO PARA EL CONSORCIO O UNIÓN TEMPORAL (POR CONCEPTO DE PO)</t>
  </si>
  <si>
    <t>VALOR REQUERIDO DE PO</t>
  </si>
  <si>
    <t>VALOR APORTADO</t>
  </si>
  <si>
    <t>CONDICIÓN CUMPLIMIENTO PO</t>
  </si>
  <si>
    <t>*</t>
  </si>
  <si>
    <t>PARA DESEMPATE</t>
  </si>
  <si>
    <t>¿EL INTEGRANTE CUMPLE CON PARTICIPAR CON 25% Y ACREDITARMIN L 25% DE LA EXPERIENCIA?</t>
  </si>
  <si>
    <t>VALOR TOTAL EJECUTADO DEL CONTRATO
(SMMLV)</t>
  </si>
  <si>
    <t>PROPONENTE No.</t>
  </si>
  <si>
    <t>|</t>
  </si>
  <si>
    <t>MÓDULOS</t>
  </si>
  <si>
    <t>MINIMA EXPERIENCIA (5%)</t>
  </si>
  <si>
    <t>¿EL INTEGRANTE CUMPLE CON ACREDITAR MIN L 5% DE LA EXPERIENCIA?
DE ACUERDO A LA SOLICITUD DEL PLIEGO</t>
  </si>
  <si>
    <t>RAZON DE NO CUMPLIMIENTO EXPER MIN 5% Y CUANDO NO APORTA EXPERIENCIA</t>
  </si>
  <si>
    <t xml:space="preserve"> </t>
  </si>
  <si>
    <t>HABILIDAD POR PROPONENTE</t>
  </si>
  <si>
    <t>CAPACIDAD JURÍDICA</t>
  </si>
  <si>
    <t>CALIFICACIÓN TECNICA</t>
  </si>
  <si>
    <t>CALIFICACIÓN DEFINITIVA</t>
  </si>
  <si>
    <t>(Hábil / No Hábil)</t>
  </si>
  <si>
    <t>HÁBIL</t>
  </si>
  <si>
    <t>HABILIDAD</t>
  </si>
  <si>
    <t>NO HÁBIL</t>
  </si>
  <si>
    <t>DIRECCION JURIDICA</t>
  </si>
  <si>
    <t>SUBDIRECCION DE PROCESOS DE SELECCIÓN CONTRACTUAL</t>
  </si>
  <si>
    <t>SUBDIRECCION DE GESTION CONTRACTUAL Y PROCESOS CONSTRUCTIVOS</t>
  </si>
  <si>
    <t>SUBDIRECCION GENERAL</t>
  </si>
  <si>
    <t>CONSEJO DIRECTIVO</t>
  </si>
  <si>
    <t>DIRECCION TECNICA Y DE ESTRUCTURACION</t>
  </si>
  <si>
    <t>SUBDIRECCION DE PLANIFICACION DE INFRAESTRUCTURA</t>
  </si>
  <si>
    <t>SUBDIRECCION DE ESTRUCTURACION DE PROYECTOS</t>
  </si>
  <si>
    <t>SUBDIRECCION DE REGLAMENTACION TECNICA E INNOVACION</t>
  </si>
  <si>
    <t>SUBDIRECCION DE GESTION DEL RIEZGO</t>
  </si>
  <si>
    <t>SUBDIRECCION DE SOSTENIBILIDAD</t>
  </si>
  <si>
    <t>DIRECCION DE OPERACIÓN Y EJECUCION</t>
  </si>
  <si>
    <t>SUBDIRECCION DE MODERNIZACION DE CARRETERAS NACIONALES</t>
  </si>
  <si>
    <t>SUBDIRECCION DE GESTION VIAL INTEGRAL</t>
  </si>
  <si>
    <t>SUBDIRECCION DE VIAS REGIONALES</t>
  </si>
  <si>
    <t>SUBDIRECCION MARITIMA, FLUVIAL Y FERREA</t>
  </si>
  <si>
    <t>SUBDIRECCION DE DEFENSA JURIDICA</t>
  </si>
  <si>
    <t>SUBDIRECCION DE GESTION HUMANA</t>
  </si>
  <si>
    <t>SUBDIRECCION ADMINISTRATIVA</t>
  </si>
  <si>
    <t>CONDICION DE MIPYME</t>
  </si>
  <si>
    <t>x</t>
  </si>
  <si>
    <t>C</t>
  </si>
  <si>
    <t>INVIAS</t>
  </si>
  <si>
    <t>I</t>
  </si>
  <si>
    <t>¿EL INTEGRANTE CUMPLE CON PARTICIPAR CON 5% Y ACREDITARMIN L 0% DE LA EXPERIENCIA?</t>
  </si>
  <si>
    <t>¿UNO SOLO DE LOS INTEGRANTES CUMPLE CON ACREDITAR EL 100% DE LA EXPERIENCIA?</t>
  </si>
  <si>
    <t>¿UNO SOLO DE LOS INTEGRANTES CUMPLE CON ACREDITAR EL 60% DE LA EXPERIENCIA?</t>
  </si>
  <si>
    <t>MIPYME</t>
  </si>
  <si>
    <t>DIRECCION TERRITORIAL VALLE</t>
  </si>
  <si>
    <t>X</t>
  </si>
  <si>
    <t>EXP GENERAL</t>
  </si>
  <si>
    <t xml:space="preserve">EXP ESPECIFICA: </t>
  </si>
  <si>
    <t>70% PO</t>
  </si>
  <si>
    <t>CONDICIÓN ACREDITACIÓN DEL % DE LA EXPERIENCIA POR PARTE DE UNO DE LOS INTEGRANTES EN CASO DE ESTRUCTURA PLURAL</t>
  </si>
  <si>
    <t>CONDICIÓN ACREDITACIÓN REQUERIMIENTOS EXPERIENCIA GENERAL Y ESPECIFICA</t>
  </si>
  <si>
    <t>RELACIÓN DE LOS CONTRATOS FRENTE AL PRESUPUESTO OFICIAL</t>
  </si>
  <si>
    <t>CAPACIDAD RESIDUAL</t>
  </si>
  <si>
    <t>CAPACIDAD FINANCIERA Y ORGANIZACIÓN</t>
  </si>
  <si>
    <t xml:space="preserve">PROPUESTA 
No. </t>
  </si>
  <si>
    <t>JUAN CARLOS BRICEÑO CHAVES</t>
  </si>
  <si>
    <t>PDC CONSTRUCCIONES SAS</t>
  </si>
  <si>
    <t>Proyectos de "CONSTRUCCIÓN O RECONSTRUCCIÓN O REHABILITACIÓN O MEJORAMIENTO O REPAVIMENTACIÓN O PAVIMENTACIÓN DE INFRAESTRUCTURA VIAL PARA TRÁFICO VEHICULAR DE VÍAS URBANAS O DE VÍAS PRIMARIAS O SECUNDARIAS O VÍAS PEATONALES O VÍAS PARA TRÁFICO PEATONAL"</t>
  </si>
  <si>
    <t>EXPERIENCIA ESPECIFICA:Por lo menos uno (1) de los contratos válidos aportados como expreiencia general debe acreditar la intervención de la estructura de pavimento (asfáltico o hidráulico o articulado o adoquinado). Serán válidos los contratos de escaleras o escalinatas o rampas peatonales de una vía peatonal.</t>
  </si>
  <si>
    <t>MIPYME Y EMEM</t>
  </si>
  <si>
    <t>UT</t>
  </si>
  <si>
    <t>IDU</t>
  </si>
  <si>
    <t>2145-2019</t>
  </si>
  <si>
    <t>MANTENIMIENTODELASVIAS:1.2501AHIGUERONES-MOJARRAS;2.25CC02TIMBÍO-ELHATO-ELTABLÓN;3.2601PIENDAMÓ-MORALES;4.2602APIENDAMÓ-SILVÍA-TOTORO;5.3105SANTANDERDEQUILICHAO - RIO DESBARATADO103+0900, RUTA 6508.</t>
  </si>
  <si>
    <t>2217-2019</t>
  </si>
  <si>
    <t>1204-2014</t>
  </si>
  <si>
    <t>2979-2007</t>
  </si>
  <si>
    <t>2020-2019</t>
  </si>
  <si>
    <t>IDU-UEL-20-156-2004</t>
  </si>
  <si>
    <t>MANTENIMIENTOYMEJORAMIENTODELACARRETERACUCUTA-DOSRIOS-SANFAUSTINO-LACHINACODIGO55NS09DEPARTAMENTONORTE DE SANTADER</t>
  </si>
  <si>
    <t>MEJORAMIENTOY/OMANTENIMIENTODELACARRETERACLUBCAMPESTREARMENIARUTA4002DELPR41+0760ALPR50+0250,DIRECCION TERRITORIAL QUINDIO. DEPARTAMENTO DEL QUINDIO</t>
  </si>
  <si>
    <t>MantenimientodelacarreteraPopayán–Guadualejomediantereparacióndepavimento rígido en la cabecera municipal de Inza cauca</t>
  </si>
  <si>
    <t>MANTENIMIENTODELACARRETERAGRANADA-SANJOSÉDELGUAVIARE DEL PR 80+0000 AL PR 103+0900, RUTA 6508.</t>
  </si>
  <si>
    <t>Construccióndeobrasdearte,yestabilizacióndeltrazadoyseñalizaciónverticalenlavíalagunaChizacapasandoporSantaAnaHastaLaUniónenlalocalidad de Sumapaz en Bogotá D.C.</t>
  </si>
  <si>
    <t>MUNICIPIO PUERTO CAICEDO</t>
  </si>
  <si>
    <t>074-2017</t>
  </si>
  <si>
    <t>MEJORAMIENTO DE LA VIA
MEDIANTE PAVIMENTOS
ASFALTICO EN FRIO DE LA VIA
SAN PEDRO-ARIZONA, PRIMERA
ETAPA ABSC K0+000 A K3+257
HASTA K32+000 MUNICIPIO DE
PUERTO CAICEDO -
DEPARTAMENTO DEL
PUTUMAYO, AMAZONA.</t>
  </si>
  <si>
    <t>BRACO
CONSTRUCTOR
S.A.S.</t>
  </si>
  <si>
    <t>038-2019</t>
  </si>
  <si>
    <t>MEJORAMIENTO EN PAVIMENTO RIGIDO DE LA VIA SAN JUAN DEL CESAR - EL TOTUMO- LA GUAJIRA</t>
  </si>
  <si>
    <t>SE EVALÚA LA EXPERIENCIA APORTADA CON EL 50% TAL COMO APARECE EN EL RUP, SIN EMBARGO SE LE SOLICITARÁ EL CONTRATO PARA VERIFICAR LA PARTICIPACIÓN</t>
  </si>
  <si>
    <t>UNIÓN TEMPORAL VÍAS PARA LA EQUIDAD</t>
  </si>
  <si>
    <t>74</t>
  </si>
  <si>
    <t>1532 DE 2021</t>
  </si>
  <si>
    <t>MEJORAMIENTO DE LA VIA SAN JUANABUCARASICA
DESDE EL
K0+000 HASTA EL K0+300 Y DESDE K9+960
HASTA EL K13+660
MUNICIPIO DE BUCARASICA DEPARTAMENTO
NORTE DE
SANTANDER</t>
  </si>
  <si>
    <t>MANTENIMIENTO Y MEJORAMIENTO DE LAS
CARRETERAS: CUCUTA-PUERTO SANTANDERPUENTE
INTERNACIONAL PEDRO DE HEVÍA (LA
UNIÓN) (5507), CÚCUTA-DOS RIOS-SAN
FAUSTINO-LA CHINA (55NS09), SAN CAYETANOCORNEJO
(55NS08) Y CORNEJO-EL ZULIA
(7009A).</t>
  </si>
  <si>
    <t>INGDECOL S,A,S,</t>
  </si>
  <si>
    <t>Contratos que dentro de su alcance contengan actividades de remoción de derrumbes o movimiento de tierras</t>
  </si>
  <si>
    <t>El valor ejecutado del ítem de El valor ejecutado del ítem de remoción de derrumbes de uno de los contratos debe ser mínimo del 70% del Presupuesto Oficial.</t>
  </si>
  <si>
    <t>CESAR ANTONIO PADRON TORRES</t>
  </si>
  <si>
    <t>CONSORCIO LANDA</t>
  </si>
  <si>
    <t>INGENIERIA CUMBRE S.A.S.</t>
  </si>
  <si>
    <t>SA-MC-DT-VAL-005-2024</t>
  </si>
  <si>
    <t>ATENCIÓN SITIOS CRÍTICOS DE LA RED TERCIARIA A CARGO DEL INVIAS A TRAVÉS DEL SISTEMA DE MONTO AGOTABLE EN VÍAS A CARGO DE LA DIRECCIÓN TERRITORIAL VALLE DEL CAUCA</t>
  </si>
  <si>
    <t>2102 - 2019</t>
  </si>
  <si>
    <t>ATENCION OBRAS DE EMERGENCIA INVIAS CAQUETA-REMOCION DE DERRUMBES</t>
  </si>
  <si>
    <t>ATENCION OBRAS DE EMERGENCIA INVIAS PUTUMAYO-REMOCION DE DERRUMBES</t>
  </si>
  <si>
    <t>743 - 2014</t>
  </si>
  <si>
    <t>TULCAN L J EIVAR</t>
  </si>
  <si>
    <t>ATENCIONOBRASDEEMERGENCIAPORELSISTEMADEMONTOAGOTABLE EN LAS VÍAS A CARGO DE LADIRECCIONTERRITORIALCUNDINAMARCA,DPTODECUNDINAMARCA</t>
  </si>
  <si>
    <t>478-2017</t>
  </si>
  <si>
    <t>ICCU</t>
  </si>
  <si>
    <t>1168-2017</t>
  </si>
  <si>
    <t>EJECUTARMEDIANTEELSISTEMADEPRECIOSUNITARIOSFIJOSSINFORMULADEREAJUSTEYPORMONTOAGOTABLEEL:DIAGNOSTICO,ESTUDIOS,DISEÑOYATENCIONYPREVENCIONAEMERGENCIASVIALESYDEPUENTESENELDEPARTAMENTODECUNDINAMARCA</t>
  </si>
  <si>
    <t>HABILITARY/OBRINDARTRANSITABILIDADENLAREDVIALACARGODELINVIAS,ATRAVESDELSISTEMADEMONTOAGOTABLE,ENLASVÍASACARGODELADIRECCIÓNTERRITORIAL BOYACÁ</t>
  </si>
  <si>
    <t>Atencióndeobrasdeemergenciaporelsistemademontoagotable,enlasvíasacargodeladirecciónterritorialValledelInvías-departamentodelValledelCauca-mínima cuantía</t>
  </si>
  <si>
    <t>HABILITARY/OBRINDARTRANSITABILIDADENLACARRETERAMEDELLÍN-BOGOTÁ,SECTORSANTUARIO-CAÑOALEGRE,RUTA6005ACARGODELADIRECCIÓNTERRITORIALANTIOQUIAENELDEPARTAMENTODEANTIOQUIA.VÍASATENDIDASPOREMERGENCIA.</t>
  </si>
  <si>
    <t>1106-2020</t>
  </si>
  <si>
    <t>1072-2017</t>
  </si>
  <si>
    <t>531-2019</t>
  </si>
  <si>
    <t>R INGENIERIA ARQUITECTURA COLOMBIANA SAS</t>
  </si>
  <si>
    <t>Proyectos de Ingeniería Cumbre SAS</t>
  </si>
  <si>
    <t>ADJUNTAR EL ACTA DE ENTREGA Y RECBIO DEFINITIVO PARA VALIDAR LA EXPERIENCIA ESPECIFICA, LA FECHA DEL CERTIFICADO DE EMPRENDIMIENTO Y EMPRESA DE MUJERES NO ES SUPERIOR A UN AÑO DE LA FECHA DE CIERRE DEL PROCESO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</si>
</sst>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8">
    <numFmt numFmtId="164" formatCode="_(* #,##0.00_);_(* \(#,##0.00\);_(* &quot;-&quot;??_);_(@_)"/>
    <numFmt numFmtId="165" formatCode="_ * #,##0.00_ ;_ * \-#,##0.00_ ;_ * &quot;-&quot;??_ ;_ @_ "/>
    <numFmt numFmtId="166" formatCode="#,##0.0"/>
    <numFmt numFmtId="167" formatCode="mmmm\ d\,\ yyyy"/>
    <numFmt numFmtId="168" formatCode="&quot;No. &quot;#,##0"/>
    <numFmt numFmtId="169" formatCode="&quot;TOT.MOD=&quot;\ 0"/>
    <numFmt numFmtId="170" formatCode="&quot;NN&quot;\ 0"/>
    <numFmt numFmtId="171" formatCode="0.000"/>
    <numFmt numFmtId="172" formatCode="&quot;VTE = &quot;#,##0.00"/>
    <numFmt numFmtId="173" formatCode="&quot;RESUMEN EVALUACIÓN&quot;"/>
    <numFmt numFmtId="174" formatCode="dd\-mmm\-yy"/>
    <numFmt numFmtId="175" formatCode="dd\-mm\-yyyy"/>
    <numFmt numFmtId="176" formatCode="&quot;RESUMEN HABILIDAD EVALUACIÓN MODULO  &quot;#"/>
    <numFmt numFmtId="177" formatCode="0.0&quot; Kms.&quot;"/>
    <numFmt numFmtId="178" formatCode="0.00&quot; Mts.&quot;"/>
    <numFmt numFmtId="179" formatCode="0.0&quot; SMMLV&quot;"/>
    <numFmt numFmtId="180" formatCode="0.00&quot; SMMLV&quot;"/>
    <numFmt numFmtId="181" formatCode="&quot;SELECCION ABREVIADA DE MENOR CUANTIA No. &quot;@"/>
  </numFmts>
  <fonts count="79">
    <font>
      <sz val="12"/>
      <color theme="1"/>
      <name val="Calibri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indexed="8"/>
      <name val="Calibri"/>
      <family val="2"/>
    </font>
    <font>
      <sz val="12"/>
      <color indexed="8"/>
      <name val="Calibri"/>
      <family val="2"/>
    </font>
    <font>
      <sz val="8"/>
      <name val="Calibri"/>
      <family val="2"/>
    </font>
    <font>
      <sz val="10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sz val="8"/>
      <name val="Arial"/>
      <family val="2"/>
    </font>
    <font>
      <b/>
      <sz val="14"/>
      <name val="Arial"/>
      <family val="2"/>
    </font>
    <font>
      <b/>
      <sz val="9"/>
      <color indexed="10"/>
      <name val="Arial"/>
      <family val="2"/>
    </font>
    <font>
      <sz val="8"/>
      <color indexed="10"/>
      <name val="Arial"/>
      <family val="2"/>
    </font>
    <font>
      <sz val="10"/>
      <color indexed="10"/>
      <name val="Arial"/>
      <family val="2"/>
    </font>
    <font>
      <b/>
      <sz val="10"/>
      <color indexed="10"/>
      <name val="Arial"/>
      <family val="2"/>
    </font>
    <font>
      <b/>
      <sz val="16"/>
      <name val="Arial"/>
      <family val="2"/>
    </font>
    <font>
      <b/>
      <sz val="8"/>
      <name val="Arial"/>
      <family val="2"/>
    </font>
    <font>
      <b/>
      <sz val="8"/>
      <name val="Sans Serif 10cpi"/>
      <family val="3"/>
    </font>
    <font>
      <b/>
      <sz val="9"/>
      <name val="Arial"/>
      <family val="2"/>
    </font>
    <font>
      <b/>
      <sz val="10"/>
      <color indexed="56"/>
      <name val="Arial"/>
      <family val="2"/>
    </font>
    <font>
      <sz val="10"/>
      <color indexed="9"/>
      <name val="Arial"/>
      <family val="2"/>
    </font>
    <font>
      <sz val="8"/>
      <color indexed="20"/>
      <name val="Arial"/>
      <family val="2"/>
    </font>
    <font>
      <b/>
      <sz val="18"/>
      <name val="Arial"/>
      <family val="2"/>
    </font>
    <font>
      <sz val="10"/>
      <name val="Arial"/>
      <family val="2"/>
    </font>
    <font>
      <sz val="6"/>
      <color indexed="10"/>
      <name val="Arial"/>
      <family val="2"/>
    </font>
    <font>
      <b/>
      <sz val="12"/>
      <name val="Times New Roman"/>
      <family val="1"/>
    </font>
    <font>
      <sz val="10"/>
      <name val="Times New Roman"/>
      <family val="1"/>
    </font>
    <font>
      <sz val="1"/>
      <name val="Arial"/>
      <family val="2"/>
    </font>
    <font>
      <sz val="5"/>
      <name val="Arial"/>
      <family val="2"/>
    </font>
    <font>
      <sz val="10"/>
      <name val="Arial"/>
      <family val="2"/>
    </font>
    <font>
      <sz val="8"/>
      <name val="Arial"/>
      <family val="2"/>
    </font>
    <font>
      <b/>
      <sz val="10"/>
      <name val="Arial"/>
      <family val="2"/>
    </font>
    <font>
      <b/>
      <u/>
      <sz val="12"/>
      <name val="Arial"/>
      <family val="2"/>
    </font>
    <font>
      <b/>
      <i/>
      <sz val="10"/>
      <name val="Arial"/>
      <family val="2"/>
    </font>
    <font>
      <sz val="11"/>
      <color indexed="8"/>
      <name val="Calibri"/>
      <family val="2"/>
    </font>
    <font>
      <b/>
      <sz val="11"/>
      <color indexed="8"/>
      <name val="Calibri"/>
      <family val="2"/>
    </font>
    <font>
      <sz val="4"/>
      <name val="Arial"/>
      <family val="2"/>
    </font>
    <font>
      <sz val="12"/>
      <color theme="1"/>
      <name val="Calibri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8"/>
      <name val="Calibri"/>
      <family val="2"/>
      <scheme val="minor"/>
    </font>
    <font>
      <sz val="8"/>
      <name val="Calibri"/>
      <family val="2"/>
      <scheme val="minor"/>
    </font>
    <font>
      <sz val="4"/>
      <color theme="1"/>
      <name val="Calibri"/>
      <family val="2"/>
    </font>
    <font>
      <sz val="4"/>
      <name val="Calibri"/>
      <family val="2"/>
      <scheme val="minor"/>
    </font>
    <font>
      <b/>
      <sz val="9"/>
      <name val="Calibri"/>
      <family val="2"/>
      <scheme val="minor"/>
    </font>
    <font>
      <sz val="9"/>
      <name val="Calibri"/>
      <family val="2"/>
      <scheme val="minor"/>
    </font>
    <font>
      <sz val="10"/>
      <name val="Calibri"/>
      <family val="2"/>
      <scheme val="minor"/>
    </font>
    <font>
      <sz val="4"/>
      <color theme="0"/>
      <name val="Arial"/>
      <family val="2"/>
    </font>
    <font>
      <sz val="8"/>
      <color rgb="FFFF0000"/>
      <name val="Arial"/>
      <family val="2"/>
    </font>
    <font>
      <sz val="10"/>
      <color rgb="FFFF0000"/>
      <name val="Arial"/>
      <family val="2"/>
    </font>
    <font>
      <sz val="12"/>
      <color rgb="FF000000"/>
      <name val="Calibri"/>
      <family val="2"/>
    </font>
    <font>
      <b/>
      <sz val="10"/>
      <color rgb="FFFF0000"/>
      <name val="Arial"/>
      <family val="2"/>
    </font>
    <font>
      <sz val="10"/>
      <color rgb="FF0000FF"/>
      <name val="Arial"/>
      <family val="2"/>
    </font>
    <font>
      <sz val="11"/>
      <color theme="1"/>
      <name val="Calibri"/>
      <family val="2"/>
    </font>
    <font>
      <sz val="8"/>
      <color theme="0"/>
      <name val="Arial"/>
      <family val="2"/>
    </font>
    <font>
      <b/>
      <sz val="7"/>
      <name val="Calibri"/>
      <family val="2"/>
    </font>
    <font>
      <b/>
      <sz val="60"/>
      <color theme="0" tint="-0.14999847407452621"/>
      <name val="Swis721 BdCnOul BT"/>
      <family val="5"/>
    </font>
    <font>
      <b/>
      <sz val="24"/>
      <color theme="0" tint="-0.14999847407452621"/>
      <name val="Swis721 BdOul BT"/>
      <family val="5"/>
    </font>
    <font>
      <sz val="8"/>
      <name val="Sans Serif 10cpi"/>
      <family val="3"/>
    </font>
    <font>
      <b/>
      <sz val="7"/>
      <name val="Calibri"/>
      <family val="2"/>
      <scheme val="minor"/>
    </font>
    <font>
      <b/>
      <sz val="9"/>
      <name val="Calibri"/>
      <family val="2"/>
    </font>
    <font>
      <sz val="12"/>
      <name val="Arial"/>
      <family val="2"/>
    </font>
    <font>
      <b/>
      <sz val="10"/>
      <name val="Calibri"/>
      <family val="2"/>
    </font>
    <font>
      <sz val="12"/>
      <color rgb="FF000000"/>
      <name val="Arial Narrow"/>
      <family val="2"/>
    </font>
    <font>
      <b/>
      <sz val="14"/>
      <name val="Arial Narrow"/>
      <family val="2"/>
    </font>
    <font>
      <sz val="10"/>
      <color theme="0"/>
      <name val="Arial"/>
      <family val="2"/>
    </font>
    <font>
      <b/>
      <sz val="12"/>
      <name val="Arial Narrow"/>
      <family val="2"/>
    </font>
    <font>
      <sz val="9"/>
      <name val="Arial Narrow"/>
      <family val="2"/>
    </font>
    <font>
      <b/>
      <sz val="10"/>
      <color rgb="FF0000FF"/>
      <name val="Arial"/>
      <family val="2"/>
    </font>
    <font>
      <b/>
      <sz val="14"/>
      <color rgb="FF0000FF"/>
      <name val="Calibri"/>
      <family val="2"/>
    </font>
    <font>
      <sz val="9"/>
      <color rgb="FF0000FF"/>
      <name val="Calibri"/>
      <family val="2"/>
    </font>
    <font>
      <b/>
      <sz val="20"/>
      <name val="Calibri"/>
      <family val="2"/>
      <scheme val="minor"/>
    </font>
    <font>
      <b/>
      <sz val="20"/>
      <color rgb="FF0000FF"/>
      <name val="Calibri"/>
      <family val="2"/>
      <scheme val="minor"/>
    </font>
    <font>
      <b/>
      <sz val="12"/>
      <name val="Calibri"/>
      <family val="2"/>
    </font>
    <font>
      <b/>
      <sz val="10"/>
      <color indexed="8"/>
      <name val="Arial"/>
      <family val="2"/>
    </font>
    <font>
      <b/>
      <sz val="12"/>
      <color indexed="8"/>
      <name val="Arial"/>
      <family val="2"/>
    </font>
    <font>
      <b/>
      <sz val="8"/>
      <color indexed="8"/>
      <name val="Arial"/>
      <family val="2"/>
    </font>
    <font>
      <sz val="8"/>
      <color indexed="8"/>
      <name val="Arial"/>
      <family val="2"/>
    </font>
  </fonts>
  <fills count="19">
    <fill>
      <patternFill patternType="none"/>
    </fill>
    <fill>
      <patternFill patternType="gray125"/>
    </fill>
    <fill>
      <patternFill patternType="solid">
        <fgColor indexed="47"/>
        <bgColor indexed="64"/>
      </patternFill>
    </fill>
    <fill>
      <patternFill patternType="solid">
        <fgColor rgb="FFFFFFCC"/>
      </patternFill>
    </fill>
    <fill>
      <patternFill patternType="solid">
        <fgColor rgb="FFFFCC81"/>
        <bgColor indexed="64"/>
      </patternFill>
    </fill>
    <fill>
      <patternFill patternType="solid">
        <fgColor rgb="FFC0C0C0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BD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64821E"/>
        <bgColor rgb="FF000000"/>
      </patternFill>
    </fill>
    <fill>
      <patternFill patternType="solid">
        <fgColor rgb="FFC8FAF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28660"/>
        <bgColor indexed="64"/>
      </patternFill>
    </fill>
    <fill>
      <patternFill patternType="solid">
        <fgColor rgb="FFF0DCC8"/>
        <bgColor indexed="64"/>
      </patternFill>
    </fill>
    <fill>
      <patternFill patternType="solid">
        <fgColor rgb="FFD28660"/>
        <bgColor rgb="FF000000"/>
      </patternFill>
    </fill>
    <fill>
      <patternFill patternType="solid">
        <fgColor rgb="FFF0DCC8"/>
        <bgColor rgb="FF000000"/>
      </patternFill>
    </fill>
    <fill>
      <patternFill patternType="solid">
        <fgColor rgb="FFFF0000"/>
        <bgColor indexed="64"/>
      </patternFill>
    </fill>
  </fills>
  <borders count="9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dotted">
        <color indexed="64"/>
      </bottom>
      <diagonal/>
    </border>
    <border>
      <left style="double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</borders>
  <cellStyleXfs count="18">
    <xf numFmtId="0" fontId="0" fillId="0" borderId="0"/>
    <xf numFmtId="164" fontId="4" fillId="0" borderId="0" applyFont="0" applyFill="0" applyBorder="0" applyAlignment="0" applyProtection="0"/>
    <xf numFmtId="165" fontId="7" fillId="0" borderId="0" applyFont="0" applyFill="0" applyBorder="0" applyAlignment="0" applyProtection="0"/>
    <xf numFmtId="0" fontId="7" fillId="0" borderId="0"/>
    <xf numFmtId="0" fontId="7" fillId="0" borderId="0"/>
    <xf numFmtId="0" fontId="24" fillId="0" borderId="0"/>
    <xf numFmtId="0" fontId="30" fillId="0" borderId="0"/>
    <xf numFmtId="0" fontId="7" fillId="0" borderId="0"/>
    <xf numFmtId="0" fontId="39" fillId="0" borderId="0"/>
    <xf numFmtId="0" fontId="7" fillId="0" borderId="0"/>
    <xf numFmtId="0" fontId="24" fillId="0" borderId="0"/>
    <xf numFmtId="0" fontId="7" fillId="0" borderId="0"/>
    <xf numFmtId="0" fontId="5" fillId="3" borderId="69" applyNumberFormat="0" applyFont="0" applyAlignment="0" applyProtection="0"/>
    <xf numFmtId="9" fontId="5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30" fillId="0" borderId="0" applyFont="0" applyFill="0" applyBorder="0" applyAlignment="0" applyProtection="0"/>
    <xf numFmtId="0" fontId="38" fillId="0" borderId="0"/>
    <xf numFmtId="0" fontId="2" fillId="0" borderId="0"/>
  </cellStyleXfs>
  <cellXfs count="429">
    <xf numFmtId="0" fontId="0" fillId="0" borderId="0" xfId="0"/>
    <xf numFmtId="0" fontId="7" fillId="0" borderId="0" xfId="3"/>
    <xf numFmtId="0" fontId="11" fillId="0" borderId="0" xfId="3" applyFont="1" applyAlignment="1">
      <alignment horizontal="centerContinuous" vertical="center" wrapText="1"/>
    </xf>
    <xf numFmtId="0" fontId="8" fillId="0" borderId="0" xfId="3" applyFont="1" applyAlignment="1">
      <alignment horizontal="centerContinuous" vertical="center" wrapText="1"/>
    </xf>
    <xf numFmtId="0" fontId="7" fillId="0" borderId="0" xfId="3" applyAlignment="1">
      <alignment horizontal="centerContinuous" vertical="center" wrapText="1"/>
    </xf>
    <xf numFmtId="0" fontId="7" fillId="0" borderId="0" xfId="3" applyAlignment="1">
      <alignment horizontal="centerContinuous" vertical="center"/>
    </xf>
    <xf numFmtId="167" fontId="10" fillId="0" borderId="0" xfId="3" applyNumberFormat="1" applyFont="1" applyAlignment="1">
      <alignment horizontal="center"/>
    </xf>
    <xf numFmtId="0" fontId="21" fillId="0" borderId="0" xfId="3" applyFont="1"/>
    <xf numFmtId="0" fontId="20" fillId="0" borderId="0" xfId="3" applyFont="1" applyAlignment="1">
      <alignment horizontal="centerContinuous" vertical="center" wrapText="1"/>
    </xf>
    <xf numFmtId="0" fontId="7" fillId="0" borderId="0" xfId="3" applyProtection="1">
      <protection hidden="1"/>
    </xf>
    <xf numFmtId="0" fontId="8" fillId="0" borderId="0" xfId="3" applyFont="1" applyAlignment="1" applyProtection="1">
      <alignment horizontal="centerContinuous" vertical="center" wrapText="1"/>
      <protection hidden="1"/>
    </xf>
    <xf numFmtId="0" fontId="7" fillId="0" borderId="0" xfId="3" applyAlignment="1" applyProtection="1">
      <alignment horizontal="centerContinuous" vertical="center" wrapText="1"/>
      <protection hidden="1"/>
    </xf>
    <xf numFmtId="0" fontId="10" fillId="0" borderId="0" xfId="3" applyFont="1" applyAlignment="1" applyProtection="1">
      <alignment horizontal="centerContinuous" vertical="center" wrapText="1"/>
      <protection hidden="1"/>
    </xf>
    <xf numFmtId="0" fontId="7" fillId="0" borderId="0" xfId="3" applyAlignment="1" applyProtection="1">
      <alignment horizontal="centerContinuous"/>
      <protection hidden="1"/>
    </xf>
    <xf numFmtId="0" fontId="7" fillId="0" borderId="0" xfId="3" applyAlignment="1" applyProtection="1">
      <alignment horizontal="centerContinuous" vertical="center"/>
      <protection hidden="1"/>
    </xf>
    <xf numFmtId="0" fontId="31" fillId="0" borderId="0" xfId="6" applyFont="1"/>
    <xf numFmtId="1" fontId="11" fillId="0" borderId="0" xfId="6" applyNumberFormat="1" applyFont="1" applyAlignment="1">
      <alignment vertical="center" wrapText="1"/>
    </xf>
    <xf numFmtId="1" fontId="9" fillId="0" borderId="0" xfId="6" applyNumberFormat="1" applyFont="1" applyAlignment="1">
      <alignment vertical="center" wrapText="1"/>
    </xf>
    <xf numFmtId="1" fontId="8" fillId="0" borderId="0" xfId="6" applyNumberFormat="1" applyFont="1" applyAlignment="1">
      <alignment vertical="center" wrapText="1"/>
    </xf>
    <xf numFmtId="1" fontId="12" fillId="0" borderId="0" xfId="6" applyNumberFormat="1" applyFont="1" applyAlignment="1">
      <alignment vertical="center" wrapText="1"/>
    </xf>
    <xf numFmtId="1" fontId="15" fillId="0" borderId="0" xfId="6" applyNumberFormat="1" applyFont="1" applyAlignment="1">
      <alignment vertical="center" wrapText="1"/>
    </xf>
    <xf numFmtId="0" fontId="31" fillId="0" borderId="0" xfId="6" applyFont="1" applyAlignment="1">
      <alignment horizontal="center" vertical="center"/>
    </xf>
    <xf numFmtId="4" fontId="31" fillId="0" borderId="0" xfId="6" applyNumberFormat="1" applyFont="1"/>
    <xf numFmtId="0" fontId="7" fillId="0" borderId="0" xfId="6" applyFont="1"/>
    <xf numFmtId="0" fontId="14" fillId="0" borderId="0" xfId="6" applyFont="1"/>
    <xf numFmtId="0" fontId="30" fillId="0" borderId="0" xfId="6"/>
    <xf numFmtId="1" fontId="30" fillId="0" borderId="0" xfId="6" applyNumberFormat="1" applyAlignment="1">
      <alignment horizontal="centerContinuous" vertical="center"/>
    </xf>
    <xf numFmtId="0" fontId="30" fillId="0" borderId="0" xfId="6" applyAlignment="1">
      <alignment horizontal="centerContinuous" vertical="center"/>
    </xf>
    <xf numFmtId="0" fontId="18" fillId="0" borderId="0" xfId="6" applyFont="1"/>
    <xf numFmtId="1" fontId="30" fillId="0" borderId="0" xfId="6" applyNumberFormat="1"/>
    <xf numFmtId="0" fontId="7" fillId="0" borderId="0" xfId="3" applyAlignment="1">
      <alignment wrapText="1"/>
    </xf>
    <xf numFmtId="167" fontId="10" fillId="0" borderId="0" xfId="3" applyNumberFormat="1" applyFont="1" applyAlignment="1">
      <alignment horizontal="center" wrapText="1"/>
    </xf>
    <xf numFmtId="0" fontId="7" fillId="0" borderId="0" xfId="3" applyAlignment="1">
      <alignment horizontal="center" vertical="center"/>
    </xf>
    <xf numFmtId="1" fontId="26" fillId="0" borderId="0" xfId="6" applyNumberFormat="1" applyFont="1" applyAlignment="1">
      <alignment horizontal="centerContinuous" vertical="center" wrapText="1"/>
    </xf>
    <xf numFmtId="0" fontId="8" fillId="0" borderId="0" xfId="6" applyFont="1" applyAlignment="1">
      <alignment horizontal="centerContinuous" vertical="center" wrapText="1"/>
    </xf>
    <xf numFmtId="0" fontId="29" fillId="0" borderId="0" xfId="3" applyFont="1" applyAlignment="1">
      <alignment horizontal="center" vertical="center"/>
    </xf>
    <xf numFmtId="0" fontId="7" fillId="0" borderId="0" xfId="3" applyAlignment="1">
      <alignment horizontal="centerContinuous"/>
    </xf>
    <xf numFmtId="0" fontId="39" fillId="0" borderId="1" xfId="8" applyBorder="1"/>
    <xf numFmtId="0" fontId="39" fillId="0" borderId="2" xfId="8" applyBorder="1"/>
    <xf numFmtId="0" fontId="40" fillId="4" borderId="3" xfId="8" applyFont="1" applyFill="1" applyBorder="1" applyAlignment="1">
      <alignment horizontal="center" vertical="center"/>
    </xf>
    <xf numFmtId="0" fontId="39" fillId="4" borderId="4" xfId="8" applyFill="1" applyBorder="1"/>
    <xf numFmtId="0" fontId="34" fillId="5" borderId="5" xfId="3" applyFont="1" applyFill="1" applyBorder="1"/>
    <xf numFmtId="0" fontId="34" fillId="5" borderId="6" xfId="3" applyFont="1" applyFill="1" applyBorder="1"/>
    <xf numFmtId="0" fontId="7" fillId="0" borderId="0" xfId="3" quotePrefix="1"/>
    <xf numFmtId="0" fontId="31" fillId="0" borderId="0" xfId="6" applyFont="1" applyAlignment="1">
      <alignment wrapText="1"/>
    </xf>
    <xf numFmtId="2" fontId="15" fillId="0" borderId="0" xfId="6" applyNumberFormat="1" applyFont="1" applyAlignment="1">
      <alignment vertical="center" wrapText="1"/>
    </xf>
    <xf numFmtId="0" fontId="17" fillId="4" borderId="3" xfId="4" applyFont="1" applyFill="1" applyBorder="1" applyAlignment="1">
      <alignment horizontal="centerContinuous" vertical="center"/>
    </xf>
    <xf numFmtId="0" fontId="17" fillId="4" borderId="7" xfId="4" applyFont="1" applyFill="1" applyBorder="1" applyAlignment="1">
      <alignment horizontal="centerContinuous" vertical="center"/>
    </xf>
    <xf numFmtId="14" fontId="8" fillId="0" borderId="8" xfId="4" applyNumberFormat="1" applyFont="1" applyBorder="1" applyAlignment="1">
      <alignment horizontal="center"/>
    </xf>
    <xf numFmtId="3" fontId="8" fillId="0" borderId="9" xfId="4" applyNumberFormat="1" applyFont="1" applyBorder="1" applyAlignment="1">
      <alignment horizontal="center"/>
    </xf>
    <xf numFmtId="0" fontId="7" fillId="0" borderId="10" xfId="3" applyBorder="1"/>
    <xf numFmtId="0" fontId="36" fillId="2" borderId="11" xfId="8" applyFont="1" applyFill="1" applyBorder="1" applyAlignment="1">
      <alignment horizontal="center" vertical="center"/>
    </xf>
    <xf numFmtId="0" fontId="35" fillId="0" borderId="12" xfId="8" applyFont="1" applyBorder="1"/>
    <xf numFmtId="0" fontId="35" fillId="0" borderId="13" xfId="8" applyFont="1" applyBorder="1"/>
    <xf numFmtId="14" fontId="31" fillId="0" borderId="0" xfId="6" applyNumberFormat="1" applyFont="1"/>
    <xf numFmtId="0" fontId="28" fillId="0" borderId="0" xfId="6" applyFont="1" applyAlignment="1">
      <alignment horizontal="center" vertical="center" wrapText="1"/>
    </xf>
    <xf numFmtId="0" fontId="17" fillId="0" borderId="0" xfId="6" applyFont="1" applyAlignment="1">
      <alignment horizontal="center" vertical="center" wrapText="1"/>
    </xf>
    <xf numFmtId="4" fontId="17" fillId="0" borderId="0" xfId="6" applyNumberFormat="1" applyFont="1" applyAlignment="1">
      <alignment horizontal="center" vertical="center" wrapText="1"/>
    </xf>
    <xf numFmtId="0" fontId="31" fillId="0" borderId="0" xfId="6" applyFont="1" applyAlignment="1">
      <alignment vertical="center"/>
    </xf>
    <xf numFmtId="0" fontId="31" fillId="0" borderId="15" xfId="6" applyFont="1" applyBorder="1" applyAlignment="1">
      <alignment horizontal="center" vertical="center"/>
    </xf>
    <xf numFmtId="4" fontId="31" fillId="0" borderId="15" xfId="6" applyNumberFormat="1" applyFont="1" applyBorder="1" applyAlignment="1">
      <alignment horizontal="center" vertical="center" wrapText="1"/>
    </xf>
    <xf numFmtId="4" fontId="31" fillId="0" borderId="15" xfId="6" applyNumberFormat="1" applyFont="1" applyBorder="1" applyAlignment="1">
      <alignment horizontal="center" vertical="center"/>
    </xf>
    <xf numFmtId="1" fontId="42" fillId="0" borderId="19" xfId="6" applyNumberFormat="1" applyFont="1" applyBorder="1" applyAlignment="1">
      <alignment horizontal="center" vertical="center"/>
    </xf>
    <xf numFmtId="170" fontId="42" fillId="0" borderId="19" xfId="6" applyNumberFormat="1" applyFont="1" applyBorder="1" applyAlignment="1">
      <alignment horizontal="left" wrapText="1"/>
    </xf>
    <xf numFmtId="0" fontId="17" fillId="0" borderId="19" xfId="3" applyFont="1" applyBorder="1" applyAlignment="1">
      <alignment horizontal="left" vertical="center" wrapText="1"/>
    </xf>
    <xf numFmtId="0" fontId="10" fillId="0" borderId="20" xfId="3" applyFont="1" applyBorder="1" applyAlignment="1">
      <alignment horizontal="center" vertical="center" wrapText="1"/>
    </xf>
    <xf numFmtId="0" fontId="10" fillId="0" borderId="21" xfId="3" applyFont="1" applyBorder="1" applyAlignment="1">
      <alignment horizontal="center" vertical="center" wrapText="1"/>
    </xf>
    <xf numFmtId="4" fontId="10" fillId="6" borderId="19" xfId="3" applyNumberFormat="1" applyFont="1" applyFill="1" applyBorder="1" applyAlignment="1">
      <alignment horizontal="center" vertical="center" wrapText="1"/>
    </xf>
    <xf numFmtId="0" fontId="10" fillId="0" borderId="22" xfId="3" applyFont="1" applyBorder="1" applyAlignment="1">
      <alignment vertical="center"/>
    </xf>
    <xf numFmtId="0" fontId="10" fillId="0" borderId="15" xfId="3" applyFont="1" applyBorder="1" applyAlignment="1">
      <alignment vertical="center"/>
    </xf>
    <xf numFmtId="168" fontId="23" fillId="0" borderId="0" xfId="3" applyNumberFormat="1" applyFont="1" applyAlignment="1">
      <alignment horizontal="center" vertical="center"/>
    </xf>
    <xf numFmtId="0" fontId="16" fillId="0" borderId="0" xfId="3" applyFont="1" applyAlignment="1">
      <alignment horizontal="left" vertical="center"/>
    </xf>
    <xf numFmtId="0" fontId="21" fillId="0" borderId="0" xfId="3" applyFont="1" applyAlignment="1">
      <alignment horizontal="center" vertical="center"/>
    </xf>
    <xf numFmtId="0" fontId="21" fillId="0" borderId="0" xfId="3" applyFont="1" applyAlignment="1">
      <alignment horizontal="centerContinuous" vertical="center"/>
    </xf>
    <xf numFmtId="0" fontId="21" fillId="0" borderId="0" xfId="3" applyFont="1" applyAlignment="1">
      <alignment vertical="center"/>
    </xf>
    <xf numFmtId="4" fontId="31" fillId="7" borderId="15" xfId="6" applyNumberFormat="1" applyFont="1" applyFill="1" applyBorder="1" applyAlignment="1">
      <alignment horizontal="center" vertical="center"/>
    </xf>
    <xf numFmtId="0" fontId="17" fillId="0" borderId="28" xfId="3" applyFont="1" applyBorder="1" applyAlignment="1" applyProtection="1">
      <alignment horizontal="center" vertical="center"/>
      <protection hidden="1"/>
    </xf>
    <xf numFmtId="0" fontId="37" fillId="0" borderId="0" xfId="3" applyFont="1" applyAlignment="1">
      <alignment horizontal="center" vertical="center"/>
    </xf>
    <xf numFmtId="168" fontId="37" fillId="0" borderId="0" xfId="3" applyNumberFormat="1" applyFont="1" applyAlignment="1">
      <alignment horizontal="center" vertical="center"/>
    </xf>
    <xf numFmtId="0" fontId="43" fillId="0" borderId="0" xfId="0" applyFont="1"/>
    <xf numFmtId="0" fontId="37" fillId="0" borderId="0" xfId="3" applyFont="1" applyAlignment="1">
      <alignment horizontal="center" vertical="center" wrapText="1"/>
    </xf>
    <xf numFmtId="166" fontId="10" fillId="6" borderId="19" xfId="3" applyNumberFormat="1" applyFont="1" applyFill="1" applyBorder="1" applyAlignment="1">
      <alignment horizontal="center" vertical="center" wrapText="1"/>
    </xf>
    <xf numFmtId="0" fontId="44" fillId="0" borderId="0" xfId="3" applyFont="1" applyAlignment="1">
      <alignment horizontal="center" vertical="center"/>
    </xf>
    <xf numFmtId="0" fontId="46" fillId="0" borderId="0" xfId="3" applyFont="1"/>
    <xf numFmtId="0" fontId="17" fillId="0" borderId="27" xfId="3" quotePrefix="1" applyFont="1" applyBorder="1" applyAlignment="1">
      <alignment horizontal="center" vertical="center"/>
    </xf>
    <xf numFmtId="0" fontId="7" fillId="0" borderId="0" xfId="3" applyAlignment="1">
      <alignment vertical="center" wrapText="1"/>
    </xf>
    <xf numFmtId="0" fontId="25" fillId="0" borderId="0" xfId="11" applyFont="1" applyAlignment="1" applyProtection="1">
      <alignment horizontal="justify" vertical="center"/>
      <protection locked="0"/>
    </xf>
    <xf numFmtId="0" fontId="7" fillId="0" borderId="0" xfId="11" applyProtection="1">
      <protection hidden="1"/>
    </xf>
    <xf numFmtId="0" fontId="27" fillId="0" borderId="0" xfId="11" applyFont="1" applyAlignment="1" applyProtection="1">
      <alignment horizontal="centerContinuous" vertical="center" wrapText="1"/>
      <protection hidden="1"/>
    </xf>
    <xf numFmtId="0" fontId="47" fillId="0" borderId="0" xfId="11" applyFont="1" applyAlignment="1" applyProtection="1">
      <alignment horizontal="center" vertical="center"/>
      <protection locked="0"/>
    </xf>
    <xf numFmtId="0" fontId="25" fillId="0" borderId="0" xfId="11" applyFont="1" applyAlignment="1" applyProtection="1">
      <alignment horizontal="center" vertical="center"/>
      <protection locked="0"/>
    </xf>
    <xf numFmtId="0" fontId="7" fillId="0" borderId="0" xfId="11" applyAlignment="1" applyProtection="1">
      <alignment horizontal="center"/>
      <protection hidden="1"/>
    </xf>
    <xf numFmtId="0" fontId="15" fillId="0" borderId="0" xfId="11" applyFont="1" applyAlignment="1" applyProtection="1">
      <alignment horizontal="center" vertical="center"/>
      <protection locked="0"/>
    </xf>
    <xf numFmtId="9" fontId="27" fillId="0" borderId="0" xfId="13" applyFont="1" applyAlignment="1" applyProtection="1">
      <alignment horizontal="centerContinuous" vertical="center" wrapText="1"/>
      <protection hidden="1"/>
    </xf>
    <xf numFmtId="9" fontId="15" fillId="0" borderId="0" xfId="13" applyFont="1" applyAlignment="1" applyProtection="1">
      <alignment horizontal="center" vertical="center"/>
      <protection locked="0"/>
    </xf>
    <xf numFmtId="9" fontId="7" fillId="0" borderId="0" xfId="13" applyFont="1" applyProtection="1">
      <protection hidden="1"/>
    </xf>
    <xf numFmtId="0" fontId="8" fillId="0" borderId="0" xfId="11" applyFont="1" applyAlignment="1" applyProtection="1">
      <alignment horizontal="centerContinuous" vertical="center" wrapText="1"/>
      <protection hidden="1"/>
    </xf>
    <xf numFmtId="168" fontId="48" fillId="8" borderId="0" xfId="3" applyNumberFormat="1" applyFont="1" applyFill="1" applyAlignment="1">
      <alignment horizontal="center" vertical="center"/>
    </xf>
    <xf numFmtId="0" fontId="7" fillId="0" borderId="0" xfId="3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0" fillId="0" borderId="15" xfId="3" applyFont="1" applyBorder="1" applyAlignment="1">
      <alignment horizontal="center" vertical="center"/>
    </xf>
    <xf numFmtId="1" fontId="8" fillId="0" borderId="0" xfId="6" applyNumberFormat="1" applyFont="1" applyAlignment="1">
      <alignment horizontal="center" vertical="center" wrapText="1"/>
    </xf>
    <xf numFmtId="0" fontId="39" fillId="8" borderId="0" xfId="8" applyFill="1"/>
    <xf numFmtId="0" fontId="39" fillId="8" borderId="0" xfId="8" applyFill="1" applyAlignment="1">
      <alignment horizontal="center" vertical="center"/>
    </xf>
    <xf numFmtId="0" fontId="39" fillId="8" borderId="0" xfId="8" quotePrefix="1" applyFill="1"/>
    <xf numFmtId="0" fontId="40" fillId="4" borderId="4" xfId="8" applyFont="1" applyFill="1" applyBorder="1" applyAlignment="1">
      <alignment horizontal="center" vertical="center"/>
    </xf>
    <xf numFmtId="0" fontId="39" fillId="9" borderId="20" xfId="8" applyFill="1" applyBorder="1" applyAlignment="1">
      <alignment horizontal="center" vertical="center"/>
    </xf>
    <xf numFmtId="0" fontId="10" fillId="0" borderId="39" xfId="3" applyFont="1" applyBorder="1" applyAlignment="1">
      <alignment horizontal="center" vertical="center"/>
    </xf>
    <xf numFmtId="10" fontId="10" fillId="0" borderId="20" xfId="13" applyNumberFormat="1" applyFont="1" applyFill="1" applyBorder="1" applyAlignment="1">
      <alignment horizontal="center" vertical="center" wrapText="1"/>
    </xf>
    <xf numFmtId="0" fontId="17" fillId="0" borderId="41" xfId="3" quotePrefix="1" applyFont="1" applyBorder="1" applyAlignment="1">
      <alignment horizontal="center" vertical="center"/>
    </xf>
    <xf numFmtId="0" fontId="0" fillId="0" borderId="0" xfId="0" applyAlignment="1">
      <alignment vertical="center"/>
    </xf>
    <xf numFmtId="4" fontId="0" fillId="0" borderId="0" xfId="0" applyNumberFormat="1" applyAlignment="1">
      <alignment vertical="center"/>
    </xf>
    <xf numFmtId="0" fontId="0" fillId="0" borderId="45" xfId="0" applyBorder="1" applyAlignment="1">
      <alignment vertical="center"/>
    </xf>
    <xf numFmtId="1" fontId="11" fillId="0" borderId="0" xfId="3" applyNumberFormat="1" applyFont="1" applyAlignment="1">
      <alignment horizontal="centerContinuous" vertical="center" wrapText="1"/>
    </xf>
    <xf numFmtId="1" fontId="11" fillId="0" borderId="0" xfId="3" applyNumberFormat="1" applyFont="1" applyAlignment="1">
      <alignment horizontal="center" vertical="center" wrapText="1"/>
    </xf>
    <xf numFmtId="0" fontId="11" fillId="0" borderId="0" xfId="3" applyFont="1" applyAlignment="1">
      <alignment horizontal="center" vertical="center" wrapText="1"/>
    </xf>
    <xf numFmtId="0" fontId="7" fillId="0" borderId="0" xfId="3" applyAlignment="1">
      <alignment horizontal="justify" vertical="center" wrapText="1"/>
    </xf>
    <xf numFmtId="0" fontId="22" fillId="8" borderId="0" xfId="3" applyFont="1" applyFill="1" applyAlignment="1">
      <alignment horizontal="center" vertical="center"/>
    </xf>
    <xf numFmtId="0" fontId="7" fillId="8" borderId="0" xfId="3" applyFill="1" applyAlignment="1">
      <alignment vertical="center"/>
    </xf>
    <xf numFmtId="0" fontId="14" fillId="8" borderId="0" xfId="3" applyFont="1" applyFill="1" applyAlignment="1">
      <alignment horizontal="center" vertical="center"/>
    </xf>
    <xf numFmtId="167" fontId="13" fillId="8" borderId="0" xfId="3" applyNumberFormat="1" applyFont="1" applyFill="1" applyAlignment="1">
      <alignment horizontal="center" vertical="center"/>
    </xf>
    <xf numFmtId="167" fontId="22" fillId="8" borderId="0" xfId="3" applyNumberFormat="1" applyFont="1" applyFill="1" applyAlignment="1">
      <alignment horizontal="center" vertical="center"/>
    </xf>
    <xf numFmtId="4" fontId="22" fillId="8" borderId="0" xfId="3" applyNumberFormat="1" applyFont="1" applyFill="1" applyAlignment="1">
      <alignment vertical="center"/>
    </xf>
    <xf numFmtId="0" fontId="7" fillId="8" borderId="0" xfId="3" applyFill="1"/>
    <xf numFmtId="0" fontId="14" fillId="8" borderId="0" xfId="4" applyFont="1" applyFill="1" applyAlignment="1">
      <alignment horizontal="center"/>
    </xf>
    <xf numFmtId="3" fontId="7" fillId="8" borderId="0" xfId="4" applyNumberFormat="1" applyFill="1"/>
    <xf numFmtId="0" fontId="14" fillId="8" borderId="0" xfId="3" applyFont="1" applyFill="1" applyAlignment="1">
      <alignment horizontal="center"/>
    </xf>
    <xf numFmtId="14" fontId="21" fillId="8" borderId="0" xfId="3" applyNumberFormat="1" applyFont="1" applyFill="1"/>
    <xf numFmtId="0" fontId="10" fillId="8" borderId="0" xfId="3" applyFont="1" applyFill="1" applyAlignment="1">
      <alignment horizontal="center" vertical="center"/>
    </xf>
    <xf numFmtId="2" fontId="10" fillId="8" borderId="0" xfId="3" applyNumberFormat="1" applyFont="1" applyFill="1" applyAlignment="1">
      <alignment horizontal="center" vertical="center"/>
    </xf>
    <xf numFmtId="171" fontId="10" fillId="8" borderId="0" xfId="3" applyNumberFormat="1" applyFont="1" applyFill="1" applyAlignment="1">
      <alignment horizontal="center" vertical="center"/>
    </xf>
    <xf numFmtId="0" fontId="17" fillId="0" borderId="40" xfId="3" quotePrefix="1" applyFont="1" applyBorder="1" applyAlignment="1">
      <alignment horizontal="center" vertical="center"/>
    </xf>
    <xf numFmtId="4" fontId="10" fillId="0" borderId="34" xfId="3" applyNumberFormat="1" applyFont="1" applyBorder="1" applyAlignment="1">
      <alignment horizontal="center" vertical="center" wrapText="1"/>
    </xf>
    <xf numFmtId="4" fontId="10" fillId="0" borderId="40" xfId="3" quotePrefix="1" applyNumberFormat="1" applyFont="1" applyBorder="1" applyAlignment="1">
      <alignment horizontal="center" vertical="center"/>
    </xf>
    <xf numFmtId="4" fontId="10" fillId="0" borderId="20" xfId="3" applyNumberFormat="1" applyFont="1" applyBorder="1" applyAlignment="1">
      <alignment horizontal="center" vertical="center" wrapText="1"/>
    </xf>
    <xf numFmtId="0" fontId="3" fillId="9" borderId="20" xfId="8" applyFont="1" applyFill="1" applyBorder="1" applyAlignment="1">
      <alignment horizontal="center" vertical="center"/>
    </xf>
    <xf numFmtId="2" fontId="0" fillId="0" borderId="0" xfId="0" applyNumberFormat="1"/>
    <xf numFmtId="0" fontId="10" fillId="0" borderId="26" xfId="3" applyFont="1" applyBorder="1" applyAlignment="1">
      <alignment horizontal="center" vertical="center"/>
    </xf>
    <xf numFmtId="0" fontId="10" fillId="0" borderId="18" xfId="3" applyFont="1" applyBorder="1" applyAlignment="1">
      <alignment horizontal="center" vertical="center" wrapText="1"/>
    </xf>
    <xf numFmtId="0" fontId="10" fillId="0" borderId="27" xfId="3" applyFont="1" applyBorder="1" applyAlignment="1">
      <alignment horizontal="center" vertical="center" wrapText="1"/>
    </xf>
    <xf numFmtId="0" fontId="10" fillId="0" borderId="0" xfId="3" applyFont="1" applyAlignment="1">
      <alignment horizontal="center" vertical="center"/>
    </xf>
    <xf numFmtId="0" fontId="8" fillId="0" borderId="0" xfId="3" quotePrefix="1" applyFont="1" applyAlignment="1">
      <alignment horizontal="center" vertical="center"/>
    </xf>
    <xf numFmtId="0" fontId="45" fillId="0" borderId="0" xfId="3" applyFont="1" applyAlignment="1">
      <alignment horizontal="center" vertical="center" wrapText="1"/>
    </xf>
    <xf numFmtId="0" fontId="10" fillId="0" borderId="0" xfId="3" applyFont="1" applyAlignment="1">
      <alignment horizontal="center" vertical="center" wrapText="1"/>
    </xf>
    <xf numFmtId="0" fontId="10" fillId="0" borderId="62" xfId="3" applyFont="1" applyBorder="1" applyAlignment="1">
      <alignment vertical="center"/>
    </xf>
    <xf numFmtId="0" fontId="17" fillId="0" borderId="56" xfId="11" applyFont="1" applyBorder="1" applyAlignment="1" applyProtection="1">
      <alignment horizontal="center"/>
      <protection hidden="1"/>
    </xf>
    <xf numFmtId="9" fontId="17" fillId="0" borderId="60" xfId="13" applyFont="1" applyBorder="1" applyAlignment="1" applyProtection="1">
      <alignment horizontal="center" vertical="center"/>
      <protection hidden="1"/>
    </xf>
    <xf numFmtId="0" fontId="17" fillId="0" borderId="31" xfId="3" applyFont="1" applyBorder="1" applyAlignment="1">
      <alignment horizontal="center" vertical="center" wrapText="1"/>
    </xf>
    <xf numFmtId="9" fontId="17" fillId="0" borderId="43" xfId="13" applyFont="1" applyFill="1" applyBorder="1" applyAlignment="1">
      <alignment horizontal="center" vertical="center" wrapText="1"/>
    </xf>
    <xf numFmtId="3" fontId="10" fillId="0" borderId="74" xfId="11" applyNumberFormat="1" applyFont="1" applyBorder="1" applyProtection="1">
      <protection hidden="1"/>
    </xf>
    <xf numFmtId="9" fontId="10" fillId="0" borderId="75" xfId="13" applyFont="1" applyBorder="1" applyProtection="1">
      <protection hidden="1"/>
    </xf>
    <xf numFmtId="0" fontId="0" fillId="0" borderId="45" xfId="0" applyBorder="1"/>
    <xf numFmtId="0" fontId="0" fillId="0" borderId="44" xfId="0" applyBorder="1"/>
    <xf numFmtId="1" fontId="42" fillId="0" borderId="31" xfId="6" applyNumberFormat="1" applyFont="1" applyBorder="1" applyAlignment="1">
      <alignment horizontal="center" vertical="center"/>
    </xf>
    <xf numFmtId="1" fontId="42" fillId="0" borderId="43" xfId="6" applyNumberFormat="1" applyFont="1" applyBorder="1" applyAlignment="1">
      <alignment horizontal="center" vertical="center" wrapText="1"/>
    </xf>
    <xf numFmtId="1" fontId="10" fillId="0" borderId="74" xfId="6" applyNumberFormat="1" applyFont="1" applyBorder="1" applyAlignment="1">
      <alignment horizontal="center" vertical="center"/>
    </xf>
    <xf numFmtId="170" fontId="10" fillId="0" borderId="74" xfId="6" applyNumberFormat="1" applyFont="1" applyBorder="1" applyAlignment="1">
      <alignment horizontal="left" wrapText="1"/>
    </xf>
    <xf numFmtId="170" fontId="10" fillId="0" borderId="75" xfId="6" applyNumberFormat="1" applyFont="1" applyBorder="1" applyAlignment="1">
      <alignment horizontal="left" wrapText="1"/>
    </xf>
    <xf numFmtId="0" fontId="17" fillId="0" borderId="77" xfId="3" applyFont="1" applyBorder="1" applyAlignment="1" applyProtection="1">
      <alignment horizontal="centerContinuous"/>
      <protection hidden="1"/>
    </xf>
    <xf numFmtId="0" fontId="7" fillId="0" borderId="78" xfId="3" applyBorder="1" applyProtection="1">
      <protection hidden="1"/>
    </xf>
    <xf numFmtId="1" fontId="19" fillId="0" borderId="31" xfId="3" applyNumberFormat="1" applyFont="1" applyBorder="1" applyAlignment="1" applyProtection="1">
      <alignment horizontal="center" vertical="center"/>
      <protection hidden="1"/>
    </xf>
    <xf numFmtId="0" fontId="7" fillId="0" borderId="43" xfId="3" applyBorder="1" applyAlignment="1" applyProtection="1">
      <alignment horizontal="center" vertical="center" wrapText="1"/>
      <protection hidden="1"/>
    </xf>
    <xf numFmtId="0" fontId="50" fillId="0" borderId="0" xfId="3" applyFont="1"/>
    <xf numFmtId="0" fontId="18" fillId="0" borderId="0" xfId="3" applyFont="1"/>
    <xf numFmtId="0" fontId="53" fillId="0" borderId="0" xfId="0" applyFont="1" applyAlignment="1" applyProtection="1">
      <alignment horizontal="center" vertical="center"/>
      <protection hidden="1"/>
    </xf>
    <xf numFmtId="0" fontId="54" fillId="0" borderId="0" xfId="0" applyFont="1"/>
    <xf numFmtId="1" fontId="55" fillId="0" borderId="48" xfId="6" applyNumberFormat="1" applyFont="1" applyBorder="1" applyAlignment="1">
      <alignment horizontal="center" vertical="center"/>
    </xf>
    <xf numFmtId="3" fontId="55" fillId="0" borderId="48" xfId="11" applyNumberFormat="1" applyFont="1" applyBorder="1" applyProtection="1">
      <protection hidden="1"/>
    </xf>
    <xf numFmtId="4" fontId="10" fillId="6" borderId="81" xfId="3" quotePrefix="1" applyNumberFormat="1" applyFont="1" applyFill="1" applyBorder="1" applyAlignment="1">
      <alignment horizontal="center" vertical="center" wrapText="1"/>
    </xf>
    <xf numFmtId="0" fontId="45" fillId="8" borderId="17" xfId="3" applyFont="1" applyFill="1" applyBorder="1" applyAlignment="1">
      <alignment vertical="center" wrapText="1"/>
    </xf>
    <xf numFmtId="0" fontId="45" fillId="8" borderId="0" xfId="3" applyFont="1" applyFill="1" applyAlignment="1">
      <alignment vertical="center" wrapText="1"/>
    </xf>
    <xf numFmtId="0" fontId="14" fillId="0" borderId="0" xfId="3" applyFont="1" applyAlignment="1">
      <alignment horizontal="center" vertical="center"/>
    </xf>
    <xf numFmtId="0" fontId="59" fillId="0" borderId="45" xfId="3" applyFont="1" applyBorder="1" applyAlignment="1">
      <alignment horizontal="center" vertical="center"/>
    </xf>
    <xf numFmtId="0" fontId="59" fillId="0" borderId="0" xfId="3" applyFont="1" applyAlignment="1">
      <alignment horizontal="center" vertical="center"/>
    </xf>
    <xf numFmtId="0" fontId="59" fillId="0" borderId="44" xfId="3" applyFont="1" applyBorder="1" applyAlignment="1">
      <alignment horizontal="center" vertical="center"/>
    </xf>
    <xf numFmtId="0" fontId="7" fillId="0" borderId="39" xfId="3" applyBorder="1" applyAlignment="1">
      <alignment horizontal="center" vertical="center"/>
    </xf>
    <xf numFmtId="0" fontId="7" fillId="0" borderId="20" xfId="3" applyBorder="1" applyAlignment="1">
      <alignment horizontal="center" vertical="center"/>
    </xf>
    <xf numFmtId="0" fontId="7" fillId="0" borderId="21" xfId="3" applyBorder="1" applyAlignment="1">
      <alignment horizontal="center" vertical="center"/>
    </xf>
    <xf numFmtId="0" fontId="7" fillId="0" borderId="48" xfId="3" applyBorder="1" applyAlignment="1">
      <alignment horizontal="center" vertical="center"/>
    </xf>
    <xf numFmtId="0" fontId="7" fillId="0" borderId="74" xfId="3" applyBorder="1" applyAlignment="1">
      <alignment horizontal="center" vertical="center"/>
    </xf>
    <xf numFmtId="0" fontId="7" fillId="0" borderId="75" xfId="3" applyBorder="1" applyAlignment="1">
      <alignment horizontal="center" vertical="center"/>
    </xf>
    <xf numFmtId="0" fontId="17" fillId="0" borderId="30" xfId="3" applyFont="1" applyBorder="1" applyAlignment="1">
      <alignment horizontal="center" vertical="center" wrapText="1"/>
    </xf>
    <xf numFmtId="0" fontId="17" fillId="0" borderId="82" xfId="3" quotePrefix="1" applyFont="1" applyBorder="1" applyAlignment="1">
      <alignment horizontal="center" vertical="center"/>
    </xf>
    <xf numFmtId="0" fontId="11" fillId="0" borderId="15" xfId="6" applyFont="1" applyBorder="1" applyAlignment="1">
      <alignment horizontal="center" vertical="center"/>
    </xf>
    <xf numFmtId="0" fontId="61" fillId="13" borderId="67" xfId="3" applyFont="1" applyFill="1" applyBorder="1" applyAlignment="1">
      <alignment horizontal="center" vertical="center" wrapText="1"/>
    </xf>
    <xf numFmtId="0" fontId="61" fillId="13" borderId="84" xfId="3" applyFont="1" applyFill="1" applyBorder="1" applyAlignment="1">
      <alignment horizontal="center" vertical="center" wrapText="1"/>
    </xf>
    <xf numFmtId="0" fontId="45" fillId="8" borderId="70" xfId="3" applyFont="1" applyFill="1" applyBorder="1" applyAlignment="1">
      <alignment vertical="center" wrapText="1"/>
    </xf>
    <xf numFmtId="15" fontId="7" fillId="0" borderId="0" xfId="3" applyNumberFormat="1" applyProtection="1">
      <protection hidden="1"/>
    </xf>
    <xf numFmtId="0" fontId="66" fillId="0" borderId="0" xfId="3" applyFont="1" applyAlignment="1">
      <alignment horizontal="center" vertical="center"/>
    </xf>
    <xf numFmtId="1" fontId="67" fillId="0" borderId="0" xfId="3" applyNumberFormat="1" applyFont="1" applyAlignment="1">
      <alignment horizontal="centerContinuous" vertical="center" wrapText="1"/>
    </xf>
    <xf numFmtId="1" fontId="9" fillId="0" borderId="0" xfId="3" applyNumberFormat="1" applyFont="1" applyAlignment="1">
      <alignment horizontal="centerContinuous" vertical="center" wrapText="1"/>
    </xf>
    <xf numFmtId="0" fontId="66" fillId="0" borderId="0" xfId="3" applyFont="1" applyAlignment="1" applyProtection="1">
      <alignment horizontal="center" vertical="center"/>
      <protection hidden="1"/>
    </xf>
    <xf numFmtId="0" fontId="23" fillId="0" borderId="0" xfId="3" applyFont="1" applyAlignment="1" applyProtection="1">
      <alignment horizontal="right" vertical="center"/>
      <protection hidden="1"/>
    </xf>
    <xf numFmtId="0" fontId="23" fillId="0" borderId="0" xfId="3" applyFont="1" applyAlignment="1" applyProtection="1">
      <alignment horizontal="left" vertical="center"/>
      <protection hidden="1"/>
    </xf>
    <xf numFmtId="0" fontId="17" fillId="0" borderId="86" xfId="3" applyFont="1" applyBorder="1" applyAlignment="1" applyProtection="1">
      <alignment horizontal="centerContinuous"/>
      <protection hidden="1"/>
    </xf>
    <xf numFmtId="0" fontId="17" fillId="0" borderId="87" xfId="3" applyFont="1" applyBorder="1" applyAlignment="1" applyProtection="1">
      <alignment horizontal="centerContinuous"/>
      <protection hidden="1"/>
    </xf>
    <xf numFmtId="0" fontId="17" fillId="0" borderId="88" xfId="3" applyFont="1" applyBorder="1" applyAlignment="1" applyProtection="1">
      <alignment horizontal="center" vertical="center"/>
      <protection hidden="1"/>
    </xf>
    <xf numFmtId="0" fontId="17" fillId="0" borderId="89" xfId="3" applyFont="1" applyBorder="1" applyAlignment="1" applyProtection="1">
      <alignment horizontal="center" vertical="center"/>
      <protection hidden="1"/>
    </xf>
    <xf numFmtId="0" fontId="7" fillId="0" borderId="53" xfId="3" applyBorder="1" applyProtection="1">
      <protection hidden="1"/>
    </xf>
    <xf numFmtId="1" fontId="19" fillId="0" borderId="90" xfId="3" applyNumberFormat="1" applyFont="1" applyBorder="1" applyAlignment="1" applyProtection="1">
      <alignment horizontal="center" vertical="center"/>
      <protection hidden="1"/>
    </xf>
    <xf numFmtId="0" fontId="19" fillId="0" borderId="19" xfId="3" applyFont="1" applyBorder="1" applyAlignment="1" applyProtection="1">
      <alignment horizontal="center" vertical="center" wrapText="1"/>
      <protection hidden="1"/>
    </xf>
    <xf numFmtId="3" fontId="68" fillId="0" borderId="19" xfId="3" applyNumberFormat="1" applyFont="1" applyBorder="1" applyAlignment="1" applyProtection="1">
      <alignment horizontal="center" vertical="center"/>
      <protection hidden="1"/>
    </xf>
    <xf numFmtId="3" fontId="68" fillId="0" borderId="43" xfId="3" applyNumberFormat="1" applyFont="1" applyBorder="1" applyAlignment="1" applyProtection="1">
      <alignment horizontal="center" vertical="center"/>
      <protection hidden="1"/>
    </xf>
    <xf numFmtId="0" fontId="71" fillId="11" borderId="92" xfId="3" applyFont="1" applyFill="1" applyBorder="1" applyAlignment="1">
      <alignment horizontal="center" vertical="center" wrapText="1"/>
    </xf>
    <xf numFmtId="178" fontId="69" fillId="0" borderId="70" xfId="3" applyNumberFormat="1" applyFont="1" applyBorder="1" applyAlignment="1">
      <alignment horizontal="center" vertical="center"/>
    </xf>
    <xf numFmtId="179" fontId="69" fillId="0" borderId="70" xfId="3" applyNumberFormat="1" applyFont="1" applyBorder="1" applyAlignment="1">
      <alignment horizontal="center" vertical="center"/>
    </xf>
    <xf numFmtId="177" fontId="9" fillId="12" borderId="67" xfId="3" applyNumberFormat="1" applyFont="1" applyFill="1" applyBorder="1" applyAlignment="1">
      <alignment horizontal="center" vertical="center" wrapText="1"/>
    </xf>
    <xf numFmtId="0" fontId="1" fillId="9" borderId="20" xfId="8" applyFont="1" applyFill="1" applyBorder="1" applyAlignment="1">
      <alignment horizontal="center" vertical="center"/>
    </xf>
    <xf numFmtId="0" fontId="41" fillId="14" borderId="17" xfId="6" applyFont="1" applyFill="1" applyBorder="1" applyAlignment="1">
      <alignment horizontal="center" vertical="center" wrapText="1"/>
    </xf>
    <xf numFmtId="0" fontId="41" fillId="14" borderId="14" xfId="6" applyFont="1" applyFill="1" applyBorder="1" applyAlignment="1">
      <alignment horizontal="center" vertical="center" wrapText="1"/>
    </xf>
    <xf numFmtId="4" fontId="41" fillId="14" borderId="14" xfId="6" applyNumberFormat="1" applyFont="1" applyFill="1" applyBorder="1" applyAlignment="1">
      <alignment horizontal="center" vertical="center" wrapText="1"/>
    </xf>
    <xf numFmtId="169" fontId="17" fillId="14" borderId="16" xfId="6" applyNumberFormat="1" applyFont="1" applyFill="1" applyBorder="1" applyAlignment="1">
      <alignment horizontal="center" vertical="center"/>
    </xf>
    <xf numFmtId="0" fontId="17" fillId="14" borderId="16" xfId="6" applyFont="1" applyFill="1" applyBorder="1" applyAlignment="1">
      <alignment horizontal="right" vertical="center"/>
    </xf>
    <xf numFmtId="4" fontId="17" fillId="14" borderId="16" xfId="6" applyNumberFormat="1" applyFont="1" applyFill="1" applyBorder="1" applyAlignment="1">
      <alignment horizontal="center" vertical="center"/>
    </xf>
    <xf numFmtId="0" fontId="41" fillId="14" borderId="18" xfId="6" applyFont="1" applyFill="1" applyBorder="1" applyAlignment="1">
      <alignment horizontal="center" vertical="center"/>
    </xf>
    <xf numFmtId="0" fontId="41" fillId="14" borderId="27" xfId="6" applyFont="1" applyFill="1" applyBorder="1" applyAlignment="1">
      <alignment horizontal="center" vertical="center" wrapText="1"/>
    </xf>
    <xf numFmtId="0" fontId="8" fillId="14" borderId="26" xfId="3" applyFont="1" applyFill="1" applyBorder="1" applyAlignment="1">
      <alignment horizontal="center" vertical="center"/>
    </xf>
    <xf numFmtId="0" fontId="8" fillId="14" borderId="18" xfId="3" applyFont="1" applyFill="1" applyBorder="1" applyAlignment="1">
      <alignment horizontal="center" vertical="center"/>
    </xf>
    <xf numFmtId="0" fontId="8" fillId="14" borderId="27" xfId="3" applyFont="1" applyFill="1" applyBorder="1" applyAlignment="1">
      <alignment horizontal="center" vertical="center"/>
    </xf>
    <xf numFmtId="0" fontId="17" fillId="14" borderId="32" xfId="3" applyFont="1" applyFill="1" applyBorder="1" applyAlignment="1">
      <alignment horizontal="center" vertical="center" wrapText="1"/>
    </xf>
    <xf numFmtId="9" fontId="17" fillId="14" borderId="66" xfId="13" applyFont="1" applyFill="1" applyBorder="1" applyAlignment="1">
      <alignment horizontal="center" vertical="center" wrapText="1"/>
    </xf>
    <xf numFmtId="0" fontId="17" fillId="14" borderId="33" xfId="3" applyFont="1" applyFill="1" applyBorder="1" applyAlignment="1">
      <alignment horizontal="center" vertical="center" wrapText="1"/>
    </xf>
    <xf numFmtId="9" fontId="17" fillId="14" borderId="72" xfId="13" applyFont="1" applyFill="1" applyBorder="1" applyAlignment="1">
      <alignment horizontal="center" vertical="center" wrapText="1"/>
    </xf>
    <xf numFmtId="0" fontId="45" fillId="14" borderId="20" xfId="3" applyFont="1" applyFill="1" applyBorder="1" applyAlignment="1">
      <alignment horizontal="center" vertical="center"/>
    </xf>
    <xf numFmtId="9" fontId="45" fillId="14" borderId="20" xfId="14" applyFont="1" applyFill="1" applyBorder="1" applyAlignment="1">
      <alignment horizontal="center" vertical="center" wrapText="1"/>
    </xf>
    <xf numFmtId="0" fontId="45" fillId="14" borderId="20" xfId="3" applyFont="1" applyFill="1" applyBorder="1" applyAlignment="1">
      <alignment horizontal="center" vertical="center" wrapText="1"/>
    </xf>
    <xf numFmtId="0" fontId="45" fillId="14" borderId="30" xfId="3" applyFont="1" applyFill="1" applyBorder="1" applyAlignment="1">
      <alignment horizontal="center" vertical="center" wrapText="1"/>
    </xf>
    <xf numFmtId="9" fontId="19" fillId="14" borderId="25" xfId="12" applyNumberFormat="1" applyFont="1" applyFill="1" applyBorder="1" applyAlignment="1">
      <alignment horizontal="center" vertical="center" wrapText="1"/>
    </xf>
    <xf numFmtId="9" fontId="19" fillId="14" borderId="29" xfId="12" applyNumberFormat="1" applyFont="1" applyFill="1" applyBorder="1" applyAlignment="1">
      <alignment horizontal="center" vertical="center" wrapText="1"/>
    </xf>
    <xf numFmtId="15" fontId="19" fillId="14" borderId="36" xfId="12" applyNumberFormat="1" applyFont="1" applyFill="1" applyBorder="1" applyAlignment="1">
      <alignment horizontal="center" vertical="center" wrapText="1"/>
    </xf>
    <xf numFmtId="9" fontId="19" fillId="14" borderId="26" xfId="12" applyNumberFormat="1" applyFont="1" applyFill="1" applyBorder="1" applyAlignment="1">
      <alignment horizontal="center" vertical="center"/>
    </xf>
    <xf numFmtId="174" fontId="19" fillId="14" borderId="18" xfId="12" applyNumberFormat="1" applyFont="1" applyFill="1" applyBorder="1" applyAlignment="1">
      <alignment horizontal="center" vertical="center"/>
    </xf>
    <xf numFmtId="174" fontId="19" fillId="14" borderId="27" xfId="12" applyNumberFormat="1" applyFont="1" applyFill="1" applyBorder="1" applyAlignment="1">
      <alignment horizontal="center" vertical="center"/>
    </xf>
    <xf numFmtId="0" fontId="8" fillId="14" borderId="23" xfId="3" applyFont="1" applyFill="1" applyBorder="1" applyAlignment="1">
      <alignment vertical="center"/>
    </xf>
    <xf numFmtId="0" fontId="8" fillId="14" borderId="14" xfId="3" applyFont="1" applyFill="1" applyBorder="1" applyAlignment="1">
      <alignment vertical="center"/>
    </xf>
    <xf numFmtId="0" fontId="8" fillId="14" borderId="0" xfId="3" applyFont="1" applyFill="1" applyAlignment="1">
      <alignment vertical="center"/>
    </xf>
    <xf numFmtId="0" fontId="45" fillId="14" borderId="42" xfId="3" applyFont="1" applyFill="1" applyBorder="1" applyAlignment="1">
      <alignment horizontal="centerContinuous"/>
    </xf>
    <xf numFmtId="0" fontId="45" fillId="14" borderId="16" xfId="3" applyFont="1" applyFill="1" applyBorder="1" applyAlignment="1">
      <alignment horizontal="centerContinuous"/>
    </xf>
    <xf numFmtId="0" fontId="56" fillId="16" borderId="42" xfId="3" applyFont="1" applyFill="1" applyBorder="1" applyAlignment="1">
      <alignment horizontal="center" vertical="center"/>
    </xf>
    <xf numFmtId="0" fontId="60" fillId="14" borderId="56" xfId="3" applyFont="1" applyFill="1" applyBorder="1" applyAlignment="1">
      <alignment horizontal="center" vertical="center"/>
    </xf>
    <xf numFmtId="0" fontId="45" fillId="14" borderId="36" xfId="3" applyFont="1" applyFill="1" applyBorder="1" applyAlignment="1">
      <alignment horizontal="center" vertical="center"/>
    </xf>
    <xf numFmtId="0" fontId="41" fillId="14" borderId="20" xfId="3" applyFont="1" applyFill="1" applyBorder="1" applyAlignment="1">
      <alignment horizontal="center" vertical="center"/>
    </xf>
    <xf numFmtId="0" fontId="41" fillId="14" borderId="30" xfId="3" applyFont="1" applyFill="1" applyBorder="1" applyAlignment="1">
      <alignment horizontal="center" vertical="center"/>
    </xf>
    <xf numFmtId="0" fontId="41" fillId="14" borderId="21" xfId="3" applyFont="1" applyFill="1" applyBorder="1" applyAlignment="1">
      <alignment horizontal="center" vertical="center"/>
    </xf>
    <xf numFmtId="0" fontId="7" fillId="14" borderId="23" xfId="3" applyFill="1" applyBorder="1" applyAlignment="1">
      <alignment vertical="center"/>
    </xf>
    <xf numFmtId="0" fontId="8" fillId="14" borderId="14" xfId="3" applyFont="1" applyFill="1" applyBorder="1" applyAlignment="1">
      <alignment horizontal="center" vertical="center"/>
    </xf>
    <xf numFmtId="172" fontId="8" fillId="14" borderId="14" xfId="3" applyNumberFormat="1" applyFont="1" applyFill="1" applyBorder="1" applyAlignment="1">
      <alignment horizontal="center" vertical="center"/>
    </xf>
    <xf numFmtId="0" fontId="7" fillId="14" borderId="68" xfId="3" applyFill="1" applyBorder="1" applyAlignment="1">
      <alignment vertical="center"/>
    </xf>
    <xf numFmtId="0" fontId="8" fillId="14" borderId="44" xfId="3" applyFont="1" applyFill="1" applyBorder="1" applyAlignment="1">
      <alignment vertical="center"/>
    </xf>
    <xf numFmtId="0" fontId="45" fillId="14" borderId="16" xfId="3" applyFont="1" applyFill="1" applyBorder="1" applyAlignment="1">
      <alignment vertical="center"/>
    </xf>
    <xf numFmtId="0" fontId="45" fillId="14" borderId="46" xfId="3" applyFont="1" applyFill="1" applyBorder="1" applyAlignment="1">
      <alignment horizontal="center" vertical="center"/>
    </xf>
    <xf numFmtId="1" fontId="10" fillId="15" borderId="31" xfId="3" applyNumberFormat="1" applyFont="1" applyFill="1" applyBorder="1" applyAlignment="1">
      <alignment horizontal="center" vertical="center" wrapText="1"/>
    </xf>
    <xf numFmtId="49" fontId="10" fillId="15" borderId="19" xfId="3" applyNumberFormat="1" applyFont="1" applyFill="1" applyBorder="1" applyAlignment="1">
      <alignment horizontal="center" vertical="center" wrapText="1"/>
    </xf>
    <xf numFmtId="9" fontId="10" fillId="15" borderId="19" xfId="13" applyFont="1" applyFill="1" applyBorder="1" applyAlignment="1">
      <alignment horizontal="center" vertical="center" wrapText="1"/>
    </xf>
    <xf numFmtId="49" fontId="10" fillId="15" borderId="19" xfId="14" applyNumberFormat="1" applyFont="1" applyFill="1" applyBorder="1" applyAlignment="1">
      <alignment horizontal="center" vertical="center" wrapText="1"/>
    </xf>
    <xf numFmtId="174" fontId="10" fillId="15" borderId="19" xfId="3" applyNumberFormat="1" applyFont="1" applyFill="1" applyBorder="1" applyAlignment="1">
      <alignment horizontal="center" vertical="center" wrapText="1"/>
    </xf>
    <xf numFmtId="3" fontId="10" fillId="15" borderId="19" xfId="3" applyNumberFormat="1" applyFont="1" applyFill="1" applyBorder="1" applyAlignment="1">
      <alignment horizontal="center" vertical="center" wrapText="1"/>
    </xf>
    <xf numFmtId="166" fontId="10" fillId="15" borderId="19" xfId="3" applyNumberFormat="1" applyFont="1" applyFill="1" applyBorder="1" applyAlignment="1">
      <alignment horizontal="center" vertical="center" wrapText="1"/>
    </xf>
    <xf numFmtId="4" fontId="10" fillId="15" borderId="19" xfId="3" applyNumberFormat="1" applyFont="1" applyFill="1" applyBorder="1" applyAlignment="1">
      <alignment horizontal="center" vertical="center" wrapText="1"/>
    </xf>
    <xf numFmtId="49" fontId="49" fillId="15" borderId="67" xfId="3" applyNumberFormat="1" applyFont="1" applyFill="1" applyBorder="1" applyAlignment="1">
      <alignment horizontal="justify" vertical="center" wrapText="1"/>
    </xf>
    <xf numFmtId="0" fontId="71" fillId="16" borderId="23" xfId="3" applyFont="1" applyFill="1" applyBorder="1" applyAlignment="1">
      <alignment horizontal="center" vertical="center" wrapText="1"/>
    </xf>
    <xf numFmtId="0" fontId="10" fillId="0" borderId="22" xfId="3" applyFont="1" applyBorder="1" applyAlignment="1">
      <alignment horizontal="center"/>
    </xf>
    <xf numFmtId="0" fontId="10" fillId="0" borderId="15" xfId="3" applyFont="1" applyBorder="1" applyAlignment="1">
      <alignment horizontal="center"/>
    </xf>
    <xf numFmtId="0" fontId="50" fillId="0" borderId="67" xfId="3" applyFont="1" applyBorder="1" applyAlignment="1">
      <alignment horizontal="center" vertical="center" wrapText="1"/>
    </xf>
    <xf numFmtId="0" fontId="64" fillId="13" borderId="68" xfId="16" applyFont="1" applyFill="1" applyBorder="1" applyAlignment="1">
      <alignment horizontal="center" vertical="center"/>
    </xf>
    <xf numFmtId="0" fontId="64" fillId="13" borderId="92" xfId="16" applyFont="1" applyFill="1" applyBorder="1" applyAlignment="1">
      <alignment horizontal="center" vertical="center"/>
    </xf>
    <xf numFmtId="180" fontId="62" fillId="17" borderId="62" xfId="3" applyNumberFormat="1" applyFont="1" applyFill="1" applyBorder="1" applyAlignment="1">
      <alignment horizontal="center" vertical="center" wrapText="1"/>
    </xf>
    <xf numFmtId="180" fontId="62" fillId="17" borderId="67" xfId="3" applyNumberFormat="1" applyFont="1" applyFill="1" applyBorder="1" applyAlignment="1">
      <alignment horizontal="center" vertical="center" wrapText="1"/>
    </xf>
    <xf numFmtId="0" fontId="1" fillId="0" borderId="1" xfId="8" applyFont="1" applyBorder="1"/>
    <xf numFmtId="0" fontId="74" fillId="16" borderId="68" xfId="3" applyFont="1" applyFill="1" applyBorder="1" applyAlignment="1">
      <alignment vertical="center" wrapText="1"/>
    </xf>
    <xf numFmtId="0" fontId="70" fillId="16" borderId="91" xfId="3" applyFont="1" applyFill="1" applyBorder="1" applyAlignment="1">
      <alignment horizontal="center" vertical="center" wrapText="1"/>
    </xf>
    <xf numFmtId="0" fontId="48" fillId="0" borderId="0" xfId="3" applyFont="1" applyAlignment="1">
      <alignment horizontal="center" vertical="center"/>
    </xf>
    <xf numFmtId="0" fontId="55" fillId="0" borderId="0" xfId="3" applyFont="1" applyAlignment="1">
      <alignment horizontal="center" vertical="center"/>
    </xf>
    <xf numFmtId="0" fontId="55" fillId="0" borderId="0" xfId="3" applyFont="1" applyAlignment="1">
      <alignment horizontal="center" vertical="center" wrapText="1"/>
    </xf>
    <xf numFmtId="0" fontId="66" fillId="0" borderId="0" xfId="3" applyFont="1"/>
    <xf numFmtId="181" fontId="52" fillId="0" borderId="0" xfId="6" applyNumberFormat="1" applyFont="1" applyAlignment="1">
      <alignment vertical="center" wrapText="1"/>
    </xf>
    <xf numFmtId="0" fontId="52" fillId="0" borderId="0" xfId="3" applyFont="1" applyAlignment="1">
      <alignment vertical="center" wrapText="1"/>
    </xf>
    <xf numFmtId="0" fontId="33" fillId="0" borderId="0" xfId="6" applyFont="1" applyAlignment="1">
      <alignment vertical="center"/>
    </xf>
    <xf numFmtId="175" fontId="63" fillId="0" borderId="0" xfId="0" applyNumberFormat="1" applyFont="1" applyAlignment="1">
      <alignment horizontal="center" vertical="center"/>
    </xf>
    <xf numFmtId="4" fontId="17" fillId="0" borderId="15" xfId="6" applyNumberFormat="1" applyFont="1" applyBorder="1" applyAlignment="1">
      <alignment horizontal="center" vertical="center" wrapText="1"/>
    </xf>
    <xf numFmtId="4" fontId="10" fillId="0" borderId="15" xfId="6" applyNumberFormat="1" applyFont="1" applyBorder="1" applyAlignment="1">
      <alignment horizontal="center" vertical="center"/>
    </xf>
    <xf numFmtId="0" fontId="63" fillId="16" borderId="68" xfId="3" applyFont="1" applyFill="1" applyBorder="1" applyAlignment="1">
      <alignment horizontal="center" vertical="center" wrapText="1"/>
    </xf>
    <xf numFmtId="0" fontId="10" fillId="0" borderId="0" xfId="6" applyFont="1"/>
    <xf numFmtId="0" fontId="10" fillId="0" borderId="0" xfId="6" applyFont="1" applyAlignment="1">
      <alignment horizontal="center"/>
    </xf>
    <xf numFmtId="4" fontId="10" fillId="0" borderId="93" xfId="6" applyNumberFormat="1" applyFont="1" applyBorder="1" applyAlignment="1">
      <alignment horizontal="center" vertical="center"/>
    </xf>
    <xf numFmtId="4" fontId="10" fillId="0" borderId="0" xfId="6" applyNumberFormat="1" applyFont="1" applyAlignment="1">
      <alignment horizontal="center" vertical="center"/>
    </xf>
    <xf numFmtId="2" fontId="31" fillId="0" borderId="0" xfId="6" applyNumberFormat="1" applyFont="1"/>
    <xf numFmtId="0" fontId="31" fillId="0" borderId="0" xfId="6" applyFont="1" applyAlignment="1">
      <alignment horizontal="center"/>
    </xf>
    <xf numFmtId="0" fontId="77" fillId="14" borderId="72" xfId="17" applyFont="1" applyFill="1" applyBorder="1" applyAlignment="1">
      <alignment horizontal="center" vertical="center" wrapText="1"/>
    </xf>
    <xf numFmtId="0" fontId="17" fillId="14" borderId="18" xfId="3" applyFont="1" applyFill="1" applyBorder="1" applyAlignment="1" applyProtection="1">
      <alignment horizontal="center" vertical="center" wrapText="1"/>
      <protection hidden="1"/>
    </xf>
    <xf numFmtId="1" fontId="17" fillId="0" borderId="31" xfId="3" applyNumberFormat="1" applyFont="1" applyBorder="1" applyAlignment="1" applyProtection="1">
      <alignment horizontal="center" vertical="center"/>
      <protection hidden="1"/>
    </xf>
    <xf numFmtId="0" fontId="17" fillId="0" borderId="19" xfId="3" applyFont="1" applyBorder="1" applyAlignment="1" applyProtection="1">
      <alignment horizontal="left" vertical="center" wrapText="1"/>
      <protection hidden="1"/>
    </xf>
    <xf numFmtId="3" fontId="10" fillId="0" borderId="19" xfId="3" applyNumberFormat="1" applyFont="1" applyBorder="1" applyAlignment="1" applyProtection="1">
      <alignment horizontal="center" vertical="center"/>
      <protection hidden="1"/>
    </xf>
    <xf numFmtId="3" fontId="78" fillId="0" borderId="19" xfId="3" applyNumberFormat="1" applyFont="1" applyBorder="1" applyAlignment="1" applyProtection="1">
      <alignment horizontal="center" vertical="center"/>
      <protection hidden="1"/>
    </xf>
    <xf numFmtId="3" fontId="10" fillId="18" borderId="19" xfId="3" applyNumberFormat="1" applyFont="1" applyFill="1" applyBorder="1" applyAlignment="1">
      <alignment horizontal="center" vertical="center" wrapText="1"/>
    </xf>
    <xf numFmtId="0" fontId="17" fillId="0" borderId="17" xfId="11" applyFont="1" applyBorder="1" applyAlignment="1" applyProtection="1">
      <alignment horizontal="center" vertical="center"/>
      <protection hidden="1"/>
    </xf>
    <xf numFmtId="0" fontId="17" fillId="0" borderId="28" xfId="3" applyFont="1" applyBorder="1" applyAlignment="1">
      <alignment horizontal="left" vertical="center" wrapText="1"/>
    </xf>
    <xf numFmtId="0" fontId="17" fillId="0" borderId="28" xfId="3" applyFont="1" applyBorder="1" applyAlignment="1">
      <alignment vertical="center" wrapText="1"/>
    </xf>
    <xf numFmtId="0" fontId="17" fillId="0" borderId="19" xfId="3" applyFont="1" applyBorder="1" applyAlignment="1">
      <alignment vertical="center" wrapText="1"/>
    </xf>
    <xf numFmtId="0" fontId="17" fillId="14" borderId="20" xfId="3" applyFont="1" applyFill="1" applyBorder="1" applyAlignment="1">
      <alignment vertical="center" wrapText="1"/>
    </xf>
    <xf numFmtId="0" fontId="41" fillId="14" borderId="17" xfId="6" applyFont="1" applyFill="1" applyBorder="1" applyAlignment="1">
      <alignment horizontal="center" vertical="center" wrapText="1"/>
    </xf>
    <xf numFmtId="0" fontId="41" fillId="14" borderId="14" xfId="6" applyFont="1" applyFill="1" applyBorder="1" applyAlignment="1">
      <alignment horizontal="center" vertical="center" wrapText="1"/>
    </xf>
    <xf numFmtId="4" fontId="41" fillId="14" borderId="17" xfId="6" applyNumberFormat="1" applyFont="1" applyFill="1" applyBorder="1" applyAlignment="1">
      <alignment horizontal="center" vertical="center" wrapText="1"/>
    </xf>
    <xf numFmtId="1" fontId="8" fillId="0" borderId="0" xfId="6" applyNumberFormat="1" applyFont="1" applyAlignment="1">
      <alignment horizontal="center" vertical="center" wrapText="1"/>
    </xf>
    <xf numFmtId="1" fontId="11" fillId="0" borderId="0" xfId="6" applyNumberFormat="1" applyFont="1" applyAlignment="1">
      <alignment horizontal="center" vertical="center" wrapText="1"/>
    </xf>
    <xf numFmtId="181" fontId="8" fillId="0" borderId="0" xfId="6" applyNumberFormat="1" applyFont="1" applyAlignment="1">
      <alignment horizontal="center" vertical="center" wrapText="1"/>
    </xf>
    <xf numFmtId="0" fontId="8" fillId="0" borderId="0" xfId="3" applyFont="1" applyAlignment="1">
      <alignment horizontal="center" vertical="center" wrapText="1"/>
    </xf>
    <xf numFmtId="0" fontId="33" fillId="0" borderId="0" xfId="6" applyFont="1" applyAlignment="1">
      <alignment horizontal="center" vertical="center"/>
    </xf>
    <xf numFmtId="0" fontId="8" fillId="14" borderId="52" xfId="3" applyFont="1" applyFill="1" applyBorder="1" applyAlignment="1">
      <alignment horizontal="center" vertical="center"/>
    </xf>
    <xf numFmtId="0" fontId="8" fillId="14" borderId="17" xfId="3" applyFont="1" applyFill="1" applyBorder="1" applyAlignment="1">
      <alignment horizontal="center" vertical="center"/>
    </xf>
    <xf numFmtId="0" fontId="8" fillId="14" borderId="53" xfId="3" applyFont="1" applyFill="1" applyBorder="1" applyAlignment="1">
      <alignment horizontal="center" vertical="center"/>
    </xf>
    <xf numFmtId="0" fontId="7" fillId="0" borderId="0" xfId="3" applyAlignment="1">
      <alignment horizontal="center"/>
    </xf>
    <xf numFmtId="1" fontId="41" fillId="14" borderId="25" xfId="6" applyNumberFormat="1" applyFont="1" applyFill="1" applyBorder="1" applyAlignment="1">
      <alignment horizontal="center" vertical="center"/>
    </xf>
    <xf numFmtId="1" fontId="41" fillId="14" borderId="26" xfId="6" applyNumberFormat="1" applyFont="1" applyFill="1" applyBorder="1" applyAlignment="1">
      <alignment horizontal="center" vertical="center"/>
    </xf>
    <xf numFmtId="1" fontId="41" fillId="14" borderId="29" xfId="6" applyNumberFormat="1" applyFont="1" applyFill="1" applyBorder="1" applyAlignment="1">
      <alignment horizontal="center" vertical="center" wrapText="1"/>
    </xf>
    <xf numFmtId="1" fontId="41" fillId="14" borderId="18" xfId="6" applyNumberFormat="1" applyFont="1" applyFill="1" applyBorder="1" applyAlignment="1">
      <alignment horizontal="center" vertical="center" wrapText="1"/>
    </xf>
    <xf numFmtId="0" fontId="41" fillId="14" borderId="29" xfId="6" applyFont="1" applyFill="1" applyBorder="1" applyAlignment="1">
      <alignment horizontal="center" vertical="center"/>
    </xf>
    <xf numFmtId="0" fontId="41" fillId="14" borderId="36" xfId="6" applyFont="1" applyFill="1" applyBorder="1" applyAlignment="1">
      <alignment horizontal="center" vertical="center"/>
    </xf>
    <xf numFmtId="1" fontId="8" fillId="0" borderId="0" xfId="10" applyNumberFormat="1" applyFont="1" applyAlignment="1" applyProtection="1">
      <alignment horizontal="center" vertical="center" wrapText="1"/>
      <protection hidden="1"/>
    </xf>
    <xf numFmtId="1" fontId="32" fillId="0" borderId="0" xfId="6" applyNumberFormat="1" applyFont="1" applyAlignment="1">
      <alignment horizontal="center" vertical="center" wrapText="1"/>
    </xf>
    <xf numFmtId="0" fontId="17" fillId="14" borderId="71" xfId="3" applyFont="1" applyFill="1" applyBorder="1" applyAlignment="1">
      <alignment horizontal="center" vertical="center" wrapText="1"/>
    </xf>
    <xf numFmtId="0" fontId="17" fillId="14" borderId="76" xfId="3" applyFont="1" applyFill="1" applyBorder="1" applyAlignment="1">
      <alignment horizontal="center" vertical="center" wrapText="1"/>
    </xf>
    <xf numFmtId="0" fontId="8" fillId="0" borderId="0" xfId="11" applyFont="1" applyAlignment="1" applyProtection="1">
      <alignment horizontal="center" vertical="center" wrapText="1"/>
      <protection hidden="1"/>
    </xf>
    <xf numFmtId="9" fontId="38" fillId="0" borderId="0" xfId="13" applyFont="1" applyAlignment="1">
      <alignment horizontal="center"/>
    </xf>
    <xf numFmtId="9" fontId="38" fillId="0" borderId="14" xfId="13" applyFont="1" applyBorder="1" applyAlignment="1">
      <alignment horizontal="center"/>
    </xf>
    <xf numFmtId="0" fontId="17" fillId="8" borderId="23" xfId="3" applyFont="1" applyFill="1" applyBorder="1" applyAlignment="1">
      <alignment horizontal="center" vertical="center" wrapText="1"/>
    </xf>
    <xf numFmtId="0" fontId="17" fillId="8" borderId="14" xfId="3" applyFont="1" applyFill="1" applyBorder="1" applyAlignment="1">
      <alignment horizontal="center" vertical="center" wrapText="1"/>
    </xf>
    <xf numFmtId="0" fontId="17" fillId="8" borderId="24" xfId="3" applyFont="1" applyFill="1" applyBorder="1" applyAlignment="1">
      <alignment horizontal="center" vertical="center" wrapText="1"/>
    </xf>
    <xf numFmtId="0" fontId="17" fillId="14" borderId="42" xfId="3" applyFont="1" applyFill="1" applyBorder="1" applyAlignment="1">
      <alignment horizontal="center" vertical="center" wrapText="1"/>
    </xf>
    <xf numFmtId="0" fontId="17" fillId="14" borderId="16" xfId="3" applyFont="1" applyFill="1" applyBorder="1" applyAlignment="1">
      <alignment horizontal="center" vertical="center" wrapText="1"/>
    </xf>
    <xf numFmtId="0" fontId="17" fillId="14" borderId="46" xfId="3" applyFont="1" applyFill="1" applyBorder="1" applyAlignment="1">
      <alignment horizontal="center" vertical="center" wrapText="1"/>
    </xf>
    <xf numFmtId="0" fontId="17" fillId="14" borderId="59" xfId="3" applyFont="1" applyFill="1" applyBorder="1" applyAlignment="1">
      <alignment horizontal="center" vertical="center" wrapText="1"/>
    </xf>
    <xf numFmtId="0" fontId="73" fillId="15" borderId="23" xfId="3" applyFont="1" applyFill="1" applyBorder="1" applyAlignment="1">
      <alignment horizontal="center" vertical="center" wrapText="1"/>
    </xf>
    <xf numFmtId="0" fontId="73" fillId="15" borderId="14" xfId="3" applyFont="1" applyFill="1" applyBorder="1" applyAlignment="1">
      <alignment horizontal="center" vertical="center" wrapText="1"/>
    </xf>
    <xf numFmtId="0" fontId="7" fillId="14" borderId="26" xfId="3" applyFill="1" applyBorder="1" applyAlignment="1">
      <alignment vertical="center"/>
    </xf>
    <xf numFmtId="0" fontId="7" fillId="14" borderId="27" xfId="3" applyFill="1" applyBorder="1" applyAlignment="1">
      <alignment vertical="center"/>
    </xf>
    <xf numFmtId="0" fontId="45" fillId="14" borderId="42" xfId="3" applyFont="1" applyFill="1" applyBorder="1" applyAlignment="1">
      <alignment horizontal="center" vertical="center"/>
    </xf>
    <xf numFmtId="0" fontId="45" fillId="14" borderId="16" xfId="3" applyFont="1" applyFill="1" applyBorder="1" applyAlignment="1">
      <alignment horizontal="center" vertical="center"/>
    </xf>
    <xf numFmtId="0" fontId="45" fillId="14" borderId="46" xfId="3" applyFont="1" applyFill="1" applyBorder="1" applyAlignment="1">
      <alignment horizontal="center" vertical="center"/>
    </xf>
    <xf numFmtId="0" fontId="45" fillId="14" borderId="61" xfId="3" applyFont="1" applyFill="1" applyBorder="1" applyAlignment="1">
      <alignment horizontal="center" vertical="center" wrapText="1"/>
    </xf>
    <xf numFmtId="0" fontId="45" fillId="14" borderId="62" xfId="3" applyFont="1" applyFill="1" applyBorder="1" applyAlignment="1">
      <alignment horizontal="center" vertical="center" wrapText="1"/>
    </xf>
    <xf numFmtId="0" fontId="45" fillId="14" borderId="63" xfId="3" applyFont="1" applyFill="1" applyBorder="1" applyAlignment="1">
      <alignment horizontal="center" vertical="center" wrapText="1"/>
    </xf>
    <xf numFmtId="0" fontId="45" fillId="14" borderId="56" xfId="3" applyFont="1" applyFill="1" applyBorder="1" applyAlignment="1">
      <alignment horizontal="center" vertical="center"/>
    </xf>
    <xf numFmtId="0" fontId="45" fillId="14" borderId="35" xfId="3" applyFont="1" applyFill="1" applyBorder="1" applyAlignment="1">
      <alignment horizontal="center" vertical="center"/>
    </xf>
    <xf numFmtId="0" fontId="45" fillId="14" borderId="60" xfId="3" applyFont="1" applyFill="1" applyBorder="1" applyAlignment="1">
      <alignment horizontal="center" vertical="center"/>
    </xf>
    <xf numFmtId="0" fontId="45" fillId="14" borderId="54" xfId="3" applyFont="1" applyFill="1" applyBorder="1" applyAlignment="1">
      <alignment horizontal="center" vertical="center"/>
    </xf>
    <xf numFmtId="0" fontId="56" fillId="16" borderId="45" xfId="3" applyFont="1" applyFill="1" applyBorder="1" applyAlignment="1">
      <alignment horizontal="center" vertical="center" wrapText="1"/>
    </xf>
    <xf numFmtId="0" fontId="56" fillId="16" borderId="64" xfId="3" applyFont="1" applyFill="1" applyBorder="1" applyAlignment="1">
      <alignment horizontal="center" vertical="center" wrapText="1"/>
    </xf>
    <xf numFmtId="0" fontId="45" fillId="14" borderId="57" xfId="3" applyFont="1" applyFill="1" applyBorder="1" applyAlignment="1">
      <alignment horizontal="center" vertical="center" wrapText="1"/>
    </xf>
    <xf numFmtId="0" fontId="45" fillId="14" borderId="45" xfId="3" applyFont="1" applyFill="1" applyBorder="1" applyAlignment="1">
      <alignment horizontal="center" vertical="center" wrapText="1"/>
    </xf>
    <xf numFmtId="0" fontId="45" fillId="14" borderId="64" xfId="3" applyFont="1" applyFill="1" applyBorder="1" applyAlignment="1">
      <alignment horizontal="center" vertical="center" wrapText="1"/>
    </xf>
    <xf numFmtId="0" fontId="58" fillId="10" borderId="17" xfId="3" applyFont="1" applyFill="1" applyBorder="1" applyAlignment="1">
      <alignment horizontal="center" vertical="center"/>
    </xf>
    <xf numFmtId="0" fontId="58" fillId="10" borderId="53" xfId="3" applyFont="1" applyFill="1" applyBorder="1" applyAlignment="1">
      <alignment horizontal="center" vertical="center"/>
    </xf>
    <xf numFmtId="0" fontId="58" fillId="10" borderId="0" xfId="3" applyFont="1" applyFill="1" applyAlignment="1">
      <alignment horizontal="center" vertical="center"/>
    </xf>
    <xf numFmtId="0" fontId="58" fillId="10" borderId="44" xfId="3" applyFont="1" applyFill="1" applyBorder="1" applyAlignment="1">
      <alignment horizontal="center" vertical="center"/>
    </xf>
    <xf numFmtId="0" fontId="17" fillId="14" borderId="57" xfId="3" applyFont="1" applyFill="1" applyBorder="1" applyAlignment="1">
      <alignment horizontal="center" vertical="center" wrapText="1"/>
    </xf>
    <xf numFmtId="0" fontId="17" fillId="14" borderId="50" xfId="3" applyFont="1" applyFill="1" applyBorder="1" applyAlignment="1">
      <alignment horizontal="center" vertical="center" wrapText="1"/>
    </xf>
    <xf numFmtId="0" fontId="17" fillId="14" borderId="58" xfId="3" applyFont="1" applyFill="1" applyBorder="1" applyAlignment="1">
      <alignment horizontal="center" vertical="center" wrapText="1"/>
    </xf>
    <xf numFmtId="0" fontId="17" fillId="14" borderId="45" xfId="3" applyFont="1" applyFill="1" applyBorder="1" applyAlignment="1">
      <alignment horizontal="center" vertical="center" wrapText="1"/>
    </xf>
    <xf numFmtId="0" fontId="17" fillId="14" borderId="0" xfId="3" applyFont="1" applyFill="1" applyAlignment="1">
      <alignment horizontal="center" vertical="center" wrapText="1"/>
    </xf>
    <xf numFmtId="0" fontId="17" fillId="14" borderId="49" xfId="3" applyFont="1" applyFill="1" applyBorder="1" applyAlignment="1">
      <alignment horizontal="center" vertical="center" wrapText="1"/>
    </xf>
    <xf numFmtId="0" fontId="16" fillId="0" borderId="34" xfId="3" applyFont="1" applyBorder="1" applyAlignment="1">
      <alignment horizontal="center" vertical="center" wrapText="1"/>
    </xf>
    <xf numFmtId="0" fontId="16" fillId="0" borderId="33" xfId="3" applyFont="1" applyBorder="1" applyAlignment="1">
      <alignment horizontal="center" vertical="center" wrapText="1"/>
    </xf>
    <xf numFmtId="0" fontId="41" fillId="14" borderId="34" xfId="3" applyFont="1" applyFill="1" applyBorder="1" applyAlignment="1">
      <alignment horizontal="center" vertical="center" wrapText="1"/>
    </xf>
    <xf numFmtId="0" fontId="41" fillId="14" borderId="33" xfId="3" applyFont="1" applyFill="1" applyBorder="1" applyAlignment="1">
      <alignment horizontal="center" vertical="center" wrapText="1"/>
    </xf>
    <xf numFmtId="9" fontId="16" fillId="0" borderId="47" xfId="13" quotePrefix="1" applyFont="1" applyFill="1" applyBorder="1" applyAlignment="1">
      <alignment horizontal="center" vertical="center"/>
    </xf>
    <xf numFmtId="9" fontId="16" fillId="0" borderId="72" xfId="13" quotePrefix="1" applyFont="1" applyFill="1" applyBorder="1" applyAlignment="1">
      <alignment horizontal="center" vertical="center"/>
    </xf>
    <xf numFmtId="0" fontId="45" fillId="14" borderId="58" xfId="3" applyFont="1" applyFill="1" applyBorder="1" applyAlignment="1">
      <alignment horizontal="center" vertical="center" wrapText="1"/>
    </xf>
    <xf numFmtId="0" fontId="45" fillId="14" borderId="65" xfId="3" applyFont="1" applyFill="1" applyBorder="1" applyAlignment="1">
      <alignment horizontal="center" vertical="center" wrapText="1"/>
    </xf>
    <xf numFmtId="0" fontId="45" fillId="14" borderId="20" xfId="3" applyFont="1" applyFill="1" applyBorder="1" applyAlignment="1">
      <alignment horizontal="center" vertical="center" wrapText="1"/>
    </xf>
    <xf numFmtId="0" fontId="45" fillId="14" borderId="47" xfId="3" applyFont="1" applyFill="1" applyBorder="1" applyAlignment="1">
      <alignment horizontal="center" vertical="center" wrapText="1"/>
    </xf>
    <xf numFmtId="0" fontId="45" fillId="14" borderId="51" xfId="3" applyFont="1" applyFill="1" applyBorder="1" applyAlignment="1">
      <alignment horizontal="center" vertical="center" wrapText="1"/>
    </xf>
    <xf numFmtId="168" fontId="57" fillId="10" borderId="0" xfId="3" applyNumberFormat="1" applyFont="1" applyFill="1" applyAlignment="1">
      <alignment horizontal="center" vertical="center" wrapText="1"/>
    </xf>
    <xf numFmtId="168" fontId="57" fillId="10" borderId="44" xfId="3" applyNumberFormat="1" applyFont="1" applyFill="1" applyBorder="1" applyAlignment="1">
      <alignment horizontal="center" vertical="center" wrapText="1"/>
    </xf>
    <xf numFmtId="168" fontId="57" fillId="10" borderId="14" xfId="3" applyNumberFormat="1" applyFont="1" applyFill="1" applyBorder="1" applyAlignment="1">
      <alignment horizontal="center" vertical="center" wrapText="1"/>
    </xf>
    <xf numFmtId="168" fontId="57" fillId="10" borderId="24" xfId="3" applyNumberFormat="1" applyFont="1" applyFill="1" applyBorder="1" applyAlignment="1">
      <alignment horizontal="center" vertical="center" wrapText="1"/>
    </xf>
    <xf numFmtId="0" fontId="17" fillId="14" borderId="23" xfId="3" applyFont="1" applyFill="1" applyBorder="1" applyAlignment="1">
      <alignment horizontal="center" vertical="center" wrapText="1"/>
    </xf>
    <xf numFmtId="0" fontId="17" fillId="14" borderId="14" xfId="3" applyFont="1" applyFill="1" applyBorder="1" applyAlignment="1">
      <alignment horizontal="center" vertical="center" wrapText="1"/>
    </xf>
    <xf numFmtId="0" fontId="72" fillId="14" borderId="45" xfId="3" applyFont="1" applyFill="1" applyBorder="1" applyAlignment="1">
      <alignment horizontal="center" vertical="center" wrapText="1"/>
    </xf>
    <xf numFmtId="0" fontId="72" fillId="14" borderId="0" xfId="3" applyFont="1" applyFill="1" applyAlignment="1">
      <alignment horizontal="center" vertical="center" wrapText="1"/>
    </xf>
    <xf numFmtId="0" fontId="45" fillId="14" borderId="25" xfId="3" applyFont="1" applyFill="1" applyBorder="1" applyAlignment="1">
      <alignment horizontal="center" vertical="center"/>
    </xf>
    <xf numFmtId="0" fontId="45" fillId="14" borderId="36" xfId="3" applyFont="1" applyFill="1" applyBorder="1" applyAlignment="1">
      <alignment horizontal="center" vertical="center"/>
    </xf>
    <xf numFmtId="0" fontId="45" fillId="14" borderId="39" xfId="3" applyFont="1" applyFill="1" applyBorder="1" applyAlignment="1">
      <alignment horizontal="center" vertical="center"/>
    </xf>
    <xf numFmtId="0" fontId="45" fillId="14" borderId="21" xfId="3" applyFont="1" applyFill="1" applyBorder="1" applyAlignment="1">
      <alignment horizontal="center" vertical="center"/>
    </xf>
    <xf numFmtId="0" fontId="10" fillId="0" borderId="22" xfId="3" applyFont="1" applyBorder="1" applyAlignment="1">
      <alignment horizontal="center" vertical="center"/>
    </xf>
    <xf numFmtId="0" fontId="10" fillId="0" borderId="83" xfId="3" applyFont="1" applyBorder="1" applyAlignment="1">
      <alignment horizontal="center" vertical="center"/>
    </xf>
    <xf numFmtId="49" fontId="10" fillId="15" borderId="39" xfId="3" applyNumberFormat="1" applyFont="1" applyFill="1" applyBorder="1" applyAlignment="1">
      <alignment horizontal="left" vertical="top" wrapText="1"/>
    </xf>
    <xf numFmtId="49" fontId="10" fillId="15" borderId="21" xfId="3" applyNumberFormat="1" applyFont="1" applyFill="1" applyBorder="1" applyAlignment="1">
      <alignment horizontal="left" vertical="top" wrapText="1"/>
    </xf>
    <xf numFmtId="0" fontId="16" fillId="0" borderId="0" xfId="3" applyFont="1" applyAlignment="1">
      <alignment horizontal="center" vertical="center"/>
    </xf>
    <xf numFmtId="0" fontId="45" fillId="14" borderId="56" xfId="3" applyFont="1" applyFill="1" applyBorder="1" applyAlignment="1">
      <alignment horizontal="center" vertical="center" wrapText="1"/>
    </xf>
    <xf numFmtId="0" fontId="45" fillId="14" borderId="22" xfId="3" applyFont="1" applyFill="1" applyBorder="1" applyAlignment="1">
      <alignment horizontal="center" vertical="center" wrapText="1"/>
    </xf>
    <xf numFmtId="0" fontId="45" fillId="14" borderId="32" xfId="3" applyFont="1" applyFill="1" applyBorder="1" applyAlignment="1">
      <alignment horizontal="center" vertical="center" wrapText="1"/>
    </xf>
    <xf numFmtId="0" fontId="45" fillId="14" borderId="38" xfId="3" applyFont="1" applyFill="1" applyBorder="1" applyAlignment="1">
      <alignment horizontal="center" vertical="center" wrapText="1"/>
    </xf>
    <xf numFmtId="0" fontId="45" fillId="14" borderId="55" xfId="3" applyFont="1" applyFill="1" applyBorder="1" applyAlignment="1">
      <alignment horizontal="center" vertical="center"/>
    </xf>
    <xf numFmtId="0" fontId="45" fillId="14" borderId="29" xfId="3" applyFont="1" applyFill="1" applyBorder="1" applyAlignment="1">
      <alignment horizontal="center" vertical="center" wrapText="1"/>
    </xf>
    <xf numFmtId="15" fontId="45" fillId="14" borderId="29" xfId="3" applyNumberFormat="1" applyFont="1" applyFill="1" applyBorder="1" applyAlignment="1">
      <alignment horizontal="center" vertical="center" wrapText="1"/>
    </xf>
    <xf numFmtId="15" fontId="45" fillId="14" borderId="20" xfId="3" applyNumberFormat="1" applyFont="1" applyFill="1" applyBorder="1" applyAlignment="1">
      <alignment horizontal="center" vertical="center" wrapText="1"/>
    </xf>
    <xf numFmtId="0" fontId="45" fillId="14" borderId="55" xfId="3" applyFont="1" applyFill="1" applyBorder="1" applyAlignment="1">
      <alignment horizontal="center" vertical="center" wrapText="1"/>
    </xf>
    <xf numFmtId="0" fontId="45" fillId="14" borderId="54" xfId="3" applyFont="1" applyFill="1" applyBorder="1" applyAlignment="1">
      <alignment horizontal="center" vertical="center" wrapText="1"/>
    </xf>
    <xf numFmtId="1" fontId="11" fillId="0" borderId="0" xfId="3" applyNumberFormat="1" applyFont="1" applyAlignment="1">
      <alignment horizontal="center" vertical="center" wrapText="1"/>
    </xf>
    <xf numFmtId="0" fontId="11" fillId="0" borderId="0" xfId="3" applyFont="1" applyAlignment="1">
      <alignment horizontal="center" vertical="center" wrapText="1"/>
    </xf>
    <xf numFmtId="1" fontId="9" fillId="0" borderId="0" xfId="3" applyNumberFormat="1" applyFont="1" applyAlignment="1">
      <alignment horizontal="center" vertical="center" wrapText="1"/>
    </xf>
    <xf numFmtId="0" fontId="8" fillId="0" borderId="0" xfId="3" applyFont="1" applyAlignment="1" applyProtection="1">
      <alignment horizontal="center" vertical="center" wrapText="1"/>
      <protection hidden="1"/>
    </xf>
    <xf numFmtId="173" fontId="11" fillId="0" borderId="0" xfId="3" applyNumberFormat="1" applyFont="1" applyAlignment="1" applyProtection="1">
      <alignment horizontal="center" vertical="center" wrapText="1"/>
      <protection hidden="1"/>
    </xf>
    <xf numFmtId="0" fontId="19" fillId="14" borderId="36" xfId="3" applyFont="1" applyFill="1" applyBorder="1" applyAlignment="1" applyProtection="1">
      <alignment horizontal="center" vertical="center" wrapText="1"/>
      <protection hidden="1"/>
    </xf>
    <xf numFmtId="0" fontId="19" fillId="14" borderId="27" xfId="3" applyFont="1" applyFill="1" applyBorder="1" applyAlignment="1" applyProtection="1">
      <alignment horizontal="center" vertical="center" wrapText="1"/>
      <protection hidden="1"/>
    </xf>
    <xf numFmtId="0" fontId="17" fillId="14" borderId="29" xfId="3" applyFont="1" applyFill="1" applyBorder="1" applyAlignment="1" applyProtection="1">
      <alignment horizontal="center" vertical="center" wrapText="1"/>
      <protection hidden="1"/>
    </xf>
    <xf numFmtId="0" fontId="17" fillId="14" borderId="25" xfId="3" applyFont="1" applyFill="1" applyBorder="1" applyAlignment="1" applyProtection="1">
      <alignment horizontal="center" vertical="center" wrapText="1"/>
      <protection hidden="1"/>
    </xf>
    <xf numFmtId="0" fontId="17" fillId="14" borderId="26" xfId="3" applyFont="1" applyFill="1" applyBorder="1" applyAlignment="1" applyProtection="1">
      <alignment horizontal="center" vertical="center" wrapText="1"/>
      <protection hidden="1"/>
    </xf>
    <xf numFmtId="0" fontId="17" fillId="14" borderId="29" xfId="3" applyFont="1" applyFill="1" applyBorder="1" applyAlignment="1" applyProtection="1">
      <alignment horizontal="center" vertical="center"/>
      <protection hidden="1"/>
    </xf>
    <xf numFmtId="0" fontId="17" fillId="14" borderId="18" xfId="3" applyFont="1" applyFill="1" applyBorder="1" applyAlignment="1" applyProtection="1">
      <alignment horizontal="center" vertical="center"/>
      <protection hidden="1"/>
    </xf>
    <xf numFmtId="0" fontId="77" fillId="14" borderId="66" xfId="17" applyFont="1" applyFill="1" applyBorder="1" applyAlignment="1">
      <alignment horizontal="center" vertical="center" wrapText="1"/>
    </xf>
    <xf numFmtId="0" fontId="77" fillId="14" borderId="80" xfId="17" applyFont="1" applyFill="1" applyBorder="1" applyAlignment="1">
      <alignment horizontal="center" vertical="center" wrapText="1"/>
    </xf>
    <xf numFmtId="0" fontId="67" fillId="0" borderId="0" xfId="3" applyFont="1" applyAlignment="1" applyProtection="1">
      <alignment horizontal="center" vertical="center" wrapText="1"/>
      <protection hidden="1"/>
    </xf>
    <xf numFmtId="176" fontId="65" fillId="0" borderId="0" xfId="3" applyNumberFormat="1" applyFont="1" applyAlignment="1" applyProtection="1">
      <alignment horizontal="center" vertical="center" wrapText="1"/>
      <protection hidden="1"/>
    </xf>
    <xf numFmtId="0" fontId="76" fillId="14" borderId="42" xfId="17" applyFont="1" applyFill="1" applyBorder="1" applyAlignment="1">
      <alignment horizontal="center" vertical="center" wrapText="1"/>
    </xf>
    <xf numFmtId="0" fontId="76" fillId="14" borderId="16" xfId="17" applyFont="1" applyFill="1" applyBorder="1" applyAlignment="1">
      <alignment horizontal="center" vertical="center" wrapText="1"/>
    </xf>
    <xf numFmtId="0" fontId="76" fillId="14" borderId="46" xfId="17" applyFont="1" applyFill="1" applyBorder="1" applyAlignment="1">
      <alignment horizontal="center" vertical="center" wrapText="1"/>
    </xf>
    <xf numFmtId="0" fontId="75" fillId="14" borderId="45" xfId="17" applyFont="1" applyFill="1" applyBorder="1" applyAlignment="1">
      <alignment horizontal="center" vertical="center" wrapText="1"/>
    </xf>
    <xf numFmtId="0" fontId="75" fillId="14" borderId="23" xfId="17" applyFont="1" applyFill="1" applyBorder="1" applyAlignment="1">
      <alignment horizontal="center" vertical="center" wrapText="1"/>
    </xf>
    <xf numFmtId="0" fontId="77" fillId="14" borderId="73" xfId="17" applyFont="1" applyFill="1" applyBorder="1" applyAlignment="1">
      <alignment horizontal="center" vertical="center" wrapText="1"/>
    </xf>
    <xf numFmtId="0" fontId="77" fillId="14" borderId="85" xfId="17" applyFont="1" applyFill="1" applyBorder="1" applyAlignment="1">
      <alignment horizontal="center" vertical="center" wrapText="1"/>
    </xf>
    <xf numFmtId="0" fontId="77" fillId="14" borderId="79" xfId="17" applyFont="1" applyFill="1" applyBorder="1" applyAlignment="1">
      <alignment horizontal="center" vertical="center" wrapText="1"/>
    </xf>
    <xf numFmtId="0" fontId="77" fillId="14" borderId="33" xfId="17" applyFont="1" applyFill="1" applyBorder="1" applyAlignment="1">
      <alignment horizontal="center" vertical="center" wrapText="1"/>
    </xf>
    <xf numFmtId="0" fontId="77" fillId="14" borderId="32" xfId="17" applyFont="1" applyFill="1" applyBorder="1" applyAlignment="1">
      <alignment horizontal="center" vertical="center" wrapText="1"/>
    </xf>
    <xf numFmtId="0" fontId="77" fillId="14" borderId="37" xfId="17" applyFont="1" applyFill="1" applyBorder="1" applyAlignment="1">
      <alignment horizontal="center" vertical="center" wrapText="1"/>
    </xf>
    <xf numFmtId="1" fontId="67" fillId="0" borderId="0" xfId="3" applyNumberFormat="1" applyFont="1" applyAlignment="1">
      <alignment horizontal="center" vertical="center" wrapText="1"/>
    </xf>
    <xf numFmtId="1" fontId="65" fillId="0" borderId="0" xfId="3" applyNumberFormat="1" applyFont="1" applyAlignment="1">
      <alignment horizontal="center" vertical="center" wrapText="1"/>
    </xf>
    <xf numFmtId="0" fontId="22" fillId="8" borderId="0" xfId="3" applyFont="1" applyFill="1" applyAlignment="1">
      <alignment horizontal="center" vertical="center"/>
    </xf>
  </cellXfs>
  <cellStyles count="18">
    <cellStyle name="Millares 2" xfId="1" xr:uid="{00000000-0005-0000-0000-000000000000}"/>
    <cellStyle name="Moneda 2" xfId="2" xr:uid="{00000000-0005-0000-0000-000001000000}"/>
    <cellStyle name="Normal" xfId="0" builtinId="0"/>
    <cellStyle name="Normal 10" xfId="16" xr:uid="{F008D328-E13D-4627-8595-1C628595D126}"/>
    <cellStyle name="Normal 2" xfId="3" xr:uid="{00000000-0005-0000-0000-000003000000}"/>
    <cellStyle name="Normal 2 2" xfId="4" xr:uid="{00000000-0005-0000-0000-000004000000}"/>
    <cellStyle name="Normal 2_Kresidual" xfId="5" xr:uid="{00000000-0005-0000-0000-000005000000}"/>
    <cellStyle name="Normal 3" xfId="6" xr:uid="{00000000-0005-0000-0000-000006000000}"/>
    <cellStyle name="Normal 3 2" xfId="7" xr:uid="{00000000-0005-0000-0000-000007000000}"/>
    <cellStyle name="Normal 4" xfId="8" xr:uid="{00000000-0005-0000-0000-000008000000}"/>
    <cellStyle name="Normal 4 2" xfId="9" xr:uid="{00000000-0005-0000-0000-000009000000}"/>
    <cellStyle name="Normal 5" xfId="17" xr:uid="{16ECF90E-7E5D-4059-82C6-BA25641B6034}"/>
    <cellStyle name="Normal_Kresidual" xfId="10" xr:uid="{00000000-0005-0000-0000-00000A000000}"/>
    <cellStyle name="Normal_Kresidual 2" xfId="11" xr:uid="{00000000-0005-0000-0000-00000B000000}"/>
    <cellStyle name="Notas" xfId="12" builtinId="10"/>
    <cellStyle name="Porcentaje" xfId="13" builtinId="5"/>
    <cellStyle name="Porcentual 2" xfId="14" xr:uid="{00000000-0005-0000-0000-00000E000000}"/>
    <cellStyle name="Porcentual 3" xfId="15" xr:uid="{00000000-0005-0000-0000-00000F000000}"/>
  </cellStyles>
  <dxfs count="690">
    <dxf>
      <font>
        <b/>
        <i val="0"/>
      </font>
      <fill>
        <patternFill>
          <bgColor rgb="FFFFFF99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rgb="FFFF66FF"/>
        </patternFill>
      </fill>
    </dxf>
    <dxf>
      <fill>
        <patternFill>
          <bgColor rgb="FFF0DCC8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  <color rgb="FF0000FF"/>
      </font>
      <fill>
        <patternFill>
          <bgColor rgb="FF00FFFF"/>
        </patternFill>
      </fill>
    </dxf>
    <dxf>
      <font>
        <b/>
        <i val="0"/>
      </font>
      <fill>
        <patternFill>
          <bgColor rgb="FFFFFF99"/>
        </patternFill>
      </fill>
    </dxf>
    <dxf>
      <fill>
        <patternFill>
          <bgColor rgb="FFF0DCC8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  <color rgb="FF0000FF"/>
      </font>
      <fill>
        <patternFill>
          <bgColor rgb="FF00FFFF"/>
        </patternFill>
      </fill>
    </dxf>
    <dxf>
      <font>
        <b/>
        <i val="0"/>
      </font>
      <fill>
        <patternFill>
          <bgColor rgb="FFFFFF99"/>
        </patternFill>
      </fill>
    </dxf>
    <dxf>
      <fill>
        <patternFill>
          <bgColor rgb="FFF0DCC8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  <color rgb="FF0000FF"/>
      </font>
      <fill>
        <patternFill>
          <bgColor rgb="FF00FFFF"/>
        </patternFill>
      </fill>
    </dxf>
    <dxf>
      <font>
        <b/>
        <i val="0"/>
      </font>
      <fill>
        <patternFill>
          <bgColor rgb="FFFFFF99"/>
        </patternFill>
      </fill>
    </dxf>
    <dxf>
      <fill>
        <patternFill>
          <bgColor rgb="FFF0DCC8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00FFFF"/>
        </patternFill>
      </fill>
    </dxf>
    <dxf>
      <font>
        <b/>
        <i val="0"/>
      </font>
      <fill>
        <patternFill>
          <bgColor rgb="FFDAEEF3"/>
        </patternFill>
      </fill>
    </dxf>
    <dxf>
      <font>
        <b/>
        <i val="0"/>
        <color rgb="FFFF0000"/>
      </font>
      <fill>
        <patternFill>
          <bgColor rgb="FFFF99CC"/>
        </patternFill>
      </fill>
    </dxf>
    <dxf>
      <font>
        <b/>
        <i val="0"/>
        <color rgb="FFFFFFFF"/>
      </font>
      <fill>
        <patternFill>
          <bgColor rgb="FFFF0000"/>
        </patternFill>
      </fill>
    </dxf>
    <dxf>
      <font>
        <b/>
        <i val="0"/>
      </font>
      <fill>
        <patternFill>
          <bgColor rgb="FFDAEEF3"/>
        </patternFill>
      </fill>
    </dxf>
    <dxf>
      <font>
        <b/>
        <i val="0"/>
        <color rgb="FFFF0000"/>
      </font>
      <fill>
        <patternFill>
          <bgColor rgb="FFFF99CC"/>
        </patternFill>
      </fill>
    </dxf>
    <dxf>
      <font>
        <b/>
        <i val="0"/>
        <color rgb="FFFFFFFF"/>
      </font>
      <fill>
        <patternFill>
          <bgColor rgb="FFFF0000"/>
        </patternFill>
      </fill>
    </dxf>
    <dxf>
      <font>
        <b/>
        <i val="0"/>
        <color rgb="FF0000FF"/>
      </font>
    </dxf>
    <dxf>
      <font>
        <b/>
        <i val="0"/>
        <color rgb="FFFF0000"/>
      </font>
    </dxf>
    <dxf>
      <font>
        <b/>
        <i val="0"/>
      </font>
      <fill>
        <patternFill>
          <bgColor rgb="FFFF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</dxf>
    <dxf>
      <font>
        <b/>
        <i val="0"/>
        <color rgb="FFFF0000"/>
      </font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00FFFF"/>
        </patternFill>
      </fill>
    </dxf>
    <dxf>
      <font>
        <b/>
        <i val="0"/>
      </font>
      <fill>
        <patternFill>
          <bgColor rgb="FFDAEEF3"/>
        </patternFill>
      </fill>
    </dxf>
    <dxf>
      <font>
        <b/>
        <i val="0"/>
        <color rgb="FFFF0000"/>
      </font>
      <fill>
        <patternFill>
          <bgColor rgb="FFFF99CC"/>
        </patternFill>
      </fill>
    </dxf>
    <dxf>
      <font>
        <b/>
        <i val="0"/>
        <color rgb="FFFFFFFF"/>
      </font>
      <fill>
        <patternFill>
          <bgColor rgb="FFFF0000"/>
        </patternFill>
      </fill>
    </dxf>
    <dxf>
      <font>
        <b/>
        <i val="0"/>
      </font>
      <fill>
        <patternFill>
          <bgColor rgb="FFDAEEF3"/>
        </patternFill>
      </fill>
    </dxf>
    <dxf>
      <font>
        <b/>
        <i val="0"/>
        <color rgb="FFFF0000"/>
      </font>
      <fill>
        <patternFill>
          <bgColor rgb="FFFF99CC"/>
        </patternFill>
      </fill>
    </dxf>
    <dxf>
      <font>
        <b/>
        <i val="0"/>
        <color rgb="FFFFFFFF"/>
      </font>
      <fill>
        <patternFill>
          <bgColor rgb="FFFF0000"/>
        </patternFill>
      </fill>
    </dxf>
    <dxf>
      <font>
        <b/>
        <i val="0"/>
        <color rgb="FF0000FF"/>
      </font>
    </dxf>
    <dxf>
      <font>
        <b/>
        <i val="0"/>
        <color rgb="FFFF0000"/>
      </font>
    </dxf>
    <dxf>
      <font>
        <b/>
        <i val="0"/>
      </font>
      <fill>
        <patternFill>
          <bgColor rgb="FFFF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</dxf>
    <dxf>
      <font>
        <b/>
        <i val="0"/>
        <color rgb="FFFF0000"/>
      </font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00FFFF"/>
        </patternFill>
      </fill>
    </dxf>
    <dxf>
      <font>
        <b/>
        <i val="0"/>
      </font>
      <fill>
        <patternFill>
          <bgColor rgb="FFDAEEF3"/>
        </patternFill>
      </fill>
    </dxf>
    <dxf>
      <font>
        <b/>
        <i val="0"/>
        <color rgb="FFFF0000"/>
      </font>
      <fill>
        <patternFill>
          <bgColor rgb="FFFF99CC"/>
        </patternFill>
      </fill>
    </dxf>
    <dxf>
      <font>
        <b/>
        <i val="0"/>
        <color rgb="FFFFFFFF"/>
      </font>
      <fill>
        <patternFill>
          <bgColor rgb="FFFF0000"/>
        </patternFill>
      </fill>
    </dxf>
    <dxf>
      <font>
        <b/>
        <i val="0"/>
      </font>
      <fill>
        <patternFill>
          <bgColor rgb="FFDAEEF3"/>
        </patternFill>
      </fill>
    </dxf>
    <dxf>
      <font>
        <b/>
        <i val="0"/>
        <color rgb="FFFF0000"/>
      </font>
      <fill>
        <patternFill>
          <bgColor rgb="FFFF99CC"/>
        </patternFill>
      </fill>
    </dxf>
    <dxf>
      <font>
        <b/>
        <i val="0"/>
        <color rgb="FFFFFFFF"/>
      </font>
      <fill>
        <patternFill>
          <bgColor rgb="FFFF0000"/>
        </patternFill>
      </fill>
    </dxf>
    <dxf>
      <font>
        <b/>
        <i val="0"/>
        <color rgb="FF0000FF"/>
      </font>
    </dxf>
    <dxf>
      <font>
        <b/>
        <i val="0"/>
        <color rgb="FFFF0000"/>
      </font>
    </dxf>
    <dxf>
      <font>
        <b/>
        <i val="0"/>
      </font>
      <fill>
        <patternFill>
          <bgColor rgb="FFFF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</dxf>
    <dxf>
      <font>
        <b/>
        <i val="0"/>
        <color rgb="FFFF0000"/>
      </font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00FFFF"/>
        </patternFill>
      </fill>
    </dxf>
    <dxf>
      <font>
        <b/>
        <i val="0"/>
      </font>
      <fill>
        <patternFill>
          <bgColor rgb="FFDAEEF3"/>
        </patternFill>
      </fill>
    </dxf>
    <dxf>
      <font>
        <b/>
        <i val="0"/>
        <color rgb="FFFF0000"/>
      </font>
      <fill>
        <patternFill>
          <bgColor rgb="FFFF99CC"/>
        </patternFill>
      </fill>
    </dxf>
    <dxf>
      <font>
        <b/>
        <i val="0"/>
        <color rgb="FFFFFFFF"/>
      </font>
      <fill>
        <patternFill>
          <bgColor rgb="FFFF0000"/>
        </patternFill>
      </fill>
    </dxf>
    <dxf>
      <font>
        <b/>
        <i val="0"/>
      </font>
      <fill>
        <patternFill>
          <bgColor rgb="FFDAEEF3"/>
        </patternFill>
      </fill>
    </dxf>
    <dxf>
      <font>
        <b/>
        <i val="0"/>
        <color rgb="FFFF0000"/>
      </font>
      <fill>
        <patternFill>
          <bgColor rgb="FFFF99CC"/>
        </patternFill>
      </fill>
    </dxf>
    <dxf>
      <font>
        <b/>
        <i val="0"/>
        <color rgb="FFFFFFFF"/>
      </font>
      <fill>
        <patternFill>
          <bgColor rgb="FFFF0000"/>
        </patternFill>
      </fill>
    </dxf>
    <dxf>
      <font>
        <b/>
        <i val="0"/>
        <color rgb="FF0000FF"/>
      </font>
    </dxf>
    <dxf>
      <font>
        <b/>
        <i val="0"/>
        <color rgb="FFFF0000"/>
      </font>
    </dxf>
    <dxf>
      <font>
        <b/>
        <i val="0"/>
      </font>
      <fill>
        <patternFill>
          <bgColor rgb="FFFF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</dxf>
    <dxf>
      <font>
        <b/>
        <i val="0"/>
        <color rgb="FFFF0000"/>
      </font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00FFFF"/>
        </patternFill>
      </fill>
    </dxf>
    <dxf>
      <font>
        <b/>
        <i val="0"/>
      </font>
      <fill>
        <patternFill>
          <bgColor rgb="FFDAEEF3"/>
        </patternFill>
      </fill>
    </dxf>
    <dxf>
      <font>
        <b/>
        <i val="0"/>
        <color rgb="FFFF0000"/>
      </font>
      <fill>
        <patternFill>
          <bgColor rgb="FFFF99CC"/>
        </patternFill>
      </fill>
    </dxf>
    <dxf>
      <font>
        <b/>
        <i val="0"/>
        <color rgb="FFFFFFFF"/>
      </font>
      <fill>
        <patternFill>
          <bgColor rgb="FFFF0000"/>
        </patternFill>
      </fill>
    </dxf>
    <dxf>
      <font>
        <b/>
        <i val="0"/>
      </font>
      <fill>
        <patternFill>
          <bgColor rgb="FFDAEEF3"/>
        </patternFill>
      </fill>
    </dxf>
    <dxf>
      <font>
        <b/>
        <i val="0"/>
        <color rgb="FFFF0000"/>
      </font>
      <fill>
        <patternFill>
          <bgColor rgb="FFFF99CC"/>
        </patternFill>
      </fill>
    </dxf>
    <dxf>
      <font>
        <b/>
        <i val="0"/>
        <color rgb="FFFFFFFF"/>
      </font>
      <fill>
        <patternFill>
          <bgColor rgb="FFFF0000"/>
        </patternFill>
      </fill>
    </dxf>
    <dxf>
      <font>
        <b/>
        <i val="0"/>
        <color rgb="FF0000FF"/>
      </font>
    </dxf>
    <dxf>
      <font>
        <b/>
        <i val="0"/>
        <color rgb="FFFF0000"/>
      </font>
    </dxf>
    <dxf>
      <font>
        <b/>
        <i val="0"/>
      </font>
      <fill>
        <patternFill>
          <bgColor rgb="FFFF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</dxf>
    <dxf>
      <font>
        <b/>
        <i val="0"/>
        <color rgb="FFFF0000"/>
      </font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00FFFF"/>
        </patternFill>
      </fill>
    </dxf>
    <dxf>
      <font>
        <b/>
        <i val="0"/>
      </font>
      <fill>
        <patternFill>
          <bgColor rgb="FFDAEEF3"/>
        </patternFill>
      </fill>
    </dxf>
    <dxf>
      <font>
        <b/>
        <i val="0"/>
        <color rgb="FFFF0000"/>
      </font>
      <fill>
        <patternFill>
          <bgColor rgb="FFFF99CC"/>
        </patternFill>
      </fill>
    </dxf>
    <dxf>
      <font>
        <b/>
        <i val="0"/>
        <color rgb="FFFFFFFF"/>
      </font>
      <fill>
        <patternFill>
          <bgColor rgb="FFFF0000"/>
        </patternFill>
      </fill>
    </dxf>
    <dxf>
      <font>
        <b/>
        <i val="0"/>
      </font>
      <fill>
        <patternFill>
          <bgColor rgb="FFDAEEF3"/>
        </patternFill>
      </fill>
    </dxf>
    <dxf>
      <font>
        <b/>
        <i val="0"/>
        <color rgb="FFFF0000"/>
      </font>
      <fill>
        <patternFill>
          <bgColor rgb="FFFF99CC"/>
        </patternFill>
      </fill>
    </dxf>
    <dxf>
      <font>
        <b/>
        <i val="0"/>
        <color rgb="FFFFFFFF"/>
      </font>
      <fill>
        <patternFill>
          <bgColor rgb="FFFF0000"/>
        </patternFill>
      </fill>
    </dxf>
    <dxf>
      <font>
        <b/>
        <i val="0"/>
        <color rgb="FF0000FF"/>
      </font>
    </dxf>
    <dxf>
      <font>
        <b/>
        <i val="0"/>
        <color rgb="FFFF0000"/>
      </font>
    </dxf>
    <dxf>
      <font>
        <b/>
        <i val="0"/>
      </font>
      <fill>
        <patternFill>
          <bgColor rgb="FFFF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</dxf>
    <dxf>
      <font>
        <b/>
        <i val="0"/>
        <color rgb="FFFF0000"/>
      </font>
    </dxf>
    <dxf>
      <font>
        <b/>
        <i val="0"/>
      </font>
      <fill>
        <patternFill>
          <bgColor theme="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rgb="FFDAEEF3"/>
        </patternFill>
      </fill>
    </dxf>
    <dxf>
      <font>
        <b/>
        <i val="0"/>
        <color rgb="FFFF0000"/>
      </font>
      <fill>
        <patternFill>
          <bgColor rgb="FFFF99CC"/>
        </patternFill>
      </fill>
    </dxf>
    <dxf>
      <font>
        <b/>
        <i val="0"/>
        <color rgb="FFFFFFFF"/>
      </font>
      <fill>
        <patternFill>
          <bgColor rgb="FFFF0000"/>
        </patternFill>
      </fill>
    </dxf>
    <dxf>
      <font>
        <b/>
        <i val="0"/>
      </font>
      <fill>
        <patternFill>
          <bgColor rgb="FFDAEEF3"/>
        </patternFill>
      </fill>
    </dxf>
    <dxf>
      <font>
        <b/>
        <i val="0"/>
        <color rgb="FFFF0000"/>
      </font>
      <fill>
        <patternFill>
          <bgColor rgb="FFFF99CC"/>
        </patternFill>
      </fill>
    </dxf>
    <dxf>
      <font>
        <b/>
        <i val="0"/>
        <color rgb="FFFFFFFF"/>
      </font>
      <fill>
        <patternFill>
          <bgColor rgb="FFFF0000"/>
        </patternFill>
      </fill>
    </dxf>
    <dxf>
      <font>
        <b/>
        <i val="0"/>
        <color rgb="FF0000FF"/>
      </font>
    </dxf>
    <dxf>
      <font>
        <b/>
        <i val="0"/>
        <color rgb="FFFF0000"/>
      </font>
    </dxf>
    <dxf>
      <font>
        <b/>
        <i val="0"/>
      </font>
      <fill>
        <patternFill>
          <bgColor rgb="FFFF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00FF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</dxf>
    <dxf>
      <font>
        <b/>
        <i val="0"/>
        <color rgb="FFFF0000"/>
      </font>
    </dxf>
    <dxf>
      <font>
        <b/>
        <i val="0"/>
      </font>
      <fill>
        <patternFill>
          <bgColor theme="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0000FF"/>
      </font>
    </dxf>
    <dxf>
      <font>
        <b/>
        <i val="0"/>
        <color rgb="FFFF0000"/>
      </font>
    </dxf>
    <dxf>
      <font>
        <b/>
        <i val="0"/>
        <color rgb="FF0000FF"/>
      </font>
      <fill>
        <patternFill>
          <bgColor rgb="FFFFFF99"/>
        </patternFill>
      </fill>
    </dxf>
    <dxf>
      <fill>
        <patternFill>
          <bgColor rgb="FF00FF99"/>
        </patternFill>
      </fill>
    </dxf>
    <dxf>
      <fill>
        <patternFill>
          <bgColor rgb="FFD28660"/>
        </patternFill>
      </fill>
    </dxf>
    <dxf>
      <font>
        <b val="0"/>
        <i val="0"/>
        <strike val="0"/>
        <color theme="1"/>
      </font>
      <fill>
        <patternFill>
          <bgColor rgb="FFF0DCC8"/>
        </patternFill>
      </fill>
      <border>
        <top style="dotted">
          <color indexed="64"/>
        </top>
        <bottom style="thin">
          <color indexed="64"/>
        </bottom>
      </border>
    </dxf>
    <dxf>
      <fill>
        <patternFill>
          <bgColor rgb="FF00FF99"/>
        </patternFill>
      </fill>
    </dxf>
    <dxf>
      <font>
        <b/>
        <i val="0"/>
        <color rgb="FF0000FF"/>
      </font>
    </dxf>
    <dxf>
      <font>
        <b/>
        <i val="0"/>
        <color rgb="FFFF0000"/>
      </font>
    </dxf>
    <dxf>
      <font>
        <b/>
        <i val="0"/>
        <color rgb="FF0000FF"/>
      </font>
      <fill>
        <patternFill>
          <bgColor rgb="FFFFFF99"/>
        </patternFill>
      </fill>
    </dxf>
    <dxf>
      <fill>
        <patternFill>
          <bgColor rgb="FFF0DCC8"/>
        </patternFill>
      </fill>
    </dxf>
  </dxfs>
  <tableStyles count="0" defaultTableStyle="TableStyleMedium9" defaultPivotStyle="PivotStyleLight16"/>
  <colors>
    <mruColors>
      <color rgb="FFF0DCC8"/>
      <color rgb="FF0000FF"/>
      <color rgb="FFD28660"/>
      <color rgb="FF64821E"/>
      <color rgb="FFC8E61E"/>
      <color rgb="FF96C80A"/>
      <color rgb="FFC8F0C8"/>
      <color rgb="FF00FFFF"/>
      <color rgb="FFDCF0DC"/>
      <color rgb="FFC8F0D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Relationship Id="rId14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1152525</xdr:colOff>
          <xdr:row>23</xdr:row>
          <xdr:rowOff>66675</xdr:rowOff>
        </xdr:from>
        <xdr:to>
          <xdr:col>3</xdr:col>
          <xdr:colOff>733425</xdr:colOff>
          <xdr:row>25</xdr:row>
          <xdr:rowOff>47625</xdr:rowOff>
        </xdr:to>
        <xdr:sp macro="" textlink="">
          <xdr:nvSpPr>
            <xdr:cNvPr id="1033" name="Button 9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00000000-0008-0000-0000-00000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s-CO" sz="12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Publicar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256766</xdr:colOff>
      <xdr:row>9</xdr:row>
      <xdr:rowOff>78688</xdr:rowOff>
    </xdr:from>
    <xdr:to>
      <xdr:col>6</xdr:col>
      <xdr:colOff>906197</xdr:colOff>
      <xdr:row>11</xdr:row>
      <xdr:rowOff>406752</xdr:rowOff>
    </xdr:to>
    <xdr:sp macro="[0]!VERIFICARPRO" textlink="">
      <xdr:nvSpPr>
        <xdr:cNvPr id="2" name="Elips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 bwMode="auto">
        <a:xfrm>
          <a:off x="6086066" y="1659838"/>
          <a:ext cx="649431" cy="661439"/>
        </a:xfrm>
        <a:prstGeom prst="ellipse">
          <a:avLst/>
        </a:prstGeom>
        <a:solidFill>
          <a:srgbClr val="F0DCC8"/>
        </a:solidFill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txBody>
        <a:bodyPr vertOverflow="clip" horzOverflow="clip" wrap="square" lIns="18288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US" sz="8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</a:rPr>
            <a:t>VERIFICAR NOMBRES</a:t>
          </a:r>
        </a:p>
      </xdr:txBody>
    </xdr:sp>
    <xdr:clientData/>
  </xdr:twoCellAnchor>
  <xdr:twoCellAnchor>
    <xdr:from>
      <xdr:col>7</xdr:col>
      <xdr:colOff>261283</xdr:colOff>
      <xdr:row>9</xdr:row>
      <xdr:rowOff>124236</xdr:rowOff>
    </xdr:from>
    <xdr:to>
      <xdr:col>7</xdr:col>
      <xdr:colOff>910714</xdr:colOff>
      <xdr:row>12</xdr:row>
      <xdr:rowOff>19948</xdr:rowOff>
    </xdr:to>
    <xdr:sp macro="[0]!OCULTARPRO" textlink="">
      <xdr:nvSpPr>
        <xdr:cNvPr id="3" name="Elipse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/>
      </xdr:nvSpPr>
      <xdr:spPr bwMode="auto">
        <a:xfrm>
          <a:off x="7824133" y="2857911"/>
          <a:ext cx="649431" cy="648187"/>
        </a:xfrm>
        <a:prstGeom prst="ellipse">
          <a:avLst/>
        </a:prstGeom>
        <a:solidFill>
          <a:srgbClr val="8064A2">
            <a:lumMod val="20000"/>
            <a:lumOff val="80000"/>
          </a:srgbClr>
        </a:solidFill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txBody>
        <a:bodyPr vertOverflow="clip" horzOverflow="clip" wrap="square" lIns="18288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US" sz="8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</a:rPr>
            <a:t>OCULTAR VERIFICAR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256766</xdr:colOff>
      <xdr:row>10</xdr:row>
      <xdr:rowOff>0</xdr:rowOff>
    </xdr:from>
    <xdr:to>
      <xdr:col>5</xdr:col>
      <xdr:colOff>906197</xdr:colOff>
      <xdr:row>12</xdr:row>
      <xdr:rowOff>235302</xdr:rowOff>
    </xdr:to>
    <xdr:sp macro="[0]!VERIFICARINTEGR" textlink="">
      <xdr:nvSpPr>
        <xdr:cNvPr id="2" name="Elipse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/>
      </xdr:nvSpPr>
      <xdr:spPr bwMode="auto">
        <a:xfrm>
          <a:off x="6457541" y="2085975"/>
          <a:ext cx="649431" cy="635352"/>
        </a:xfrm>
        <a:prstGeom prst="ellipse">
          <a:avLst/>
        </a:prstGeom>
        <a:solidFill>
          <a:srgbClr val="F0DCC8"/>
        </a:solidFill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txBody>
        <a:bodyPr vertOverflow="clip" horzOverflow="clip" wrap="square" lIns="18288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US" sz="8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</a:rPr>
            <a:t>VERIFICAR NOMBRES</a:t>
          </a:r>
        </a:p>
      </xdr:txBody>
    </xdr:sp>
    <xdr:clientData/>
  </xdr:twoCellAnchor>
  <xdr:twoCellAnchor>
    <xdr:from>
      <xdr:col>6</xdr:col>
      <xdr:colOff>261283</xdr:colOff>
      <xdr:row>10</xdr:row>
      <xdr:rowOff>200026</xdr:rowOff>
    </xdr:from>
    <xdr:to>
      <xdr:col>6</xdr:col>
      <xdr:colOff>910714</xdr:colOff>
      <xdr:row>13</xdr:row>
      <xdr:rowOff>162824</xdr:rowOff>
    </xdr:to>
    <xdr:sp macro="[0]!OCULTARINTEGR" textlink="">
      <xdr:nvSpPr>
        <xdr:cNvPr id="3" name="Elipse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/>
      </xdr:nvSpPr>
      <xdr:spPr bwMode="auto">
        <a:xfrm>
          <a:off x="9338608" y="3705226"/>
          <a:ext cx="649431" cy="629548"/>
        </a:xfrm>
        <a:prstGeom prst="ellipse">
          <a:avLst/>
        </a:prstGeom>
        <a:solidFill>
          <a:srgbClr val="8064A2">
            <a:lumMod val="20000"/>
            <a:lumOff val="80000"/>
          </a:srgbClr>
        </a:solidFill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txBody>
        <a:bodyPr vertOverflow="clip" horzOverflow="clip" wrap="square" lIns="18288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US" sz="8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</a:rPr>
            <a:t>OCULTAR VERIFICAR</a:t>
          </a:r>
        </a:p>
      </xdr:txBody>
    </xdr:sp>
    <xdr:clientData/>
  </xdr:twoCellAnchor>
  <xdr:twoCellAnchor editAs="oneCell">
    <xdr:from>
      <xdr:col>2</xdr:col>
      <xdr:colOff>3238500</xdr:colOff>
      <xdr:row>7</xdr:row>
      <xdr:rowOff>142875</xdr:rowOff>
    </xdr:from>
    <xdr:to>
      <xdr:col>4</xdr:col>
      <xdr:colOff>100331</xdr:colOff>
      <xdr:row>11</xdr:row>
      <xdr:rowOff>72051</xdr:rowOff>
    </xdr:to>
    <xdr:pic macro="[0]!INSERTAR_INTEGRANTES">
      <xdr:nvPicPr>
        <xdr:cNvPr id="4" name="imagen5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619625" y="1790700"/>
          <a:ext cx="1481456" cy="481626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180000</xdr:colOff>
      <xdr:row>0</xdr:row>
      <xdr:rowOff>216000</xdr:rowOff>
    </xdr:to>
    <xdr:sp macro="[0]!ELIMINAR_FILAS" textlink="">
      <xdr:nvSpPr>
        <xdr:cNvPr id="2" name="Rectángulo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/>
      </xdr:nvSpPr>
      <xdr:spPr>
        <a:xfrm>
          <a:off x="0" y="0"/>
          <a:ext cx="180000" cy="2160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+juridico-Finan+Organ+%25PO+TV+TP&#8596;PLETIPO-V3-BASE%20EVALUAR%20-%20LP-DO-SRN-XXX-2021-011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S"/>
      <sheetName val="PROPONENTES"/>
      <sheetName val="INTEGRANTES"/>
      <sheetName val="EXPERIENCIA"/>
      <sheetName val="RESUMEN"/>
      <sheetName val="HAB.GEN."/>
      <sheetName val="LISTAS"/>
      <sheetName val="SMLM"/>
    </sheetNames>
    <sheetDataSet>
      <sheetData sheetId="0">
        <row r="8">
          <cell r="D8">
            <v>43958</v>
          </cell>
        </row>
        <row r="15">
          <cell r="E15">
            <v>1000</v>
          </cell>
        </row>
      </sheetData>
      <sheetData sheetId="1"/>
      <sheetData sheetId="2"/>
      <sheetData sheetId="3">
        <row r="14">
          <cell r="J14">
            <v>0.5</v>
          </cell>
        </row>
      </sheetData>
      <sheetData sheetId="4"/>
      <sheetData sheetId="5"/>
      <sheetData sheetId="6">
        <row r="2">
          <cell r="B2" t="str">
            <v>DIRECCIÓN GENERAL</v>
          </cell>
          <cell r="D2" t="str">
            <v>RECHAZO</v>
          </cell>
          <cell r="E2" t="str">
            <v>SI</v>
          </cell>
          <cell r="F2" t="str">
            <v>COLOMBIA</v>
          </cell>
          <cell r="G2" t="str">
            <v>SI</v>
          </cell>
          <cell r="H2" t="str">
            <v>PRIMARIA</v>
          </cell>
          <cell r="J2" t="str">
            <v>ASFÁLTICO</v>
          </cell>
        </row>
        <row r="3">
          <cell r="B3" t="str">
            <v>SECRETARIA GENERAL - SUBDIRECCIÓN ADMINISTRATIVA</v>
          </cell>
          <cell r="E3" t="str">
            <v>NO</v>
          </cell>
          <cell r="F3" t="str">
            <v>EXTRANJERO</v>
          </cell>
          <cell r="G3" t="str">
            <v>NO</v>
          </cell>
          <cell r="H3" t="str">
            <v>SECUNDARIA</v>
          </cell>
          <cell r="J3" t="str">
            <v>HIDRÁULICO</v>
          </cell>
        </row>
        <row r="4">
          <cell r="B4" t="str">
            <v>SECRETARIA GENERAL - SUBDIRECCIÓN FINANCIERA</v>
          </cell>
          <cell r="E4" t="str">
            <v>NA</v>
          </cell>
          <cell r="H4" t="str">
            <v>URBANA</v>
          </cell>
          <cell r="J4" t="str">
            <v>NO ACREDITA</v>
          </cell>
        </row>
        <row r="5">
          <cell r="B5" t="str">
            <v>DIRECCIÓN OPERATIVA - DIRECCIONES TERRITORIALES</v>
          </cell>
          <cell r="H5" t="str">
            <v>PISTA DE AEROPUERTO</v>
          </cell>
          <cell r="J5" t="str">
            <v>NO APLICA</v>
          </cell>
        </row>
        <row r="6">
          <cell r="B6" t="str">
            <v>DIRECCIÓN OPERATIVA - GERENCIA DE GRANDES PROYECTOS</v>
          </cell>
          <cell r="H6" t="str">
            <v>EXTRANJERO</v>
          </cell>
        </row>
        <row r="7">
          <cell r="B7" t="str">
            <v>DIRECCIÓN OPERATIVA - GRUPO PLAN 2500</v>
          </cell>
          <cell r="H7" t="str">
            <v>TERCIARIA</v>
          </cell>
        </row>
        <row r="8">
          <cell r="B8" t="str">
            <v>DIRECCIÓN TÉCNICA - SUBDIRECCIÓN DE ESTUDIOS DE INNOVACIÓN</v>
          </cell>
        </row>
        <row r="9">
          <cell r="B9" t="str">
            <v>DIRECCIÓN TÉCNICA - SUBDIRECCIÓN DE MEDIO AMBIENTE Y GESTIÓN SOCIAL</v>
          </cell>
        </row>
        <row r="10">
          <cell r="B10" t="str">
            <v>DIRECCIÓN TÉCNICA - SUBDIRECCIÓN DE PREVENCIÓN Y ATENCIÓN DE EMERGENCIAS</v>
          </cell>
        </row>
        <row r="11">
          <cell r="B11" t="str">
            <v>DIRECCIÓN OPERATIVA - SUBDIRECCIÓN MARÍTIMA Y FLUVIAL</v>
          </cell>
        </row>
        <row r="12">
          <cell r="B12" t="str">
            <v>DIRECCIÓN OPERATIVA - SUBDIRECCIÓN RED NACIONAL DE CARRETERAS</v>
          </cell>
        </row>
        <row r="13">
          <cell r="B13" t="str">
            <v>DIRECCIÓN OPERATIVA - SUBDIRECCIÓN RED TERCIARIA Y FERREA</v>
          </cell>
        </row>
        <row r="14">
          <cell r="B14" t="str">
            <v>DIRECCIÓN TÉCNICA</v>
          </cell>
        </row>
        <row r="15">
          <cell r="B15" t="str">
            <v>DIRECCIÓN OPERATIVA</v>
          </cell>
        </row>
        <row r="16">
          <cell r="B16" t="str">
            <v>DIRECCIÓN OPERATIVA - GRUPO TÚNEL DE LA LÍNEA</v>
          </cell>
        </row>
      </sheetData>
      <sheetData sheetId="7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1.xml"/><Relationship Id="rId3" Type="http://schemas.openxmlformats.org/officeDocument/2006/relationships/printerSettings" Target="../printerSettings/printerSettings3.bin"/><Relationship Id="rId7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6" Type="http://schemas.openxmlformats.org/officeDocument/2006/relationships/drawing" Target="../drawings/drawing1.xml"/><Relationship Id="rId5" Type="http://schemas.openxmlformats.org/officeDocument/2006/relationships/printerSettings" Target="../printerSettings/printerSettings5.bin"/><Relationship Id="rId4" Type="http://schemas.openxmlformats.org/officeDocument/2006/relationships/printerSettings" Target="../printerSettings/printerSettings4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8.bin"/><Relationship Id="rId2" Type="http://schemas.openxmlformats.org/officeDocument/2006/relationships/printerSettings" Target="../printerSettings/printerSettings7.bin"/><Relationship Id="rId1" Type="http://schemas.openxmlformats.org/officeDocument/2006/relationships/printerSettings" Target="../printerSettings/printerSettings6.bin"/><Relationship Id="rId6" Type="http://schemas.openxmlformats.org/officeDocument/2006/relationships/drawing" Target="../drawings/drawing2.xml"/><Relationship Id="rId5" Type="http://schemas.openxmlformats.org/officeDocument/2006/relationships/printerSettings" Target="../printerSettings/printerSettings10.bin"/><Relationship Id="rId4" Type="http://schemas.openxmlformats.org/officeDocument/2006/relationships/printerSettings" Target="../printerSettings/printerSettings9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11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4.bin"/><Relationship Id="rId7" Type="http://schemas.openxmlformats.org/officeDocument/2006/relationships/drawing" Target="../drawings/drawing4.xml"/><Relationship Id="rId2" Type="http://schemas.openxmlformats.org/officeDocument/2006/relationships/printerSettings" Target="../printerSettings/printerSettings13.bin"/><Relationship Id="rId1" Type="http://schemas.openxmlformats.org/officeDocument/2006/relationships/printerSettings" Target="../printerSettings/printerSettings12.bin"/><Relationship Id="rId6" Type="http://schemas.openxmlformats.org/officeDocument/2006/relationships/printerSettings" Target="../printerSettings/printerSettings17.bin"/><Relationship Id="rId5" Type="http://schemas.openxmlformats.org/officeDocument/2006/relationships/printerSettings" Target="../printerSettings/printerSettings16.bin"/><Relationship Id="rId4" Type="http://schemas.openxmlformats.org/officeDocument/2006/relationships/printerSettings" Target="../printerSettings/printerSettings1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3.bin"/><Relationship Id="rId2" Type="http://schemas.openxmlformats.org/officeDocument/2006/relationships/printerSettings" Target="../printerSettings/printerSettings22.bin"/><Relationship Id="rId1" Type="http://schemas.openxmlformats.org/officeDocument/2006/relationships/printerSettings" Target="../printerSettings/printerSettings21.bin"/><Relationship Id="rId6" Type="http://schemas.openxmlformats.org/officeDocument/2006/relationships/printerSettings" Target="../printerSettings/printerSettings26.bin"/><Relationship Id="rId5" Type="http://schemas.openxmlformats.org/officeDocument/2006/relationships/printerSettings" Target="../printerSettings/printerSettings25.bin"/><Relationship Id="rId4" Type="http://schemas.openxmlformats.org/officeDocument/2006/relationships/printerSettings" Target="../printerSettings/printerSettings2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5">
    <tabColor theme="3" tint="0.59999389629810485"/>
  </sheetPr>
  <dimension ref="B1:AC38"/>
  <sheetViews>
    <sheetView showGridLines="0" workbookViewId="0">
      <selection activeCell="D21" sqref="D21"/>
    </sheetView>
  </sheetViews>
  <sheetFormatPr baseColWidth="10" defaultColWidth="11.5" defaultRowHeight="11.25"/>
  <cols>
    <col min="1" max="1" width="2.375" style="15" customWidth="1"/>
    <col min="2" max="2" width="13.125" style="21" customWidth="1"/>
    <col min="3" max="3" width="27.625" style="21" customWidth="1"/>
    <col min="4" max="4" width="13.625" style="22" customWidth="1"/>
    <col min="5" max="5" width="10.125" style="22" customWidth="1"/>
    <col min="6" max="6" width="10.75" style="15" customWidth="1"/>
    <col min="7" max="7" width="3" style="15" customWidth="1"/>
    <col min="8" max="10" width="11.5" style="15"/>
    <col min="11" max="11" width="8.5" style="15" customWidth="1"/>
    <col min="12" max="12" width="3.125" style="15" customWidth="1"/>
    <col min="13" max="13" width="7.625" style="15" customWidth="1"/>
    <col min="14" max="16384" width="11.5" style="15"/>
  </cols>
  <sheetData>
    <row r="1" spans="2:29" ht="20.100000000000001" customHeight="1">
      <c r="B1" s="304" t="s">
        <v>11</v>
      </c>
      <c r="C1" s="304"/>
      <c r="D1" s="304"/>
      <c r="E1" s="304"/>
      <c r="F1" s="304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  <c r="T1" s="16"/>
      <c r="U1" s="16"/>
      <c r="V1" s="16"/>
      <c r="W1" s="16"/>
      <c r="X1" s="16"/>
      <c r="Y1" s="16"/>
      <c r="Z1" s="16"/>
      <c r="AA1" s="16"/>
      <c r="AB1" s="16"/>
      <c r="AC1" s="16"/>
    </row>
    <row r="2" spans="2:29" ht="15.75" customHeight="1">
      <c r="B2" s="303" t="s">
        <v>12</v>
      </c>
      <c r="C2" s="303"/>
      <c r="D2" s="303"/>
      <c r="E2" s="303"/>
      <c r="F2" s="303"/>
      <c r="G2" s="17"/>
      <c r="H2" s="17"/>
      <c r="I2" s="17"/>
      <c r="J2" s="17"/>
      <c r="K2" s="17"/>
      <c r="L2" s="17"/>
      <c r="M2" s="17"/>
      <c r="N2" s="17"/>
      <c r="O2" s="17"/>
      <c r="P2" s="17"/>
      <c r="Q2" s="17"/>
      <c r="R2" s="17"/>
      <c r="S2" s="17"/>
      <c r="T2" s="17"/>
      <c r="U2" s="17"/>
      <c r="V2" s="17"/>
      <c r="W2" s="17"/>
      <c r="X2" s="17"/>
      <c r="Y2" s="17"/>
      <c r="Z2" s="17"/>
      <c r="AA2" s="17"/>
      <c r="AB2" s="17"/>
      <c r="AC2" s="17"/>
    </row>
    <row r="3" spans="2:29" ht="15.75" customHeight="1">
      <c r="B3" s="303" t="s">
        <v>164</v>
      </c>
      <c r="C3" s="303"/>
      <c r="D3" s="303"/>
      <c r="E3" s="303"/>
      <c r="F3" s="303"/>
      <c r="G3" s="18"/>
      <c r="H3" s="18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</row>
    <row r="4" spans="2:29" s="44" customFormat="1" ht="15.75" customHeight="1">
      <c r="B4" s="306" t="s">
        <v>147</v>
      </c>
      <c r="C4" s="306"/>
      <c r="D4" s="306"/>
      <c r="E4" s="306"/>
      <c r="F4" s="276"/>
      <c r="G4" s="19"/>
      <c r="H4" s="19"/>
      <c r="I4" s="19"/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</row>
    <row r="5" spans="2:29" ht="15.75" customHeight="1">
      <c r="B5" s="305" t="s">
        <v>212</v>
      </c>
      <c r="C5" s="305"/>
      <c r="D5" s="305"/>
      <c r="E5" s="305"/>
      <c r="F5" s="275"/>
      <c r="G5" s="20"/>
      <c r="H5" s="20"/>
      <c r="I5" s="20"/>
      <c r="J5" s="20"/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  <c r="AA5" s="20"/>
      <c r="AB5" s="20"/>
      <c r="AC5" s="20"/>
    </row>
    <row r="6" spans="2:29" ht="36" customHeight="1">
      <c r="B6" s="303" t="str">
        <f>"OBJETO: "&amp;C15</f>
        <v>OBJETO: ATENCIÓN SITIOS CRÍTICOS DE LA RED TERCIARIA A CARGO DEL INVIAS A TRAVÉS DEL SISTEMA DE MONTO AGOTABLE EN VÍAS A CARGO DE LA DIRECCIÓN TERRITORIAL VALLE DEL CAUCA</v>
      </c>
      <c r="C6" s="303"/>
      <c r="D6" s="303"/>
      <c r="E6" s="303"/>
      <c r="F6" s="18"/>
      <c r="G6" s="20"/>
      <c r="H6" s="20"/>
      <c r="I6" s="20"/>
      <c r="J6" s="45"/>
      <c r="K6" s="20"/>
      <c r="L6" s="20"/>
      <c r="M6" s="20"/>
      <c r="N6" s="20"/>
      <c r="O6" s="20"/>
      <c r="P6" s="20"/>
      <c r="Q6" s="20"/>
      <c r="R6" s="20"/>
      <c r="S6" s="20"/>
      <c r="T6" s="20"/>
      <c r="U6" s="20"/>
      <c r="V6" s="20"/>
      <c r="W6" s="20"/>
      <c r="X6" s="20"/>
      <c r="Y6" s="20"/>
      <c r="Z6" s="20"/>
      <c r="AA6" s="20"/>
      <c r="AB6" s="20"/>
      <c r="AC6" s="20"/>
    </row>
    <row r="7" spans="2:29" ht="12.75">
      <c r="B7" s="101"/>
      <c r="C7" s="101"/>
      <c r="D7" s="101"/>
      <c r="E7" s="101"/>
      <c r="F7" s="101"/>
      <c r="G7" s="20"/>
      <c r="H7" s="20"/>
      <c r="I7" s="20"/>
      <c r="J7" s="45"/>
      <c r="K7" s="20"/>
      <c r="L7" s="20"/>
      <c r="M7" s="20"/>
      <c r="N7" s="20"/>
      <c r="O7" s="2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</row>
    <row r="8" spans="2:29" customFormat="1" ht="15.75">
      <c r="B8" s="303" t="s">
        <v>70</v>
      </c>
      <c r="C8" s="303"/>
      <c r="D8" s="278">
        <v>45460</v>
      </c>
      <c r="E8" s="22"/>
      <c r="F8" s="15"/>
      <c r="G8" s="15"/>
      <c r="H8" s="136"/>
    </row>
    <row r="9" spans="2:29" customFormat="1" ht="15.75"/>
    <row r="10" spans="2:29" ht="15.75">
      <c r="B10" s="307" t="s">
        <v>65</v>
      </c>
      <c r="C10" s="307"/>
      <c r="D10" s="307"/>
      <c r="E10" s="307"/>
      <c r="F10" s="277"/>
      <c r="H10" s="54"/>
    </row>
    <row r="11" spans="2:29" ht="12" thickBot="1"/>
    <row r="12" spans="2:29" ht="11.45" customHeight="1">
      <c r="B12" s="208" t="s">
        <v>66</v>
      </c>
      <c r="C12" s="300" t="s">
        <v>23</v>
      </c>
      <c r="D12" s="302" t="s">
        <v>39</v>
      </c>
      <c r="E12" s="302"/>
      <c r="G12" s="54"/>
    </row>
    <row r="13" spans="2:29" ht="12" thickBot="1">
      <c r="B13" s="209" t="s">
        <v>38</v>
      </c>
      <c r="C13" s="301"/>
      <c r="D13" s="210" t="s">
        <v>35</v>
      </c>
      <c r="E13" s="210" t="s">
        <v>36</v>
      </c>
      <c r="H13" s="283" t="s">
        <v>168</v>
      </c>
    </row>
    <row r="14" spans="2:29" ht="3.6" customHeight="1">
      <c r="B14" s="55">
        <v>0</v>
      </c>
      <c r="C14" s="56"/>
      <c r="D14" s="57"/>
      <c r="E14" s="57"/>
    </row>
    <row r="15" spans="2:29" ht="79.5" customHeight="1">
      <c r="B15" s="183">
        <v>1</v>
      </c>
      <c r="C15" s="279" t="s">
        <v>213</v>
      </c>
      <c r="D15" s="280">
        <v>765000000</v>
      </c>
      <c r="E15" s="75">
        <f>D15/1300000</f>
        <v>588.46153846153845</v>
      </c>
      <c r="H15" s="280">
        <f>POSMMLV*70%</f>
        <v>411.92307692307691</v>
      </c>
    </row>
    <row r="16" spans="2:29" hidden="1">
      <c r="B16" s="59"/>
      <c r="C16" s="60"/>
      <c r="D16" s="61"/>
      <c r="E16" s="75" t="str">
        <f>IF(D16="","",D16/LOOKUP(VALUE($D$8),SMLM!$A$2:$D$104,SMLM!$D$2:$D$104))</f>
        <v/>
      </c>
    </row>
    <row r="17" spans="2:12" hidden="1">
      <c r="B17" s="59"/>
      <c r="C17" s="60"/>
      <c r="D17" s="61"/>
      <c r="E17" s="75" t="str">
        <f>IF(D17="","",D17/LOOKUP(VALUE($D$8),SMLM!$A$2:$D$104,SMLM!$D$2:$D$104))</f>
        <v/>
      </c>
    </row>
    <row r="18" spans="2:12" hidden="1">
      <c r="B18" s="59"/>
      <c r="C18" s="60"/>
      <c r="D18" s="61"/>
      <c r="E18" s="75" t="str">
        <f>IF(D18="","",D18/LOOKUP(VALUE($D$8),SMLM!$A$2:$D$104,SMLM!$D$2:$D$104))</f>
        <v/>
      </c>
    </row>
    <row r="19" spans="2:12" hidden="1">
      <c r="B19" s="59"/>
      <c r="C19" s="60"/>
      <c r="D19" s="61"/>
      <c r="E19" s="75" t="str">
        <f>IF(D19="","",D19/LOOKUP(VALUE($D$8),SMLM!$A$2:$D$104,SMLM!$D$2:$D$104))</f>
        <v/>
      </c>
    </row>
    <row r="20" spans="2:12" hidden="1">
      <c r="B20" s="59"/>
      <c r="C20" s="60"/>
      <c r="D20" s="61"/>
      <c r="E20" s="75" t="str">
        <f>IF(D20="","",D20/LOOKUP(VALUE($D$8),SMLM!$A$2:$D$104,SMLM!$D$2:$D$104))</f>
        <v/>
      </c>
    </row>
    <row r="21" spans="2:12" ht="3" customHeight="1" thickBot="1">
      <c r="B21" s="58"/>
      <c r="C21" s="58"/>
      <c r="D21" s="58"/>
      <c r="E21" s="58"/>
    </row>
    <row r="22" spans="2:12" ht="12" thickBot="1">
      <c r="B22" s="211">
        <f>COUNT(B15:B20)</f>
        <v>1</v>
      </c>
      <c r="C22" s="212" t="s">
        <v>40</v>
      </c>
      <c r="D22" s="213">
        <f>SUM(D15:D21)</f>
        <v>765000000</v>
      </c>
      <c r="E22" s="213">
        <f>SUM(E15:E21)</f>
        <v>588.46153846153845</v>
      </c>
    </row>
    <row r="26" spans="2:12">
      <c r="J26" s="285"/>
    </row>
    <row r="28" spans="2:12">
      <c r="I28" s="287"/>
      <c r="J28" s="284"/>
      <c r="K28" s="286"/>
      <c r="L28" s="282"/>
    </row>
    <row r="29" spans="2:12">
      <c r="I29" s="287"/>
      <c r="J29" s="280"/>
      <c r="K29" s="286"/>
      <c r="L29" s="282"/>
    </row>
    <row r="30" spans="2:12">
      <c r="D30" s="22">
        <f>+D22*0.7</f>
        <v>535499999.99999994</v>
      </c>
      <c r="K30" s="286"/>
    </row>
    <row r="31" spans="2:12">
      <c r="K31" s="286"/>
    </row>
    <row r="32" spans="2:12">
      <c r="K32" s="286"/>
    </row>
    <row r="33" spans="9:13">
      <c r="I33" s="287"/>
      <c r="J33" s="280"/>
      <c r="K33" s="286"/>
      <c r="L33" s="282"/>
      <c r="M33" s="286"/>
    </row>
    <row r="34" spans="9:13">
      <c r="I34" s="287"/>
      <c r="J34" s="280"/>
      <c r="K34" s="286"/>
      <c r="L34" s="282"/>
    </row>
    <row r="38" spans="9:13">
      <c r="I38" s="287"/>
      <c r="J38" s="284"/>
      <c r="K38" s="286"/>
    </row>
  </sheetData>
  <customSheetViews>
    <customSheetView guid="{9F94E489-9692-4C63-A554-7FBA98A324C0}">
      <selection activeCell="C4" sqref="C4"/>
      <rowBreaks count="24" manualBreakCount="24">
        <brk id="94" min="1" max="11" man="1"/>
        <brk id="164" min="1" max="11" man="1"/>
        <brk id="234" min="1" max="11" man="1"/>
        <brk id="304" min="1" max="11" man="1"/>
        <brk id="374" min="1" max="11" man="1"/>
        <brk id="444" min="1" max="11" man="1"/>
        <brk id="513" min="1" max="11" man="1"/>
        <brk id="583" min="1" max="11" man="1"/>
        <brk id="653" min="1" max="11" man="1"/>
        <brk id="723" min="1" max="11" man="1"/>
        <brk id="793" min="1" max="11" man="1"/>
        <brk id="863" min="1" max="11" man="1"/>
        <brk id="933" min="1" max="11" man="1"/>
        <brk id="1003" min="1" max="11" man="1"/>
        <brk id="1073" min="1" max="11" man="1"/>
        <brk id="1143" min="1" max="11" man="1"/>
        <brk id="1213" min="1" max="11" man="1"/>
        <brk id="1283" min="1" max="11" man="1"/>
        <brk id="1353" min="1" max="11" man="1"/>
        <brk id="1423" min="1" max="11" man="1"/>
        <brk id="1493" min="1" max="11" man="1"/>
        <brk id="1563" min="1" max="11" man="1"/>
        <brk id="1633" min="1" max="11" man="1"/>
        <brk id="1703" min="1" max="11" man="1"/>
      </rowBreaks>
      <colBreaks count="4" manualBreakCount="4">
        <brk id="15" max="37" man="1"/>
        <brk id="23" max="1048575" man="1"/>
        <brk id="36" max="1048575" man="1"/>
        <brk id="49" max="1048575" man="1"/>
      </colBreaks>
      <pageMargins left="0.75" right="0.75" top="1" bottom="1" header="0.5" footer="0.5"/>
    </customSheetView>
    <customSheetView guid="{0CBEA09E-24B8-4CE5-A052-7237E9208379}" showRuler="0">
      <pageMargins left="0.75" right="0.75" top="1" bottom="1" header="0" footer="0"/>
      <headerFooter alignWithMargins="0"/>
    </customSheetView>
    <customSheetView guid="{6E71BEFB-61B2-401E-9961-32884E4CD56C}" showRuler="0" topLeftCell="A7">
      <selection activeCell="E17" sqref="E17"/>
      <pageMargins left="0.78740157480314965" right="0.78740157480314965" top="0.98425196850393704" bottom="0.98425196850393704" header="0" footer="0"/>
      <pageSetup orientation="portrait" horizontalDpi="4294967293" r:id="rId1"/>
      <headerFooter alignWithMargins="0"/>
    </customSheetView>
    <customSheetView guid="{74BDB053-C30B-49CC-8134-2CE4C1966D2C}" showRuler="0">
      <selection activeCell="H15" sqref="H15"/>
      <pageMargins left="0.78740157480314965" right="0.78740157480314965" top="0.98425196850393704" bottom="0.98425196850393704" header="0" footer="0"/>
      <pageSetup orientation="portrait" horizontalDpi="4294967293" r:id="rId2"/>
      <headerFooter alignWithMargins="0"/>
    </customSheetView>
    <customSheetView guid="{40B815EE-4446-47D1-839D-2EFF5F5EF0E5}" showRuler="0">
      <selection activeCell="C6" sqref="C6"/>
      <pageMargins left="0.78740157480314965" right="0.78740157480314965" top="0.98425196850393704" bottom="0.98425196850393704" header="0" footer="0"/>
      <pageSetup orientation="portrait" horizontalDpi="4294967293" r:id="rId3"/>
      <headerFooter alignWithMargins="0"/>
    </customSheetView>
    <customSheetView guid="{52F59514-34F3-4352-A05C-5BB41CEA0827}" showRuler="0">
      <selection activeCell="G39" sqref="G39"/>
      <pageMargins left="0.78740157480314965" right="0.78740157480314965" top="0.98425196850393704" bottom="0.98425196850393704" header="0" footer="0"/>
      <pageSetup orientation="portrait" horizontalDpi="4294967293" r:id="rId4"/>
      <headerFooter alignWithMargins="0"/>
    </customSheetView>
    <customSheetView guid="{9F94E489-9692-4C63-A554-7FBA98A324C0}" state="veryHidden">
      <selection activeCell="H15" sqref="H15"/>
      <pageMargins left="0.75" right="0.75" top="1" bottom="1" header="0.5" footer="0.5"/>
    </customSheetView>
    <customSheetView guid="{9F94E489-9692-4C63-A554-7FBA98A324C0}" topLeftCell="A43">
      <selection activeCell="E21" sqref="E21"/>
      <pageMargins left="0.75" right="0.75" top="1" bottom="1" header="0.5" footer="0.5"/>
    </customSheetView>
    <customSheetView guid="{9F94E489-9692-4C63-A554-7FBA98A324C0}">
      <selection activeCell="E17" sqref="E17"/>
      <pageMargins left="0.75" right="0.75" top="1" bottom="1" header="0.5" footer="0.5"/>
    </customSheetView>
  </customSheetViews>
  <mergeCells count="10">
    <mergeCell ref="C12:C13"/>
    <mergeCell ref="D12:E12"/>
    <mergeCell ref="B8:C8"/>
    <mergeCell ref="B1:F1"/>
    <mergeCell ref="B2:F2"/>
    <mergeCell ref="B3:F3"/>
    <mergeCell ref="B5:E5"/>
    <mergeCell ref="B4:E4"/>
    <mergeCell ref="B6:E6"/>
    <mergeCell ref="B10:E10"/>
  </mergeCells>
  <phoneticPr fontId="6" type="noConversion"/>
  <dataValidations count="1">
    <dataValidation type="list" allowBlank="1" showInputMessage="1" showErrorMessage="1" sqref="B4" xr:uid="{00000000-0002-0000-0000-000000000000}">
      <formula1>DEPENDENCIAS</formula1>
    </dataValidation>
  </dataValidations>
  <printOptions horizontalCentered="1"/>
  <pageMargins left="0.23622047244094491" right="0.23622047244094491" top="0.74803149606299213" bottom="0.74803149606299213" header="0.31496062992125984" footer="0.31496062992125984"/>
  <pageSetup orientation="portrait" r:id="rId5"/>
  <rowBreaks count="24" manualBreakCount="24">
    <brk id="79" max="10" man="1"/>
    <brk id="149" max="10" man="1"/>
    <brk id="219" max="10" man="1"/>
    <brk id="289" max="10" man="1"/>
    <brk id="359" max="10" man="1"/>
    <brk id="429" max="10" man="1"/>
    <brk id="498" max="10" man="1"/>
    <brk id="568" max="10" man="1"/>
    <brk id="638" max="10" man="1"/>
    <brk id="708" max="10" man="1"/>
    <brk id="778" max="10" man="1"/>
    <brk id="848" max="10" man="1"/>
    <brk id="918" max="10" man="1"/>
    <brk id="988" max="10" man="1"/>
    <brk id="1058" max="10" man="1"/>
    <brk id="1128" max="10" man="1"/>
    <brk id="1198" max="10" man="1"/>
    <brk id="1268" max="10" man="1"/>
    <brk id="1338" max="10" man="1"/>
    <brk id="1408" max="10" man="1"/>
    <brk id="1478" max="10" man="1"/>
    <brk id="1548" max="10" man="1"/>
    <brk id="1618" max="10" man="1"/>
    <brk id="1688" max="10" man="1"/>
  </rowBreaks>
  <colBreaks count="4" manualBreakCount="4">
    <brk id="14" max="37" man="1"/>
    <brk id="22" max="1048575" man="1"/>
    <brk id="35" max="1048575" man="1"/>
    <brk id="48" max="1048575" man="1"/>
  </colBreaks>
  <ignoredErrors>
    <ignoredError sqref="B22" formulaRange="1"/>
  </ignoredErrors>
  <drawing r:id="rId6"/>
  <legacyDrawing r:id="rId7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3" r:id="rId8" name="Button 9">
              <controlPr defaultSize="0" print="0" autoFill="0" autoPict="0" macro="[0]!MATRIZ_A_PUBLICAR">
                <anchor moveWithCells="1" sizeWithCells="1">
                  <from>
                    <xdr:col>2</xdr:col>
                    <xdr:colOff>1152525</xdr:colOff>
                    <xdr:row>23</xdr:row>
                    <xdr:rowOff>66675</xdr:rowOff>
                  </from>
                  <to>
                    <xdr:col>3</xdr:col>
                    <xdr:colOff>733425</xdr:colOff>
                    <xdr:row>25</xdr:row>
                    <xdr:rowOff>47625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">
    <tabColor theme="9" tint="0.79998168889431442"/>
    <pageSetUpPr fitToPage="1"/>
  </sheetPr>
  <dimension ref="B1:T472"/>
  <sheetViews>
    <sheetView showGridLines="0" topLeftCell="A4" zoomScale="115" zoomScaleNormal="115" workbookViewId="0">
      <selection activeCell="D29" sqref="D29"/>
    </sheetView>
  </sheetViews>
  <sheetFormatPr baseColWidth="10" defaultColWidth="11.5" defaultRowHeight="15.75"/>
  <cols>
    <col min="1" max="1" width="2.875" style="25" customWidth="1"/>
    <col min="2" max="2" width="5.75" style="29" customWidth="1"/>
    <col min="3" max="3" width="10.625" style="29" customWidth="1"/>
    <col min="4" max="4" width="41.5" style="25" customWidth="1"/>
    <col min="5" max="5" width="13.125" style="25" customWidth="1"/>
    <col min="6" max="6" width="2.625" style="25" customWidth="1"/>
    <col min="7" max="7" width="15.375" style="165" hidden="1" customWidth="1"/>
    <col min="8" max="8" width="15.375" style="165" customWidth="1"/>
    <col min="9" max="9" width="4.875" style="25" customWidth="1"/>
    <col min="10" max="19" width="2.375" style="99" customWidth="1"/>
    <col min="20" max="16384" width="11.5" style="25"/>
  </cols>
  <sheetData>
    <row r="1" spans="2:20" s="23" customFormat="1" ht="20.100000000000001" customHeight="1">
      <c r="B1" s="303" t="str">
        <f>PRESUPUESTOS!B1</f>
        <v>INSTITUTO NACIONAL DE VÍAS</v>
      </c>
      <c r="C1" s="303"/>
      <c r="D1" s="303"/>
      <c r="E1" s="303"/>
      <c r="G1" s="162"/>
      <c r="H1" s="162"/>
      <c r="J1" s="171"/>
      <c r="K1" s="171"/>
      <c r="L1" s="171"/>
      <c r="M1" s="171"/>
      <c r="N1" s="171"/>
      <c r="O1" s="171"/>
      <c r="P1" s="171"/>
      <c r="Q1" s="171"/>
      <c r="R1" s="171"/>
      <c r="S1" s="171"/>
    </row>
    <row r="2" spans="2:20" s="23" customFormat="1" ht="12.75">
      <c r="B2" s="303" t="str">
        <f>PRESUPUESTOS!B2</f>
        <v>DIRECCIÓN GENERAL</v>
      </c>
      <c r="C2" s="303"/>
      <c r="D2" s="303"/>
      <c r="E2" s="303"/>
      <c r="G2" s="1"/>
      <c r="H2" s="1"/>
      <c r="J2" s="32"/>
      <c r="K2" s="32"/>
      <c r="L2" s="32"/>
      <c r="M2" s="32"/>
      <c r="N2" s="32"/>
      <c r="O2" s="32"/>
      <c r="P2" s="32"/>
      <c r="Q2" s="32"/>
      <c r="R2" s="32"/>
      <c r="S2" s="32"/>
    </row>
    <row r="3" spans="2:20" s="23" customFormat="1" ht="12.75">
      <c r="B3" s="303" t="str">
        <f>PRESUPUESTOS!B3</f>
        <v>DIRECCION TERRITORIAL VALLE</v>
      </c>
      <c r="C3" s="303"/>
      <c r="D3" s="303"/>
      <c r="E3" s="303"/>
      <c r="G3" s="1"/>
      <c r="H3" s="1"/>
      <c r="J3" s="32"/>
      <c r="K3" s="32"/>
      <c r="L3" s="32"/>
      <c r="M3" s="32"/>
      <c r="N3" s="32"/>
      <c r="O3" s="32"/>
      <c r="P3" s="32"/>
      <c r="Q3" s="32"/>
      <c r="R3" s="32"/>
      <c r="S3" s="32"/>
    </row>
    <row r="4" spans="2:20" s="24" customFormat="1" ht="12.75">
      <c r="B4" s="303" t="str">
        <f>PRESUPUESTOS!B4</f>
        <v>DIRECCION DE OPERACIÓN Y EJECUCION</v>
      </c>
      <c r="C4" s="303"/>
      <c r="D4" s="303"/>
      <c r="E4" s="303"/>
      <c r="G4" s="1"/>
      <c r="H4" s="1"/>
      <c r="J4" s="32"/>
      <c r="K4" s="32"/>
      <c r="L4" s="32"/>
      <c r="M4" s="32"/>
      <c r="N4" s="32"/>
      <c r="O4" s="32"/>
      <c r="P4" s="32"/>
      <c r="Q4" s="32"/>
      <c r="R4" s="32"/>
      <c r="S4" s="32"/>
    </row>
    <row r="5" spans="2:20" s="23" customFormat="1" ht="12.75">
      <c r="B5" s="303" t="str">
        <f>PRESUPUESTOS!B5</f>
        <v>SA-MC-DT-VAL-005-2024</v>
      </c>
      <c r="C5" s="303"/>
      <c r="D5" s="303"/>
      <c r="E5" s="303"/>
      <c r="G5" s="1"/>
      <c r="H5" s="1"/>
      <c r="J5" s="32"/>
      <c r="K5" s="32"/>
      <c r="L5" s="32"/>
      <c r="M5" s="32"/>
      <c r="N5" s="32"/>
      <c r="O5" s="32"/>
      <c r="P5" s="32"/>
      <c r="Q5" s="32"/>
      <c r="R5" s="32"/>
      <c r="S5" s="32"/>
      <c r="T5" s="25"/>
    </row>
    <row r="6" spans="2:20" s="23" customFormat="1" ht="52.5" customHeight="1">
      <c r="B6" s="303" t="str">
        <f>PRESUPUESTOS!B6</f>
        <v>OBJETO: ATENCIÓN SITIOS CRÍTICOS DE LA RED TERCIARIA A CARGO DEL INVIAS A TRAVÉS DEL SISTEMA DE MONTO AGOTABLE EN VÍAS A CARGO DE LA DIRECCIÓN TERRITORIAL VALLE DEL CAUCA</v>
      </c>
      <c r="C6" s="303"/>
      <c r="D6" s="303"/>
      <c r="E6" s="303"/>
      <c r="G6" s="1"/>
      <c r="H6" s="1"/>
      <c r="J6" s="32"/>
      <c r="K6" s="32"/>
      <c r="L6" s="32"/>
      <c r="M6" s="32"/>
      <c r="N6" s="32"/>
      <c r="O6" s="32"/>
      <c r="P6" s="32"/>
      <c r="Q6" s="32"/>
      <c r="R6" s="32"/>
      <c r="S6" s="32"/>
      <c r="T6" s="28"/>
    </row>
    <row r="7" spans="2:20" s="23" customFormat="1">
      <c r="B7" s="34"/>
      <c r="C7" s="33"/>
      <c r="D7" s="33"/>
      <c r="E7" s="33"/>
      <c r="G7" s="1"/>
      <c r="H7" s="1"/>
      <c r="J7" s="32"/>
      <c r="K7" s="32"/>
      <c r="L7" s="32"/>
      <c r="M7" s="32"/>
      <c r="N7" s="32"/>
      <c r="O7" s="32"/>
      <c r="P7" s="32"/>
      <c r="Q7" s="32"/>
      <c r="R7" s="32"/>
      <c r="S7" s="32"/>
      <c r="T7"/>
    </row>
    <row r="8" spans="2:20" ht="12.75">
      <c r="B8" s="318" t="s">
        <v>18</v>
      </c>
      <c r="C8" s="318"/>
      <c r="D8" s="318"/>
      <c r="E8" s="318"/>
      <c r="G8" s="1"/>
      <c r="H8" s="1"/>
      <c r="J8" s="32"/>
      <c r="K8" s="32"/>
      <c r="L8" s="32"/>
      <c r="M8" s="32"/>
      <c r="N8" s="32"/>
      <c r="O8" s="32"/>
      <c r="P8" s="32"/>
      <c r="Q8" s="32"/>
      <c r="R8" s="32"/>
      <c r="S8" s="32"/>
    </row>
    <row r="9" spans="2:20" ht="12.75">
      <c r="B9" s="303" t="s">
        <v>102</v>
      </c>
      <c r="C9" s="319"/>
      <c r="D9" s="319"/>
      <c r="E9" s="319"/>
      <c r="G9" s="1"/>
      <c r="H9" s="1"/>
      <c r="J9" s="32"/>
      <c r="K9" s="32"/>
      <c r="L9" s="32"/>
      <c r="M9" s="32"/>
      <c r="N9" s="32"/>
      <c r="O9" s="32"/>
      <c r="P9" s="32"/>
      <c r="Q9" s="32"/>
      <c r="R9" s="32"/>
      <c r="S9" s="32"/>
    </row>
    <row r="10" spans="2:20" ht="13.5" thickBot="1">
      <c r="B10" s="26"/>
      <c r="C10" s="26"/>
      <c r="D10" s="27"/>
      <c r="E10" s="27"/>
      <c r="G10" s="1"/>
      <c r="H10" s="1"/>
      <c r="J10" s="32"/>
      <c r="K10" s="32"/>
      <c r="L10" s="32"/>
      <c r="M10" s="32"/>
      <c r="N10" s="32"/>
      <c r="O10" s="32"/>
      <c r="P10" s="32"/>
      <c r="Q10" s="32"/>
      <c r="R10" s="32"/>
      <c r="S10" s="32"/>
    </row>
    <row r="11" spans="2:20" ht="12.75" customHeight="1">
      <c r="B11" s="312" t="s">
        <v>41</v>
      </c>
      <c r="C11" s="314" t="s">
        <v>69</v>
      </c>
      <c r="D11" s="316" t="s">
        <v>10</v>
      </c>
      <c r="E11" s="317"/>
      <c r="G11" s="311"/>
      <c r="H11" s="311"/>
      <c r="J11" s="308" t="s">
        <v>123</v>
      </c>
      <c r="K11" s="309"/>
      <c r="L11" s="309"/>
      <c r="M11" s="309"/>
      <c r="N11" s="309"/>
      <c r="O11" s="309"/>
      <c r="P11" s="309"/>
      <c r="Q11" s="309"/>
      <c r="R11" s="309"/>
      <c r="S11" s="310"/>
    </row>
    <row r="12" spans="2:20" s="28" customFormat="1" ht="33" customHeight="1" thickBot="1">
      <c r="B12" s="313"/>
      <c r="C12" s="315"/>
      <c r="D12" s="214" t="s">
        <v>67</v>
      </c>
      <c r="E12" s="215" t="s">
        <v>68</v>
      </c>
      <c r="G12" s="311"/>
      <c r="H12" s="311"/>
      <c r="J12" s="216">
        <v>1</v>
      </c>
      <c r="K12" s="217">
        <v>2</v>
      </c>
      <c r="L12" s="217">
        <v>3</v>
      </c>
      <c r="M12" s="217">
        <v>4</v>
      </c>
      <c r="N12" s="217">
        <v>5</v>
      </c>
      <c r="O12" s="217">
        <v>6</v>
      </c>
      <c r="P12" s="217">
        <v>7</v>
      </c>
      <c r="Q12" s="217">
        <v>8</v>
      </c>
      <c r="R12" s="217">
        <v>9</v>
      </c>
      <c r="S12" s="218">
        <v>10</v>
      </c>
      <c r="T12" s="25"/>
    </row>
    <row r="13" spans="2:20" customFormat="1" ht="3.6" customHeight="1">
      <c r="B13" s="151"/>
      <c r="E13" s="152"/>
      <c r="G13" s="163"/>
      <c r="H13" s="163"/>
      <c r="J13" s="172"/>
      <c r="K13" s="173"/>
      <c r="L13" s="173"/>
      <c r="M13" s="173"/>
      <c r="N13" s="173"/>
      <c r="O13" s="173"/>
      <c r="P13" s="173"/>
      <c r="Q13" s="173"/>
      <c r="R13" s="173"/>
      <c r="S13" s="174"/>
      <c r="T13" s="25"/>
    </row>
    <row r="14" spans="2:20" ht="12.75">
      <c r="B14" s="153">
        <v>1</v>
      </c>
      <c r="C14" s="62">
        <v>1</v>
      </c>
      <c r="D14" s="63" t="s">
        <v>218</v>
      </c>
      <c r="E14" s="154">
        <v>1</v>
      </c>
      <c r="G14" s="1"/>
      <c r="H14" s="164" t="str">
        <f t="shared" ref="H14:H20" si="0">IF(COUNTIF($D$14:$D$20,D14)&gt;1,"REPETIDO "&amp;COUNTIF($D$14:$D$20,D14)&amp;" VECES","CORRECTO")</f>
        <v>CORRECTO</v>
      </c>
      <c r="J14" s="175" t="s">
        <v>156</v>
      </c>
      <c r="K14" s="176"/>
      <c r="L14" s="176"/>
      <c r="M14" s="176"/>
      <c r="N14" s="176"/>
      <c r="O14" s="176"/>
      <c r="P14" s="176"/>
      <c r="Q14" s="176"/>
      <c r="R14" s="176"/>
      <c r="S14" s="177"/>
    </row>
    <row r="15" spans="2:20" ht="12.75">
      <c r="B15" s="153">
        <v>2</v>
      </c>
      <c r="C15" s="62">
        <v>2</v>
      </c>
      <c r="D15" s="63" t="s">
        <v>209</v>
      </c>
      <c r="E15" s="154">
        <v>1</v>
      </c>
      <c r="G15" s="1"/>
      <c r="H15" s="164" t="str">
        <f t="shared" si="0"/>
        <v>CORRECTO</v>
      </c>
      <c r="J15" s="175" t="s">
        <v>165</v>
      </c>
      <c r="K15" s="176"/>
      <c r="L15" s="176"/>
      <c r="M15" s="176"/>
      <c r="N15" s="176"/>
      <c r="O15" s="176"/>
      <c r="P15" s="176"/>
      <c r="Q15" s="176"/>
      <c r="R15" s="176"/>
      <c r="S15" s="177"/>
    </row>
    <row r="16" spans="2:20" ht="12.75">
      <c r="B16" s="153">
        <v>3</v>
      </c>
      <c r="C16" s="62">
        <v>3</v>
      </c>
      <c r="D16" s="63" t="s">
        <v>210</v>
      </c>
      <c r="E16" s="154">
        <v>2</v>
      </c>
      <c r="G16" s="1"/>
      <c r="H16" s="164" t="str">
        <f t="shared" si="0"/>
        <v>CORRECTO</v>
      </c>
      <c r="J16" s="175" t="s">
        <v>165</v>
      </c>
      <c r="K16" s="176"/>
      <c r="L16" s="176"/>
      <c r="M16" s="176"/>
      <c r="N16" s="176"/>
      <c r="O16" s="176"/>
      <c r="P16" s="176"/>
      <c r="Q16" s="176"/>
      <c r="R16" s="176"/>
      <c r="S16" s="177"/>
    </row>
    <row r="17" spans="2:19" ht="12.75" hidden="1">
      <c r="B17" s="153"/>
      <c r="C17" s="62"/>
      <c r="D17" s="63"/>
      <c r="E17" s="154"/>
      <c r="G17" s="1"/>
      <c r="H17" s="164" t="str">
        <f t="shared" si="0"/>
        <v>CORRECTO</v>
      </c>
      <c r="J17" s="175" t="s">
        <v>165</v>
      </c>
      <c r="K17" s="176"/>
      <c r="L17" s="176"/>
      <c r="M17" s="176"/>
      <c r="N17" s="176"/>
      <c r="O17" s="176"/>
      <c r="P17" s="176"/>
      <c r="Q17" s="176"/>
      <c r="R17" s="176"/>
      <c r="S17" s="177"/>
    </row>
    <row r="18" spans="2:19" ht="12.75" hidden="1">
      <c r="B18" s="153"/>
      <c r="C18" s="62"/>
      <c r="D18" s="63"/>
      <c r="E18" s="154"/>
      <c r="G18" s="1"/>
      <c r="H18" s="164" t="str">
        <f t="shared" si="0"/>
        <v>CORRECTO</v>
      </c>
      <c r="J18" s="175" t="s">
        <v>165</v>
      </c>
      <c r="K18" s="176"/>
      <c r="L18" s="176"/>
      <c r="M18" s="176"/>
      <c r="N18" s="176"/>
      <c r="O18" s="176"/>
      <c r="P18" s="176"/>
      <c r="Q18" s="176"/>
      <c r="R18" s="176"/>
      <c r="S18" s="177"/>
    </row>
    <row r="19" spans="2:19" ht="12.75" hidden="1">
      <c r="B19" s="153"/>
      <c r="C19" s="62"/>
      <c r="D19" s="63"/>
      <c r="E19" s="154"/>
      <c r="G19" s="1"/>
      <c r="H19" s="164" t="str">
        <f t="shared" si="0"/>
        <v>CORRECTO</v>
      </c>
      <c r="J19" s="175" t="s">
        <v>165</v>
      </c>
      <c r="K19" s="176"/>
      <c r="L19" s="176"/>
      <c r="M19" s="176"/>
      <c r="N19" s="176"/>
      <c r="O19" s="176"/>
      <c r="P19" s="176"/>
      <c r="Q19" s="176"/>
      <c r="R19" s="176"/>
      <c r="S19" s="177"/>
    </row>
    <row r="20" spans="2:19" ht="12.75" hidden="1">
      <c r="B20" s="153"/>
      <c r="C20" s="62"/>
      <c r="D20" s="63"/>
      <c r="E20" s="154"/>
      <c r="G20" s="1"/>
      <c r="H20" s="164" t="str">
        <f t="shared" si="0"/>
        <v>CORRECTO</v>
      </c>
      <c r="J20" s="175" t="s">
        <v>156</v>
      </c>
      <c r="K20" s="176"/>
      <c r="L20" s="176"/>
      <c r="M20" s="176"/>
      <c r="N20" s="176"/>
      <c r="O20" s="176"/>
      <c r="P20" s="176"/>
      <c r="Q20" s="176"/>
      <c r="R20" s="176"/>
      <c r="S20" s="177"/>
    </row>
    <row r="21" spans="2:19" s="15" customFormat="1" ht="6.75" customHeight="1" thickBot="1">
      <c r="B21" s="166" t="s">
        <v>117</v>
      </c>
      <c r="C21" s="155"/>
      <c r="D21" s="156"/>
      <c r="E21" s="157"/>
      <c r="G21" s="165"/>
      <c r="H21" s="165"/>
      <c r="J21" s="178"/>
      <c r="K21" s="179"/>
      <c r="L21" s="179"/>
      <c r="M21" s="179"/>
      <c r="N21" s="179"/>
      <c r="O21" s="179"/>
      <c r="P21" s="179"/>
      <c r="Q21" s="179"/>
      <c r="R21" s="179"/>
      <c r="S21" s="180"/>
    </row>
    <row r="22" spans="2:19" s="15" customFormat="1">
      <c r="B22" s="29"/>
      <c r="C22" s="29"/>
      <c r="D22" s="25"/>
      <c r="E22" s="25"/>
      <c r="G22" s="165"/>
      <c r="H22" s="165"/>
      <c r="J22" s="99"/>
      <c r="K22" s="99"/>
      <c r="L22" s="99"/>
      <c r="M22" s="99"/>
      <c r="N22" s="99"/>
      <c r="O22" s="99"/>
      <c r="P22" s="99"/>
      <c r="Q22" s="99"/>
      <c r="R22" s="99"/>
      <c r="S22" s="99"/>
    </row>
    <row r="23" spans="2:19" s="15" customFormat="1">
      <c r="B23" s="29"/>
      <c r="C23" s="29"/>
      <c r="D23" s="25"/>
      <c r="E23" s="25"/>
      <c r="G23" s="165"/>
      <c r="H23" s="165"/>
      <c r="J23" s="99"/>
      <c r="K23" s="99"/>
      <c r="L23" s="99"/>
      <c r="M23" s="99"/>
      <c r="N23" s="99"/>
      <c r="O23" s="99"/>
      <c r="P23" s="99"/>
      <c r="Q23" s="99"/>
      <c r="R23" s="99"/>
      <c r="S23" s="99"/>
    </row>
    <row r="24" spans="2:19" s="15" customFormat="1">
      <c r="B24" s="29"/>
      <c r="C24" s="29"/>
      <c r="D24" s="25"/>
      <c r="E24" s="25"/>
      <c r="G24" s="165"/>
      <c r="H24" s="165"/>
      <c r="J24" s="99"/>
      <c r="K24" s="99"/>
      <c r="L24" s="99"/>
      <c r="M24" s="99"/>
      <c r="N24" s="99"/>
      <c r="O24" s="99"/>
      <c r="P24" s="99"/>
      <c r="Q24" s="99"/>
      <c r="R24" s="99"/>
      <c r="S24" s="99"/>
    </row>
    <row r="25" spans="2:19" s="15" customFormat="1">
      <c r="B25" s="29"/>
      <c r="C25" s="29"/>
      <c r="D25" s="25"/>
      <c r="E25" s="25"/>
      <c r="G25" s="165"/>
      <c r="H25" s="165"/>
      <c r="J25" s="99"/>
      <c r="K25" s="99"/>
      <c r="L25" s="99"/>
      <c r="M25" s="99"/>
      <c r="N25" s="99"/>
      <c r="O25" s="99"/>
      <c r="P25" s="99"/>
      <c r="Q25" s="99"/>
      <c r="R25" s="99"/>
      <c r="S25" s="99"/>
    </row>
    <row r="26" spans="2:19" s="15" customFormat="1">
      <c r="B26" s="29"/>
      <c r="C26" s="29"/>
      <c r="D26" s="25"/>
      <c r="E26" s="25"/>
      <c r="G26" s="165"/>
      <c r="H26" s="165"/>
      <c r="J26" s="99"/>
      <c r="K26" s="99"/>
      <c r="L26" s="99"/>
      <c r="M26" s="99"/>
      <c r="N26" s="99"/>
      <c r="O26" s="99"/>
      <c r="P26" s="99"/>
      <c r="Q26" s="99"/>
      <c r="R26" s="99"/>
      <c r="S26" s="99"/>
    </row>
    <row r="27" spans="2:19" s="15" customFormat="1">
      <c r="B27" s="29"/>
      <c r="C27" s="29"/>
      <c r="D27" s="25"/>
      <c r="E27" s="25"/>
      <c r="G27" s="165"/>
      <c r="H27" s="165"/>
      <c r="J27" s="99"/>
      <c r="K27" s="99"/>
      <c r="L27" s="99"/>
      <c r="M27" s="99"/>
      <c r="N27" s="99"/>
      <c r="O27" s="99"/>
      <c r="P27" s="99"/>
      <c r="Q27" s="99"/>
      <c r="R27" s="99"/>
      <c r="S27" s="99"/>
    </row>
    <row r="28" spans="2:19" s="15" customFormat="1">
      <c r="B28" s="29"/>
      <c r="C28" s="29"/>
      <c r="D28" s="25"/>
      <c r="E28" s="25"/>
      <c r="G28" s="165"/>
      <c r="H28" s="165"/>
      <c r="J28" s="99"/>
      <c r="K28" s="99"/>
      <c r="L28" s="99"/>
      <c r="M28" s="99"/>
      <c r="N28" s="99"/>
      <c r="O28" s="99"/>
      <c r="P28" s="99"/>
      <c r="Q28" s="99"/>
      <c r="R28" s="99"/>
      <c r="S28" s="99"/>
    </row>
    <row r="29" spans="2:19" s="15" customFormat="1">
      <c r="B29" s="29"/>
      <c r="C29" s="29"/>
      <c r="D29" s="25"/>
      <c r="E29" s="25"/>
      <c r="G29" s="165"/>
      <c r="H29" s="165"/>
      <c r="J29" s="99"/>
      <c r="K29" s="99"/>
      <c r="L29" s="99"/>
      <c r="M29" s="99"/>
      <c r="N29" s="99"/>
      <c r="O29" s="99"/>
      <c r="P29" s="99"/>
      <c r="Q29" s="99"/>
      <c r="R29" s="99"/>
      <c r="S29" s="99"/>
    </row>
    <row r="30" spans="2:19" s="15" customFormat="1">
      <c r="B30" s="29"/>
      <c r="C30" s="29"/>
      <c r="D30" s="25"/>
      <c r="E30" s="25"/>
      <c r="G30" s="165"/>
      <c r="H30" s="165"/>
      <c r="J30" s="99"/>
      <c r="K30" s="99"/>
      <c r="L30" s="99"/>
      <c r="M30" s="99"/>
      <c r="N30" s="99"/>
      <c r="O30" s="99"/>
      <c r="P30" s="99"/>
      <c r="Q30" s="99"/>
      <c r="R30" s="99"/>
      <c r="S30" s="99"/>
    </row>
    <row r="31" spans="2:19" s="15" customFormat="1">
      <c r="B31" s="29"/>
      <c r="C31" s="29"/>
      <c r="D31" s="25"/>
      <c r="E31" s="25"/>
      <c r="G31" s="165"/>
      <c r="H31" s="165"/>
      <c r="J31" s="99"/>
      <c r="K31" s="99"/>
      <c r="L31" s="99"/>
      <c r="M31" s="99"/>
      <c r="N31" s="99"/>
      <c r="O31" s="99"/>
      <c r="P31" s="99"/>
      <c r="Q31" s="99"/>
      <c r="R31" s="99"/>
      <c r="S31" s="99"/>
    </row>
    <row r="32" spans="2:19" s="15" customFormat="1">
      <c r="B32" s="29"/>
      <c r="C32" s="29"/>
      <c r="D32" s="25"/>
      <c r="E32" s="25"/>
      <c r="G32" s="165"/>
      <c r="H32" s="165"/>
      <c r="J32" s="99"/>
      <c r="K32" s="99"/>
      <c r="L32" s="99"/>
      <c r="M32" s="99"/>
      <c r="N32" s="99"/>
      <c r="O32" s="99"/>
      <c r="P32" s="99"/>
      <c r="Q32" s="99"/>
      <c r="R32" s="99"/>
      <c r="S32" s="99"/>
    </row>
    <row r="33" spans="2:19" s="15" customFormat="1">
      <c r="B33" s="29"/>
      <c r="C33" s="29"/>
      <c r="D33" s="25"/>
      <c r="E33" s="25"/>
      <c r="G33" s="165"/>
      <c r="H33" s="165"/>
      <c r="J33" s="99"/>
      <c r="K33" s="99"/>
      <c r="L33" s="99"/>
      <c r="M33" s="99"/>
      <c r="N33" s="99"/>
      <c r="O33" s="99"/>
      <c r="P33" s="99"/>
      <c r="Q33" s="99"/>
      <c r="R33" s="99"/>
      <c r="S33" s="99"/>
    </row>
    <row r="34" spans="2:19" s="15" customFormat="1">
      <c r="B34" s="29"/>
      <c r="C34" s="29"/>
      <c r="D34" s="25"/>
      <c r="E34" s="25"/>
      <c r="G34" s="165"/>
      <c r="H34" s="165"/>
      <c r="J34" s="99"/>
      <c r="K34" s="99"/>
      <c r="L34" s="99"/>
      <c r="M34" s="99"/>
      <c r="N34" s="99"/>
      <c r="O34" s="99"/>
      <c r="P34" s="99"/>
      <c r="Q34" s="99"/>
      <c r="R34" s="99"/>
      <c r="S34" s="99"/>
    </row>
    <row r="35" spans="2:19" s="15" customFormat="1">
      <c r="B35" s="29"/>
      <c r="C35" s="29"/>
      <c r="D35" s="25"/>
      <c r="E35" s="25"/>
      <c r="G35" s="165"/>
      <c r="H35" s="165"/>
      <c r="J35" s="99"/>
      <c r="K35" s="99"/>
      <c r="L35" s="99"/>
      <c r="M35" s="99"/>
      <c r="N35" s="99"/>
      <c r="O35" s="99"/>
      <c r="P35" s="99"/>
      <c r="Q35" s="99"/>
      <c r="R35" s="99"/>
      <c r="S35" s="99"/>
    </row>
    <row r="36" spans="2:19" s="15" customFormat="1">
      <c r="B36" s="29"/>
      <c r="C36" s="29"/>
      <c r="D36" s="25"/>
      <c r="E36" s="25"/>
      <c r="G36" s="165"/>
      <c r="H36" s="165"/>
      <c r="J36" s="99"/>
      <c r="K36" s="99"/>
      <c r="L36" s="99"/>
      <c r="M36" s="99"/>
      <c r="N36" s="99"/>
      <c r="O36" s="99"/>
      <c r="P36" s="99"/>
      <c r="Q36" s="99"/>
      <c r="R36" s="99"/>
      <c r="S36" s="99"/>
    </row>
    <row r="37" spans="2:19" s="15" customFormat="1">
      <c r="B37" s="29"/>
      <c r="C37" s="29"/>
      <c r="D37" s="25"/>
      <c r="E37" s="25"/>
      <c r="G37" s="165"/>
      <c r="H37" s="165"/>
      <c r="J37" s="99"/>
      <c r="K37" s="99"/>
      <c r="L37" s="99"/>
      <c r="M37" s="99"/>
      <c r="N37" s="99"/>
      <c r="O37" s="99"/>
      <c r="P37" s="99"/>
      <c r="Q37" s="99"/>
      <c r="R37" s="99"/>
      <c r="S37" s="99"/>
    </row>
    <row r="38" spans="2:19" s="15" customFormat="1">
      <c r="B38" s="29"/>
      <c r="C38" s="29"/>
      <c r="D38" s="25"/>
      <c r="E38" s="25"/>
      <c r="G38" s="165"/>
      <c r="H38" s="165"/>
      <c r="J38" s="99"/>
      <c r="K38" s="99"/>
      <c r="L38" s="99"/>
      <c r="M38" s="99"/>
      <c r="N38" s="99"/>
      <c r="O38" s="99"/>
      <c r="P38" s="99"/>
      <c r="Q38" s="99"/>
      <c r="R38" s="99"/>
      <c r="S38" s="99"/>
    </row>
    <row r="39" spans="2:19" s="15" customFormat="1">
      <c r="B39" s="29"/>
      <c r="C39" s="29"/>
      <c r="D39" s="25"/>
      <c r="E39" s="25"/>
      <c r="G39" s="165"/>
      <c r="H39" s="165"/>
      <c r="J39" s="99"/>
      <c r="K39" s="99"/>
      <c r="L39" s="99"/>
      <c r="M39" s="99"/>
      <c r="N39" s="99"/>
      <c r="O39" s="99"/>
      <c r="P39" s="99"/>
      <c r="Q39" s="99"/>
      <c r="R39" s="99"/>
      <c r="S39" s="99"/>
    </row>
    <row r="40" spans="2:19" s="15" customFormat="1">
      <c r="B40" s="29"/>
      <c r="C40" s="29"/>
      <c r="D40" s="25"/>
      <c r="E40" s="25"/>
      <c r="G40" s="165"/>
      <c r="H40" s="165"/>
      <c r="J40" s="99"/>
      <c r="K40" s="99"/>
      <c r="L40" s="99"/>
      <c r="M40" s="99"/>
      <c r="N40" s="99"/>
      <c r="O40" s="99"/>
      <c r="P40" s="99"/>
      <c r="Q40" s="99"/>
      <c r="R40" s="99"/>
      <c r="S40" s="99"/>
    </row>
    <row r="41" spans="2:19" s="15" customFormat="1">
      <c r="B41" s="29"/>
      <c r="C41" s="29"/>
      <c r="D41" s="25"/>
      <c r="E41" s="25"/>
      <c r="G41" s="165"/>
      <c r="H41" s="165"/>
      <c r="J41" s="99"/>
      <c r="K41" s="99"/>
      <c r="L41" s="99"/>
      <c r="M41" s="99"/>
      <c r="N41" s="99"/>
      <c r="O41" s="99"/>
      <c r="P41" s="99"/>
      <c r="Q41" s="99"/>
      <c r="R41" s="99"/>
      <c r="S41" s="99"/>
    </row>
    <row r="42" spans="2:19" s="15" customFormat="1">
      <c r="B42" s="29"/>
      <c r="C42" s="29"/>
      <c r="D42" s="25"/>
      <c r="E42" s="25"/>
      <c r="G42" s="165"/>
      <c r="H42" s="165"/>
      <c r="J42" s="99"/>
      <c r="K42" s="99"/>
      <c r="L42" s="99"/>
      <c r="M42" s="99"/>
      <c r="N42" s="99"/>
      <c r="O42" s="99"/>
      <c r="P42" s="99"/>
      <c r="Q42" s="99"/>
      <c r="R42" s="99"/>
      <c r="S42" s="99"/>
    </row>
    <row r="43" spans="2:19" s="15" customFormat="1">
      <c r="B43" s="29"/>
      <c r="C43" s="29"/>
      <c r="D43" s="25"/>
      <c r="E43" s="25"/>
      <c r="G43" s="165"/>
      <c r="H43" s="165"/>
      <c r="J43" s="99"/>
      <c r="K43" s="99"/>
      <c r="L43" s="99"/>
      <c r="M43" s="99"/>
      <c r="N43" s="99"/>
      <c r="O43" s="99"/>
      <c r="P43" s="99"/>
      <c r="Q43" s="99"/>
      <c r="R43" s="99"/>
      <c r="S43" s="99"/>
    </row>
    <row r="44" spans="2:19" s="15" customFormat="1">
      <c r="B44" s="29"/>
      <c r="C44" s="29"/>
      <c r="D44" s="25"/>
      <c r="E44" s="25"/>
      <c r="G44" s="165"/>
      <c r="H44" s="165"/>
      <c r="J44" s="99"/>
      <c r="K44" s="99"/>
      <c r="L44" s="99"/>
      <c r="M44" s="99"/>
      <c r="N44" s="99"/>
      <c r="O44" s="99"/>
      <c r="P44" s="99"/>
      <c r="Q44" s="99"/>
      <c r="R44" s="99"/>
      <c r="S44" s="99"/>
    </row>
    <row r="45" spans="2:19" s="15" customFormat="1">
      <c r="B45" s="29"/>
      <c r="C45" s="29"/>
      <c r="D45" s="25"/>
      <c r="E45" s="25"/>
      <c r="G45" s="165"/>
      <c r="H45" s="165"/>
      <c r="J45" s="99"/>
      <c r="K45" s="99"/>
      <c r="L45" s="99"/>
      <c r="M45" s="99"/>
      <c r="N45" s="99"/>
      <c r="O45" s="99"/>
      <c r="P45" s="99"/>
      <c r="Q45" s="99"/>
      <c r="R45" s="99"/>
      <c r="S45" s="99"/>
    </row>
    <row r="46" spans="2:19" s="15" customFormat="1">
      <c r="B46" s="29"/>
      <c r="C46" s="29"/>
      <c r="D46" s="25"/>
      <c r="E46" s="25"/>
      <c r="G46" s="165"/>
      <c r="H46" s="165"/>
      <c r="J46" s="99"/>
      <c r="K46" s="99"/>
      <c r="L46" s="99"/>
      <c r="M46" s="99"/>
      <c r="N46" s="99"/>
      <c r="O46" s="99"/>
      <c r="P46" s="99"/>
      <c r="Q46" s="99"/>
      <c r="R46" s="99"/>
      <c r="S46" s="99"/>
    </row>
    <row r="47" spans="2:19" s="15" customFormat="1">
      <c r="B47" s="29"/>
      <c r="C47" s="29"/>
      <c r="D47" s="25"/>
      <c r="E47" s="25"/>
      <c r="G47" s="165"/>
      <c r="H47" s="165"/>
      <c r="J47" s="99"/>
      <c r="K47" s="99"/>
      <c r="L47" s="99"/>
      <c r="M47" s="99"/>
      <c r="N47" s="99"/>
      <c r="O47" s="99"/>
      <c r="P47" s="99"/>
      <c r="Q47" s="99"/>
      <c r="R47" s="99"/>
      <c r="S47" s="99"/>
    </row>
    <row r="48" spans="2:19" s="15" customFormat="1">
      <c r="B48" s="29"/>
      <c r="C48" s="29"/>
      <c r="D48" s="25"/>
      <c r="E48" s="25"/>
      <c r="G48" s="165"/>
      <c r="H48" s="165"/>
      <c r="J48" s="99"/>
      <c r="K48" s="99"/>
      <c r="L48" s="99"/>
      <c r="M48" s="99"/>
      <c r="N48" s="99"/>
      <c r="O48" s="99"/>
      <c r="P48" s="99"/>
      <c r="Q48" s="99"/>
      <c r="R48" s="99"/>
      <c r="S48" s="99"/>
    </row>
    <row r="49" spans="2:19" s="15" customFormat="1">
      <c r="B49" s="29"/>
      <c r="C49" s="29"/>
      <c r="D49" s="25"/>
      <c r="E49" s="25"/>
      <c r="G49" s="165"/>
      <c r="H49" s="165"/>
      <c r="J49" s="99"/>
      <c r="K49" s="99"/>
      <c r="L49" s="99"/>
      <c r="M49" s="99"/>
      <c r="N49" s="99"/>
      <c r="O49" s="99"/>
      <c r="P49" s="99"/>
      <c r="Q49" s="99"/>
      <c r="R49" s="99"/>
      <c r="S49" s="99"/>
    </row>
    <row r="50" spans="2:19" s="15" customFormat="1">
      <c r="B50" s="29"/>
      <c r="C50" s="29"/>
      <c r="D50" s="25"/>
      <c r="E50" s="25"/>
      <c r="G50" s="165"/>
      <c r="H50" s="165"/>
      <c r="J50" s="99"/>
      <c r="K50" s="99"/>
      <c r="L50" s="99"/>
      <c r="M50" s="99"/>
      <c r="N50" s="99"/>
      <c r="O50" s="99"/>
      <c r="P50" s="99"/>
      <c r="Q50" s="99"/>
      <c r="R50" s="99"/>
      <c r="S50" s="99"/>
    </row>
    <row r="51" spans="2:19" s="15" customFormat="1">
      <c r="B51" s="29"/>
      <c r="C51" s="29"/>
      <c r="D51" s="25"/>
      <c r="E51" s="25"/>
      <c r="G51" s="165"/>
      <c r="H51" s="165"/>
      <c r="J51" s="99"/>
      <c r="K51" s="99"/>
      <c r="L51" s="99"/>
      <c r="M51" s="99"/>
      <c r="N51" s="99"/>
      <c r="O51" s="99"/>
      <c r="P51" s="99"/>
      <c r="Q51" s="99"/>
      <c r="R51" s="99"/>
      <c r="S51" s="99"/>
    </row>
    <row r="52" spans="2:19" s="15" customFormat="1">
      <c r="B52" s="29"/>
      <c r="C52" s="29"/>
      <c r="D52" s="25"/>
      <c r="E52" s="25"/>
      <c r="G52" s="165"/>
      <c r="H52" s="165"/>
      <c r="J52" s="99"/>
      <c r="K52" s="99"/>
      <c r="L52" s="99"/>
      <c r="M52" s="99"/>
      <c r="N52" s="99"/>
      <c r="O52" s="99"/>
      <c r="P52" s="99"/>
      <c r="Q52" s="99"/>
      <c r="R52" s="99"/>
      <c r="S52" s="99"/>
    </row>
    <row r="53" spans="2:19" s="15" customFormat="1">
      <c r="B53" s="29"/>
      <c r="C53" s="29"/>
      <c r="D53" s="25"/>
      <c r="E53" s="25"/>
      <c r="G53" s="165"/>
      <c r="H53" s="165"/>
      <c r="J53" s="99"/>
      <c r="K53" s="99"/>
      <c r="L53" s="99"/>
      <c r="M53" s="99"/>
      <c r="N53" s="99"/>
      <c r="O53" s="99"/>
      <c r="P53" s="99"/>
      <c r="Q53" s="99"/>
      <c r="R53" s="99"/>
      <c r="S53" s="99"/>
    </row>
    <row r="54" spans="2:19" s="15" customFormat="1">
      <c r="B54" s="29"/>
      <c r="C54" s="29"/>
      <c r="D54" s="25"/>
      <c r="E54" s="25"/>
      <c r="G54" s="165"/>
      <c r="H54" s="165"/>
      <c r="J54" s="99"/>
      <c r="K54" s="99"/>
      <c r="L54" s="99"/>
      <c r="M54" s="99"/>
      <c r="N54" s="99"/>
      <c r="O54" s="99"/>
      <c r="P54" s="99"/>
      <c r="Q54" s="99"/>
      <c r="R54" s="99"/>
      <c r="S54" s="99"/>
    </row>
    <row r="55" spans="2:19" s="15" customFormat="1">
      <c r="B55" s="29"/>
      <c r="C55" s="29"/>
      <c r="D55" s="25"/>
      <c r="E55" s="25"/>
      <c r="G55" s="165"/>
      <c r="H55" s="165"/>
      <c r="J55" s="99"/>
      <c r="K55" s="99"/>
      <c r="L55" s="99"/>
      <c r="M55" s="99"/>
      <c r="N55" s="99"/>
      <c r="O55" s="99"/>
      <c r="P55" s="99"/>
      <c r="Q55" s="99"/>
      <c r="R55" s="99"/>
      <c r="S55" s="99"/>
    </row>
    <row r="56" spans="2:19" s="15" customFormat="1">
      <c r="B56" s="29"/>
      <c r="C56" s="29"/>
      <c r="D56" s="25"/>
      <c r="E56" s="25"/>
      <c r="G56" s="165"/>
      <c r="H56" s="165"/>
      <c r="J56" s="99"/>
      <c r="K56" s="99"/>
      <c r="L56" s="99"/>
      <c r="M56" s="99"/>
      <c r="N56" s="99"/>
      <c r="O56" s="99"/>
      <c r="P56" s="99"/>
      <c r="Q56" s="99"/>
      <c r="R56" s="99"/>
      <c r="S56" s="99"/>
    </row>
    <row r="57" spans="2:19" s="15" customFormat="1">
      <c r="B57" s="29"/>
      <c r="C57" s="29"/>
      <c r="D57" s="25"/>
      <c r="E57" s="25"/>
      <c r="G57" s="165"/>
      <c r="H57" s="165"/>
      <c r="J57" s="99"/>
      <c r="K57" s="99"/>
      <c r="L57" s="99"/>
      <c r="M57" s="99"/>
      <c r="N57" s="99"/>
      <c r="O57" s="99"/>
      <c r="P57" s="99"/>
      <c r="Q57" s="99"/>
      <c r="R57" s="99"/>
      <c r="S57" s="99"/>
    </row>
    <row r="58" spans="2:19" s="15" customFormat="1">
      <c r="B58" s="29"/>
      <c r="C58" s="29"/>
      <c r="D58" s="25"/>
      <c r="E58" s="25"/>
      <c r="G58" s="165"/>
      <c r="H58" s="165"/>
      <c r="J58" s="99"/>
      <c r="K58" s="99"/>
      <c r="L58" s="99"/>
      <c r="M58" s="99"/>
      <c r="N58" s="99"/>
      <c r="O58" s="99"/>
      <c r="P58" s="99"/>
      <c r="Q58" s="99"/>
      <c r="R58" s="99"/>
      <c r="S58" s="99"/>
    </row>
    <row r="59" spans="2:19" s="15" customFormat="1">
      <c r="B59" s="29"/>
      <c r="C59" s="29"/>
      <c r="D59" s="25"/>
      <c r="E59" s="25"/>
      <c r="G59" s="165"/>
      <c r="H59" s="165"/>
      <c r="J59" s="99"/>
      <c r="K59" s="99"/>
      <c r="L59" s="99"/>
      <c r="M59" s="99"/>
      <c r="N59" s="99"/>
      <c r="O59" s="99"/>
      <c r="P59" s="99"/>
      <c r="Q59" s="99"/>
      <c r="R59" s="99"/>
      <c r="S59" s="99"/>
    </row>
    <row r="60" spans="2:19" s="15" customFormat="1">
      <c r="B60" s="29"/>
      <c r="C60" s="29"/>
      <c r="D60" s="25"/>
      <c r="E60" s="25"/>
      <c r="G60" s="165"/>
      <c r="H60" s="165"/>
      <c r="J60" s="99"/>
      <c r="K60" s="99"/>
      <c r="L60" s="99"/>
      <c r="M60" s="99"/>
      <c r="N60" s="99"/>
      <c r="O60" s="99"/>
      <c r="P60" s="99"/>
      <c r="Q60" s="99"/>
      <c r="R60" s="99"/>
      <c r="S60" s="99"/>
    </row>
    <row r="61" spans="2:19" s="15" customFormat="1">
      <c r="B61" s="29"/>
      <c r="C61" s="29"/>
      <c r="D61" s="25"/>
      <c r="E61" s="25"/>
      <c r="G61" s="165"/>
      <c r="H61" s="165"/>
      <c r="J61" s="99"/>
      <c r="K61" s="99"/>
      <c r="L61" s="99"/>
      <c r="M61" s="99"/>
      <c r="N61" s="99"/>
      <c r="O61" s="99"/>
      <c r="P61" s="99"/>
      <c r="Q61" s="99"/>
      <c r="R61" s="99"/>
      <c r="S61" s="99"/>
    </row>
    <row r="62" spans="2:19" s="15" customFormat="1">
      <c r="B62" s="29"/>
      <c r="C62" s="29"/>
      <c r="D62" s="25"/>
      <c r="E62" s="25"/>
      <c r="G62" s="165"/>
      <c r="H62" s="165"/>
      <c r="J62" s="99"/>
      <c r="K62" s="99"/>
      <c r="L62" s="99"/>
      <c r="M62" s="99"/>
      <c r="N62" s="99"/>
      <c r="O62" s="99"/>
      <c r="P62" s="99"/>
      <c r="Q62" s="99"/>
      <c r="R62" s="99"/>
      <c r="S62" s="99"/>
    </row>
    <row r="63" spans="2:19" s="15" customFormat="1">
      <c r="B63" s="29"/>
      <c r="C63" s="29"/>
      <c r="D63" s="25"/>
      <c r="E63" s="25"/>
      <c r="G63" s="165"/>
      <c r="H63" s="165"/>
      <c r="J63" s="99"/>
      <c r="K63" s="99"/>
      <c r="L63" s="99"/>
      <c r="M63" s="99"/>
      <c r="N63" s="99"/>
      <c r="O63" s="99"/>
      <c r="P63" s="99"/>
      <c r="Q63" s="99"/>
      <c r="R63" s="99"/>
      <c r="S63" s="99"/>
    </row>
    <row r="64" spans="2:19" s="15" customFormat="1">
      <c r="B64" s="29"/>
      <c r="C64" s="29"/>
      <c r="D64" s="25"/>
      <c r="E64" s="25"/>
      <c r="G64" s="165"/>
      <c r="H64" s="165"/>
      <c r="J64" s="99"/>
      <c r="K64" s="99"/>
      <c r="L64" s="99"/>
      <c r="M64" s="99"/>
      <c r="N64" s="99"/>
      <c r="O64" s="99"/>
      <c r="P64" s="99"/>
      <c r="Q64" s="99"/>
      <c r="R64" s="99"/>
      <c r="S64" s="99"/>
    </row>
    <row r="65" spans="2:19" s="15" customFormat="1">
      <c r="B65" s="29"/>
      <c r="C65" s="29"/>
      <c r="D65" s="25"/>
      <c r="E65" s="25"/>
      <c r="G65" s="165"/>
      <c r="H65" s="165"/>
      <c r="J65" s="99"/>
      <c r="K65" s="99"/>
      <c r="L65" s="99"/>
      <c r="M65" s="99"/>
      <c r="N65" s="99"/>
      <c r="O65" s="99"/>
      <c r="P65" s="99"/>
      <c r="Q65" s="99"/>
      <c r="R65" s="99"/>
      <c r="S65" s="99"/>
    </row>
    <row r="66" spans="2:19" s="15" customFormat="1">
      <c r="B66" s="29"/>
      <c r="C66" s="29"/>
      <c r="D66" s="25"/>
      <c r="E66" s="25"/>
      <c r="G66" s="165"/>
      <c r="H66" s="165"/>
      <c r="J66" s="99"/>
      <c r="K66" s="99"/>
      <c r="L66" s="99"/>
      <c r="M66" s="99"/>
      <c r="N66" s="99"/>
      <c r="O66" s="99"/>
      <c r="P66" s="99"/>
      <c r="Q66" s="99"/>
      <c r="R66" s="99"/>
      <c r="S66" s="99"/>
    </row>
    <row r="67" spans="2:19" s="15" customFormat="1">
      <c r="B67" s="29"/>
      <c r="C67" s="29"/>
      <c r="D67" s="25"/>
      <c r="E67" s="25"/>
      <c r="G67" s="165"/>
      <c r="H67" s="165"/>
      <c r="J67" s="99"/>
      <c r="K67" s="99"/>
      <c r="L67" s="99"/>
      <c r="M67" s="99"/>
      <c r="N67" s="99"/>
      <c r="O67" s="99"/>
      <c r="P67" s="99"/>
      <c r="Q67" s="99"/>
      <c r="R67" s="99"/>
      <c r="S67" s="99"/>
    </row>
    <row r="68" spans="2:19" s="15" customFormat="1">
      <c r="B68" s="29"/>
      <c r="C68" s="29"/>
      <c r="D68" s="25"/>
      <c r="E68" s="25"/>
      <c r="G68" s="165"/>
      <c r="H68" s="165"/>
      <c r="J68" s="99"/>
      <c r="K68" s="99"/>
      <c r="L68" s="99"/>
      <c r="M68" s="99"/>
      <c r="N68" s="99"/>
      <c r="O68" s="99"/>
      <c r="P68" s="99"/>
      <c r="Q68" s="99"/>
      <c r="R68" s="99"/>
      <c r="S68" s="99"/>
    </row>
    <row r="69" spans="2:19" s="15" customFormat="1">
      <c r="B69" s="29"/>
      <c r="C69" s="29"/>
      <c r="D69" s="25"/>
      <c r="E69" s="25"/>
      <c r="G69" s="165"/>
      <c r="H69" s="165"/>
      <c r="J69" s="99"/>
      <c r="K69" s="99"/>
      <c r="L69" s="99"/>
      <c r="M69" s="99"/>
      <c r="N69" s="99"/>
      <c r="O69" s="99"/>
      <c r="P69" s="99"/>
      <c r="Q69" s="99"/>
      <c r="R69" s="99"/>
      <c r="S69" s="99"/>
    </row>
    <row r="70" spans="2:19" s="15" customFormat="1">
      <c r="B70" s="29"/>
      <c r="C70" s="29"/>
      <c r="D70" s="25"/>
      <c r="E70" s="25"/>
      <c r="G70" s="165"/>
      <c r="H70" s="165"/>
      <c r="J70" s="99"/>
      <c r="K70" s="99"/>
      <c r="L70" s="99"/>
      <c r="M70" s="99"/>
      <c r="N70" s="99"/>
      <c r="O70" s="99"/>
      <c r="P70" s="99"/>
      <c r="Q70" s="99"/>
      <c r="R70" s="99"/>
      <c r="S70" s="99"/>
    </row>
    <row r="71" spans="2:19" s="15" customFormat="1">
      <c r="B71" s="29"/>
      <c r="C71" s="29"/>
      <c r="D71" s="25"/>
      <c r="E71" s="25"/>
      <c r="G71" s="165"/>
      <c r="H71" s="165"/>
      <c r="J71" s="99"/>
      <c r="K71" s="99"/>
      <c r="L71" s="99"/>
      <c r="M71" s="99"/>
      <c r="N71" s="99"/>
      <c r="O71" s="99"/>
      <c r="P71" s="99"/>
      <c r="Q71" s="99"/>
      <c r="R71" s="99"/>
      <c r="S71" s="99"/>
    </row>
    <row r="72" spans="2:19" s="15" customFormat="1">
      <c r="B72" s="29"/>
      <c r="C72" s="29"/>
      <c r="D72" s="25"/>
      <c r="E72" s="25"/>
      <c r="G72" s="165"/>
      <c r="H72" s="165"/>
      <c r="J72" s="99"/>
      <c r="K72" s="99"/>
      <c r="L72" s="99"/>
      <c r="M72" s="99"/>
      <c r="N72" s="99"/>
      <c r="O72" s="99"/>
      <c r="P72" s="99"/>
      <c r="Q72" s="99"/>
      <c r="R72" s="99"/>
      <c r="S72" s="99"/>
    </row>
    <row r="73" spans="2:19" s="15" customFormat="1">
      <c r="B73" s="29"/>
      <c r="C73" s="29"/>
      <c r="D73" s="25"/>
      <c r="E73" s="25"/>
      <c r="G73" s="165"/>
      <c r="H73" s="165"/>
      <c r="J73" s="99"/>
      <c r="K73" s="99"/>
      <c r="L73" s="99"/>
      <c r="M73" s="99"/>
      <c r="N73" s="99"/>
      <c r="O73" s="99"/>
      <c r="P73" s="99"/>
      <c r="Q73" s="99"/>
      <c r="R73" s="99"/>
      <c r="S73" s="99"/>
    </row>
    <row r="74" spans="2:19" s="15" customFormat="1">
      <c r="B74" s="29"/>
      <c r="C74" s="29"/>
      <c r="D74" s="25"/>
      <c r="E74" s="25"/>
      <c r="G74" s="165"/>
      <c r="H74" s="165"/>
      <c r="J74" s="99"/>
      <c r="K74" s="99"/>
      <c r="L74" s="99"/>
      <c r="M74" s="99"/>
      <c r="N74" s="99"/>
      <c r="O74" s="99"/>
      <c r="P74" s="99"/>
      <c r="Q74" s="99"/>
      <c r="R74" s="99"/>
      <c r="S74" s="99"/>
    </row>
    <row r="75" spans="2:19" s="15" customFormat="1">
      <c r="B75" s="29"/>
      <c r="C75" s="29"/>
      <c r="D75" s="25"/>
      <c r="E75" s="25"/>
      <c r="G75" s="165"/>
      <c r="H75" s="165"/>
      <c r="J75" s="99"/>
      <c r="K75" s="99"/>
      <c r="L75" s="99"/>
      <c r="M75" s="99"/>
      <c r="N75" s="99"/>
      <c r="O75" s="99"/>
      <c r="P75" s="99"/>
      <c r="Q75" s="99"/>
      <c r="R75" s="99"/>
      <c r="S75" s="99"/>
    </row>
    <row r="76" spans="2:19" s="15" customFormat="1">
      <c r="B76" s="29"/>
      <c r="C76" s="29"/>
      <c r="D76" s="25"/>
      <c r="E76" s="25"/>
      <c r="G76" s="165"/>
      <c r="H76" s="165"/>
      <c r="J76" s="99"/>
      <c r="K76" s="99"/>
      <c r="L76" s="99"/>
      <c r="M76" s="99"/>
      <c r="N76" s="99"/>
      <c r="O76" s="99"/>
      <c r="P76" s="99"/>
      <c r="Q76" s="99"/>
      <c r="R76" s="99"/>
      <c r="S76" s="99"/>
    </row>
    <row r="77" spans="2:19" s="15" customFormat="1">
      <c r="B77" s="29"/>
      <c r="C77" s="29"/>
      <c r="D77" s="25"/>
      <c r="E77" s="25"/>
      <c r="G77" s="165"/>
      <c r="H77" s="165"/>
      <c r="J77" s="99"/>
      <c r="K77" s="99"/>
      <c r="L77" s="99"/>
      <c r="M77" s="99"/>
      <c r="N77" s="99"/>
      <c r="O77" s="99"/>
      <c r="P77" s="99"/>
      <c r="Q77" s="99"/>
      <c r="R77" s="99"/>
      <c r="S77" s="99"/>
    </row>
    <row r="78" spans="2:19" s="15" customFormat="1">
      <c r="B78" s="29"/>
      <c r="C78" s="29"/>
      <c r="D78" s="25"/>
      <c r="E78" s="25"/>
      <c r="G78" s="165"/>
      <c r="H78" s="165"/>
      <c r="J78" s="99"/>
      <c r="K78" s="99"/>
      <c r="L78" s="99"/>
      <c r="M78" s="99"/>
      <c r="N78" s="99"/>
      <c r="O78" s="99"/>
      <c r="P78" s="99"/>
      <c r="Q78" s="99"/>
      <c r="R78" s="99"/>
      <c r="S78" s="99"/>
    </row>
    <row r="79" spans="2:19" s="15" customFormat="1">
      <c r="B79" s="29"/>
      <c r="C79" s="29"/>
      <c r="D79" s="25"/>
      <c r="E79" s="25"/>
      <c r="G79" s="165"/>
      <c r="H79" s="165"/>
      <c r="J79" s="99"/>
      <c r="K79" s="99"/>
      <c r="L79" s="99"/>
      <c r="M79" s="99"/>
      <c r="N79" s="99"/>
      <c r="O79" s="99"/>
      <c r="P79" s="99"/>
      <c r="Q79" s="99"/>
      <c r="R79" s="99"/>
      <c r="S79" s="99"/>
    </row>
    <row r="80" spans="2:19" s="15" customFormat="1">
      <c r="B80" s="29"/>
      <c r="C80" s="29"/>
      <c r="D80" s="25"/>
      <c r="E80" s="25"/>
      <c r="G80" s="165"/>
      <c r="H80" s="165"/>
      <c r="J80" s="99"/>
      <c r="K80" s="99"/>
      <c r="L80" s="99"/>
      <c r="M80" s="99"/>
      <c r="N80" s="99"/>
      <c r="O80" s="99"/>
      <c r="P80" s="99"/>
      <c r="Q80" s="99"/>
      <c r="R80" s="99"/>
      <c r="S80" s="99"/>
    </row>
    <row r="81" spans="2:19" s="15" customFormat="1">
      <c r="B81" s="29"/>
      <c r="C81" s="29"/>
      <c r="D81" s="25"/>
      <c r="E81" s="25"/>
      <c r="G81" s="165"/>
      <c r="H81" s="165"/>
      <c r="J81" s="99"/>
      <c r="K81" s="99"/>
      <c r="L81" s="99"/>
      <c r="M81" s="99"/>
      <c r="N81" s="99"/>
      <c r="O81" s="99"/>
      <c r="P81" s="99"/>
      <c r="Q81" s="99"/>
      <c r="R81" s="99"/>
      <c r="S81" s="99"/>
    </row>
    <row r="82" spans="2:19" s="15" customFormat="1">
      <c r="B82" s="29"/>
      <c r="C82" s="29"/>
      <c r="D82" s="25"/>
      <c r="E82" s="25"/>
      <c r="G82" s="165"/>
      <c r="H82" s="165"/>
      <c r="J82" s="99"/>
      <c r="K82" s="99"/>
      <c r="L82" s="99"/>
      <c r="M82" s="99"/>
      <c r="N82" s="99"/>
      <c r="O82" s="99"/>
      <c r="P82" s="99"/>
      <c r="Q82" s="99"/>
      <c r="R82" s="99"/>
      <c r="S82" s="99"/>
    </row>
    <row r="83" spans="2:19" s="15" customFormat="1">
      <c r="B83" s="29"/>
      <c r="C83" s="29"/>
      <c r="D83" s="25"/>
      <c r="E83" s="25"/>
      <c r="G83" s="165"/>
      <c r="H83" s="165"/>
      <c r="J83" s="99"/>
      <c r="K83" s="99"/>
      <c r="L83" s="99"/>
      <c r="M83" s="99"/>
      <c r="N83" s="99"/>
      <c r="O83" s="99"/>
      <c r="P83" s="99"/>
      <c r="Q83" s="99"/>
      <c r="R83" s="99"/>
      <c r="S83" s="99"/>
    </row>
    <row r="84" spans="2:19" s="15" customFormat="1">
      <c r="B84" s="29"/>
      <c r="C84" s="29"/>
      <c r="D84" s="25"/>
      <c r="E84" s="25"/>
      <c r="G84" s="165"/>
      <c r="H84" s="165"/>
      <c r="J84" s="99"/>
      <c r="K84" s="99"/>
      <c r="L84" s="99"/>
      <c r="M84" s="99"/>
      <c r="N84" s="99"/>
      <c r="O84" s="99"/>
      <c r="P84" s="99"/>
      <c r="Q84" s="99"/>
      <c r="R84" s="99"/>
      <c r="S84" s="99"/>
    </row>
    <row r="85" spans="2:19" s="15" customFormat="1">
      <c r="B85" s="29"/>
      <c r="C85" s="29"/>
      <c r="D85" s="25"/>
      <c r="E85" s="25"/>
      <c r="G85" s="165"/>
      <c r="H85" s="165"/>
      <c r="J85" s="99"/>
      <c r="K85" s="99"/>
      <c r="L85" s="99"/>
      <c r="M85" s="99"/>
      <c r="N85" s="99"/>
      <c r="O85" s="99"/>
      <c r="P85" s="99"/>
      <c r="Q85" s="99"/>
      <c r="R85" s="99"/>
      <c r="S85" s="99"/>
    </row>
    <row r="86" spans="2:19" s="15" customFormat="1">
      <c r="B86" s="29"/>
      <c r="C86" s="29"/>
      <c r="D86" s="25"/>
      <c r="E86" s="25"/>
      <c r="G86" s="165"/>
      <c r="H86" s="165"/>
      <c r="J86" s="99"/>
      <c r="K86" s="99"/>
      <c r="L86" s="99"/>
      <c r="M86" s="99"/>
      <c r="N86" s="99"/>
      <c r="O86" s="99"/>
      <c r="P86" s="99"/>
      <c r="Q86" s="99"/>
      <c r="R86" s="99"/>
      <c r="S86" s="99"/>
    </row>
    <row r="87" spans="2:19" s="15" customFormat="1">
      <c r="B87" s="29"/>
      <c r="C87" s="29"/>
      <c r="D87" s="25"/>
      <c r="E87" s="25"/>
      <c r="G87" s="165"/>
      <c r="H87" s="165"/>
      <c r="J87" s="99"/>
      <c r="K87" s="99"/>
      <c r="L87" s="99"/>
      <c r="M87" s="99"/>
      <c r="N87" s="99"/>
      <c r="O87" s="99"/>
      <c r="P87" s="99"/>
      <c r="Q87" s="99"/>
      <c r="R87" s="99"/>
      <c r="S87" s="99"/>
    </row>
    <row r="88" spans="2:19" s="15" customFormat="1">
      <c r="B88" s="29"/>
      <c r="C88" s="29"/>
      <c r="D88" s="25"/>
      <c r="E88" s="25"/>
      <c r="G88" s="165"/>
      <c r="H88" s="165"/>
      <c r="J88" s="99"/>
      <c r="K88" s="99"/>
      <c r="L88" s="99"/>
      <c r="M88" s="99"/>
      <c r="N88" s="99"/>
      <c r="O88" s="99"/>
      <c r="P88" s="99"/>
      <c r="Q88" s="99"/>
      <c r="R88" s="99"/>
      <c r="S88" s="99"/>
    </row>
    <row r="89" spans="2:19" s="15" customFormat="1">
      <c r="B89" s="29"/>
      <c r="C89" s="29"/>
      <c r="D89" s="25"/>
      <c r="E89" s="25"/>
      <c r="G89" s="165"/>
      <c r="H89" s="165"/>
      <c r="J89" s="99"/>
      <c r="K89" s="99"/>
      <c r="L89" s="99"/>
      <c r="M89" s="99"/>
      <c r="N89" s="99"/>
      <c r="O89" s="99"/>
      <c r="P89" s="99"/>
      <c r="Q89" s="99"/>
      <c r="R89" s="99"/>
      <c r="S89" s="99"/>
    </row>
    <row r="90" spans="2:19" s="15" customFormat="1">
      <c r="B90" s="29"/>
      <c r="C90" s="29"/>
      <c r="D90" s="25"/>
      <c r="E90" s="25"/>
      <c r="G90" s="165"/>
      <c r="H90" s="165"/>
      <c r="J90" s="99"/>
      <c r="K90" s="99"/>
      <c r="L90" s="99"/>
      <c r="M90" s="99"/>
      <c r="N90" s="99"/>
      <c r="O90" s="99"/>
      <c r="P90" s="99"/>
      <c r="Q90" s="99"/>
      <c r="R90" s="99"/>
      <c r="S90" s="99"/>
    </row>
    <row r="91" spans="2:19" s="15" customFormat="1">
      <c r="B91" s="29"/>
      <c r="C91" s="29"/>
      <c r="D91" s="25"/>
      <c r="E91" s="25"/>
      <c r="G91" s="165"/>
      <c r="H91" s="165"/>
      <c r="J91" s="99"/>
      <c r="K91" s="99"/>
      <c r="L91" s="99"/>
      <c r="M91" s="99"/>
      <c r="N91" s="99"/>
      <c r="O91" s="99"/>
      <c r="P91" s="99"/>
      <c r="Q91" s="99"/>
      <c r="R91" s="99"/>
      <c r="S91" s="99"/>
    </row>
    <row r="92" spans="2:19" s="15" customFormat="1">
      <c r="B92" s="29"/>
      <c r="C92" s="29"/>
      <c r="D92" s="25"/>
      <c r="E92" s="25"/>
      <c r="G92" s="165"/>
      <c r="H92" s="165"/>
      <c r="J92" s="99"/>
      <c r="K92" s="99"/>
      <c r="L92" s="99"/>
      <c r="M92" s="99"/>
      <c r="N92" s="99"/>
      <c r="O92" s="99"/>
      <c r="P92" s="99"/>
      <c r="Q92" s="99"/>
      <c r="R92" s="99"/>
      <c r="S92" s="99"/>
    </row>
    <row r="93" spans="2:19" s="15" customFormat="1">
      <c r="B93" s="29"/>
      <c r="C93" s="29"/>
      <c r="D93" s="25"/>
      <c r="E93" s="25"/>
      <c r="G93" s="165"/>
      <c r="H93" s="165"/>
      <c r="J93" s="99"/>
      <c r="K93" s="99"/>
      <c r="L93" s="99"/>
      <c r="M93" s="99"/>
      <c r="N93" s="99"/>
      <c r="O93" s="99"/>
      <c r="P93" s="99"/>
      <c r="Q93" s="99"/>
      <c r="R93" s="99"/>
      <c r="S93" s="99"/>
    </row>
    <row r="94" spans="2:19" s="15" customFormat="1">
      <c r="B94" s="29"/>
      <c r="C94" s="29"/>
      <c r="D94" s="25"/>
      <c r="E94" s="25"/>
      <c r="G94" s="165"/>
      <c r="H94" s="165"/>
      <c r="J94" s="99"/>
      <c r="K94" s="99"/>
      <c r="L94" s="99"/>
      <c r="M94" s="99"/>
      <c r="N94" s="99"/>
      <c r="O94" s="99"/>
      <c r="P94" s="99"/>
      <c r="Q94" s="99"/>
      <c r="R94" s="99"/>
      <c r="S94" s="99"/>
    </row>
    <row r="95" spans="2:19" s="15" customFormat="1">
      <c r="B95" s="29"/>
      <c r="C95" s="29"/>
      <c r="D95" s="25"/>
      <c r="E95" s="25"/>
      <c r="G95" s="165"/>
      <c r="H95" s="165"/>
      <c r="J95" s="99"/>
      <c r="K95" s="99"/>
      <c r="L95" s="99"/>
      <c r="M95" s="99"/>
      <c r="N95" s="99"/>
      <c r="O95" s="99"/>
      <c r="P95" s="99"/>
      <c r="Q95" s="99"/>
      <c r="R95" s="99"/>
      <c r="S95" s="99"/>
    </row>
    <row r="96" spans="2:19" s="15" customFormat="1">
      <c r="B96" s="29"/>
      <c r="C96" s="29"/>
      <c r="D96" s="25"/>
      <c r="E96" s="25"/>
      <c r="G96" s="165"/>
      <c r="H96" s="165"/>
      <c r="J96" s="99"/>
      <c r="K96" s="99"/>
      <c r="L96" s="99"/>
      <c r="M96" s="99"/>
      <c r="N96" s="99"/>
      <c r="O96" s="99"/>
      <c r="P96" s="99"/>
      <c r="Q96" s="99"/>
      <c r="R96" s="99"/>
      <c r="S96" s="99"/>
    </row>
    <row r="97" spans="2:19" s="15" customFormat="1">
      <c r="B97" s="29"/>
      <c r="C97" s="29"/>
      <c r="D97" s="25"/>
      <c r="E97" s="25"/>
      <c r="G97" s="165"/>
      <c r="H97" s="165"/>
      <c r="J97" s="99"/>
      <c r="K97" s="99"/>
      <c r="L97" s="99"/>
      <c r="M97" s="99"/>
      <c r="N97" s="99"/>
      <c r="O97" s="99"/>
      <c r="P97" s="99"/>
      <c r="Q97" s="99"/>
      <c r="R97" s="99"/>
      <c r="S97" s="99"/>
    </row>
    <row r="98" spans="2:19" s="15" customFormat="1">
      <c r="B98" s="29"/>
      <c r="C98" s="29"/>
      <c r="D98" s="25"/>
      <c r="E98" s="25"/>
      <c r="G98" s="165"/>
      <c r="H98" s="165"/>
      <c r="J98" s="99"/>
      <c r="K98" s="99"/>
      <c r="L98" s="99"/>
      <c r="M98" s="99"/>
      <c r="N98" s="99"/>
      <c r="O98" s="99"/>
      <c r="P98" s="99"/>
      <c r="Q98" s="99"/>
      <c r="R98" s="99"/>
      <c r="S98" s="99"/>
    </row>
    <row r="99" spans="2:19" s="15" customFormat="1">
      <c r="B99" s="29"/>
      <c r="C99" s="29"/>
      <c r="D99" s="25"/>
      <c r="E99" s="25"/>
      <c r="G99" s="165"/>
      <c r="H99" s="165"/>
      <c r="J99" s="99"/>
      <c r="K99" s="99"/>
      <c r="L99" s="99"/>
      <c r="M99" s="99"/>
      <c r="N99" s="99"/>
      <c r="O99" s="99"/>
      <c r="P99" s="99"/>
      <c r="Q99" s="99"/>
      <c r="R99" s="99"/>
      <c r="S99" s="99"/>
    </row>
    <row r="100" spans="2:19" s="15" customFormat="1">
      <c r="B100" s="29"/>
      <c r="C100" s="29"/>
      <c r="D100" s="25"/>
      <c r="E100" s="25"/>
      <c r="G100" s="165"/>
      <c r="H100" s="165"/>
      <c r="J100" s="99"/>
      <c r="K100" s="99"/>
      <c r="L100" s="99"/>
      <c r="M100" s="99"/>
      <c r="N100" s="99"/>
      <c r="O100" s="99"/>
      <c r="P100" s="99"/>
      <c r="Q100" s="99"/>
      <c r="R100" s="99"/>
      <c r="S100" s="99"/>
    </row>
    <row r="101" spans="2:19" s="15" customFormat="1">
      <c r="B101" s="29"/>
      <c r="C101" s="29"/>
      <c r="D101" s="25"/>
      <c r="E101" s="25"/>
      <c r="G101" s="165"/>
      <c r="H101" s="165"/>
      <c r="J101" s="99"/>
      <c r="K101" s="99"/>
      <c r="L101" s="99"/>
      <c r="M101" s="99"/>
      <c r="N101" s="99"/>
      <c r="O101" s="99"/>
      <c r="P101" s="99"/>
      <c r="Q101" s="99"/>
      <c r="R101" s="99"/>
      <c r="S101" s="99"/>
    </row>
    <row r="102" spans="2:19" s="15" customFormat="1">
      <c r="B102" s="29"/>
      <c r="C102" s="29"/>
      <c r="D102" s="25"/>
      <c r="E102" s="25"/>
      <c r="G102" s="165"/>
      <c r="H102" s="165"/>
      <c r="J102" s="99"/>
      <c r="K102" s="99"/>
      <c r="L102" s="99"/>
      <c r="M102" s="99"/>
      <c r="N102" s="99"/>
      <c r="O102" s="99"/>
      <c r="P102" s="99"/>
      <c r="Q102" s="99"/>
      <c r="R102" s="99"/>
      <c r="S102" s="99"/>
    </row>
    <row r="103" spans="2:19" s="15" customFormat="1">
      <c r="B103" s="29"/>
      <c r="C103" s="29"/>
      <c r="D103" s="25"/>
      <c r="E103" s="25"/>
      <c r="G103" s="165"/>
      <c r="H103" s="165"/>
      <c r="J103" s="99"/>
      <c r="K103" s="99"/>
      <c r="L103" s="99"/>
      <c r="M103" s="99"/>
      <c r="N103" s="99"/>
      <c r="O103" s="99"/>
      <c r="P103" s="99"/>
      <c r="Q103" s="99"/>
      <c r="R103" s="99"/>
      <c r="S103" s="99"/>
    </row>
    <row r="104" spans="2:19" s="15" customFormat="1">
      <c r="B104" s="29"/>
      <c r="C104" s="29"/>
      <c r="D104" s="25"/>
      <c r="E104" s="25"/>
      <c r="G104" s="165"/>
      <c r="H104" s="165"/>
      <c r="J104" s="99"/>
      <c r="K104" s="99"/>
      <c r="L104" s="99"/>
      <c r="M104" s="99"/>
      <c r="N104" s="99"/>
      <c r="O104" s="99"/>
      <c r="P104" s="99"/>
      <c r="Q104" s="99"/>
      <c r="R104" s="99"/>
      <c r="S104" s="99"/>
    </row>
    <row r="105" spans="2:19" s="15" customFormat="1">
      <c r="B105" s="29"/>
      <c r="C105" s="29"/>
      <c r="D105" s="25"/>
      <c r="E105" s="25"/>
      <c r="G105" s="165"/>
      <c r="H105" s="165"/>
      <c r="J105" s="99"/>
      <c r="K105" s="99"/>
      <c r="L105" s="99"/>
      <c r="M105" s="99"/>
      <c r="N105" s="99"/>
      <c r="O105" s="99"/>
      <c r="P105" s="99"/>
      <c r="Q105" s="99"/>
      <c r="R105" s="99"/>
      <c r="S105" s="99"/>
    </row>
    <row r="106" spans="2:19" s="15" customFormat="1">
      <c r="B106" s="29"/>
      <c r="C106" s="29"/>
      <c r="D106" s="25"/>
      <c r="E106" s="25"/>
      <c r="G106" s="165"/>
      <c r="H106" s="165"/>
      <c r="J106" s="99"/>
      <c r="K106" s="99"/>
      <c r="L106" s="99"/>
      <c r="M106" s="99"/>
      <c r="N106" s="99"/>
      <c r="O106" s="99"/>
      <c r="P106" s="99"/>
      <c r="Q106" s="99"/>
      <c r="R106" s="99"/>
      <c r="S106" s="99"/>
    </row>
    <row r="107" spans="2:19" s="15" customFormat="1">
      <c r="B107" s="29"/>
      <c r="C107" s="29"/>
      <c r="D107" s="25"/>
      <c r="E107" s="25"/>
      <c r="G107" s="165"/>
      <c r="H107" s="165"/>
      <c r="J107" s="99"/>
      <c r="K107" s="99"/>
      <c r="L107" s="99"/>
      <c r="M107" s="99"/>
      <c r="N107" s="99"/>
      <c r="O107" s="99"/>
      <c r="P107" s="99"/>
      <c r="Q107" s="99"/>
      <c r="R107" s="99"/>
      <c r="S107" s="99"/>
    </row>
    <row r="108" spans="2:19" s="15" customFormat="1">
      <c r="B108" s="29"/>
      <c r="C108" s="29"/>
      <c r="D108" s="25"/>
      <c r="E108" s="25"/>
      <c r="G108" s="165"/>
      <c r="H108" s="165"/>
      <c r="J108" s="99"/>
      <c r="K108" s="99"/>
      <c r="L108" s="99"/>
      <c r="M108" s="99"/>
      <c r="N108" s="99"/>
      <c r="O108" s="99"/>
      <c r="P108" s="99"/>
      <c r="Q108" s="99"/>
      <c r="R108" s="99"/>
      <c r="S108" s="99"/>
    </row>
    <row r="109" spans="2:19" s="15" customFormat="1">
      <c r="B109" s="29"/>
      <c r="C109" s="29"/>
      <c r="D109" s="25"/>
      <c r="E109" s="25"/>
      <c r="G109" s="165"/>
      <c r="H109" s="165"/>
      <c r="J109" s="99"/>
      <c r="K109" s="99"/>
      <c r="L109" s="99"/>
      <c r="M109" s="99"/>
      <c r="N109" s="99"/>
      <c r="O109" s="99"/>
      <c r="P109" s="99"/>
      <c r="Q109" s="99"/>
      <c r="R109" s="99"/>
      <c r="S109" s="99"/>
    </row>
    <row r="110" spans="2:19" s="15" customFormat="1">
      <c r="B110" s="29"/>
      <c r="C110" s="29"/>
      <c r="D110" s="25"/>
      <c r="E110" s="25"/>
      <c r="G110" s="165"/>
      <c r="H110" s="165"/>
      <c r="J110" s="99"/>
      <c r="K110" s="99"/>
      <c r="L110" s="99"/>
      <c r="M110" s="99"/>
      <c r="N110" s="99"/>
      <c r="O110" s="99"/>
      <c r="P110" s="99"/>
      <c r="Q110" s="99"/>
      <c r="R110" s="99"/>
      <c r="S110" s="99"/>
    </row>
    <row r="111" spans="2:19" s="15" customFormat="1">
      <c r="B111" s="29"/>
      <c r="C111" s="29"/>
      <c r="D111" s="25"/>
      <c r="E111" s="25"/>
      <c r="G111" s="165"/>
      <c r="H111" s="165"/>
      <c r="J111" s="99"/>
      <c r="K111" s="99"/>
      <c r="L111" s="99"/>
      <c r="M111" s="99"/>
      <c r="N111" s="99"/>
      <c r="O111" s="99"/>
      <c r="P111" s="99"/>
      <c r="Q111" s="99"/>
      <c r="R111" s="99"/>
      <c r="S111" s="99"/>
    </row>
    <row r="112" spans="2:19" s="15" customFormat="1">
      <c r="B112" s="29"/>
      <c r="C112" s="29"/>
      <c r="D112" s="25"/>
      <c r="E112" s="25"/>
      <c r="G112" s="165"/>
      <c r="H112" s="165"/>
      <c r="J112" s="99"/>
      <c r="K112" s="99"/>
      <c r="L112" s="99"/>
      <c r="M112" s="99"/>
      <c r="N112" s="99"/>
      <c r="O112" s="99"/>
      <c r="P112" s="99"/>
      <c r="Q112" s="99"/>
      <c r="R112" s="99"/>
      <c r="S112" s="99"/>
    </row>
    <row r="113" spans="2:19" s="15" customFormat="1">
      <c r="B113" s="29"/>
      <c r="C113" s="29"/>
      <c r="D113" s="25"/>
      <c r="E113" s="25"/>
      <c r="G113" s="165"/>
      <c r="H113" s="165"/>
      <c r="J113" s="99"/>
      <c r="K113" s="99"/>
      <c r="L113" s="99"/>
      <c r="M113" s="99"/>
      <c r="N113" s="99"/>
      <c r="O113" s="99"/>
      <c r="P113" s="99"/>
      <c r="Q113" s="99"/>
      <c r="R113" s="99"/>
      <c r="S113" s="99"/>
    </row>
    <row r="114" spans="2:19" s="15" customFormat="1">
      <c r="B114" s="29"/>
      <c r="C114" s="29"/>
      <c r="D114" s="25"/>
      <c r="E114" s="25"/>
      <c r="G114" s="165"/>
      <c r="H114" s="165"/>
      <c r="J114" s="99"/>
      <c r="K114" s="99"/>
      <c r="L114" s="99"/>
      <c r="M114" s="99"/>
      <c r="N114" s="99"/>
      <c r="O114" s="99"/>
      <c r="P114" s="99"/>
      <c r="Q114" s="99"/>
      <c r="R114" s="99"/>
      <c r="S114" s="99"/>
    </row>
    <row r="115" spans="2:19" s="15" customFormat="1">
      <c r="B115" s="29"/>
      <c r="C115" s="29"/>
      <c r="D115" s="25"/>
      <c r="E115" s="25"/>
      <c r="G115" s="165"/>
      <c r="H115" s="165"/>
      <c r="J115" s="99"/>
      <c r="K115" s="99"/>
      <c r="L115" s="99"/>
      <c r="M115" s="99"/>
      <c r="N115" s="99"/>
      <c r="O115" s="99"/>
      <c r="P115" s="99"/>
      <c r="Q115" s="99"/>
      <c r="R115" s="99"/>
      <c r="S115" s="99"/>
    </row>
    <row r="116" spans="2:19" s="15" customFormat="1">
      <c r="B116" s="29"/>
      <c r="C116" s="29"/>
      <c r="D116" s="25"/>
      <c r="E116" s="25"/>
      <c r="G116" s="165"/>
      <c r="H116" s="165"/>
      <c r="J116" s="99"/>
      <c r="K116" s="99"/>
      <c r="L116" s="99"/>
      <c r="M116" s="99"/>
      <c r="N116" s="99"/>
      <c r="O116" s="99"/>
      <c r="P116" s="99"/>
      <c r="Q116" s="99"/>
      <c r="R116" s="99"/>
      <c r="S116" s="99"/>
    </row>
    <row r="117" spans="2:19" s="15" customFormat="1">
      <c r="B117" s="29"/>
      <c r="C117" s="29"/>
      <c r="D117" s="25"/>
      <c r="E117" s="25"/>
      <c r="G117" s="165"/>
      <c r="H117" s="165"/>
      <c r="J117" s="99"/>
      <c r="K117" s="99"/>
      <c r="L117" s="99"/>
      <c r="M117" s="99"/>
      <c r="N117" s="99"/>
      <c r="O117" s="99"/>
      <c r="P117" s="99"/>
      <c r="Q117" s="99"/>
      <c r="R117" s="99"/>
      <c r="S117" s="99"/>
    </row>
    <row r="118" spans="2:19" s="15" customFormat="1">
      <c r="B118" s="29"/>
      <c r="C118" s="29"/>
      <c r="D118" s="25"/>
      <c r="E118" s="25"/>
      <c r="G118" s="165"/>
      <c r="H118" s="165"/>
      <c r="J118" s="99"/>
      <c r="K118" s="99"/>
      <c r="L118" s="99"/>
      <c r="M118" s="99"/>
      <c r="N118" s="99"/>
      <c r="O118" s="99"/>
      <c r="P118" s="99"/>
      <c r="Q118" s="99"/>
      <c r="R118" s="99"/>
      <c r="S118" s="99"/>
    </row>
    <row r="119" spans="2:19" s="15" customFormat="1">
      <c r="B119" s="29"/>
      <c r="C119" s="29"/>
      <c r="D119" s="25"/>
      <c r="E119" s="25"/>
      <c r="G119" s="165"/>
      <c r="H119" s="165"/>
      <c r="J119" s="99"/>
      <c r="K119" s="99"/>
      <c r="L119" s="99"/>
      <c r="M119" s="99"/>
      <c r="N119" s="99"/>
      <c r="O119" s="99"/>
      <c r="P119" s="99"/>
      <c r="Q119" s="99"/>
      <c r="R119" s="99"/>
      <c r="S119" s="99"/>
    </row>
    <row r="120" spans="2:19" s="15" customFormat="1">
      <c r="B120" s="29"/>
      <c r="C120" s="29"/>
      <c r="D120" s="25"/>
      <c r="E120" s="25"/>
      <c r="G120" s="165"/>
      <c r="H120" s="165"/>
      <c r="J120" s="99"/>
      <c r="K120" s="99"/>
      <c r="L120" s="99"/>
      <c r="M120" s="99"/>
      <c r="N120" s="99"/>
      <c r="O120" s="99"/>
      <c r="P120" s="99"/>
      <c r="Q120" s="99"/>
      <c r="R120" s="99"/>
      <c r="S120" s="99"/>
    </row>
    <row r="121" spans="2:19" s="15" customFormat="1">
      <c r="B121" s="29"/>
      <c r="C121" s="29"/>
      <c r="D121" s="25"/>
      <c r="E121" s="25"/>
      <c r="G121" s="165"/>
      <c r="H121" s="165"/>
      <c r="J121" s="99"/>
      <c r="K121" s="99"/>
      <c r="L121" s="99"/>
      <c r="M121" s="99"/>
      <c r="N121" s="99"/>
      <c r="O121" s="99"/>
      <c r="P121" s="99"/>
      <c r="Q121" s="99"/>
      <c r="R121" s="99"/>
      <c r="S121" s="99"/>
    </row>
    <row r="122" spans="2:19" s="15" customFormat="1">
      <c r="B122" s="29"/>
      <c r="C122" s="29"/>
      <c r="D122" s="25"/>
      <c r="E122" s="25"/>
      <c r="G122" s="165"/>
      <c r="H122" s="165"/>
      <c r="J122" s="99"/>
      <c r="K122" s="99"/>
      <c r="L122" s="99"/>
      <c r="M122" s="99"/>
      <c r="N122" s="99"/>
      <c r="O122" s="99"/>
      <c r="P122" s="99"/>
      <c r="Q122" s="99"/>
      <c r="R122" s="99"/>
      <c r="S122" s="99"/>
    </row>
    <row r="123" spans="2:19" s="15" customFormat="1">
      <c r="B123" s="29"/>
      <c r="C123" s="29"/>
      <c r="D123" s="25"/>
      <c r="E123" s="25"/>
      <c r="G123" s="165"/>
      <c r="H123" s="165"/>
      <c r="J123" s="99"/>
      <c r="K123" s="99"/>
      <c r="L123" s="99"/>
      <c r="M123" s="99"/>
      <c r="N123" s="99"/>
      <c r="O123" s="99"/>
      <c r="P123" s="99"/>
      <c r="Q123" s="99"/>
      <c r="R123" s="99"/>
      <c r="S123" s="99"/>
    </row>
    <row r="124" spans="2:19" s="15" customFormat="1">
      <c r="B124" s="29"/>
      <c r="C124" s="29"/>
      <c r="D124" s="25"/>
      <c r="E124" s="25"/>
      <c r="G124" s="165"/>
      <c r="H124" s="165"/>
      <c r="J124" s="99"/>
      <c r="K124" s="99"/>
      <c r="L124" s="99"/>
      <c r="M124" s="99"/>
      <c r="N124" s="99"/>
      <c r="O124" s="99"/>
      <c r="P124" s="99"/>
      <c r="Q124" s="99"/>
      <c r="R124" s="99"/>
      <c r="S124" s="99"/>
    </row>
    <row r="125" spans="2:19" s="15" customFormat="1">
      <c r="B125" s="29"/>
      <c r="C125" s="29"/>
      <c r="D125" s="25"/>
      <c r="E125" s="25"/>
      <c r="G125" s="165"/>
      <c r="H125" s="165"/>
      <c r="J125" s="99"/>
      <c r="K125" s="99"/>
      <c r="L125" s="99"/>
      <c r="M125" s="99"/>
      <c r="N125" s="99"/>
      <c r="O125" s="99"/>
      <c r="P125" s="99"/>
      <c r="Q125" s="99"/>
      <c r="R125" s="99"/>
      <c r="S125" s="99"/>
    </row>
    <row r="126" spans="2:19" s="15" customFormat="1">
      <c r="B126" s="29"/>
      <c r="C126" s="29"/>
      <c r="D126" s="25"/>
      <c r="E126" s="25"/>
      <c r="G126" s="165"/>
      <c r="H126" s="165"/>
      <c r="J126" s="99"/>
      <c r="K126" s="99"/>
      <c r="L126" s="99"/>
      <c r="M126" s="99"/>
      <c r="N126" s="99"/>
      <c r="O126" s="99"/>
      <c r="P126" s="99"/>
      <c r="Q126" s="99"/>
      <c r="R126" s="99"/>
      <c r="S126" s="99"/>
    </row>
    <row r="127" spans="2:19" s="15" customFormat="1">
      <c r="B127" s="29"/>
      <c r="C127" s="29"/>
      <c r="D127" s="25"/>
      <c r="E127" s="25"/>
      <c r="G127" s="165"/>
      <c r="H127" s="165"/>
      <c r="J127" s="99"/>
      <c r="K127" s="99"/>
      <c r="L127" s="99"/>
      <c r="M127" s="99"/>
      <c r="N127" s="99"/>
      <c r="O127" s="99"/>
      <c r="P127" s="99"/>
      <c r="Q127" s="99"/>
      <c r="R127" s="99"/>
      <c r="S127" s="99"/>
    </row>
    <row r="128" spans="2:19" s="15" customFormat="1">
      <c r="B128" s="29"/>
      <c r="C128" s="29"/>
      <c r="D128" s="25"/>
      <c r="E128" s="25"/>
      <c r="G128" s="165"/>
      <c r="H128" s="165"/>
      <c r="J128" s="99"/>
      <c r="K128" s="99"/>
      <c r="L128" s="99"/>
      <c r="M128" s="99"/>
      <c r="N128" s="99"/>
      <c r="O128" s="99"/>
      <c r="P128" s="99"/>
      <c r="Q128" s="99"/>
      <c r="R128" s="99"/>
      <c r="S128" s="99"/>
    </row>
    <row r="129" spans="2:19" s="15" customFormat="1">
      <c r="B129" s="29"/>
      <c r="C129" s="29"/>
      <c r="D129" s="25"/>
      <c r="E129" s="25"/>
      <c r="G129" s="165"/>
      <c r="H129" s="165"/>
      <c r="J129" s="99"/>
      <c r="K129" s="99"/>
      <c r="L129" s="99"/>
      <c r="M129" s="99"/>
      <c r="N129" s="99"/>
      <c r="O129" s="99"/>
      <c r="P129" s="99"/>
      <c r="Q129" s="99"/>
      <c r="R129" s="99"/>
      <c r="S129" s="99"/>
    </row>
    <row r="130" spans="2:19" s="15" customFormat="1">
      <c r="B130" s="29"/>
      <c r="C130" s="29"/>
      <c r="D130" s="25"/>
      <c r="E130" s="25"/>
      <c r="G130" s="165"/>
      <c r="H130" s="165"/>
      <c r="J130" s="99"/>
      <c r="K130" s="99"/>
      <c r="L130" s="99"/>
      <c r="M130" s="99"/>
      <c r="N130" s="99"/>
      <c r="O130" s="99"/>
      <c r="P130" s="99"/>
      <c r="Q130" s="99"/>
      <c r="R130" s="99"/>
      <c r="S130" s="99"/>
    </row>
    <row r="131" spans="2:19" s="15" customFormat="1">
      <c r="B131" s="29"/>
      <c r="C131" s="29"/>
      <c r="D131" s="25"/>
      <c r="E131" s="25"/>
      <c r="G131" s="165"/>
      <c r="H131" s="165"/>
      <c r="J131" s="99"/>
      <c r="K131" s="99"/>
      <c r="L131" s="99"/>
      <c r="M131" s="99"/>
      <c r="N131" s="99"/>
      <c r="O131" s="99"/>
      <c r="P131" s="99"/>
      <c r="Q131" s="99"/>
      <c r="R131" s="99"/>
      <c r="S131" s="99"/>
    </row>
    <row r="132" spans="2:19" s="15" customFormat="1">
      <c r="B132" s="29"/>
      <c r="C132" s="29"/>
      <c r="D132" s="25"/>
      <c r="E132" s="25"/>
      <c r="G132" s="165"/>
      <c r="H132" s="165"/>
      <c r="J132" s="99"/>
      <c r="K132" s="99"/>
      <c r="L132" s="99"/>
      <c r="M132" s="99"/>
      <c r="N132" s="99"/>
      <c r="O132" s="99"/>
      <c r="P132" s="99"/>
      <c r="Q132" s="99"/>
      <c r="R132" s="99"/>
      <c r="S132" s="99"/>
    </row>
    <row r="133" spans="2:19" s="15" customFormat="1">
      <c r="B133" s="29"/>
      <c r="C133" s="29"/>
      <c r="D133" s="25"/>
      <c r="E133" s="25"/>
      <c r="G133" s="165"/>
      <c r="H133" s="165"/>
      <c r="J133" s="99"/>
      <c r="K133" s="99"/>
      <c r="L133" s="99"/>
      <c r="M133" s="99"/>
      <c r="N133" s="99"/>
      <c r="O133" s="99"/>
      <c r="P133" s="99"/>
      <c r="Q133" s="99"/>
      <c r="R133" s="99"/>
      <c r="S133" s="99"/>
    </row>
    <row r="134" spans="2:19" s="15" customFormat="1">
      <c r="B134" s="29"/>
      <c r="C134" s="29"/>
      <c r="D134" s="25"/>
      <c r="E134" s="25"/>
      <c r="G134" s="165"/>
      <c r="H134" s="165"/>
      <c r="J134" s="99"/>
      <c r="K134" s="99"/>
      <c r="L134" s="99"/>
      <c r="M134" s="99"/>
      <c r="N134" s="99"/>
      <c r="O134" s="99"/>
      <c r="P134" s="99"/>
      <c r="Q134" s="99"/>
      <c r="R134" s="99"/>
      <c r="S134" s="99"/>
    </row>
    <row r="135" spans="2:19" s="15" customFormat="1">
      <c r="B135" s="29"/>
      <c r="C135" s="29"/>
      <c r="D135" s="25"/>
      <c r="E135" s="25"/>
      <c r="G135" s="165"/>
      <c r="H135" s="165"/>
      <c r="J135" s="99"/>
      <c r="K135" s="99"/>
      <c r="L135" s="99"/>
      <c r="M135" s="99"/>
      <c r="N135" s="99"/>
      <c r="O135" s="99"/>
      <c r="P135" s="99"/>
      <c r="Q135" s="99"/>
      <c r="R135" s="99"/>
      <c r="S135" s="99"/>
    </row>
    <row r="136" spans="2:19" s="15" customFormat="1">
      <c r="B136" s="29"/>
      <c r="C136" s="29"/>
      <c r="D136" s="25"/>
      <c r="E136" s="25"/>
      <c r="G136" s="165"/>
      <c r="H136" s="165"/>
      <c r="J136" s="99"/>
      <c r="K136" s="99"/>
      <c r="L136" s="99"/>
      <c r="M136" s="99"/>
      <c r="N136" s="99"/>
      <c r="O136" s="99"/>
      <c r="P136" s="99"/>
      <c r="Q136" s="99"/>
      <c r="R136" s="99"/>
      <c r="S136" s="99"/>
    </row>
    <row r="137" spans="2:19" s="15" customFormat="1">
      <c r="B137" s="29"/>
      <c r="C137" s="29"/>
      <c r="D137" s="25"/>
      <c r="E137" s="25"/>
      <c r="G137" s="165"/>
      <c r="H137" s="165"/>
      <c r="J137" s="99"/>
      <c r="K137" s="99"/>
      <c r="L137" s="99"/>
      <c r="M137" s="99"/>
      <c r="N137" s="99"/>
      <c r="O137" s="99"/>
      <c r="P137" s="99"/>
      <c r="Q137" s="99"/>
      <c r="R137" s="99"/>
      <c r="S137" s="99"/>
    </row>
    <row r="138" spans="2:19" s="15" customFormat="1">
      <c r="B138" s="29"/>
      <c r="C138" s="29"/>
      <c r="D138" s="25"/>
      <c r="E138" s="25"/>
      <c r="G138" s="165"/>
      <c r="H138" s="165"/>
      <c r="J138" s="99"/>
      <c r="K138" s="99"/>
      <c r="L138" s="99"/>
      <c r="M138" s="99"/>
      <c r="N138" s="99"/>
      <c r="O138" s="99"/>
      <c r="P138" s="99"/>
      <c r="Q138" s="99"/>
      <c r="R138" s="99"/>
      <c r="S138" s="99"/>
    </row>
    <row r="139" spans="2:19" s="15" customFormat="1">
      <c r="B139" s="29"/>
      <c r="C139" s="29"/>
      <c r="D139" s="25"/>
      <c r="E139" s="25"/>
      <c r="G139" s="165"/>
      <c r="H139" s="165"/>
      <c r="J139" s="99"/>
      <c r="K139" s="99"/>
      <c r="L139" s="99"/>
      <c r="M139" s="99"/>
      <c r="N139" s="99"/>
      <c r="O139" s="99"/>
      <c r="P139" s="99"/>
      <c r="Q139" s="99"/>
      <c r="R139" s="99"/>
      <c r="S139" s="99"/>
    </row>
    <row r="140" spans="2:19" s="15" customFormat="1">
      <c r="B140" s="29"/>
      <c r="C140" s="29"/>
      <c r="D140" s="25"/>
      <c r="E140" s="25"/>
      <c r="G140" s="165"/>
      <c r="H140" s="165"/>
      <c r="J140" s="99"/>
      <c r="K140" s="99"/>
      <c r="L140" s="99"/>
      <c r="M140" s="99"/>
      <c r="N140" s="99"/>
      <c r="O140" s="99"/>
      <c r="P140" s="99"/>
      <c r="Q140" s="99"/>
      <c r="R140" s="99"/>
      <c r="S140" s="99"/>
    </row>
    <row r="141" spans="2:19" s="15" customFormat="1">
      <c r="B141" s="29"/>
      <c r="C141" s="29"/>
      <c r="D141" s="25"/>
      <c r="E141" s="25"/>
      <c r="G141" s="165"/>
      <c r="H141" s="165"/>
      <c r="J141" s="99"/>
      <c r="K141" s="99"/>
      <c r="L141" s="99"/>
      <c r="M141" s="99"/>
      <c r="N141" s="99"/>
      <c r="O141" s="99"/>
      <c r="P141" s="99"/>
      <c r="Q141" s="99"/>
      <c r="R141" s="99"/>
      <c r="S141" s="99"/>
    </row>
    <row r="142" spans="2:19" s="15" customFormat="1">
      <c r="B142" s="29"/>
      <c r="C142" s="29"/>
      <c r="D142" s="25"/>
      <c r="E142" s="25"/>
      <c r="G142" s="165"/>
      <c r="H142" s="165"/>
      <c r="J142" s="99"/>
      <c r="K142" s="99"/>
      <c r="L142" s="99"/>
      <c r="M142" s="99"/>
      <c r="N142" s="99"/>
      <c r="O142" s="99"/>
      <c r="P142" s="99"/>
      <c r="Q142" s="99"/>
      <c r="R142" s="99"/>
      <c r="S142" s="99"/>
    </row>
    <row r="143" spans="2:19" s="15" customFormat="1">
      <c r="B143" s="29"/>
      <c r="C143" s="29"/>
      <c r="D143" s="25"/>
      <c r="E143" s="25"/>
      <c r="G143" s="165"/>
      <c r="H143" s="165"/>
      <c r="J143" s="99"/>
      <c r="K143" s="99"/>
      <c r="L143" s="99"/>
      <c r="M143" s="99"/>
      <c r="N143" s="99"/>
      <c r="O143" s="99"/>
      <c r="P143" s="99"/>
      <c r="Q143" s="99"/>
      <c r="R143" s="99"/>
      <c r="S143" s="99"/>
    </row>
    <row r="144" spans="2:19" s="15" customFormat="1">
      <c r="B144" s="29"/>
      <c r="C144" s="29"/>
      <c r="D144" s="25"/>
      <c r="E144" s="25"/>
      <c r="G144" s="165"/>
      <c r="H144" s="165"/>
      <c r="J144" s="99"/>
      <c r="K144" s="99"/>
      <c r="L144" s="99"/>
      <c r="M144" s="99"/>
      <c r="N144" s="99"/>
      <c r="O144" s="99"/>
      <c r="P144" s="99"/>
      <c r="Q144" s="99"/>
      <c r="R144" s="99"/>
      <c r="S144" s="99"/>
    </row>
    <row r="145" spans="2:19" s="15" customFormat="1">
      <c r="B145" s="29"/>
      <c r="C145" s="29"/>
      <c r="D145" s="25"/>
      <c r="E145" s="25"/>
      <c r="G145" s="165"/>
      <c r="H145" s="165"/>
      <c r="J145" s="99"/>
      <c r="K145" s="99"/>
      <c r="L145" s="99"/>
      <c r="M145" s="99"/>
      <c r="N145" s="99"/>
      <c r="O145" s="99"/>
      <c r="P145" s="99"/>
      <c r="Q145" s="99"/>
      <c r="R145" s="99"/>
      <c r="S145" s="99"/>
    </row>
    <row r="146" spans="2:19" s="15" customFormat="1">
      <c r="B146" s="29"/>
      <c r="C146" s="29"/>
      <c r="D146" s="25"/>
      <c r="E146" s="25"/>
      <c r="G146" s="165"/>
      <c r="H146" s="165"/>
      <c r="J146" s="99"/>
      <c r="K146" s="99"/>
      <c r="L146" s="99"/>
      <c r="M146" s="99"/>
      <c r="N146" s="99"/>
      <c r="O146" s="99"/>
      <c r="P146" s="99"/>
      <c r="Q146" s="99"/>
      <c r="R146" s="99"/>
      <c r="S146" s="99"/>
    </row>
    <row r="147" spans="2:19" s="15" customFormat="1">
      <c r="B147" s="29"/>
      <c r="C147" s="29"/>
      <c r="D147" s="25"/>
      <c r="E147" s="25"/>
      <c r="G147" s="165"/>
      <c r="H147" s="165"/>
      <c r="J147" s="99"/>
      <c r="K147" s="99"/>
      <c r="L147" s="99"/>
      <c r="M147" s="99"/>
      <c r="N147" s="99"/>
      <c r="O147" s="99"/>
      <c r="P147" s="99"/>
      <c r="Q147" s="99"/>
      <c r="R147" s="99"/>
      <c r="S147" s="99"/>
    </row>
    <row r="148" spans="2:19" s="15" customFormat="1">
      <c r="B148" s="29"/>
      <c r="C148" s="29"/>
      <c r="D148" s="25"/>
      <c r="E148" s="25"/>
      <c r="G148" s="165"/>
      <c r="H148" s="165"/>
      <c r="J148" s="99"/>
      <c r="K148" s="99"/>
      <c r="L148" s="99"/>
      <c r="M148" s="99"/>
      <c r="N148" s="99"/>
      <c r="O148" s="99"/>
      <c r="P148" s="99"/>
      <c r="Q148" s="99"/>
      <c r="R148" s="99"/>
      <c r="S148" s="99"/>
    </row>
    <row r="149" spans="2:19" s="15" customFormat="1">
      <c r="B149" s="29"/>
      <c r="C149" s="29"/>
      <c r="D149" s="25"/>
      <c r="E149" s="25"/>
      <c r="G149" s="165"/>
      <c r="H149" s="165"/>
      <c r="J149" s="99"/>
      <c r="K149" s="99"/>
      <c r="L149" s="99"/>
      <c r="M149" s="99"/>
      <c r="N149" s="99"/>
      <c r="O149" s="99"/>
      <c r="P149" s="99"/>
      <c r="Q149" s="99"/>
      <c r="R149" s="99"/>
      <c r="S149" s="99"/>
    </row>
    <row r="150" spans="2:19" s="15" customFormat="1">
      <c r="B150" s="29"/>
      <c r="C150" s="29"/>
      <c r="D150" s="25"/>
      <c r="E150" s="25"/>
      <c r="G150" s="165"/>
      <c r="H150" s="165"/>
      <c r="J150" s="99"/>
      <c r="K150" s="99"/>
      <c r="L150" s="99"/>
      <c r="M150" s="99"/>
      <c r="N150" s="99"/>
      <c r="O150" s="99"/>
      <c r="P150" s="99"/>
      <c r="Q150" s="99"/>
      <c r="R150" s="99"/>
      <c r="S150" s="99"/>
    </row>
    <row r="151" spans="2:19" s="15" customFormat="1">
      <c r="B151" s="29"/>
      <c r="C151" s="29"/>
      <c r="D151" s="25"/>
      <c r="E151" s="25"/>
      <c r="G151" s="165"/>
      <c r="H151" s="165"/>
      <c r="J151" s="99"/>
      <c r="K151" s="99"/>
      <c r="L151" s="99"/>
      <c r="M151" s="99"/>
      <c r="N151" s="99"/>
      <c r="O151" s="99"/>
      <c r="P151" s="99"/>
      <c r="Q151" s="99"/>
      <c r="R151" s="99"/>
      <c r="S151" s="99"/>
    </row>
    <row r="152" spans="2:19" s="15" customFormat="1">
      <c r="B152" s="29"/>
      <c r="C152" s="29"/>
      <c r="D152" s="25"/>
      <c r="E152" s="25"/>
      <c r="G152" s="165"/>
      <c r="H152" s="165"/>
      <c r="J152" s="99"/>
      <c r="K152" s="99"/>
      <c r="L152" s="99"/>
      <c r="M152" s="99"/>
      <c r="N152" s="99"/>
      <c r="O152" s="99"/>
      <c r="P152" s="99"/>
      <c r="Q152" s="99"/>
      <c r="R152" s="99"/>
      <c r="S152" s="99"/>
    </row>
    <row r="153" spans="2:19" s="15" customFormat="1">
      <c r="B153" s="29"/>
      <c r="C153" s="29"/>
      <c r="D153" s="25"/>
      <c r="E153" s="25"/>
      <c r="G153" s="165"/>
      <c r="H153" s="165"/>
      <c r="J153" s="99"/>
      <c r="K153" s="99"/>
      <c r="L153" s="99"/>
      <c r="M153" s="99"/>
      <c r="N153" s="99"/>
      <c r="O153" s="99"/>
      <c r="P153" s="99"/>
      <c r="Q153" s="99"/>
      <c r="R153" s="99"/>
      <c r="S153" s="99"/>
    </row>
    <row r="154" spans="2:19" s="15" customFormat="1">
      <c r="B154" s="29"/>
      <c r="C154" s="29"/>
      <c r="D154" s="25"/>
      <c r="E154" s="25"/>
      <c r="G154" s="165"/>
      <c r="H154" s="165"/>
      <c r="J154" s="99"/>
      <c r="K154" s="99"/>
      <c r="L154" s="99"/>
      <c r="M154" s="99"/>
      <c r="N154" s="99"/>
      <c r="O154" s="99"/>
      <c r="P154" s="99"/>
      <c r="Q154" s="99"/>
      <c r="R154" s="99"/>
      <c r="S154" s="99"/>
    </row>
    <row r="155" spans="2:19" s="15" customFormat="1">
      <c r="B155" s="29"/>
      <c r="C155" s="29"/>
      <c r="D155" s="25"/>
      <c r="E155" s="25"/>
      <c r="G155" s="165"/>
      <c r="H155" s="165"/>
      <c r="J155" s="99"/>
      <c r="K155" s="99"/>
      <c r="L155" s="99"/>
      <c r="M155" s="99"/>
      <c r="N155" s="99"/>
      <c r="O155" s="99"/>
      <c r="P155" s="99"/>
      <c r="Q155" s="99"/>
      <c r="R155" s="99"/>
      <c r="S155" s="99"/>
    </row>
    <row r="156" spans="2:19" s="15" customFormat="1">
      <c r="B156" s="29"/>
      <c r="C156" s="29"/>
      <c r="D156" s="25"/>
      <c r="E156" s="25"/>
      <c r="G156" s="165"/>
      <c r="H156" s="165"/>
      <c r="J156" s="99"/>
      <c r="K156" s="99"/>
      <c r="L156" s="99"/>
      <c r="M156" s="99"/>
      <c r="N156" s="99"/>
      <c r="O156" s="99"/>
      <c r="P156" s="99"/>
      <c r="Q156" s="99"/>
      <c r="R156" s="99"/>
      <c r="S156" s="99"/>
    </row>
    <row r="157" spans="2:19" s="15" customFormat="1">
      <c r="B157" s="29"/>
      <c r="C157" s="29"/>
      <c r="D157" s="25"/>
      <c r="E157" s="25"/>
      <c r="G157" s="165"/>
      <c r="H157" s="165"/>
      <c r="J157" s="99"/>
      <c r="K157" s="99"/>
      <c r="L157" s="99"/>
      <c r="M157" s="99"/>
      <c r="N157" s="99"/>
      <c r="O157" s="99"/>
      <c r="P157" s="99"/>
      <c r="Q157" s="99"/>
      <c r="R157" s="99"/>
      <c r="S157" s="99"/>
    </row>
    <row r="158" spans="2:19" s="15" customFormat="1">
      <c r="B158" s="29"/>
      <c r="C158" s="29"/>
      <c r="D158" s="25"/>
      <c r="E158" s="25"/>
      <c r="G158" s="165"/>
      <c r="H158" s="165"/>
      <c r="J158" s="99"/>
      <c r="K158" s="99"/>
      <c r="L158" s="99"/>
      <c r="M158" s="99"/>
      <c r="N158" s="99"/>
      <c r="O158" s="99"/>
      <c r="P158" s="99"/>
      <c r="Q158" s="99"/>
      <c r="R158" s="99"/>
      <c r="S158" s="99"/>
    </row>
    <row r="159" spans="2:19" s="15" customFormat="1">
      <c r="B159" s="29"/>
      <c r="C159" s="29"/>
      <c r="D159" s="25"/>
      <c r="E159" s="25"/>
      <c r="G159" s="165"/>
      <c r="H159" s="165"/>
      <c r="J159" s="99"/>
      <c r="K159" s="99"/>
      <c r="L159" s="99"/>
      <c r="M159" s="99"/>
      <c r="N159" s="99"/>
      <c r="O159" s="99"/>
      <c r="P159" s="99"/>
      <c r="Q159" s="99"/>
      <c r="R159" s="99"/>
      <c r="S159" s="99"/>
    </row>
    <row r="160" spans="2:19" s="15" customFormat="1">
      <c r="B160" s="29"/>
      <c r="C160" s="29"/>
      <c r="D160" s="25"/>
      <c r="E160" s="25"/>
      <c r="G160" s="165"/>
      <c r="H160" s="165"/>
      <c r="J160" s="99"/>
      <c r="K160" s="99"/>
      <c r="L160" s="99"/>
      <c r="M160" s="99"/>
      <c r="N160" s="99"/>
      <c r="O160" s="99"/>
      <c r="P160" s="99"/>
      <c r="Q160" s="99"/>
      <c r="R160" s="99"/>
      <c r="S160" s="99"/>
    </row>
    <row r="161" spans="2:19" s="15" customFormat="1">
      <c r="B161" s="29"/>
      <c r="C161" s="29"/>
      <c r="D161" s="25"/>
      <c r="E161" s="25"/>
      <c r="G161" s="165"/>
      <c r="H161" s="165"/>
      <c r="J161" s="99"/>
      <c r="K161" s="99"/>
      <c r="L161" s="99"/>
      <c r="M161" s="99"/>
      <c r="N161" s="99"/>
      <c r="O161" s="99"/>
      <c r="P161" s="99"/>
      <c r="Q161" s="99"/>
      <c r="R161" s="99"/>
      <c r="S161" s="99"/>
    </row>
    <row r="162" spans="2:19" s="15" customFormat="1">
      <c r="B162" s="29"/>
      <c r="C162" s="29"/>
      <c r="D162" s="25"/>
      <c r="E162" s="25"/>
      <c r="G162" s="165"/>
      <c r="H162" s="165"/>
      <c r="J162" s="99"/>
      <c r="K162" s="99"/>
      <c r="L162" s="99"/>
      <c r="M162" s="99"/>
      <c r="N162" s="99"/>
      <c r="O162" s="99"/>
      <c r="P162" s="99"/>
      <c r="Q162" s="99"/>
      <c r="R162" s="99"/>
      <c r="S162" s="99"/>
    </row>
    <row r="163" spans="2:19" s="15" customFormat="1">
      <c r="B163" s="29"/>
      <c r="C163" s="29"/>
      <c r="D163" s="25"/>
      <c r="E163" s="25"/>
      <c r="G163" s="165"/>
      <c r="H163" s="165"/>
      <c r="J163" s="99"/>
      <c r="K163" s="99"/>
      <c r="L163" s="99"/>
      <c r="M163" s="99"/>
      <c r="N163" s="99"/>
      <c r="O163" s="99"/>
      <c r="P163" s="99"/>
      <c r="Q163" s="99"/>
      <c r="R163" s="99"/>
      <c r="S163" s="99"/>
    </row>
    <row r="164" spans="2:19" s="15" customFormat="1">
      <c r="B164" s="29"/>
      <c r="C164" s="29"/>
      <c r="D164" s="25"/>
      <c r="E164" s="25"/>
      <c r="G164" s="165"/>
      <c r="H164" s="165"/>
      <c r="J164" s="99"/>
      <c r="K164" s="99"/>
      <c r="L164" s="99"/>
      <c r="M164" s="99"/>
      <c r="N164" s="99"/>
      <c r="O164" s="99"/>
      <c r="P164" s="99"/>
      <c r="Q164" s="99"/>
      <c r="R164" s="99"/>
      <c r="S164" s="99"/>
    </row>
    <row r="165" spans="2:19" s="15" customFormat="1">
      <c r="B165" s="29"/>
      <c r="C165" s="29"/>
      <c r="D165" s="25"/>
      <c r="E165" s="25"/>
      <c r="G165" s="165"/>
      <c r="H165" s="165"/>
      <c r="J165" s="99"/>
      <c r="K165" s="99"/>
      <c r="L165" s="99"/>
      <c r="M165" s="99"/>
      <c r="N165" s="99"/>
      <c r="O165" s="99"/>
      <c r="P165" s="99"/>
      <c r="Q165" s="99"/>
      <c r="R165" s="99"/>
      <c r="S165" s="99"/>
    </row>
    <row r="166" spans="2:19" s="15" customFormat="1">
      <c r="B166" s="29"/>
      <c r="C166" s="29"/>
      <c r="D166" s="25"/>
      <c r="E166" s="25"/>
      <c r="G166" s="165"/>
      <c r="H166" s="165"/>
      <c r="J166" s="99"/>
      <c r="K166" s="99"/>
      <c r="L166" s="99"/>
      <c r="M166" s="99"/>
      <c r="N166" s="99"/>
      <c r="O166" s="99"/>
      <c r="P166" s="99"/>
      <c r="Q166" s="99"/>
      <c r="R166" s="99"/>
      <c r="S166" s="99"/>
    </row>
    <row r="167" spans="2:19" s="15" customFormat="1">
      <c r="B167" s="29"/>
      <c r="C167" s="29"/>
      <c r="D167" s="25"/>
      <c r="E167" s="25"/>
      <c r="G167" s="165"/>
      <c r="H167" s="165"/>
      <c r="J167" s="99"/>
      <c r="K167" s="99"/>
      <c r="L167" s="99"/>
      <c r="M167" s="99"/>
      <c r="N167" s="99"/>
      <c r="O167" s="99"/>
      <c r="P167" s="99"/>
      <c r="Q167" s="99"/>
      <c r="R167" s="99"/>
      <c r="S167" s="99"/>
    </row>
    <row r="168" spans="2:19" s="15" customFormat="1">
      <c r="B168" s="29"/>
      <c r="C168" s="29"/>
      <c r="D168" s="25"/>
      <c r="E168" s="25"/>
      <c r="G168" s="165"/>
      <c r="H168" s="165"/>
      <c r="J168" s="99"/>
      <c r="K168" s="99"/>
      <c r="L168" s="99"/>
      <c r="M168" s="99"/>
      <c r="N168" s="99"/>
      <c r="O168" s="99"/>
      <c r="P168" s="99"/>
      <c r="Q168" s="99"/>
      <c r="R168" s="99"/>
      <c r="S168" s="99"/>
    </row>
    <row r="169" spans="2:19" s="15" customFormat="1">
      <c r="B169" s="29"/>
      <c r="C169" s="29"/>
      <c r="D169" s="25"/>
      <c r="E169" s="25"/>
      <c r="G169" s="165"/>
      <c r="H169" s="165"/>
      <c r="J169" s="99"/>
      <c r="K169" s="99"/>
      <c r="L169" s="99"/>
      <c r="M169" s="99"/>
      <c r="N169" s="99"/>
      <c r="O169" s="99"/>
      <c r="P169" s="99"/>
      <c r="Q169" s="99"/>
      <c r="R169" s="99"/>
      <c r="S169" s="99"/>
    </row>
    <row r="170" spans="2:19" s="15" customFormat="1">
      <c r="B170" s="29"/>
      <c r="C170" s="29"/>
      <c r="D170" s="25"/>
      <c r="E170" s="25"/>
      <c r="G170" s="165"/>
      <c r="H170" s="165"/>
      <c r="J170" s="99"/>
      <c r="K170" s="99"/>
      <c r="L170" s="99"/>
      <c r="M170" s="99"/>
      <c r="N170" s="99"/>
      <c r="O170" s="99"/>
      <c r="P170" s="99"/>
      <c r="Q170" s="99"/>
      <c r="R170" s="99"/>
      <c r="S170" s="99"/>
    </row>
    <row r="171" spans="2:19" s="15" customFormat="1">
      <c r="B171" s="29"/>
      <c r="C171" s="29"/>
      <c r="D171" s="25"/>
      <c r="E171" s="25"/>
      <c r="G171" s="165"/>
      <c r="H171" s="165"/>
      <c r="J171" s="99"/>
      <c r="K171" s="99"/>
      <c r="L171" s="99"/>
      <c r="M171" s="99"/>
      <c r="N171" s="99"/>
      <c r="O171" s="99"/>
      <c r="P171" s="99"/>
      <c r="Q171" s="99"/>
      <c r="R171" s="99"/>
      <c r="S171" s="99"/>
    </row>
    <row r="172" spans="2:19" s="15" customFormat="1">
      <c r="B172" s="29"/>
      <c r="C172" s="29"/>
      <c r="D172" s="25"/>
      <c r="E172" s="25"/>
      <c r="G172" s="165"/>
      <c r="H172" s="165"/>
      <c r="J172" s="99"/>
      <c r="K172" s="99"/>
      <c r="L172" s="99"/>
      <c r="M172" s="99"/>
      <c r="N172" s="99"/>
      <c r="O172" s="99"/>
      <c r="P172" s="99"/>
      <c r="Q172" s="99"/>
      <c r="R172" s="99"/>
      <c r="S172" s="99"/>
    </row>
    <row r="173" spans="2:19" s="15" customFormat="1">
      <c r="B173" s="29"/>
      <c r="C173" s="29"/>
      <c r="D173" s="25"/>
      <c r="E173" s="25"/>
      <c r="G173" s="165"/>
      <c r="H173" s="165"/>
      <c r="J173" s="99"/>
      <c r="K173" s="99"/>
      <c r="L173" s="99"/>
      <c r="M173" s="99"/>
      <c r="N173" s="99"/>
      <c r="O173" s="99"/>
      <c r="P173" s="99"/>
      <c r="Q173" s="99"/>
      <c r="R173" s="99"/>
      <c r="S173" s="99"/>
    </row>
    <row r="174" spans="2:19" s="15" customFormat="1">
      <c r="B174" s="29"/>
      <c r="C174" s="29"/>
      <c r="D174" s="25"/>
      <c r="E174" s="25"/>
      <c r="G174" s="165"/>
      <c r="H174" s="165"/>
      <c r="J174" s="99"/>
      <c r="K174" s="99"/>
      <c r="L174" s="99"/>
      <c r="M174" s="99"/>
      <c r="N174" s="99"/>
      <c r="O174" s="99"/>
      <c r="P174" s="99"/>
      <c r="Q174" s="99"/>
      <c r="R174" s="99"/>
      <c r="S174" s="99"/>
    </row>
    <row r="175" spans="2:19" s="15" customFormat="1">
      <c r="B175" s="29"/>
      <c r="C175" s="29"/>
      <c r="D175" s="25"/>
      <c r="E175" s="25"/>
      <c r="G175" s="165"/>
      <c r="H175" s="165"/>
      <c r="J175" s="99"/>
      <c r="K175" s="99"/>
      <c r="L175" s="99"/>
      <c r="M175" s="99"/>
      <c r="N175" s="99"/>
      <c r="O175" s="99"/>
      <c r="P175" s="99"/>
      <c r="Q175" s="99"/>
      <c r="R175" s="99"/>
      <c r="S175" s="99"/>
    </row>
    <row r="176" spans="2:19" s="15" customFormat="1">
      <c r="B176" s="29"/>
      <c r="C176" s="29"/>
      <c r="D176" s="25"/>
      <c r="E176" s="25"/>
      <c r="G176" s="165"/>
      <c r="H176" s="165"/>
      <c r="J176" s="99"/>
      <c r="K176" s="99"/>
      <c r="L176" s="99"/>
      <c r="M176" s="99"/>
      <c r="N176" s="99"/>
      <c r="O176" s="99"/>
      <c r="P176" s="99"/>
      <c r="Q176" s="99"/>
      <c r="R176" s="99"/>
      <c r="S176" s="99"/>
    </row>
    <row r="177" spans="2:19" s="15" customFormat="1">
      <c r="B177" s="29"/>
      <c r="C177" s="29"/>
      <c r="D177" s="25"/>
      <c r="E177" s="25"/>
      <c r="G177" s="165"/>
      <c r="H177" s="165"/>
      <c r="J177" s="99"/>
      <c r="K177" s="99"/>
      <c r="L177" s="99"/>
      <c r="M177" s="99"/>
      <c r="N177" s="99"/>
      <c r="O177" s="99"/>
      <c r="P177" s="99"/>
      <c r="Q177" s="99"/>
      <c r="R177" s="99"/>
      <c r="S177" s="99"/>
    </row>
    <row r="178" spans="2:19" s="15" customFormat="1">
      <c r="B178" s="29"/>
      <c r="C178" s="29"/>
      <c r="D178" s="25"/>
      <c r="E178" s="25"/>
      <c r="G178" s="165"/>
      <c r="H178" s="165"/>
      <c r="J178" s="99"/>
      <c r="K178" s="99"/>
      <c r="L178" s="99"/>
      <c r="M178" s="99"/>
      <c r="N178" s="99"/>
      <c r="O178" s="99"/>
      <c r="P178" s="99"/>
      <c r="Q178" s="99"/>
      <c r="R178" s="99"/>
      <c r="S178" s="99"/>
    </row>
    <row r="179" spans="2:19" s="15" customFormat="1">
      <c r="B179" s="29"/>
      <c r="C179" s="29"/>
      <c r="D179" s="25"/>
      <c r="E179" s="25"/>
      <c r="G179" s="165"/>
      <c r="H179" s="165"/>
      <c r="J179" s="99"/>
      <c r="K179" s="99"/>
      <c r="L179" s="99"/>
      <c r="M179" s="99"/>
      <c r="N179" s="99"/>
      <c r="O179" s="99"/>
      <c r="P179" s="99"/>
      <c r="Q179" s="99"/>
      <c r="R179" s="99"/>
      <c r="S179" s="99"/>
    </row>
    <row r="180" spans="2:19" s="15" customFormat="1">
      <c r="B180" s="29"/>
      <c r="C180" s="29"/>
      <c r="D180" s="25"/>
      <c r="E180" s="25"/>
      <c r="G180" s="165"/>
      <c r="H180" s="165"/>
      <c r="J180" s="99"/>
      <c r="K180" s="99"/>
      <c r="L180" s="99"/>
      <c r="M180" s="99"/>
      <c r="N180" s="99"/>
      <c r="O180" s="99"/>
      <c r="P180" s="99"/>
      <c r="Q180" s="99"/>
      <c r="R180" s="99"/>
      <c r="S180" s="99"/>
    </row>
    <row r="181" spans="2:19" s="15" customFormat="1">
      <c r="B181" s="29"/>
      <c r="C181" s="29"/>
      <c r="D181" s="25"/>
      <c r="E181" s="25"/>
      <c r="G181" s="165"/>
      <c r="H181" s="165"/>
      <c r="J181" s="99"/>
      <c r="K181" s="99"/>
      <c r="L181" s="99"/>
      <c r="M181" s="99"/>
      <c r="N181" s="99"/>
      <c r="O181" s="99"/>
      <c r="P181" s="99"/>
      <c r="Q181" s="99"/>
      <c r="R181" s="99"/>
      <c r="S181" s="99"/>
    </row>
    <row r="182" spans="2:19" s="15" customFormat="1">
      <c r="B182" s="29"/>
      <c r="C182" s="29"/>
      <c r="D182" s="25"/>
      <c r="E182" s="25"/>
      <c r="G182" s="165"/>
      <c r="H182" s="165"/>
      <c r="J182" s="99"/>
      <c r="K182" s="99"/>
      <c r="L182" s="99"/>
      <c r="M182" s="99"/>
      <c r="N182" s="99"/>
      <c r="O182" s="99"/>
      <c r="P182" s="99"/>
      <c r="Q182" s="99"/>
      <c r="R182" s="99"/>
      <c r="S182" s="99"/>
    </row>
    <row r="183" spans="2:19" s="15" customFormat="1">
      <c r="B183" s="29"/>
      <c r="C183" s="29"/>
      <c r="D183" s="25"/>
      <c r="E183" s="25"/>
      <c r="G183" s="165"/>
      <c r="H183" s="165"/>
      <c r="J183" s="99"/>
      <c r="K183" s="99"/>
      <c r="L183" s="99"/>
      <c r="M183" s="99"/>
      <c r="N183" s="99"/>
      <c r="O183" s="99"/>
      <c r="P183" s="99"/>
      <c r="Q183" s="99"/>
      <c r="R183" s="99"/>
      <c r="S183" s="99"/>
    </row>
    <row r="184" spans="2:19" s="15" customFormat="1">
      <c r="B184" s="29"/>
      <c r="C184" s="29"/>
      <c r="D184" s="25"/>
      <c r="E184" s="25"/>
      <c r="G184" s="165"/>
      <c r="H184" s="165"/>
      <c r="J184" s="99"/>
      <c r="K184" s="99"/>
      <c r="L184" s="99"/>
      <c r="M184" s="99"/>
      <c r="N184" s="99"/>
      <c r="O184" s="99"/>
      <c r="P184" s="99"/>
      <c r="Q184" s="99"/>
      <c r="R184" s="99"/>
      <c r="S184" s="99"/>
    </row>
    <row r="185" spans="2:19" s="15" customFormat="1">
      <c r="B185" s="29"/>
      <c r="C185" s="29"/>
      <c r="D185" s="25"/>
      <c r="E185" s="25"/>
      <c r="G185" s="165"/>
      <c r="H185" s="165"/>
      <c r="J185" s="99"/>
      <c r="K185" s="99"/>
      <c r="L185" s="99"/>
      <c r="M185" s="99"/>
      <c r="N185" s="99"/>
      <c r="O185" s="99"/>
      <c r="P185" s="99"/>
      <c r="Q185" s="99"/>
      <c r="R185" s="99"/>
      <c r="S185" s="99"/>
    </row>
    <row r="186" spans="2:19" s="15" customFormat="1">
      <c r="B186" s="29"/>
      <c r="C186" s="29"/>
      <c r="D186" s="25"/>
      <c r="E186" s="25"/>
      <c r="G186" s="165"/>
      <c r="H186" s="165"/>
      <c r="J186" s="99"/>
      <c r="K186" s="99"/>
      <c r="L186" s="99"/>
      <c r="M186" s="99"/>
      <c r="N186" s="99"/>
      <c r="O186" s="99"/>
      <c r="P186" s="99"/>
      <c r="Q186" s="99"/>
      <c r="R186" s="99"/>
      <c r="S186" s="99"/>
    </row>
    <row r="187" spans="2:19" s="15" customFormat="1">
      <c r="B187" s="29"/>
      <c r="C187" s="29"/>
      <c r="D187" s="25"/>
      <c r="E187" s="25"/>
      <c r="G187" s="165"/>
      <c r="H187" s="165"/>
      <c r="J187" s="99"/>
      <c r="K187" s="99"/>
      <c r="L187" s="99"/>
      <c r="M187" s="99"/>
      <c r="N187" s="99"/>
      <c r="O187" s="99"/>
      <c r="P187" s="99"/>
      <c r="Q187" s="99"/>
      <c r="R187" s="99"/>
      <c r="S187" s="99"/>
    </row>
    <row r="188" spans="2:19" s="15" customFormat="1">
      <c r="B188" s="29"/>
      <c r="C188" s="29"/>
      <c r="D188" s="25"/>
      <c r="E188" s="25"/>
      <c r="G188" s="165"/>
      <c r="H188" s="165"/>
      <c r="J188" s="99"/>
      <c r="K188" s="99"/>
      <c r="L188" s="99"/>
      <c r="M188" s="99"/>
      <c r="N188" s="99"/>
      <c r="O188" s="99"/>
      <c r="P188" s="99"/>
      <c r="Q188" s="99"/>
      <c r="R188" s="99"/>
      <c r="S188" s="99"/>
    </row>
    <row r="189" spans="2:19" s="15" customFormat="1">
      <c r="B189" s="29"/>
      <c r="C189" s="29"/>
      <c r="D189" s="25"/>
      <c r="E189" s="25"/>
      <c r="G189" s="165"/>
      <c r="H189" s="165"/>
      <c r="J189" s="99"/>
      <c r="K189" s="99"/>
      <c r="L189" s="99"/>
      <c r="M189" s="99"/>
      <c r="N189" s="99"/>
      <c r="O189" s="99"/>
      <c r="P189" s="99"/>
      <c r="Q189" s="99"/>
      <c r="R189" s="99"/>
      <c r="S189" s="99"/>
    </row>
    <row r="190" spans="2:19" s="15" customFormat="1">
      <c r="B190" s="29"/>
      <c r="C190" s="29"/>
      <c r="D190" s="25"/>
      <c r="E190" s="25"/>
      <c r="G190" s="165"/>
      <c r="H190" s="165"/>
      <c r="J190" s="99"/>
      <c r="K190" s="99"/>
      <c r="L190" s="99"/>
      <c r="M190" s="99"/>
      <c r="N190" s="99"/>
      <c r="O190" s="99"/>
      <c r="P190" s="99"/>
      <c r="Q190" s="99"/>
      <c r="R190" s="99"/>
      <c r="S190" s="99"/>
    </row>
    <row r="191" spans="2:19" s="15" customFormat="1">
      <c r="B191" s="29"/>
      <c r="C191" s="29"/>
      <c r="D191" s="25"/>
      <c r="E191" s="25"/>
      <c r="G191" s="165"/>
      <c r="H191" s="165"/>
      <c r="J191" s="99"/>
      <c r="K191" s="99"/>
      <c r="L191" s="99"/>
      <c r="M191" s="99"/>
      <c r="N191" s="99"/>
      <c r="O191" s="99"/>
      <c r="P191" s="99"/>
      <c r="Q191" s="99"/>
      <c r="R191" s="99"/>
      <c r="S191" s="99"/>
    </row>
    <row r="192" spans="2:19" s="15" customFormat="1">
      <c r="B192" s="29"/>
      <c r="C192" s="29"/>
      <c r="D192" s="25"/>
      <c r="E192" s="25"/>
      <c r="G192" s="165"/>
      <c r="H192" s="165"/>
      <c r="J192" s="99"/>
      <c r="K192" s="99"/>
      <c r="L192" s="99"/>
      <c r="M192" s="99"/>
      <c r="N192" s="99"/>
      <c r="O192" s="99"/>
      <c r="P192" s="99"/>
      <c r="Q192" s="99"/>
      <c r="R192" s="99"/>
      <c r="S192" s="99"/>
    </row>
    <row r="193" spans="2:19" s="15" customFormat="1">
      <c r="B193" s="29"/>
      <c r="C193" s="29"/>
      <c r="D193" s="25"/>
      <c r="E193" s="25"/>
      <c r="G193" s="165"/>
      <c r="H193" s="165"/>
      <c r="J193" s="99"/>
      <c r="K193" s="99"/>
      <c r="L193" s="99"/>
      <c r="M193" s="99"/>
      <c r="N193" s="99"/>
      <c r="O193" s="99"/>
      <c r="P193" s="99"/>
      <c r="Q193" s="99"/>
      <c r="R193" s="99"/>
      <c r="S193" s="99"/>
    </row>
    <row r="194" spans="2:19" s="15" customFormat="1">
      <c r="B194" s="29"/>
      <c r="C194" s="29"/>
      <c r="D194" s="25"/>
      <c r="E194" s="25"/>
      <c r="G194" s="165"/>
      <c r="H194" s="165"/>
      <c r="J194" s="99"/>
      <c r="K194" s="99"/>
      <c r="L194" s="99"/>
      <c r="M194" s="99"/>
      <c r="N194" s="99"/>
      <c r="O194" s="99"/>
      <c r="P194" s="99"/>
      <c r="Q194" s="99"/>
      <c r="R194" s="99"/>
      <c r="S194" s="99"/>
    </row>
    <row r="195" spans="2:19" s="15" customFormat="1">
      <c r="B195" s="29"/>
      <c r="C195" s="29"/>
      <c r="D195" s="25"/>
      <c r="E195" s="25"/>
      <c r="G195" s="165"/>
      <c r="H195" s="165"/>
      <c r="J195" s="99"/>
      <c r="K195" s="99"/>
      <c r="L195" s="99"/>
      <c r="M195" s="99"/>
      <c r="N195" s="99"/>
      <c r="O195" s="99"/>
      <c r="P195" s="99"/>
      <c r="Q195" s="99"/>
      <c r="R195" s="99"/>
      <c r="S195" s="99"/>
    </row>
    <row r="196" spans="2:19" s="15" customFormat="1">
      <c r="B196" s="29"/>
      <c r="C196" s="29"/>
      <c r="D196" s="25"/>
      <c r="E196" s="25"/>
      <c r="G196" s="165"/>
      <c r="H196" s="165"/>
      <c r="J196" s="99"/>
      <c r="K196" s="99"/>
      <c r="L196" s="99"/>
      <c r="M196" s="99"/>
      <c r="N196" s="99"/>
      <c r="O196" s="99"/>
      <c r="P196" s="99"/>
      <c r="Q196" s="99"/>
      <c r="R196" s="99"/>
      <c r="S196" s="99"/>
    </row>
    <row r="197" spans="2:19" s="15" customFormat="1">
      <c r="B197" s="29"/>
      <c r="C197" s="29"/>
      <c r="D197" s="25"/>
      <c r="E197" s="25"/>
      <c r="G197" s="165"/>
      <c r="H197" s="165"/>
      <c r="J197" s="99"/>
      <c r="K197" s="99"/>
      <c r="L197" s="99"/>
      <c r="M197" s="99"/>
      <c r="N197" s="99"/>
      <c r="O197" s="99"/>
      <c r="P197" s="99"/>
      <c r="Q197" s="99"/>
      <c r="R197" s="99"/>
      <c r="S197" s="99"/>
    </row>
    <row r="198" spans="2:19" s="15" customFormat="1">
      <c r="B198" s="29"/>
      <c r="C198" s="29"/>
      <c r="D198" s="25"/>
      <c r="E198" s="25"/>
      <c r="G198" s="165"/>
      <c r="H198" s="165"/>
      <c r="J198" s="99"/>
      <c r="K198" s="99"/>
      <c r="L198" s="99"/>
      <c r="M198" s="99"/>
      <c r="N198" s="99"/>
      <c r="O198" s="99"/>
      <c r="P198" s="99"/>
      <c r="Q198" s="99"/>
      <c r="R198" s="99"/>
      <c r="S198" s="99"/>
    </row>
    <row r="199" spans="2:19" s="15" customFormat="1">
      <c r="B199" s="29"/>
      <c r="C199" s="29"/>
      <c r="D199" s="25"/>
      <c r="E199" s="25"/>
      <c r="G199" s="165"/>
      <c r="H199" s="165"/>
      <c r="J199" s="99"/>
      <c r="K199" s="99"/>
      <c r="L199" s="99"/>
      <c r="M199" s="99"/>
      <c r="N199" s="99"/>
      <c r="O199" s="99"/>
      <c r="P199" s="99"/>
      <c r="Q199" s="99"/>
      <c r="R199" s="99"/>
      <c r="S199" s="99"/>
    </row>
    <row r="200" spans="2:19" s="15" customFormat="1">
      <c r="B200" s="29"/>
      <c r="C200" s="29"/>
      <c r="D200" s="25"/>
      <c r="E200" s="25"/>
      <c r="G200" s="165"/>
      <c r="H200" s="165"/>
      <c r="J200" s="99"/>
      <c r="K200" s="99"/>
      <c r="L200" s="99"/>
      <c r="M200" s="99"/>
      <c r="N200" s="99"/>
      <c r="O200" s="99"/>
      <c r="P200" s="99"/>
      <c r="Q200" s="99"/>
      <c r="R200" s="99"/>
      <c r="S200" s="99"/>
    </row>
    <row r="201" spans="2:19" s="15" customFormat="1">
      <c r="B201" s="29"/>
      <c r="C201" s="29"/>
      <c r="D201" s="25"/>
      <c r="E201" s="25"/>
      <c r="G201" s="165"/>
      <c r="H201" s="165"/>
      <c r="J201" s="99"/>
      <c r="K201" s="99"/>
      <c r="L201" s="99"/>
      <c r="M201" s="99"/>
      <c r="N201" s="99"/>
      <c r="O201" s="99"/>
      <c r="P201" s="99"/>
      <c r="Q201" s="99"/>
      <c r="R201" s="99"/>
      <c r="S201" s="99"/>
    </row>
    <row r="202" spans="2:19" s="15" customFormat="1">
      <c r="B202" s="29"/>
      <c r="C202" s="29"/>
      <c r="D202" s="25"/>
      <c r="E202" s="25"/>
      <c r="G202" s="165"/>
      <c r="H202" s="165"/>
      <c r="J202" s="99"/>
      <c r="K202" s="99"/>
      <c r="L202" s="99"/>
      <c r="M202" s="99"/>
      <c r="N202" s="99"/>
      <c r="O202" s="99"/>
      <c r="P202" s="99"/>
      <c r="Q202" s="99"/>
      <c r="R202" s="99"/>
      <c r="S202" s="99"/>
    </row>
    <row r="203" spans="2:19" s="15" customFormat="1">
      <c r="B203" s="29"/>
      <c r="C203" s="29"/>
      <c r="D203" s="25"/>
      <c r="E203" s="25"/>
      <c r="G203" s="165"/>
      <c r="H203" s="165"/>
      <c r="J203" s="99"/>
      <c r="K203" s="99"/>
      <c r="L203" s="99"/>
      <c r="M203" s="99"/>
      <c r="N203" s="99"/>
      <c r="O203" s="99"/>
      <c r="P203" s="99"/>
      <c r="Q203" s="99"/>
      <c r="R203" s="99"/>
      <c r="S203" s="99"/>
    </row>
    <row r="204" spans="2:19" s="15" customFormat="1">
      <c r="B204" s="29"/>
      <c r="C204" s="29"/>
      <c r="D204" s="25"/>
      <c r="E204" s="25"/>
      <c r="G204" s="165"/>
      <c r="H204" s="165"/>
      <c r="J204" s="99"/>
      <c r="K204" s="99"/>
      <c r="L204" s="99"/>
      <c r="M204" s="99"/>
      <c r="N204" s="99"/>
      <c r="O204" s="99"/>
      <c r="P204" s="99"/>
      <c r="Q204" s="99"/>
      <c r="R204" s="99"/>
      <c r="S204" s="99"/>
    </row>
    <row r="205" spans="2:19" s="15" customFormat="1">
      <c r="B205" s="29"/>
      <c r="C205" s="29"/>
      <c r="D205" s="25"/>
      <c r="E205" s="25"/>
      <c r="G205" s="165"/>
      <c r="H205" s="165"/>
      <c r="J205" s="99"/>
      <c r="K205" s="99"/>
      <c r="L205" s="99"/>
      <c r="M205" s="99"/>
      <c r="N205" s="99"/>
      <c r="O205" s="99"/>
      <c r="P205" s="99"/>
      <c r="Q205" s="99"/>
      <c r="R205" s="99"/>
      <c r="S205" s="99"/>
    </row>
    <row r="206" spans="2:19" s="15" customFormat="1">
      <c r="B206" s="29"/>
      <c r="C206" s="29"/>
      <c r="D206" s="25"/>
      <c r="E206" s="25"/>
      <c r="G206" s="165"/>
      <c r="H206" s="165"/>
      <c r="J206" s="99"/>
      <c r="K206" s="99"/>
      <c r="L206" s="99"/>
      <c r="M206" s="99"/>
      <c r="N206" s="99"/>
      <c r="O206" s="99"/>
      <c r="P206" s="99"/>
      <c r="Q206" s="99"/>
      <c r="R206" s="99"/>
      <c r="S206" s="99"/>
    </row>
    <row r="207" spans="2:19" s="15" customFormat="1">
      <c r="B207" s="29"/>
      <c r="C207" s="29"/>
      <c r="D207" s="25"/>
      <c r="E207" s="25"/>
      <c r="G207" s="165"/>
      <c r="H207" s="165"/>
      <c r="J207" s="99"/>
      <c r="K207" s="99"/>
      <c r="L207" s="99"/>
      <c r="M207" s="99"/>
      <c r="N207" s="99"/>
      <c r="O207" s="99"/>
      <c r="P207" s="99"/>
      <c r="Q207" s="99"/>
      <c r="R207" s="99"/>
      <c r="S207" s="99"/>
    </row>
    <row r="208" spans="2:19" s="15" customFormat="1">
      <c r="B208" s="29"/>
      <c r="C208" s="29"/>
      <c r="D208" s="25"/>
      <c r="E208" s="25"/>
      <c r="G208" s="165"/>
      <c r="H208" s="165"/>
      <c r="J208" s="99"/>
      <c r="K208" s="99"/>
      <c r="L208" s="99"/>
      <c r="M208" s="99"/>
      <c r="N208" s="99"/>
      <c r="O208" s="99"/>
      <c r="P208" s="99"/>
      <c r="Q208" s="99"/>
      <c r="R208" s="99"/>
      <c r="S208" s="99"/>
    </row>
    <row r="209" spans="2:19" s="15" customFormat="1">
      <c r="B209" s="29"/>
      <c r="C209" s="29"/>
      <c r="D209" s="25"/>
      <c r="E209" s="25"/>
      <c r="G209" s="165"/>
      <c r="H209" s="165"/>
      <c r="J209" s="99"/>
      <c r="K209" s="99"/>
      <c r="L209" s="99"/>
      <c r="M209" s="99"/>
      <c r="N209" s="99"/>
      <c r="O209" s="99"/>
      <c r="P209" s="99"/>
      <c r="Q209" s="99"/>
      <c r="R209" s="99"/>
      <c r="S209" s="99"/>
    </row>
    <row r="210" spans="2:19" s="15" customFormat="1">
      <c r="B210" s="29"/>
      <c r="C210" s="29"/>
      <c r="D210" s="25"/>
      <c r="E210" s="25"/>
      <c r="G210" s="165"/>
      <c r="H210" s="165"/>
      <c r="J210" s="99"/>
      <c r="K210" s="99"/>
      <c r="L210" s="99"/>
      <c r="M210" s="99"/>
      <c r="N210" s="99"/>
      <c r="O210" s="99"/>
      <c r="P210" s="99"/>
      <c r="Q210" s="99"/>
      <c r="R210" s="99"/>
      <c r="S210" s="99"/>
    </row>
    <row r="211" spans="2:19" s="15" customFormat="1">
      <c r="B211" s="29"/>
      <c r="C211" s="29"/>
      <c r="D211" s="25"/>
      <c r="E211" s="25"/>
      <c r="G211" s="165"/>
      <c r="H211" s="165"/>
      <c r="J211" s="99"/>
      <c r="K211" s="99"/>
      <c r="L211" s="99"/>
      <c r="M211" s="99"/>
      <c r="N211" s="99"/>
      <c r="O211" s="99"/>
      <c r="P211" s="99"/>
      <c r="Q211" s="99"/>
      <c r="R211" s="99"/>
      <c r="S211" s="99"/>
    </row>
    <row r="212" spans="2:19" s="15" customFormat="1">
      <c r="B212" s="29"/>
      <c r="C212" s="29"/>
      <c r="D212" s="25"/>
      <c r="E212" s="25"/>
      <c r="G212" s="165"/>
      <c r="H212" s="165"/>
      <c r="J212" s="99"/>
      <c r="K212" s="99"/>
      <c r="L212" s="99"/>
      <c r="M212" s="99"/>
      <c r="N212" s="99"/>
      <c r="O212" s="99"/>
      <c r="P212" s="99"/>
      <c r="Q212" s="99"/>
      <c r="R212" s="99"/>
      <c r="S212" s="99"/>
    </row>
    <row r="213" spans="2:19" s="15" customFormat="1">
      <c r="B213" s="29"/>
      <c r="C213" s="29"/>
      <c r="D213" s="25"/>
      <c r="E213" s="25"/>
      <c r="G213" s="165"/>
      <c r="H213" s="165"/>
      <c r="J213" s="99"/>
      <c r="K213" s="99"/>
      <c r="L213" s="99"/>
      <c r="M213" s="99"/>
      <c r="N213" s="99"/>
      <c r="O213" s="99"/>
      <c r="P213" s="99"/>
      <c r="Q213" s="99"/>
      <c r="R213" s="99"/>
      <c r="S213" s="99"/>
    </row>
    <row r="214" spans="2:19" s="15" customFormat="1">
      <c r="B214" s="29"/>
      <c r="C214" s="29"/>
      <c r="D214" s="25"/>
      <c r="E214" s="25"/>
      <c r="G214" s="165"/>
      <c r="H214" s="165"/>
      <c r="J214" s="99"/>
      <c r="K214" s="99"/>
      <c r="L214" s="99"/>
      <c r="M214" s="99"/>
      <c r="N214" s="99"/>
      <c r="O214" s="99"/>
      <c r="P214" s="99"/>
      <c r="Q214" s="99"/>
      <c r="R214" s="99"/>
      <c r="S214" s="99"/>
    </row>
    <row r="215" spans="2:19" s="15" customFormat="1">
      <c r="B215" s="29"/>
      <c r="C215" s="29"/>
      <c r="D215" s="25"/>
      <c r="E215" s="25"/>
      <c r="G215" s="165"/>
      <c r="H215" s="165"/>
      <c r="J215" s="99"/>
      <c r="K215" s="99"/>
      <c r="L215" s="99"/>
      <c r="M215" s="99"/>
      <c r="N215" s="99"/>
      <c r="O215" s="99"/>
      <c r="P215" s="99"/>
      <c r="Q215" s="99"/>
      <c r="R215" s="99"/>
      <c r="S215" s="99"/>
    </row>
    <row r="216" spans="2:19" s="15" customFormat="1">
      <c r="B216" s="29"/>
      <c r="C216" s="29"/>
      <c r="D216" s="25"/>
      <c r="E216" s="25"/>
      <c r="G216" s="165"/>
      <c r="H216" s="165"/>
      <c r="J216" s="99"/>
      <c r="K216" s="99"/>
      <c r="L216" s="99"/>
      <c r="M216" s="99"/>
      <c r="N216" s="99"/>
      <c r="O216" s="99"/>
      <c r="P216" s="99"/>
      <c r="Q216" s="99"/>
      <c r="R216" s="99"/>
      <c r="S216" s="99"/>
    </row>
    <row r="217" spans="2:19" s="15" customFormat="1">
      <c r="B217" s="29"/>
      <c r="C217" s="29"/>
      <c r="D217" s="25"/>
      <c r="E217" s="25"/>
      <c r="G217" s="165"/>
      <c r="H217" s="165"/>
      <c r="J217" s="99"/>
      <c r="K217" s="99"/>
      <c r="L217" s="99"/>
      <c r="M217" s="99"/>
      <c r="N217" s="99"/>
      <c r="O217" s="99"/>
      <c r="P217" s="99"/>
      <c r="Q217" s="99"/>
      <c r="R217" s="99"/>
      <c r="S217" s="99"/>
    </row>
    <row r="218" spans="2:19" s="15" customFormat="1">
      <c r="B218" s="29"/>
      <c r="C218" s="29"/>
      <c r="D218" s="25"/>
      <c r="E218" s="25"/>
      <c r="G218" s="165"/>
      <c r="H218" s="165"/>
      <c r="J218" s="99"/>
      <c r="K218" s="99"/>
      <c r="L218" s="99"/>
      <c r="M218" s="99"/>
      <c r="N218" s="99"/>
      <c r="O218" s="99"/>
      <c r="P218" s="99"/>
      <c r="Q218" s="99"/>
      <c r="R218" s="99"/>
      <c r="S218" s="99"/>
    </row>
    <row r="219" spans="2:19" s="15" customFormat="1">
      <c r="B219" s="29"/>
      <c r="C219" s="29"/>
      <c r="D219" s="25"/>
      <c r="E219" s="25"/>
      <c r="G219" s="165"/>
      <c r="H219" s="165"/>
      <c r="J219" s="99"/>
      <c r="K219" s="99"/>
      <c r="L219" s="99"/>
      <c r="M219" s="99"/>
      <c r="N219" s="99"/>
      <c r="O219" s="99"/>
      <c r="P219" s="99"/>
      <c r="Q219" s="99"/>
      <c r="R219" s="99"/>
      <c r="S219" s="99"/>
    </row>
    <row r="220" spans="2:19" s="15" customFormat="1">
      <c r="B220" s="29"/>
      <c r="C220" s="29"/>
      <c r="D220" s="25"/>
      <c r="E220" s="25"/>
      <c r="G220" s="165"/>
      <c r="H220" s="165"/>
      <c r="J220" s="99"/>
      <c r="K220" s="99"/>
      <c r="L220" s="99"/>
      <c r="M220" s="99"/>
      <c r="N220" s="99"/>
      <c r="O220" s="99"/>
      <c r="P220" s="99"/>
      <c r="Q220" s="99"/>
      <c r="R220" s="99"/>
      <c r="S220" s="99"/>
    </row>
    <row r="221" spans="2:19" s="15" customFormat="1">
      <c r="B221" s="29"/>
      <c r="C221" s="29"/>
      <c r="D221" s="25"/>
      <c r="E221" s="25"/>
      <c r="G221" s="165"/>
      <c r="H221" s="165"/>
      <c r="J221" s="99"/>
      <c r="K221" s="99"/>
      <c r="L221" s="99"/>
      <c r="M221" s="99"/>
      <c r="N221" s="99"/>
      <c r="O221" s="99"/>
      <c r="P221" s="99"/>
      <c r="Q221" s="99"/>
      <c r="R221" s="99"/>
      <c r="S221" s="99"/>
    </row>
    <row r="222" spans="2:19" s="15" customFormat="1">
      <c r="B222" s="29"/>
      <c r="C222" s="29"/>
      <c r="D222" s="25"/>
      <c r="E222" s="25"/>
      <c r="G222" s="165"/>
      <c r="H222" s="165"/>
      <c r="J222" s="99"/>
      <c r="K222" s="99"/>
      <c r="L222" s="99"/>
      <c r="M222" s="99"/>
      <c r="N222" s="99"/>
      <c r="O222" s="99"/>
      <c r="P222" s="99"/>
      <c r="Q222" s="99"/>
      <c r="R222" s="99"/>
      <c r="S222" s="99"/>
    </row>
    <row r="223" spans="2:19" s="15" customFormat="1">
      <c r="B223" s="29"/>
      <c r="C223" s="29"/>
      <c r="D223" s="25"/>
      <c r="E223" s="25"/>
      <c r="G223" s="165"/>
      <c r="H223" s="165"/>
      <c r="J223" s="99"/>
      <c r="K223" s="99"/>
      <c r="L223" s="99"/>
      <c r="M223" s="99"/>
      <c r="N223" s="99"/>
      <c r="O223" s="99"/>
      <c r="P223" s="99"/>
      <c r="Q223" s="99"/>
      <c r="R223" s="99"/>
      <c r="S223" s="99"/>
    </row>
    <row r="224" spans="2:19" s="15" customFormat="1">
      <c r="B224" s="29"/>
      <c r="C224" s="29"/>
      <c r="D224" s="25"/>
      <c r="E224" s="25"/>
      <c r="G224" s="165"/>
      <c r="H224" s="165"/>
      <c r="J224" s="99"/>
      <c r="K224" s="99"/>
      <c r="L224" s="99"/>
      <c r="M224" s="99"/>
      <c r="N224" s="99"/>
      <c r="O224" s="99"/>
      <c r="P224" s="99"/>
      <c r="Q224" s="99"/>
      <c r="R224" s="99"/>
      <c r="S224" s="99"/>
    </row>
    <row r="225" spans="2:19" s="15" customFormat="1">
      <c r="B225" s="29"/>
      <c r="C225" s="29"/>
      <c r="D225" s="25"/>
      <c r="E225" s="25"/>
      <c r="G225" s="165"/>
      <c r="H225" s="165"/>
      <c r="J225" s="99"/>
      <c r="K225" s="99"/>
      <c r="L225" s="99"/>
      <c r="M225" s="99"/>
      <c r="N225" s="99"/>
      <c r="O225" s="99"/>
      <c r="P225" s="99"/>
      <c r="Q225" s="99"/>
      <c r="R225" s="99"/>
      <c r="S225" s="99"/>
    </row>
    <row r="226" spans="2:19" s="15" customFormat="1">
      <c r="B226" s="29"/>
      <c r="C226" s="29"/>
      <c r="D226" s="25"/>
      <c r="E226" s="25"/>
      <c r="G226" s="165"/>
      <c r="H226" s="165"/>
      <c r="J226" s="99"/>
      <c r="K226" s="99"/>
      <c r="L226" s="99"/>
      <c r="M226" s="99"/>
      <c r="N226" s="99"/>
      <c r="O226" s="99"/>
      <c r="P226" s="99"/>
      <c r="Q226" s="99"/>
      <c r="R226" s="99"/>
      <c r="S226" s="99"/>
    </row>
    <row r="227" spans="2:19" s="15" customFormat="1">
      <c r="B227" s="29"/>
      <c r="C227" s="29"/>
      <c r="D227" s="25"/>
      <c r="E227" s="25"/>
      <c r="G227" s="165"/>
      <c r="H227" s="165"/>
      <c r="J227" s="99"/>
      <c r="K227" s="99"/>
      <c r="L227" s="99"/>
      <c r="M227" s="99"/>
      <c r="N227" s="99"/>
      <c r="O227" s="99"/>
      <c r="P227" s="99"/>
      <c r="Q227" s="99"/>
      <c r="R227" s="99"/>
      <c r="S227" s="99"/>
    </row>
    <row r="228" spans="2:19" s="15" customFormat="1">
      <c r="B228" s="29"/>
      <c r="C228" s="29"/>
      <c r="D228" s="25"/>
      <c r="E228" s="25"/>
      <c r="G228" s="165"/>
      <c r="H228" s="165"/>
      <c r="J228" s="99"/>
      <c r="K228" s="99"/>
      <c r="L228" s="99"/>
      <c r="M228" s="99"/>
      <c r="N228" s="99"/>
      <c r="O228" s="99"/>
      <c r="P228" s="99"/>
      <c r="Q228" s="99"/>
      <c r="R228" s="99"/>
      <c r="S228" s="99"/>
    </row>
    <row r="229" spans="2:19" s="15" customFormat="1">
      <c r="B229" s="29"/>
      <c r="C229" s="29"/>
      <c r="D229" s="25"/>
      <c r="E229" s="25"/>
      <c r="G229" s="165"/>
      <c r="H229" s="165"/>
      <c r="J229" s="99"/>
      <c r="K229" s="99"/>
      <c r="L229" s="99"/>
      <c r="M229" s="99"/>
      <c r="N229" s="99"/>
      <c r="O229" s="99"/>
      <c r="P229" s="99"/>
      <c r="Q229" s="99"/>
      <c r="R229" s="99"/>
      <c r="S229" s="99"/>
    </row>
    <row r="230" spans="2:19" s="15" customFormat="1">
      <c r="B230" s="29"/>
      <c r="C230" s="29"/>
      <c r="D230" s="25"/>
      <c r="E230" s="25"/>
      <c r="G230" s="165"/>
      <c r="H230" s="165"/>
      <c r="J230" s="99"/>
      <c r="K230" s="99"/>
      <c r="L230" s="99"/>
      <c r="M230" s="99"/>
      <c r="N230" s="99"/>
      <c r="O230" s="99"/>
      <c r="P230" s="99"/>
      <c r="Q230" s="99"/>
      <c r="R230" s="99"/>
      <c r="S230" s="99"/>
    </row>
    <row r="231" spans="2:19" s="15" customFormat="1">
      <c r="B231" s="29"/>
      <c r="C231" s="29"/>
      <c r="D231" s="25"/>
      <c r="E231" s="25"/>
      <c r="G231" s="165"/>
      <c r="H231" s="165"/>
      <c r="J231" s="99"/>
      <c r="K231" s="99"/>
      <c r="L231" s="99"/>
      <c r="M231" s="99"/>
      <c r="N231" s="99"/>
      <c r="O231" s="99"/>
      <c r="P231" s="99"/>
      <c r="Q231" s="99"/>
      <c r="R231" s="99"/>
      <c r="S231" s="99"/>
    </row>
    <row r="232" spans="2:19" s="15" customFormat="1">
      <c r="B232" s="29"/>
      <c r="C232" s="29"/>
      <c r="D232" s="25"/>
      <c r="E232" s="25"/>
      <c r="G232" s="165"/>
      <c r="H232" s="165"/>
      <c r="J232" s="99"/>
      <c r="K232" s="99"/>
      <c r="L232" s="99"/>
      <c r="M232" s="99"/>
      <c r="N232" s="99"/>
      <c r="O232" s="99"/>
      <c r="P232" s="99"/>
      <c r="Q232" s="99"/>
      <c r="R232" s="99"/>
      <c r="S232" s="99"/>
    </row>
    <row r="233" spans="2:19" s="15" customFormat="1">
      <c r="B233" s="29"/>
      <c r="C233" s="29"/>
      <c r="D233" s="25"/>
      <c r="E233" s="25"/>
      <c r="G233" s="165"/>
      <c r="H233" s="165"/>
      <c r="J233" s="99"/>
      <c r="K233" s="99"/>
      <c r="L233" s="99"/>
      <c r="M233" s="99"/>
      <c r="N233" s="99"/>
      <c r="O233" s="99"/>
      <c r="P233" s="99"/>
      <c r="Q233" s="99"/>
      <c r="R233" s="99"/>
      <c r="S233" s="99"/>
    </row>
    <row r="234" spans="2:19" s="15" customFormat="1">
      <c r="B234" s="29"/>
      <c r="C234" s="29"/>
      <c r="D234" s="25"/>
      <c r="E234" s="25"/>
      <c r="G234" s="165"/>
      <c r="H234" s="165"/>
      <c r="J234" s="99"/>
      <c r="K234" s="99"/>
      <c r="L234" s="99"/>
      <c r="M234" s="99"/>
      <c r="N234" s="99"/>
      <c r="O234" s="99"/>
      <c r="P234" s="99"/>
      <c r="Q234" s="99"/>
      <c r="R234" s="99"/>
      <c r="S234" s="99"/>
    </row>
    <row r="235" spans="2:19" s="15" customFormat="1">
      <c r="B235" s="29"/>
      <c r="C235" s="29"/>
      <c r="D235" s="25"/>
      <c r="E235" s="25"/>
      <c r="G235" s="165"/>
      <c r="H235" s="165"/>
      <c r="J235" s="99"/>
      <c r="K235" s="99"/>
      <c r="L235" s="99"/>
      <c r="M235" s="99"/>
      <c r="N235" s="99"/>
      <c r="O235" s="99"/>
      <c r="P235" s="99"/>
      <c r="Q235" s="99"/>
      <c r="R235" s="99"/>
      <c r="S235" s="99"/>
    </row>
    <row r="236" spans="2:19" s="15" customFormat="1">
      <c r="B236" s="29"/>
      <c r="C236" s="29"/>
      <c r="D236" s="25"/>
      <c r="E236" s="25"/>
      <c r="G236" s="165"/>
      <c r="H236" s="165"/>
      <c r="J236" s="99"/>
      <c r="K236" s="99"/>
      <c r="L236" s="99"/>
      <c r="M236" s="99"/>
      <c r="N236" s="99"/>
      <c r="O236" s="99"/>
      <c r="P236" s="99"/>
      <c r="Q236" s="99"/>
      <c r="R236" s="99"/>
      <c r="S236" s="99"/>
    </row>
    <row r="237" spans="2:19" s="15" customFormat="1">
      <c r="B237" s="29"/>
      <c r="C237" s="29"/>
      <c r="D237" s="25"/>
      <c r="E237" s="25"/>
      <c r="G237" s="165"/>
      <c r="H237" s="165"/>
      <c r="J237" s="99"/>
      <c r="K237" s="99"/>
      <c r="L237" s="99"/>
      <c r="M237" s="99"/>
      <c r="N237" s="99"/>
      <c r="O237" s="99"/>
      <c r="P237" s="99"/>
      <c r="Q237" s="99"/>
      <c r="R237" s="99"/>
      <c r="S237" s="99"/>
    </row>
    <row r="238" spans="2:19" s="15" customFormat="1">
      <c r="B238" s="29"/>
      <c r="C238" s="29"/>
      <c r="D238" s="25"/>
      <c r="E238" s="25"/>
      <c r="G238" s="165"/>
      <c r="H238" s="165"/>
      <c r="J238" s="99"/>
      <c r="K238" s="99"/>
      <c r="L238" s="99"/>
      <c r="M238" s="99"/>
      <c r="N238" s="99"/>
      <c r="O238" s="99"/>
      <c r="P238" s="99"/>
      <c r="Q238" s="99"/>
      <c r="R238" s="99"/>
      <c r="S238" s="99"/>
    </row>
    <row r="239" spans="2:19" s="15" customFormat="1">
      <c r="B239" s="29"/>
      <c r="C239" s="29"/>
      <c r="D239" s="25"/>
      <c r="E239" s="25"/>
      <c r="G239" s="165"/>
      <c r="H239" s="165"/>
      <c r="J239" s="99"/>
      <c r="K239" s="99"/>
      <c r="L239" s="99"/>
      <c r="M239" s="99"/>
      <c r="N239" s="99"/>
      <c r="O239" s="99"/>
      <c r="P239" s="99"/>
      <c r="Q239" s="99"/>
      <c r="R239" s="99"/>
      <c r="S239" s="99"/>
    </row>
    <row r="240" spans="2:19" s="15" customFormat="1">
      <c r="B240" s="29"/>
      <c r="C240" s="29"/>
      <c r="D240" s="25"/>
      <c r="E240" s="25"/>
      <c r="G240" s="165"/>
      <c r="H240" s="165"/>
      <c r="J240" s="99"/>
      <c r="K240" s="99"/>
      <c r="L240" s="99"/>
      <c r="M240" s="99"/>
      <c r="N240" s="99"/>
      <c r="O240" s="99"/>
      <c r="P240" s="99"/>
      <c r="Q240" s="99"/>
      <c r="R240" s="99"/>
      <c r="S240" s="99"/>
    </row>
    <row r="241" spans="2:19" s="15" customFormat="1">
      <c r="B241" s="29"/>
      <c r="C241" s="29"/>
      <c r="D241" s="25"/>
      <c r="E241" s="25"/>
      <c r="G241" s="165"/>
      <c r="H241" s="165"/>
      <c r="J241" s="99"/>
      <c r="K241" s="99"/>
      <c r="L241" s="99"/>
      <c r="M241" s="99"/>
      <c r="N241" s="99"/>
      <c r="O241" s="99"/>
      <c r="P241" s="99"/>
      <c r="Q241" s="99"/>
      <c r="R241" s="99"/>
      <c r="S241" s="99"/>
    </row>
    <row r="242" spans="2:19" s="15" customFormat="1">
      <c r="B242" s="29"/>
      <c r="C242" s="29"/>
      <c r="D242" s="25"/>
      <c r="E242" s="25"/>
      <c r="G242" s="165"/>
      <c r="H242" s="165"/>
      <c r="J242" s="99"/>
      <c r="K242" s="99"/>
      <c r="L242" s="99"/>
      <c r="M242" s="99"/>
      <c r="N242" s="99"/>
      <c r="O242" s="99"/>
      <c r="P242" s="99"/>
      <c r="Q242" s="99"/>
      <c r="R242" s="99"/>
      <c r="S242" s="99"/>
    </row>
    <row r="243" spans="2:19" s="15" customFormat="1">
      <c r="B243" s="29"/>
      <c r="C243" s="29"/>
      <c r="D243" s="25"/>
      <c r="E243" s="25"/>
      <c r="G243" s="165"/>
      <c r="H243" s="165"/>
      <c r="J243" s="99"/>
      <c r="K243" s="99"/>
      <c r="L243" s="99"/>
      <c r="M243" s="99"/>
      <c r="N243" s="99"/>
      <c r="O243" s="99"/>
      <c r="P243" s="99"/>
      <c r="Q243" s="99"/>
      <c r="R243" s="99"/>
      <c r="S243" s="99"/>
    </row>
    <row r="244" spans="2:19" s="15" customFormat="1">
      <c r="B244" s="29"/>
      <c r="C244" s="29"/>
      <c r="D244" s="25"/>
      <c r="E244" s="25"/>
      <c r="G244" s="165"/>
      <c r="H244" s="165"/>
      <c r="J244" s="99"/>
      <c r="K244" s="99"/>
      <c r="L244" s="99"/>
      <c r="M244" s="99"/>
      <c r="N244" s="99"/>
      <c r="O244" s="99"/>
      <c r="P244" s="99"/>
      <c r="Q244" s="99"/>
      <c r="R244" s="99"/>
      <c r="S244" s="99"/>
    </row>
    <row r="245" spans="2:19" s="15" customFormat="1">
      <c r="B245" s="29"/>
      <c r="C245" s="29"/>
      <c r="D245" s="25"/>
      <c r="E245" s="25"/>
      <c r="G245" s="165"/>
      <c r="H245" s="165"/>
      <c r="J245" s="99"/>
      <c r="K245" s="99"/>
      <c r="L245" s="99"/>
      <c r="M245" s="99"/>
      <c r="N245" s="99"/>
      <c r="O245" s="99"/>
      <c r="P245" s="99"/>
      <c r="Q245" s="99"/>
      <c r="R245" s="99"/>
      <c r="S245" s="99"/>
    </row>
    <row r="246" spans="2:19" s="15" customFormat="1">
      <c r="B246" s="29"/>
      <c r="C246" s="29"/>
      <c r="D246" s="25"/>
      <c r="E246" s="25"/>
      <c r="G246" s="165"/>
      <c r="H246" s="165"/>
      <c r="J246" s="99"/>
      <c r="K246" s="99"/>
      <c r="L246" s="99"/>
      <c r="M246" s="99"/>
      <c r="N246" s="99"/>
      <c r="O246" s="99"/>
      <c r="P246" s="99"/>
      <c r="Q246" s="99"/>
      <c r="R246" s="99"/>
      <c r="S246" s="99"/>
    </row>
    <row r="247" spans="2:19" s="15" customFormat="1">
      <c r="B247" s="29"/>
      <c r="C247" s="29"/>
      <c r="D247" s="25"/>
      <c r="E247" s="25"/>
      <c r="G247" s="165"/>
      <c r="H247" s="165"/>
      <c r="J247" s="99"/>
      <c r="K247" s="99"/>
      <c r="L247" s="99"/>
      <c r="M247" s="99"/>
      <c r="N247" s="99"/>
      <c r="O247" s="99"/>
      <c r="P247" s="99"/>
      <c r="Q247" s="99"/>
      <c r="R247" s="99"/>
      <c r="S247" s="99"/>
    </row>
    <row r="248" spans="2:19" s="15" customFormat="1">
      <c r="B248" s="29"/>
      <c r="C248" s="29"/>
      <c r="D248" s="25"/>
      <c r="E248" s="25"/>
      <c r="G248" s="165"/>
      <c r="H248" s="165"/>
      <c r="J248" s="99"/>
      <c r="K248" s="99"/>
      <c r="L248" s="99"/>
      <c r="M248" s="99"/>
      <c r="N248" s="99"/>
      <c r="O248" s="99"/>
      <c r="P248" s="99"/>
      <c r="Q248" s="99"/>
      <c r="R248" s="99"/>
      <c r="S248" s="99"/>
    </row>
    <row r="249" spans="2:19" s="15" customFormat="1">
      <c r="B249" s="29"/>
      <c r="C249" s="29"/>
      <c r="D249" s="25"/>
      <c r="E249" s="25"/>
      <c r="G249" s="165"/>
      <c r="H249" s="165"/>
      <c r="J249" s="99"/>
      <c r="K249" s="99"/>
      <c r="L249" s="99"/>
      <c r="M249" s="99"/>
      <c r="N249" s="99"/>
      <c r="O249" s="99"/>
      <c r="P249" s="99"/>
      <c r="Q249" s="99"/>
      <c r="R249" s="99"/>
      <c r="S249" s="99"/>
    </row>
    <row r="250" spans="2:19" s="15" customFormat="1">
      <c r="B250" s="29"/>
      <c r="C250" s="29"/>
      <c r="D250" s="25"/>
      <c r="E250" s="25"/>
      <c r="G250" s="165"/>
      <c r="H250" s="165"/>
      <c r="J250" s="99"/>
      <c r="K250" s="99"/>
      <c r="L250" s="99"/>
      <c r="M250" s="99"/>
      <c r="N250" s="99"/>
      <c r="O250" s="99"/>
      <c r="P250" s="99"/>
      <c r="Q250" s="99"/>
      <c r="R250" s="99"/>
      <c r="S250" s="99"/>
    </row>
    <row r="251" spans="2:19" s="15" customFormat="1">
      <c r="B251" s="29"/>
      <c r="C251" s="29"/>
      <c r="D251" s="25"/>
      <c r="E251" s="25"/>
      <c r="G251" s="165"/>
      <c r="H251" s="165"/>
      <c r="J251" s="99"/>
      <c r="K251" s="99"/>
      <c r="L251" s="99"/>
      <c r="M251" s="99"/>
      <c r="N251" s="99"/>
      <c r="O251" s="99"/>
      <c r="P251" s="99"/>
      <c r="Q251" s="99"/>
      <c r="R251" s="99"/>
      <c r="S251" s="99"/>
    </row>
    <row r="252" spans="2:19" s="15" customFormat="1">
      <c r="B252" s="29"/>
      <c r="C252" s="29"/>
      <c r="D252" s="25"/>
      <c r="E252" s="25"/>
      <c r="G252" s="165"/>
      <c r="H252" s="165"/>
      <c r="J252" s="99"/>
      <c r="K252" s="99"/>
      <c r="L252" s="99"/>
      <c r="M252" s="99"/>
      <c r="N252" s="99"/>
      <c r="O252" s="99"/>
      <c r="P252" s="99"/>
      <c r="Q252" s="99"/>
      <c r="R252" s="99"/>
      <c r="S252" s="99"/>
    </row>
    <row r="253" spans="2:19" s="15" customFormat="1">
      <c r="B253" s="29"/>
      <c r="C253" s="29"/>
      <c r="D253" s="25"/>
      <c r="E253" s="25"/>
      <c r="G253" s="165"/>
      <c r="H253" s="165"/>
      <c r="J253" s="99"/>
      <c r="K253" s="99"/>
      <c r="L253" s="99"/>
      <c r="M253" s="99"/>
      <c r="N253" s="99"/>
      <c r="O253" s="99"/>
      <c r="P253" s="99"/>
      <c r="Q253" s="99"/>
      <c r="R253" s="99"/>
      <c r="S253" s="99"/>
    </row>
    <row r="254" spans="2:19" s="15" customFormat="1">
      <c r="B254" s="29"/>
      <c r="C254" s="29"/>
      <c r="D254" s="25"/>
      <c r="E254" s="25"/>
      <c r="G254" s="165"/>
      <c r="H254" s="165"/>
      <c r="J254" s="99"/>
      <c r="K254" s="99"/>
      <c r="L254" s="99"/>
      <c r="M254" s="99"/>
      <c r="N254" s="99"/>
      <c r="O254" s="99"/>
      <c r="P254" s="99"/>
      <c r="Q254" s="99"/>
      <c r="R254" s="99"/>
      <c r="S254" s="99"/>
    </row>
    <row r="255" spans="2:19" s="15" customFormat="1">
      <c r="B255" s="29"/>
      <c r="C255" s="29"/>
      <c r="D255" s="25"/>
      <c r="E255" s="25"/>
      <c r="G255" s="165"/>
      <c r="H255" s="165"/>
      <c r="J255" s="99"/>
      <c r="K255" s="99"/>
      <c r="L255" s="99"/>
      <c r="M255" s="99"/>
      <c r="N255" s="99"/>
      <c r="O255" s="99"/>
      <c r="P255" s="99"/>
      <c r="Q255" s="99"/>
      <c r="R255" s="99"/>
      <c r="S255" s="99"/>
    </row>
    <row r="256" spans="2:19" s="15" customFormat="1">
      <c r="B256" s="29"/>
      <c r="C256" s="29"/>
      <c r="D256" s="25"/>
      <c r="E256" s="25"/>
      <c r="G256" s="165"/>
      <c r="H256" s="165"/>
      <c r="J256" s="99"/>
      <c r="K256" s="99"/>
      <c r="L256" s="99"/>
      <c r="M256" s="99"/>
      <c r="N256" s="99"/>
      <c r="O256" s="99"/>
      <c r="P256" s="99"/>
      <c r="Q256" s="99"/>
      <c r="R256" s="99"/>
      <c r="S256" s="99"/>
    </row>
    <row r="257" spans="2:19" s="15" customFormat="1">
      <c r="B257" s="29"/>
      <c r="C257" s="29"/>
      <c r="D257" s="25"/>
      <c r="E257" s="25"/>
      <c r="G257" s="165"/>
      <c r="H257" s="165"/>
      <c r="J257" s="99"/>
      <c r="K257" s="99"/>
      <c r="L257" s="99"/>
      <c r="M257" s="99"/>
      <c r="N257" s="99"/>
      <c r="O257" s="99"/>
      <c r="P257" s="99"/>
      <c r="Q257" s="99"/>
      <c r="R257" s="99"/>
      <c r="S257" s="99"/>
    </row>
    <row r="258" spans="2:19" s="15" customFormat="1">
      <c r="B258" s="29"/>
      <c r="C258" s="29"/>
      <c r="D258" s="25"/>
      <c r="E258" s="25"/>
      <c r="G258" s="165"/>
      <c r="H258" s="165"/>
      <c r="J258" s="99"/>
      <c r="K258" s="99"/>
      <c r="L258" s="99"/>
      <c r="M258" s="99"/>
      <c r="N258" s="99"/>
      <c r="O258" s="99"/>
      <c r="P258" s="99"/>
      <c r="Q258" s="99"/>
      <c r="R258" s="99"/>
      <c r="S258" s="99"/>
    </row>
    <row r="259" spans="2:19" s="15" customFormat="1">
      <c r="B259" s="29"/>
      <c r="C259" s="29"/>
      <c r="D259" s="25"/>
      <c r="E259" s="25"/>
      <c r="G259" s="165"/>
      <c r="H259" s="165"/>
      <c r="J259" s="99"/>
      <c r="K259" s="99"/>
      <c r="L259" s="99"/>
      <c r="M259" s="99"/>
      <c r="N259" s="99"/>
      <c r="O259" s="99"/>
      <c r="P259" s="99"/>
      <c r="Q259" s="99"/>
      <c r="R259" s="99"/>
      <c r="S259" s="99"/>
    </row>
    <row r="260" spans="2:19" s="15" customFormat="1">
      <c r="B260" s="29"/>
      <c r="C260" s="29"/>
      <c r="D260" s="25"/>
      <c r="E260" s="25"/>
      <c r="G260" s="165"/>
      <c r="H260" s="165"/>
      <c r="J260" s="99"/>
      <c r="K260" s="99"/>
      <c r="L260" s="99"/>
      <c r="M260" s="99"/>
      <c r="N260" s="99"/>
      <c r="O260" s="99"/>
      <c r="P260" s="99"/>
      <c r="Q260" s="99"/>
      <c r="R260" s="99"/>
      <c r="S260" s="99"/>
    </row>
    <row r="261" spans="2:19" s="15" customFormat="1">
      <c r="B261" s="29"/>
      <c r="C261" s="29"/>
      <c r="D261" s="25"/>
      <c r="E261" s="25"/>
      <c r="G261" s="165"/>
      <c r="H261" s="165"/>
      <c r="J261" s="99"/>
      <c r="K261" s="99"/>
      <c r="L261" s="99"/>
      <c r="M261" s="99"/>
      <c r="N261" s="99"/>
      <c r="O261" s="99"/>
      <c r="P261" s="99"/>
      <c r="Q261" s="99"/>
      <c r="R261" s="99"/>
      <c r="S261" s="99"/>
    </row>
    <row r="262" spans="2:19" s="15" customFormat="1">
      <c r="B262" s="29"/>
      <c r="C262" s="29"/>
      <c r="D262" s="25"/>
      <c r="E262" s="25"/>
      <c r="G262" s="165"/>
      <c r="H262" s="165"/>
      <c r="J262" s="99"/>
      <c r="K262" s="99"/>
      <c r="L262" s="99"/>
      <c r="M262" s="99"/>
      <c r="N262" s="99"/>
      <c r="O262" s="99"/>
      <c r="P262" s="99"/>
      <c r="Q262" s="99"/>
      <c r="R262" s="99"/>
      <c r="S262" s="99"/>
    </row>
    <row r="263" spans="2:19" s="15" customFormat="1">
      <c r="B263" s="29"/>
      <c r="C263" s="29"/>
      <c r="D263" s="25"/>
      <c r="E263" s="25"/>
      <c r="G263" s="165"/>
      <c r="H263" s="165"/>
      <c r="J263" s="99"/>
      <c r="K263" s="99"/>
      <c r="L263" s="99"/>
      <c r="M263" s="99"/>
      <c r="N263" s="99"/>
      <c r="O263" s="99"/>
      <c r="P263" s="99"/>
      <c r="Q263" s="99"/>
      <c r="R263" s="99"/>
      <c r="S263" s="99"/>
    </row>
    <row r="264" spans="2:19" s="15" customFormat="1">
      <c r="B264" s="29"/>
      <c r="C264" s="29"/>
      <c r="D264" s="25"/>
      <c r="E264" s="25"/>
      <c r="G264" s="165"/>
      <c r="H264" s="165"/>
      <c r="J264" s="99"/>
      <c r="K264" s="99"/>
      <c r="L264" s="99"/>
      <c r="M264" s="99"/>
      <c r="N264" s="99"/>
      <c r="O264" s="99"/>
      <c r="P264" s="99"/>
      <c r="Q264" s="99"/>
      <c r="R264" s="99"/>
      <c r="S264" s="99"/>
    </row>
    <row r="265" spans="2:19" s="15" customFormat="1">
      <c r="B265" s="29"/>
      <c r="C265" s="29"/>
      <c r="D265" s="25"/>
      <c r="E265" s="25"/>
      <c r="G265" s="165"/>
      <c r="H265" s="165"/>
      <c r="J265" s="99"/>
      <c r="K265" s="99"/>
      <c r="L265" s="99"/>
      <c r="M265" s="99"/>
      <c r="N265" s="99"/>
      <c r="O265" s="99"/>
      <c r="P265" s="99"/>
      <c r="Q265" s="99"/>
      <c r="R265" s="99"/>
      <c r="S265" s="99"/>
    </row>
    <row r="266" spans="2:19" s="15" customFormat="1">
      <c r="B266" s="29"/>
      <c r="C266" s="29"/>
      <c r="D266" s="25"/>
      <c r="E266" s="25"/>
      <c r="G266" s="165"/>
      <c r="H266" s="165"/>
      <c r="J266" s="99"/>
      <c r="K266" s="99"/>
      <c r="L266" s="99"/>
      <c r="M266" s="99"/>
      <c r="N266" s="99"/>
      <c r="O266" s="99"/>
      <c r="P266" s="99"/>
      <c r="Q266" s="99"/>
      <c r="R266" s="99"/>
      <c r="S266" s="99"/>
    </row>
    <row r="267" spans="2:19" s="15" customFormat="1">
      <c r="B267" s="29"/>
      <c r="C267" s="29"/>
      <c r="D267" s="25"/>
      <c r="E267" s="25"/>
      <c r="G267" s="165"/>
      <c r="H267" s="165"/>
      <c r="J267" s="99"/>
      <c r="K267" s="99"/>
      <c r="L267" s="99"/>
      <c r="M267" s="99"/>
      <c r="N267" s="99"/>
      <c r="O267" s="99"/>
      <c r="P267" s="99"/>
      <c r="Q267" s="99"/>
      <c r="R267" s="99"/>
      <c r="S267" s="99"/>
    </row>
    <row r="268" spans="2:19" s="15" customFormat="1">
      <c r="B268" s="29"/>
      <c r="C268" s="29"/>
      <c r="D268" s="25"/>
      <c r="E268" s="25"/>
      <c r="G268" s="165"/>
      <c r="H268" s="165"/>
      <c r="J268" s="99"/>
      <c r="K268" s="99"/>
      <c r="L268" s="99"/>
      <c r="M268" s="99"/>
      <c r="N268" s="99"/>
      <c r="O268" s="99"/>
      <c r="P268" s="99"/>
      <c r="Q268" s="99"/>
      <c r="R268" s="99"/>
      <c r="S268" s="99"/>
    </row>
    <row r="269" spans="2:19" s="15" customFormat="1">
      <c r="B269" s="29"/>
      <c r="C269" s="29"/>
      <c r="D269" s="25"/>
      <c r="E269" s="25"/>
      <c r="G269" s="165"/>
      <c r="H269" s="165"/>
      <c r="J269" s="99"/>
      <c r="K269" s="99"/>
      <c r="L269" s="99"/>
      <c r="M269" s="99"/>
      <c r="N269" s="99"/>
      <c r="O269" s="99"/>
      <c r="P269" s="99"/>
      <c r="Q269" s="99"/>
      <c r="R269" s="99"/>
      <c r="S269" s="99"/>
    </row>
    <row r="270" spans="2:19" s="15" customFormat="1">
      <c r="B270" s="29"/>
      <c r="C270" s="29"/>
      <c r="D270" s="25"/>
      <c r="E270" s="25"/>
      <c r="G270" s="165"/>
      <c r="H270" s="165"/>
      <c r="J270" s="99"/>
      <c r="K270" s="99"/>
      <c r="L270" s="99"/>
      <c r="M270" s="99"/>
      <c r="N270" s="99"/>
      <c r="O270" s="99"/>
      <c r="P270" s="99"/>
      <c r="Q270" s="99"/>
      <c r="R270" s="99"/>
      <c r="S270" s="99"/>
    </row>
    <row r="271" spans="2:19" s="15" customFormat="1">
      <c r="B271" s="29"/>
      <c r="C271" s="29"/>
      <c r="D271" s="25"/>
      <c r="E271" s="25"/>
      <c r="G271" s="165"/>
      <c r="H271" s="165"/>
      <c r="J271" s="99"/>
      <c r="K271" s="99"/>
      <c r="L271" s="99"/>
      <c r="M271" s="99"/>
      <c r="N271" s="99"/>
      <c r="O271" s="99"/>
      <c r="P271" s="99"/>
      <c r="Q271" s="99"/>
      <c r="R271" s="99"/>
      <c r="S271" s="99"/>
    </row>
    <row r="272" spans="2:19" s="15" customFormat="1">
      <c r="B272" s="29"/>
      <c r="C272" s="29"/>
      <c r="D272" s="25"/>
      <c r="E272" s="25"/>
      <c r="G272" s="165"/>
      <c r="H272" s="165"/>
      <c r="J272" s="99"/>
      <c r="K272" s="99"/>
      <c r="L272" s="99"/>
      <c r="M272" s="99"/>
      <c r="N272" s="99"/>
      <c r="O272" s="99"/>
      <c r="P272" s="99"/>
      <c r="Q272" s="99"/>
      <c r="R272" s="99"/>
      <c r="S272" s="99"/>
    </row>
    <row r="273" spans="2:19" s="15" customFormat="1">
      <c r="B273" s="29"/>
      <c r="C273" s="29"/>
      <c r="D273" s="25"/>
      <c r="E273" s="25"/>
      <c r="G273" s="165"/>
      <c r="H273" s="165"/>
      <c r="J273" s="99"/>
      <c r="K273" s="99"/>
      <c r="L273" s="99"/>
      <c r="M273" s="99"/>
      <c r="N273" s="99"/>
      <c r="O273" s="99"/>
      <c r="P273" s="99"/>
      <c r="Q273" s="99"/>
      <c r="R273" s="99"/>
      <c r="S273" s="99"/>
    </row>
    <row r="274" spans="2:19" s="15" customFormat="1">
      <c r="B274" s="29"/>
      <c r="C274" s="29"/>
      <c r="D274" s="25"/>
      <c r="E274" s="25"/>
      <c r="G274" s="165"/>
      <c r="H274" s="165"/>
      <c r="J274" s="99"/>
      <c r="K274" s="99"/>
      <c r="L274" s="99"/>
      <c r="M274" s="99"/>
      <c r="N274" s="99"/>
      <c r="O274" s="99"/>
      <c r="P274" s="99"/>
      <c r="Q274" s="99"/>
      <c r="R274" s="99"/>
      <c r="S274" s="99"/>
    </row>
    <row r="275" spans="2:19" s="15" customFormat="1">
      <c r="B275" s="29"/>
      <c r="C275" s="29"/>
      <c r="D275" s="25"/>
      <c r="E275" s="25"/>
      <c r="G275" s="165"/>
      <c r="H275" s="165"/>
      <c r="J275" s="99"/>
      <c r="K275" s="99"/>
      <c r="L275" s="99"/>
      <c r="M275" s="99"/>
      <c r="N275" s="99"/>
      <c r="O275" s="99"/>
      <c r="P275" s="99"/>
      <c r="Q275" s="99"/>
      <c r="R275" s="99"/>
      <c r="S275" s="99"/>
    </row>
    <row r="276" spans="2:19" s="15" customFormat="1">
      <c r="B276" s="29"/>
      <c r="C276" s="29"/>
      <c r="D276" s="25"/>
      <c r="E276" s="25"/>
      <c r="G276" s="165"/>
      <c r="H276" s="165"/>
      <c r="J276" s="99"/>
      <c r="K276" s="99"/>
      <c r="L276" s="99"/>
      <c r="M276" s="99"/>
      <c r="N276" s="99"/>
      <c r="O276" s="99"/>
      <c r="P276" s="99"/>
      <c r="Q276" s="99"/>
      <c r="R276" s="99"/>
      <c r="S276" s="99"/>
    </row>
    <row r="277" spans="2:19" s="15" customFormat="1">
      <c r="B277" s="29"/>
      <c r="C277" s="29"/>
      <c r="D277" s="25"/>
      <c r="E277" s="25"/>
      <c r="G277" s="165"/>
      <c r="H277" s="165"/>
      <c r="J277" s="99"/>
      <c r="K277" s="99"/>
      <c r="L277" s="99"/>
      <c r="M277" s="99"/>
      <c r="N277" s="99"/>
      <c r="O277" s="99"/>
      <c r="P277" s="99"/>
      <c r="Q277" s="99"/>
      <c r="R277" s="99"/>
      <c r="S277" s="99"/>
    </row>
    <row r="278" spans="2:19" s="15" customFormat="1">
      <c r="B278" s="29"/>
      <c r="C278" s="29"/>
      <c r="D278" s="25"/>
      <c r="E278" s="25"/>
      <c r="G278" s="165"/>
      <c r="H278" s="165"/>
      <c r="J278" s="99"/>
      <c r="K278" s="99"/>
      <c r="L278" s="99"/>
      <c r="M278" s="99"/>
      <c r="N278" s="99"/>
      <c r="O278" s="99"/>
      <c r="P278" s="99"/>
      <c r="Q278" s="99"/>
      <c r="R278" s="99"/>
      <c r="S278" s="99"/>
    </row>
    <row r="279" spans="2:19" s="15" customFormat="1">
      <c r="B279" s="29"/>
      <c r="C279" s="29"/>
      <c r="D279" s="25"/>
      <c r="E279" s="25"/>
      <c r="G279" s="165"/>
      <c r="H279" s="165"/>
      <c r="J279" s="99"/>
      <c r="K279" s="99"/>
      <c r="L279" s="99"/>
      <c r="M279" s="99"/>
      <c r="N279" s="99"/>
      <c r="O279" s="99"/>
      <c r="P279" s="99"/>
      <c r="Q279" s="99"/>
      <c r="R279" s="99"/>
      <c r="S279" s="99"/>
    </row>
    <row r="280" spans="2:19" s="15" customFormat="1">
      <c r="B280" s="29"/>
      <c r="C280" s="29"/>
      <c r="D280" s="25"/>
      <c r="E280" s="25"/>
      <c r="G280" s="165"/>
      <c r="H280" s="165"/>
      <c r="J280" s="99"/>
      <c r="K280" s="99"/>
      <c r="L280" s="99"/>
      <c r="M280" s="99"/>
      <c r="N280" s="99"/>
      <c r="O280" s="99"/>
      <c r="P280" s="99"/>
      <c r="Q280" s="99"/>
      <c r="R280" s="99"/>
      <c r="S280" s="99"/>
    </row>
    <row r="281" spans="2:19" s="15" customFormat="1">
      <c r="B281" s="29"/>
      <c r="C281" s="29"/>
      <c r="D281" s="25"/>
      <c r="E281" s="25"/>
      <c r="G281" s="165"/>
      <c r="H281" s="165"/>
      <c r="J281" s="99"/>
      <c r="K281" s="99"/>
      <c r="L281" s="99"/>
      <c r="M281" s="99"/>
      <c r="N281" s="99"/>
      <c r="O281" s="99"/>
      <c r="P281" s="99"/>
      <c r="Q281" s="99"/>
      <c r="R281" s="99"/>
      <c r="S281" s="99"/>
    </row>
    <row r="282" spans="2:19" s="15" customFormat="1">
      <c r="B282" s="29"/>
      <c r="C282" s="29"/>
      <c r="D282" s="25"/>
      <c r="E282" s="25"/>
      <c r="G282" s="165"/>
      <c r="H282" s="165"/>
      <c r="J282" s="99"/>
      <c r="K282" s="99"/>
      <c r="L282" s="99"/>
      <c r="M282" s="99"/>
      <c r="N282" s="99"/>
      <c r="O282" s="99"/>
      <c r="P282" s="99"/>
      <c r="Q282" s="99"/>
      <c r="R282" s="99"/>
      <c r="S282" s="99"/>
    </row>
    <row r="283" spans="2:19" s="15" customFormat="1">
      <c r="B283" s="29"/>
      <c r="C283" s="29"/>
      <c r="D283" s="25"/>
      <c r="E283" s="25"/>
      <c r="G283" s="165"/>
      <c r="H283" s="165"/>
      <c r="J283" s="99"/>
      <c r="K283" s="99"/>
      <c r="L283" s="99"/>
      <c r="M283" s="99"/>
      <c r="N283" s="99"/>
      <c r="O283" s="99"/>
      <c r="P283" s="99"/>
      <c r="Q283" s="99"/>
      <c r="R283" s="99"/>
      <c r="S283" s="99"/>
    </row>
    <row r="284" spans="2:19" s="15" customFormat="1">
      <c r="B284" s="29"/>
      <c r="C284" s="29"/>
      <c r="D284" s="25"/>
      <c r="E284" s="25"/>
      <c r="G284" s="165"/>
      <c r="H284" s="165"/>
      <c r="J284" s="99"/>
      <c r="K284" s="99"/>
      <c r="L284" s="99"/>
      <c r="M284" s="99"/>
      <c r="N284" s="99"/>
      <c r="O284" s="99"/>
      <c r="P284" s="99"/>
      <c r="Q284" s="99"/>
      <c r="R284" s="99"/>
      <c r="S284" s="99"/>
    </row>
    <row r="285" spans="2:19" s="15" customFormat="1">
      <c r="B285" s="29"/>
      <c r="C285" s="29"/>
      <c r="D285" s="25"/>
      <c r="E285" s="25"/>
      <c r="G285" s="165"/>
      <c r="H285" s="165"/>
      <c r="J285" s="99"/>
      <c r="K285" s="99"/>
      <c r="L285" s="99"/>
      <c r="M285" s="99"/>
      <c r="N285" s="99"/>
      <c r="O285" s="99"/>
      <c r="P285" s="99"/>
      <c r="Q285" s="99"/>
      <c r="R285" s="99"/>
      <c r="S285" s="99"/>
    </row>
    <row r="286" spans="2:19" s="15" customFormat="1">
      <c r="B286" s="29"/>
      <c r="C286" s="29"/>
      <c r="D286" s="25"/>
      <c r="E286" s="25"/>
      <c r="G286" s="165"/>
      <c r="H286" s="165"/>
      <c r="J286" s="99"/>
      <c r="K286" s="99"/>
      <c r="L286" s="99"/>
      <c r="M286" s="99"/>
      <c r="N286" s="99"/>
      <c r="O286" s="99"/>
      <c r="P286" s="99"/>
      <c r="Q286" s="99"/>
      <c r="R286" s="99"/>
      <c r="S286" s="99"/>
    </row>
    <row r="287" spans="2:19" s="15" customFormat="1">
      <c r="B287" s="29"/>
      <c r="C287" s="29"/>
      <c r="D287" s="25"/>
      <c r="E287" s="25"/>
      <c r="G287" s="165"/>
      <c r="H287" s="165"/>
      <c r="J287" s="99"/>
      <c r="K287" s="99"/>
      <c r="L287" s="99"/>
      <c r="M287" s="99"/>
      <c r="N287" s="99"/>
      <c r="O287" s="99"/>
      <c r="P287" s="99"/>
      <c r="Q287" s="99"/>
      <c r="R287" s="99"/>
      <c r="S287" s="99"/>
    </row>
    <row r="288" spans="2:19" s="15" customFormat="1">
      <c r="B288" s="29"/>
      <c r="C288" s="29"/>
      <c r="D288" s="25"/>
      <c r="E288" s="25"/>
      <c r="G288" s="165"/>
      <c r="H288" s="165"/>
      <c r="J288" s="99"/>
      <c r="K288" s="99"/>
      <c r="L288" s="99"/>
      <c r="M288" s="99"/>
      <c r="N288" s="99"/>
      <c r="O288" s="99"/>
      <c r="P288" s="99"/>
      <c r="Q288" s="99"/>
      <c r="R288" s="99"/>
      <c r="S288" s="99"/>
    </row>
    <row r="289" spans="2:19" s="15" customFormat="1">
      <c r="B289" s="29"/>
      <c r="C289" s="29"/>
      <c r="D289" s="25"/>
      <c r="E289" s="25"/>
      <c r="G289" s="165"/>
      <c r="H289" s="165"/>
      <c r="J289" s="99"/>
      <c r="K289" s="99"/>
      <c r="L289" s="99"/>
      <c r="M289" s="99"/>
      <c r="N289" s="99"/>
      <c r="O289" s="99"/>
      <c r="P289" s="99"/>
      <c r="Q289" s="99"/>
      <c r="R289" s="99"/>
      <c r="S289" s="99"/>
    </row>
    <row r="290" spans="2:19" s="15" customFormat="1">
      <c r="B290" s="29"/>
      <c r="C290" s="29"/>
      <c r="D290" s="25"/>
      <c r="E290" s="25"/>
      <c r="G290" s="165"/>
      <c r="H290" s="165"/>
      <c r="J290" s="99"/>
      <c r="K290" s="99"/>
      <c r="L290" s="99"/>
      <c r="M290" s="99"/>
      <c r="N290" s="99"/>
      <c r="O290" s="99"/>
      <c r="P290" s="99"/>
      <c r="Q290" s="99"/>
      <c r="R290" s="99"/>
      <c r="S290" s="99"/>
    </row>
    <row r="291" spans="2:19" s="15" customFormat="1">
      <c r="B291" s="29"/>
      <c r="C291" s="29"/>
      <c r="D291" s="25"/>
      <c r="E291" s="25"/>
      <c r="G291" s="165"/>
      <c r="H291" s="165"/>
      <c r="J291" s="99"/>
      <c r="K291" s="99"/>
      <c r="L291" s="99"/>
      <c r="M291" s="99"/>
      <c r="N291" s="99"/>
      <c r="O291" s="99"/>
      <c r="P291" s="99"/>
      <c r="Q291" s="99"/>
      <c r="R291" s="99"/>
      <c r="S291" s="99"/>
    </row>
    <row r="292" spans="2:19" s="15" customFormat="1">
      <c r="B292" s="29"/>
      <c r="C292" s="29"/>
      <c r="D292" s="25"/>
      <c r="E292" s="25"/>
      <c r="G292" s="165"/>
      <c r="H292" s="165"/>
      <c r="J292" s="99"/>
      <c r="K292" s="99"/>
      <c r="L292" s="99"/>
      <c r="M292" s="99"/>
      <c r="N292" s="99"/>
      <c r="O292" s="99"/>
      <c r="P292" s="99"/>
      <c r="Q292" s="99"/>
      <c r="R292" s="99"/>
      <c r="S292" s="99"/>
    </row>
    <row r="293" spans="2:19" s="15" customFormat="1">
      <c r="B293" s="29"/>
      <c r="C293" s="29"/>
      <c r="D293" s="25"/>
      <c r="E293" s="25"/>
      <c r="G293" s="165"/>
      <c r="H293" s="165"/>
      <c r="J293" s="99"/>
      <c r="K293" s="99"/>
      <c r="L293" s="99"/>
      <c r="M293" s="99"/>
      <c r="N293" s="99"/>
      <c r="O293" s="99"/>
      <c r="P293" s="99"/>
      <c r="Q293" s="99"/>
      <c r="R293" s="99"/>
      <c r="S293" s="99"/>
    </row>
    <row r="294" spans="2:19" s="15" customFormat="1">
      <c r="B294" s="29"/>
      <c r="C294" s="29"/>
      <c r="D294" s="25"/>
      <c r="E294" s="25"/>
      <c r="G294" s="165"/>
      <c r="H294" s="165"/>
      <c r="J294" s="99"/>
      <c r="K294" s="99"/>
      <c r="L294" s="99"/>
      <c r="M294" s="99"/>
      <c r="N294" s="99"/>
      <c r="O294" s="99"/>
      <c r="P294" s="99"/>
      <c r="Q294" s="99"/>
      <c r="R294" s="99"/>
      <c r="S294" s="99"/>
    </row>
    <row r="295" spans="2:19" s="15" customFormat="1">
      <c r="B295" s="29"/>
      <c r="C295" s="29"/>
      <c r="D295" s="25"/>
      <c r="E295" s="25"/>
      <c r="G295" s="165"/>
      <c r="H295" s="165"/>
      <c r="J295" s="99"/>
      <c r="K295" s="99"/>
      <c r="L295" s="99"/>
      <c r="M295" s="99"/>
      <c r="N295" s="99"/>
      <c r="O295" s="99"/>
      <c r="P295" s="99"/>
      <c r="Q295" s="99"/>
      <c r="R295" s="99"/>
      <c r="S295" s="99"/>
    </row>
    <row r="296" spans="2:19" s="15" customFormat="1">
      <c r="B296" s="29"/>
      <c r="C296" s="29"/>
      <c r="D296" s="25"/>
      <c r="E296" s="25"/>
      <c r="G296" s="165"/>
      <c r="H296" s="165"/>
      <c r="J296" s="99"/>
      <c r="K296" s="99"/>
      <c r="L296" s="99"/>
      <c r="M296" s="99"/>
      <c r="N296" s="99"/>
      <c r="O296" s="99"/>
      <c r="P296" s="99"/>
      <c r="Q296" s="99"/>
      <c r="R296" s="99"/>
      <c r="S296" s="99"/>
    </row>
    <row r="297" spans="2:19" s="15" customFormat="1">
      <c r="B297" s="29"/>
      <c r="C297" s="29"/>
      <c r="D297" s="25"/>
      <c r="E297" s="25"/>
      <c r="G297" s="165"/>
      <c r="H297" s="165"/>
      <c r="J297" s="99"/>
      <c r="K297" s="99"/>
      <c r="L297" s="99"/>
      <c r="M297" s="99"/>
      <c r="N297" s="99"/>
      <c r="O297" s="99"/>
      <c r="P297" s="99"/>
      <c r="Q297" s="99"/>
      <c r="R297" s="99"/>
      <c r="S297" s="99"/>
    </row>
    <row r="298" spans="2:19" s="15" customFormat="1">
      <c r="B298" s="29"/>
      <c r="C298" s="29"/>
      <c r="D298" s="25"/>
      <c r="E298" s="25"/>
      <c r="G298" s="165"/>
      <c r="H298" s="165"/>
      <c r="J298" s="99"/>
      <c r="K298" s="99"/>
      <c r="L298" s="99"/>
      <c r="M298" s="99"/>
      <c r="N298" s="99"/>
      <c r="O298" s="99"/>
      <c r="P298" s="99"/>
      <c r="Q298" s="99"/>
      <c r="R298" s="99"/>
      <c r="S298" s="99"/>
    </row>
    <row r="299" spans="2:19" s="15" customFormat="1">
      <c r="B299" s="29"/>
      <c r="C299" s="29"/>
      <c r="D299" s="25"/>
      <c r="E299" s="25"/>
      <c r="G299" s="165"/>
      <c r="H299" s="165"/>
      <c r="J299" s="99"/>
      <c r="K299" s="99"/>
      <c r="L299" s="99"/>
      <c r="M299" s="99"/>
      <c r="N299" s="99"/>
      <c r="O299" s="99"/>
      <c r="P299" s="99"/>
      <c r="Q299" s="99"/>
      <c r="R299" s="99"/>
      <c r="S299" s="99"/>
    </row>
    <row r="300" spans="2:19" s="15" customFormat="1">
      <c r="B300" s="29"/>
      <c r="C300" s="29"/>
      <c r="D300" s="25"/>
      <c r="E300" s="25"/>
      <c r="G300" s="165"/>
      <c r="H300" s="165"/>
      <c r="J300" s="99"/>
      <c r="K300" s="99"/>
      <c r="L300" s="99"/>
      <c r="M300" s="99"/>
      <c r="N300" s="99"/>
      <c r="O300" s="99"/>
      <c r="P300" s="99"/>
      <c r="Q300" s="99"/>
      <c r="R300" s="99"/>
      <c r="S300" s="99"/>
    </row>
    <row r="301" spans="2:19" s="15" customFormat="1">
      <c r="B301" s="29"/>
      <c r="C301" s="29"/>
      <c r="D301" s="25"/>
      <c r="E301" s="25"/>
      <c r="G301" s="165"/>
      <c r="H301" s="165"/>
      <c r="J301" s="99"/>
      <c r="K301" s="99"/>
      <c r="L301" s="99"/>
      <c r="M301" s="99"/>
      <c r="N301" s="99"/>
      <c r="O301" s="99"/>
      <c r="P301" s="99"/>
      <c r="Q301" s="99"/>
      <c r="R301" s="99"/>
      <c r="S301" s="99"/>
    </row>
    <row r="302" spans="2:19" s="15" customFormat="1">
      <c r="B302" s="29"/>
      <c r="C302" s="29"/>
      <c r="D302" s="25"/>
      <c r="E302" s="25"/>
      <c r="G302" s="165"/>
      <c r="H302" s="165"/>
      <c r="J302" s="99"/>
      <c r="K302" s="99"/>
      <c r="L302" s="99"/>
      <c r="M302" s="99"/>
      <c r="N302" s="99"/>
      <c r="O302" s="99"/>
      <c r="P302" s="99"/>
      <c r="Q302" s="99"/>
      <c r="R302" s="99"/>
      <c r="S302" s="99"/>
    </row>
    <row r="303" spans="2:19" s="15" customFormat="1">
      <c r="B303" s="29"/>
      <c r="C303" s="29"/>
      <c r="D303" s="25"/>
      <c r="E303" s="25"/>
      <c r="G303" s="165"/>
      <c r="H303" s="165"/>
      <c r="J303" s="99"/>
      <c r="K303" s="99"/>
      <c r="L303" s="99"/>
      <c r="M303" s="99"/>
      <c r="N303" s="99"/>
      <c r="O303" s="99"/>
      <c r="P303" s="99"/>
      <c r="Q303" s="99"/>
      <c r="R303" s="99"/>
      <c r="S303" s="99"/>
    </row>
    <row r="304" spans="2:19" s="15" customFormat="1">
      <c r="B304" s="29"/>
      <c r="C304" s="29"/>
      <c r="D304" s="25"/>
      <c r="E304" s="25"/>
      <c r="G304" s="165"/>
      <c r="H304" s="165"/>
      <c r="J304" s="99"/>
      <c r="K304" s="99"/>
      <c r="L304" s="99"/>
      <c r="M304" s="99"/>
      <c r="N304" s="99"/>
      <c r="O304" s="99"/>
      <c r="P304" s="99"/>
      <c r="Q304" s="99"/>
      <c r="R304" s="99"/>
      <c r="S304" s="99"/>
    </row>
    <row r="305" spans="2:19" s="15" customFormat="1">
      <c r="B305" s="29"/>
      <c r="C305" s="29"/>
      <c r="D305" s="25"/>
      <c r="E305" s="25"/>
      <c r="G305" s="165"/>
      <c r="H305" s="165"/>
      <c r="J305" s="99"/>
      <c r="K305" s="99"/>
      <c r="L305" s="99"/>
      <c r="M305" s="99"/>
      <c r="N305" s="99"/>
      <c r="O305" s="99"/>
      <c r="P305" s="99"/>
      <c r="Q305" s="99"/>
      <c r="R305" s="99"/>
      <c r="S305" s="99"/>
    </row>
    <row r="306" spans="2:19" s="15" customFormat="1">
      <c r="B306" s="29"/>
      <c r="C306" s="29"/>
      <c r="D306" s="25"/>
      <c r="E306" s="25"/>
      <c r="G306" s="165"/>
      <c r="H306" s="165"/>
      <c r="J306" s="99"/>
      <c r="K306" s="99"/>
      <c r="L306" s="99"/>
      <c r="M306" s="99"/>
      <c r="N306" s="99"/>
      <c r="O306" s="99"/>
      <c r="P306" s="99"/>
      <c r="Q306" s="99"/>
      <c r="R306" s="99"/>
      <c r="S306" s="99"/>
    </row>
    <row r="307" spans="2:19" s="15" customFormat="1">
      <c r="B307" s="29"/>
      <c r="C307" s="29"/>
      <c r="D307" s="25"/>
      <c r="E307" s="25"/>
      <c r="G307" s="165"/>
      <c r="H307" s="165"/>
      <c r="J307" s="99"/>
      <c r="K307" s="99"/>
      <c r="L307" s="99"/>
      <c r="M307" s="99"/>
      <c r="N307" s="99"/>
      <c r="O307" s="99"/>
      <c r="P307" s="99"/>
      <c r="Q307" s="99"/>
      <c r="R307" s="99"/>
      <c r="S307" s="99"/>
    </row>
    <row r="308" spans="2:19" s="15" customFormat="1">
      <c r="B308" s="29"/>
      <c r="C308" s="29"/>
      <c r="D308" s="25"/>
      <c r="E308" s="25"/>
      <c r="G308" s="165"/>
      <c r="H308" s="165"/>
      <c r="J308" s="99"/>
      <c r="K308" s="99"/>
      <c r="L308" s="99"/>
      <c r="M308" s="99"/>
      <c r="N308" s="99"/>
      <c r="O308" s="99"/>
      <c r="P308" s="99"/>
      <c r="Q308" s="99"/>
      <c r="R308" s="99"/>
      <c r="S308" s="99"/>
    </row>
    <row r="309" spans="2:19" s="15" customFormat="1">
      <c r="B309" s="29"/>
      <c r="C309" s="29"/>
      <c r="D309" s="25"/>
      <c r="E309" s="25"/>
      <c r="G309" s="165"/>
      <c r="H309" s="165"/>
      <c r="J309" s="99"/>
      <c r="K309" s="99"/>
      <c r="L309" s="99"/>
      <c r="M309" s="99"/>
      <c r="N309" s="99"/>
      <c r="O309" s="99"/>
      <c r="P309" s="99"/>
      <c r="Q309" s="99"/>
      <c r="R309" s="99"/>
      <c r="S309" s="99"/>
    </row>
    <row r="310" spans="2:19" s="15" customFormat="1">
      <c r="B310" s="29"/>
      <c r="C310" s="29"/>
      <c r="D310" s="25"/>
      <c r="E310" s="25"/>
      <c r="G310" s="165"/>
      <c r="H310" s="165"/>
      <c r="J310" s="99"/>
      <c r="K310" s="99"/>
      <c r="L310" s="99"/>
      <c r="M310" s="99"/>
      <c r="N310" s="99"/>
      <c r="O310" s="99"/>
      <c r="P310" s="99"/>
      <c r="Q310" s="99"/>
      <c r="R310" s="99"/>
      <c r="S310" s="99"/>
    </row>
    <row r="311" spans="2:19" s="15" customFormat="1">
      <c r="B311" s="29"/>
      <c r="C311" s="29"/>
      <c r="D311" s="25"/>
      <c r="E311" s="25"/>
      <c r="G311" s="165"/>
      <c r="H311" s="165"/>
      <c r="J311" s="99"/>
      <c r="K311" s="99"/>
      <c r="L311" s="99"/>
      <c r="M311" s="99"/>
      <c r="N311" s="99"/>
      <c r="O311" s="99"/>
      <c r="P311" s="99"/>
      <c r="Q311" s="99"/>
      <c r="R311" s="99"/>
      <c r="S311" s="99"/>
    </row>
    <row r="312" spans="2:19" s="15" customFormat="1">
      <c r="B312" s="29"/>
      <c r="C312" s="29"/>
      <c r="D312" s="25"/>
      <c r="E312" s="25"/>
      <c r="G312" s="165"/>
      <c r="H312" s="165"/>
      <c r="J312" s="99"/>
      <c r="K312" s="99"/>
      <c r="L312" s="99"/>
      <c r="M312" s="99"/>
      <c r="N312" s="99"/>
      <c r="O312" s="99"/>
      <c r="P312" s="99"/>
      <c r="Q312" s="99"/>
      <c r="R312" s="99"/>
      <c r="S312" s="99"/>
    </row>
    <row r="313" spans="2:19" s="15" customFormat="1">
      <c r="B313" s="29"/>
      <c r="C313" s="29"/>
      <c r="D313" s="25"/>
      <c r="E313" s="25"/>
      <c r="G313" s="165"/>
      <c r="H313" s="165"/>
      <c r="J313" s="99"/>
      <c r="K313" s="99"/>
      <c r="L313" s="99"/>
      <c r="M313" s="99"/>
      <c r="N313" s="99"/>
      <c r="O313" s="99"/>
      <c r="P313" s="99"/>
      <c r="Q313" s="99"/>
      <c r="R313" s="99"/>
      <c r="S313" s="99"/>
    </row>
    <row r="314" spans="2:19" s="15" customFormat="1">
      <c r="B314" s="29"/>
      <c r="C314" s="29"/>
      <c r="D314" s="25"/>
      <c r="E314" s="25"/>
      <c r="G314" s="165"/>
      <c r="H314" s="165"/>
      <c r="J314" s="99"/>
      <c r="K314" s="99"/>
      <c r="L314" s="99"/>
      <c r="M314" s="99"/>
      <c r="N314" s="99"/>
      <c r="O314" s="99"/>
      <c r="P314" s="99"/>
      <c r="Q314" s="99"/>
      <c r="R314" s="99"/>
      <c r="S314" s="99"/>
    </row>
    <row r="315" spans="2:19" s="15" customFormat="1">
      <c r="B315" s="29"/>
      <c r="C315" s="29"/>
      <c r="D315" s="25"/>
      <c r="E315" s="25"/>
      <c r="G315" s="165"/>
      <c r="H315" s="165"/>
      <c r="J315" s="99"/>
      <c r="K315" s="99"/>
      <c r="L315" s="99"/>
      <c r="M315" s="99"/>
      <c r="N315" s="99"/>
      <c r="O315" s="99"/>
      <c r="P315" s="99"/>
      <c r="Q315" s="99"/>
      <c r="R315" s="99"/>
      <c r="S315" s="99"/>
    </row>
    <row r="316" spans="2:19" s="15" customFormat="1">
      <c r="B316" s="29"/>
      <c r="C316" s="29"/>
      <c r="D316" s="25"/>
      <c r="E316" s="25"/>
      <c r="G316" s="165"/>
      <c r="H316" s="165"/>
      <c r="J316" s="99"/>
      <c r="K316" s="99"/>
      <c r="L316" s="99"/>
      <c r="M316" s="99"/>
      <c r="N316" s="99"/>
      <c r="O316" s="99"/>
      <c r="P316" s="99"/>
      <c r="Q316" s="99"/>
      <c r="R316" s="99"/>
      <c r="S316" s="99"/>
    </row>
    <row r="317" spans="2:19" s="15" customFormat="1">
      <c r="B317" s="29"/>
      <c r="C317" s="29"/>
      <c r="D317" s="25"/>
      <c r="E317" s="25"/>
      <c r="G317" s="165"/>
      <c r="H317" s="165"/>
      <c r="J317" s="99"/>
      <c r="K317" s="99"/>
      <c r="L317" s="99"/>
      <c r="M317" s="99"/>
      <c r="N317" s="99"/>
      <c r="O317" s="99"/>
      <c r="P317" s="99"/>
      <c r="Q317" s="99"/>
      <c r="R317" s="99"/>
      <c r="S317" s="99"/>
    </row>
    <row r="318" spans="2:19" s="15" customFormat="1">
      <c r="B318" s="29"/>
      <c r="C318" s="29"/>
      <c r="D318" s="25"/>
      <c r="E318" s="25"/>
      <c r="G318" s="165"/>
      <c r="H318" s="165"/>
      <c r="J318" s="99"/>
      <c r="K318" s="99"/>
      <c r="L318" s="99"/>
      <c r="M318" s="99"/>
      <c r="N318" s="99"/>
      <c r="O318" s="99"/>
      <c r="P318" s="99"/>
      <c r="Q318" s="99"/>
      <c r="R318" s="99"/>
      <c r="S318" s="99"/>
    </row>
    <row r="319" spans="2:19" s="15" customFormat="1">
      <c r="B319" s="29"/>
      <c r="C319" s="29"/>
      <c r="D319" s="25"/>
      <c r="E319" s="25"/>
      <c r="G319" s="165"/>
      <c r="H319" s="165"/>
      <c r="J319" s="99"/>
      <c r="K319" s="99"/>
      <c r="L319" s="99"/>
      <c r="M319" s="99"/>
      <c r="N319" s="99"/>
      <c r="O319" s="99"/>
      <c r="P319" s="99"/>
      <c r="Q319" s="99"/>
      <c r="R319" s="99"/>
      <c r="S319" s="99"/>
    </row>
    <row r="320" spans="2:19" s="15" customFormat="1">
      <c r="B320" s="29"/>
      <c r="C320" s="29"/>
      <c r="D320" s="25"/>
      <c r="E320" s="25"/>
      <c r="G320" s="165"/>
      <c r="H320" s="165"/>
      <c r="J320" s="99"/>
      <c r="K320" s="99"/>
      <c r="L320" s="99"/>
      <c r="M320" s="99"/>
      <c r="N320" s="99"/>
      <c r="O320" s="99"/>
      <c r="P320" s="99"/>
      <c r="Q320" s="99"/>
      <c r="R320" s="99"/>
      <c r="S320" s="99"/>
    </row>
    <row r="321" spans="2:19" s="15" customFormat="1">
      <c r="B321" s="29"/>
      <c r="C321" s="29"/>
      <c r="D321" s="25"/>
      <c r="E321" s="25"/>
      <c r="G321" s="165"/>
      <c r="H321" s="165"/>
      <c r="J321" s="99"/>
      <c r="K321" s="99"/>
      <c r="L321" s="99"/>
      <c r="M321" s="99"/>
      <c r="N321" s="99"/>
      <c r="O321" s="99"/>
      <c r="P321" s="99"/>
      <c r="Q321" s="99"/>
      <c r="R321" s="99"/>
      <c r="S321" s="99"/>
    </row>
    <row r="322" spans="2:19" s="15" customFormat="1">
      <c r="B322" s="29"/>
      <c r="C322" s="29"/>
      <c r="D322" s="25"/>
      <c r="E322" s="25"/>
      <c r="G322" s="165"/>
      <c r="H322" s="165"/>
      <c r="J322" s="99"/>
      <c r="K322" s="99"/>
      <c r="L322" s="99"/>
      <c r="M322" s="99"/>
      <c r="N322" s="99"/>
      <c r="O322" s="99"/>
      <c r="P322" s="99"/>
      <c r="Q322" s="99"/>
      <c r="R322" s="99"/>
      <c r="S322" s="99"/>
    </row>
    <row r="323" spans="2:19" s="15" customFormat="1">
      <c r="B323" s="29"/>
      <c r="C323" s="29"/>
      <c r="D323" s="25"/>
      <c r="E323" s="25"/>
      <c r="G323" s="165"/>
      <c r="H323" s="165"/>
      <c r="J323" s="99"/>
      <c r="K323" s="99"/>
      <c r="L323" s="99"/>
      <c r="M323" s="99"/>
      <c r="N323" s="99"/>
      <c r="O323" s="99"/>
      <c r="P323" s="99"/>
      <c r="Q323" s="99"/>
      <c r="R323" s="99"/>
      <c r="S323" s="99"/>
    </row>
    <row r="324" spans="2:19" s="15" customFormat="1">
      <c r="B324" s="29"/>
      <c r="C324" s="29"/>
      <c r="D324" s="25"/>
      <c r="E324" s="25"/>
      <c r="G324" s="165"/>
      <c r="H324" s="165"/>
      <c r="J324" s="99"/>
      <c r="K324" s="99"/>
      <c r="L324" s="99"/>
      <c r="M324" s="99"/>
      <c r="N324" s="99"/>
      <c r="O324" s="99"/>
      <c r="P324" s="99"/>
      <c r="Q324" s="99"/>
      <c r="R324" s="99"/>
      <c r="S324" s="99"/>
    </row>
    <row r="325" spans="2:19" s="15" customFormat="1">
      <c r="B325" s="29"/>
      <c r="C325" s="29"/>
      <c r="D325" s="25"/>
      <c r="E325" s="25"/>
      <c r="G325" s="165"/>
      <c r="H325" s="165"/>
      <c r="J325" s="99"/>
      <c r="K325" s="99"/>
      <c r="L325" s="99"/>
      <c r="M325" s="99"/>
      <c r="N325" s="99"/>
      <c r="O325" s="99"/>
      <c r="P325" s="99"/>
      <c r="Q325" s="99"/>
      <c r="R325" s="99"/>
      <c r="S325" s="99"/>
    </row>
    <row r="326" spans="2:19" s="15" customFormat="1">
      <c r="B326" s="29"/>
      <c r="C326" s="29"/>
      <c r="D326" s="25"/>
      <c r="E326" s="25"/>
      <c r="G326" s="165"/>
      <c r="H326" s="165"/>
      <c r="J326" s="99"/>
      <c r="K326" s="99"/>
      <c r="L326" s="99"/>
      <c r="M326" s="99"/>
      <c r="N326" s="99"/>
      <c r="O326" s="99"/>
      <c r="P326" s="99"/>
      <c r="Q326" s="99"/>
      <c r="R326" s="99"/>
      <c r="S326" s="99"/>
    </row>
    <row r="327" spans="2:19" s="15" customFormat="1">
      <c r="B327" s="29"/>
      <c r="C327" s="29"/>
      <c r="D327" s="25"/>
      <c r="E327" s="25"/>
      <c r="G327" s="165"/>
      <c r="H327" s="165"/>
      <c r="J327" s="99"/>
      <c r="K327" s="99"/>
      <c r="L327" s="99"/>
      <c r="M327" s="99"/>
      <c r="N327" s="99"/>
      <c r="O327" s="99"/>
      <c r="P327" s="99"/>
      <c r="Q327" s="99"/>
      <c r="R327" s="99"/>
      <c r="S327" s="99"/>
    </row>
    <row r="328" spans="2:19" s="15" customFormat="1">
      <c r="B328" s="29"/>
      <c r="C328" s="29"/>
      <c r="D328" s="25"/>
      <c r="E328" s="25"/>
      <c r="G328" s="165"/>
      <c r="H328" s="165"/>
      <c r="J328" s="99"/>
      <c r="K328" s="99"/>
      <c r="L328" s="99"/>
      <c r="M328" s="99"/>
      <c r="N328" s="99"/>
      <c r="O328" s="99"/>
      <c r="P328" s="99"/>
      <c r="Q328" s="99"/>
      <c r="R328" s="99"/>
      <c r="S328" s="99"/>
    </row>
    <row r="329" spans="2:19" s="15" customFormat="1">
      <c r="B329" s="29"/>
      <c r="C329" s="29"/>
      <c r="D329" s="25"/>
      <c r="E329" s="25"/>
      <c r="G329" s="165"/>
      <c r="H329" s="165"/>
      <c r="J329" s="99"/>
      <c r="K329" s="99"/>
      <c r="L329" s="99"/>
      <c r="M329" s="99"/>
      <c r="N329" s="99"/>
      <c r="O329" s="99"/>
      <c r="P329" s="99"/>
      <c r="Q329" s="99"/>
      <c r="R329" s="99"/>
      <c r="S329" s="99"/>
    </row>
    <row r="330" spans="2:19" s="15" customFormat="1">
      <c r="B330" s="29"/>
      <c r="C330" s="29"/>
      <c r="D330" s="25"/>
      <c r="E330" s="25"/>
      <c r="G330" s="165"/>
      <c r="H330" s="165"/>
      <c r="J330" s="99"/>
      <c r="K330" s="99"/>
      <c r="L330" s="99"/>
      <c r="M330" s="99"/>
      <c r="N330" s="99"/>
      <c r="O330" s="99"/>
      <c r="P330" s="99"/>
      <c r="Q330" s="99"/>
      <c r="R330" s="99"/>
      <c r="S330" s="99"/>
    </row>
    <row r="331" spans="2:19" s="15" customFormat="1">
      <c r="B331" s="29"/>
      <c r="C331" s="29"/>
      <c r="D331" s="25"/>
      <c r="E331" s="25"/>
      <c r="G331" s="165"/>
      <c r="H331" s="165"/>
      <c r="J331" s="99"/>
      <c r="K331" s="99"/>
      <c r="L331" s="99"/>
      <c r="M331" s="99"/>
      <c r="N331" s="99"/>
      <c r="O331" s="99"/>
      <c r="P331" s="99"/>
      <c r="Q331" s="99"/>
      <c r="R331" s="99"/>
      <c r="S331" s="99"/>
    </row>
    <row r="332" spans="2:19" s="15" customFormat="1">
      <c r="B332" s="29"/>
      <c r="C332" s="29"/>
      <c r="D332" s="25"/>
      <c r="E332" s="25"/>
      <c r="G332" s="165"/>
      <c r="H332" s="165"/>
      <c r="J332" s="99"/>
      <c r="K332" s="99"/>
      <c r="L332" s="99"/>
      <c r="M332" s="99"/>
      <c r="N332" s="99"/>
      <c r="O332" s="99"/>
      <c r="P332" s="99"/>
      <c r="Q332" s="99"/>
      <c r="R332" s="99"/>
      <c r="S332" s="99"/>
    </row>
    <row r="333" spans="2:19" s="15" customFormat="1">
      <c r="B333" s="29"/>
      <c r="C333" s="29"/>
      <c r="D333" s="25"/>
      <c r="E333" s="25"/>
      <c r="G333" s="165"/>
      <c r="H333" s="165"/>
      <c r="J333" s="99"/>
      <c r="K333" s="99"/>
      <c r="L333" s="99"/>
      <c r="M333" s="99"/>
      <c r="N333" s="99"/>
      <c r="O333" s="99"/>
      <c r="P333" s="99"/>
      <c r="Q333" s="99"/>
      <c r="R333" s="99"/>
      <c r="S333" s="99"/>
    </row>
    <row r="334" spans="2:19" s="15" customFormat="1">
      <c r="B334" s="29"/>
      <c r="C334" s="29"/>
      <c r="D334" s="25"/>
      <c r="E334" s="25"/>
      <c r="G334" s="165"/>
      <c r="H334" s="165"/>
      <c r="J334" s="99"/>
      <c r="K334" s="99"/>
      <c r="L334" s="99"/>
      <c r="M334" s="99"/>
      <c r="N334" s="99"/>
      <c r="O334" s="99"/>
      <c r="P334" s="99"/>
      <c r="Q334" s="99"/>
      <c r="R334" s="99"/>
      <c r="S334" s="99"/>
    </row>
    <row r="335" spans="2:19" s="15" customFormat="1">
      <c r="B335" s="29"/>
      <c r="C335" s="29"/>
      <c r="D335" s="25"/>
      <c r="E335" s="25"/>
      <c r="G335" s="165"/>
      <c r="H335" s="165"/>
      <c r="J335" s="99"/>
      <c r="K335" s="99"/>
      <c r="L335" s="99"/>
      <c r="M335" s="99"/>
      <c r="N335" s="99"/>
      <c r="O335" s="99"/>
      <c r="P335" s="99"/>
      <c r="Q335" s="99"/>
      <c r="R335" s="99"/>
      <c r="S335" s="99"/>
    </row>
    <row r="336" spans="2:19" s="15" customFormat="1">
      <c r="B336" s="29"/>
      <c r="C336" s="29"/>
      <c r="D336" s="25"/>
      <c r="E336" s="25"/>
      <c r="G336" s="165"/>
      <c r="H336" s="165"/>
      <c r="J336" s="99"/>
      <c r="K336" s="99"/>
      <c r="L336" s="99"/>
      <c r="M336" s="99"/>
      <c r="N336" s="99"/>
      <c r="O336" s="99"/>
      <c r="P336" s="99"/>
      <c r="Q336" s="99"/>
      <c r="R336" s="99"/>
      <c r="S336" s="99"/>
    </row>
    <row r="337" spans="2:19" s="15" customFormat="1">
      <c r="B337" s="29"/>
      <c r="C337" s="29"/>
      <c r="D337" s="25"/>
      <c r="E337" s="25"/>
      <c r="G337" s="165"/>
      <c r="H337" s="165"/>
      <c r="J337" s="99"/>
      <c r="K337" s="99"/>
      <c r="L337" s="99"/>
      <c r="M337" s="99"/>
      <c r="N337" s="99"/>
      <c r="O337" s="99"/>
      <c r="P337" s="99"/>
      <c r="Q337" s="99"/>
      <c r="R337" s="99"/>
      <c r="S337" s="99"/>
    </row>
    <row r="338" spans="2:19" s="15" customFormat="1">
      <c r="B338" s="29"/>
      <c r="C338" s="29"/>
      <c r="D338" s="25"/>
      <c r="E338" s="25"/>
      <c r="G338" s="165"/>
      <c r="H338" s="165"/>
      <c r="J338" s="99"/>
      <c r="K338" s="99"/>
      <c r="L338" s="99"/>
      <c r="M338" s="99"/>
      <c r="N338" s="99"/>
      <c r="O338" s="99"/>
      <c r="P338" s="99"/>
      <c r="Q338" s="99"/>
      <c r="R338" s="99"/>
      <c r="S338" s="99"/>
    </row>
    <row r="339" spans="2:19" s="15" customFormat="1">
      <c r="B339" s="29"/>
      <c r="C339" s="29"/>
      <c r="D339" s="25"/>
      <c r="E339" s="25"/>
      <c r="G339" s="165"/>
      <c r="H339" s="165"/>
      <c r="J339" s="99"/>
      <c r="K339" s="99"/>
      <c r="L339" s="99"/>
      <c r="M339" s="99"/>
      <c r="N339" s="99"/>
      <c r="O339" s="99"/>
      <c r="P339" s="99"/>
      <c r="Q339" s="99"/>
      <c r="R339" s="99"/>
      <c r="S339" s="99"/>
    </row>
    <row r="340" spans="2:19" s="15" customFormat="1">
      <c r="B340" s="29"/>
      <c r="C340" s="29"/>
      <c r="D340" s="25"/>
      <c r="E340" s="25"/>
      <c r="G340" s="165"/>
      <c r="H340" s="165"/>
      <c r="J340" s="99"/>
      <c r="K340" s="99"/>
      <c r="L340" s="99"/>
      <c r="M340" s="99"/>
      <c r="N340" s="99"/>
      <c r="O340" s="99"/>
      <c r="P340" s="99"/>
      <c r="Q340" s="99"/>
      <c r="R340" s="99"/>
      <c r="S340" s="99"/>
    </row>
    <row r="341" spans="2:19" s="15" customFormat="1">
      <c r="B341" s="29"/>
      <c r="C341" s="29"/>
      <c r="D341" s="25"/>
      <c r="E341" s="25"/>
      <c r="G341" s="165"/>
      <c r="H341" s="165"/>
      <c r="J341" s="99"/>
      <c r="K341" s="99"/>
      <c r="L341" s="99"/>
      <c r="M341" s="99"/>
      <c r="N341" s="99"/>
      <c r="O341" s="99"/>
      <c r="P341" s="99"/>
      <c r="Q341" s="99"/>
      <c r="R341" s="99"/>
      <c r="S341" s="99"/>
    </row>
    <row r="342" spans="2:19" s="15" customFormat="1">
      <c r="B342" s="29"/>
      <c r="C342" s="29"/>
      <c r="D342" s="25"/>
      <c r="E342" s="25"/>
      <c r="G342" s="165"/>
      <c r="H342" s="165"/>
      <c r="J342" s="99"/>
      <c r="K342" s="99"/>
      <c r="L342" s="99"/>
      <c r="M342" s="99"/>
      <c r="N342" s="99"/>
      <c r="O342" s="99"/>
      <c r="P342" s="99"/>
      <c r="Q342" s="99"/>
      <c r="R342" s="99"/>
      <c r="S342" s="99"/>
    </row>
    <row r="343" spans="2:19" s="15" customFormat="1">
      <c r="B343" s="29"/>
      <c r="C343" s="29"/>
      <c r="D343" s="25"/>
      <c r="E343" s="25"/>
      <c r="G343" s="165"/>
      <c r="H343" s="165"/>
      <c r="J343" s="99"/>
      <c r="K343" s="99"/>
      <c r="L343" s="99"/>
      <c r="M343" s="99"/>
      <c r="N343" s="99"/>
      <c r="O343" s="99"/>
      <c r="P343" s="99"/>
      <c r="Q343" s="99"/>
      <c r="R343" s="99"/>
      <c r="S343" s="99"/>
    </row>
    <row r="344" spans="2:19" s="15" customFormat="1">
      <c r="B344" s="29"/>
      <c r="C344" s="29"/>
      <c r="D344" s="25"/>
      <c r="E344" s="25"/>
      <c r="G344" s="165"/>
      <c r="H344" s="165"/>
      <c r="J344" s="99"/>
      <c r="K344" s="99"/>
      <c r="L344" s="99"/>
      <c r="M344" s="99"/>
      <c r="N344" s="99"/>
      <c r="O344" s="99"/>
      <c r="P344" s="99"/>
      <c r="Q344" s="99"/>
      <c r="R344" s="99"/>
      <c r="S344" s="99"/>
    </row>
    <row r="345" spans="2:19" s="15" customFormat="1">
      <c r="B345" s="29"/>
      <c r="C345" s="29"/>
      <c r="D345" s="25"/>
      <c r="E345" s="25"/>
      <c r="G345" s="165"/>
      <c r="H345" s="165"/>
      <c r="J345" s="99"/>
      <c r="K345" s="99"/>
      <c r="L345" s="99"/>
      <c r="M345" s="99"/>
      <c r="N345" s="99"/>
      <c r="O345" s="99"/>
      <c r="P345" s="99"/>
      <c r="Q345" s="99"/>
      <c r="R345" s="99"/>
      <c r="S345" s="99"/>
    </row>
    <row r="346" spans="2:19" s="15" customFormat="1">
      <c r="B346" s="29"/>
      <c r="C346" s="29"/>
      <c r="D346" s="25"/>
      <c r="E346" s="25"/>
      <c r="G346" s="165"/>
      <c r="H346" s="165"/>
      <c r="J346" s="99"/>
      <c r="K346" s="99"/>
      <c r="L346" s="99"/>
      <c r="M346" s="99"/>
      <c r="N346" s="99"/>
      <c r="O346" s="99"/>
      <c r="P346" s="99"/>
      <c r="Q346" s="99"/>
      <c r="R346" s="99"/>
      <c r="S346" s="99"/>
    </row>
    <row r="347" spans="2:19" s="15" customFormat="1">
      <c r="B347" s="29"/>
      <c r="C347" s="29"/>
      <c r="D347" s="25"/>
      <c r="E347" s="25"/>
      <c r="G347" s="165"/>
      <c r="H347" s="165"/>
      <c r="J347" s="99"/>
      <c r="K347" s="99"/>
      <c r="L347" s="99"/>
      <c r="M347" s="99"/>
      <c r="N347" s="99"/>
      <c r="O347" s="99"/>
      <c r="P347" s="99"/>
      <c r="Q347" s="99"/>
      <c r="R347" s="99"/>
      <c r="S347" s="99"/>
    </row>
    <row r="348" spans="2:19" s="15" customFormat="1">
      <c r="B348" s="29"/>
      <c r="C348" s="29"/>
      <c r="D348" s="25"/>
      <c r="E348" s="25"/>
      <c r="G348" s="165"/>
      <c r="H348" s="165"/>
      <c r="J348" s="99"/>
      <c r="K348" s="99"/>
      <c r="L348" s="99"/>
      <c r="M348" s="99"/>
      <c r="N348" s="99"/>
      <c r="O348" s="99"/>
      <c r="P348" s="99"/>
      <c r="Q348" s="99"/>
      <c r="R348" s="99"/>
      <c r="S348" s="99"/>
    </row>
    <row r="349" spans="2:19" s="15" customFormat="1">
      <c r="B349" s="29"/>
      <c r="C349" s="29"/>
      <c r="D349" s="25"/>
      <c r="E349" s="25"/>
      <c r="G349" s="165"/>
      <c r="H349" s="165"/>
      <c r="J349" s="99"/>
      <c r="K349" s="99"/>
      <c r="L349" s="99"/>
      <c r="M349" s="99"/>
      <c r="N349" s="99"/>
      <c r="O349" s="99"/>
      <c r="P349" s="99"/>
      <c r="Q349" s="99"/>
      <c r="R349" s="99"/>
      <c r="S349" s="99"/>
    </row>
    <row r="350" spans="2:19" s="15" customFormat="1">
      <c r="B350" s="29"/>
      <c r="C350" s="29"/>
      <c r="D350" s="25"/>
      <c r="E350" s="25"/>
      <c r="G350" s="165"/>
      <c r="H350" s="165"/>
      <c r="J350" s="99"/>
      <c r="K350" s="99"/>
      <c r="L350" s="99"/>
      <c r="M350" s="99"/>
      <c r="N350" s="99"/>
      <c r="O350" s="99"/>
      <c r="P350" s="99"/>
      <c r="Q350" s="99"/>
      <c r="R350" s="99"/>
      <c r="S350" s="99"/>
    </row>
    <row r="351" spans="2:19" s="15" customFormat="1">
      <c r="B351" s="29"/>
      <c r="C351" s="29"/>
      <c r="D351" s="25"/>
      <c r="E351" s="25"/>
      <c r="G351" s="165"/>
      <c r="H351" s="165"/>
      <c r="J351" s="99"/>
      <c r="K351" s="99"/>
      <c r="L351" s="99"/>
      <c r="M351" s="99"/>
      <c r="N351" s="99"/>
      <c r="O351" s="99"/>
      <c r="P351" s="99"/>
      <c r="Q351" s="99"/>
      <c r="R351" s="99"/>
      <c r="S351" s="99"/>
    </row>
    <row r="352" spans="2:19" s="15" customFormat="1">
      <c r="B352" s="29"/>
      <c r="C352" s="29"/>
      <c r="D352" s="25"/>
      <c r="E352" s="25"/>
      <c r="G352" s="165"/>
      <c r="H352" s="165"/>
      <c r="J352" s="99"/>
      <c r="K352" s="99"/>
      <c r="L352" s="99"/>
      <c r="M352" s="99"/>
      <c r="N352" s="99"/>
      <c r="O352" s="99"/>
      <c r="P352" s="99"/>
      <c r="Q352" s="99"/>
      <c r="R352" s="99"/>
      <c r="S352" s="99"/>
    </row>
    <row r="353" spans="2:19" s="15" customFormat="1">
      <c r="B353" s="29"/>
      <c r="C353" s="29"/>
      <c r="D353" s="25"/>
      <c r="E353" s="25"/>
      <c r="G353" s="165"/>
      <c r="H353" s="165"/>
      <c r="J353" s="99"/>
      <c r="K353" s="99"/>
      <c r="L353" s="99"/>
      <c r="M353" s="99"/>
      <c r="N353" s="99"/>
      <c r="O353" s="99"/>
      <c r="P353" s="99"/>
      <c r="Q353" s="99"/>
      <c r="R353" s="99"/>
      <c r="S353" s="99"/>
    </row>
    <row r="354" spans="2:19" s="15" customFormat="1">
      <c r="B354" s="29"/>
      <c r="C354" s="29"/>
      <c r="D354" s="25"/>
      <c r="E354" s="25"/>
      <c r="G354" s="165"/>
      <c r="H354" s="165"/>
      <c r="J354" s="99"/>
      <c r="K354" s="99"/>
      <c r="L354" s="99"/>
      <c r="M354" s="99"/>
      <c r="N354" s="99"/>
      <c r="O354" s="99"/>
      <c r="P354" s="99"/>
      <c r="Q354" s="99"/>
      <c r="R354" s="99"/>
      <c r="S354" s="99"/>
    </row>
    <row r="355" spans="2:19" s="15" customFormat="1">
      <c r="B355" s="29"/>
      <c r="C355" s="29"/>
      <c r="D355" s="25"/>
      <c r="E355" s="25"/>
      <c r="G355" s="165"/>
      <c r="H355" s="165"/>
      <c r="J355" s="99"/>
      <c r="K355" s="99"/>
      <c r="L355" s="99"/>
      <c r="M355" s="99"/>
      <c r="N355" s="99"/>
      <c r="O355" s="99"/>
      <c r="P355" s="99"/>
      <c r="Q355" s="99"/>
      <c r="R355" s="99"/>
      <c r="S355" s="99"/>
    </row>
    <row r="356" spans="2:19" s="15" customFormat="1">
      <c r="B356" s="29"/>
      <c r="C356" s="29"/>
      <c r="D356" s="25"/>
      <c r="E356" s="25"/>
      <c r="G356" s="165"/>
      <c r="H356" s="165"/>
      <c r="J356" s="99"/>
      <c r="K356" s="99"/>
      <c r="L356" s="99"/>
      <c r="M356" s="99"/>
      <c r="N356" s="99"/>
      <c r="O356" s="99"/>
      <c r="P356" s="99"/>
      <c r="Q356" s="99"/>
      <c r="R356" s="99"/>
      <c r="S356" s="99"/>
    </row>
    <row r="357" spans="2:19" s="15" customFormat="1">
      <c r="B357" s="29"/>
      <c r="C357" s="29"/>
      <c r="D357" s="25"/>
      <c r="E357" s="25"/>
      <c r="G357" s="165"/>
      <c r="H357" s="165"/>
      <c r="J357" s="99"/>
      <c r="K357" s="99"/>
      <c r="L357" s="99"/>
      <c r="M357" s="99"/>
      <c r="N357" s="99"/>
      <c r="O357" s="99"/>
      <c r="P357" s="99"/>
      <c r="Q357" s="99"/>
      <c r="R357" s="99"/>
      <c r="S357" s="99"/>
    </row>
    <row r="358" spans="2:19" s="15" customFormat="1">
      <c r="B358" s="29"/>
      <c r="C358" s="29"/>
      <c r="D358" s="25"/>
      <c r="E358" s="25"/>
      <c r="G358" s="165"/>
      <c r="H358" s="165"/>
      <c r="J358" s="99"/>
      <c r="K358" s="99"/>
      <c r="L358" s="99"/>
      <c r="M358" s="99"/>
      <c r="N358" s="99"/>
      <c r="O358" s="99"/>
      <c r="P358" s="99"/>
      <c r="Q358" s="99"/>
      <c r="R358" s="99"/>
      <c r="S358" s="99"/>
    </row>
    <row r="359" spans="2:19" s="15" customFormat="1">
      <c r="B359" s="29"/>
      <c r="C359" s="29"/>
      <c r="D359" s="25"/>
      <c r="E359" s="25"/>
      <c r="G359" s="165"/>
      <c r="H359" s="165"/>
      <c r="J359" s="99"/>
      <c r="K359" s="99"/>
      <c r="L359" s="99"/>
      <c r="M359" s="99"/>
      <c r="N359" s="99"/>
      <c r="O359" s="99"/>
      <c r="P359" s="99"/>
      <c r="Q359" s="99"/>
      <c r="R359" s="99"/>
      <c r="S359" s="99"/>
    </row>
    <row r="360" spans="2:19" s="15" customFormat="1">
      <c r="B360" s="29"/>
      <c r="C360" s="29"/>
      <c r="D360" s="25"/>
      <c r="E360" s="25"/>
      <c r="G360" s="165"/>
      <c r="H360" s="165"/>
      <c r="J360" s="99"/>
      <c r="K360" s="99"/>
      <c r="L360" s="99"/>
      <c r="M360" s="99"/>
      <c r="N360" s="99"/>
      <c r="O360" s="99"/>
      <c r="P360" s="99"/>
      <c r="Q360" s="99"/>
      <c r="R360" s="99"/>
      <c r="S360" s="99"/>
    </row>
    <row r="361" spans="2:19" s="15" customFormat="1">
      <c r="B361" s="29"/>
      <c r="C361" s="29"/>
      <c r="D361" s="25"/>
      <c r="E361" s="25"/>
      <c r="G361" s="165"/>
      <c r="H361" s="165"/>
      <c r="J361" s="99"/>
      <c r="K361" s="99"/>
      <c r="L361" s="99"/>
      <c r="M361" s="99"/>
      <c r="N361" s="99"/>
      <c r="O361" s="99"/>
      <c r="P361" s="99"/>
      <c r="Q361" s="99"/>
      <c r="R361" s="99"/>
      <c r="S361" s="99"/>
    </row>
    <row r="362" spans="2:19" s="15" customFormat="1">
      <c r="B362" s="29"/>
      <c r="C362" s="29"/>
      <c r="D362" s="25"/>
      <c r="E362" s="25"/>
      <c r="G362" s="165"/>
      <c r="H362" s="165"/>
      <c r="J362" s="99"/>
      <c r="K362" s="99"/>
      <c r="L362" s="99"/>
      <c r="M362" s="99"/>
      <c r="N362" s="99"/>
      <c r="O362" s="99"/>
      <c r="P362" s="99"/>
      <c r="Q362" s="99"/>
      <c r="R362" s="99"/>
      <c r="S362" s="99"/>
    </row>
    <row r="363" spans="2:19" s="15" customFormat="1">
      <c r="B363" s="29"/>
      <c r="C363" s="29"/>
      <c r="D363" s="25"/>
      <c r="E363" s="25"/>
      <c r="G363" s="165"/>
      <c r="H363" s="165"/>
      <c r="J363" s="99"/>
      <c r="K363" s="99"/>
      <c r="L363" s="99"/>
      <c r="M363" s="99"/>
      <c r="N363" s="99"/>
      <c r="O363" s="99"/>
      <c r="P363" s="99"/>
      <c r="Q363" s="99"/>
      <c r="R363" s="99"/>
      <c r="S363" s="99"/>
    </row>
    <row r="364" spans="2:19" s="15" customFormat="1">
      <c r="B364" s="29"/>
      <c r="C364" s="29"/>
      <c r="D364" s="25"/>
      <c r="E364" s="25"/>
      <c r="G364" s="165"/>
      <c r="H364" s="165"/>
      <c r="J364" s="99"/>
      <c r="K364" s="99"/>
      <c r="L364" s="99"/>
      <c r="M364" s="99"/>
      <c r="N364" s="99"/>
      <c r="O364" s="99"/>
      <c r="P364" s="99"/>
      <c r="Q364" s="99"/>
      <c r="R364" s="99"/>
      <c r="S364" s="99"/>
    </row>
    <row r="365" spans="2:19" s="15" customFormat="1">
      <c r="B365" s="29"/>
      <c r="C365" s="29"/>
      <c r="D365" s="25"/>
      <c r="E365" s="25"/>
      <c r="G365" s="165"/>
      <c r="H365" s="165"/>
      <c r="J365" s="99"/>
      <c r="K365" s="99"/>
      <c r="L365" s="99"/>
      <c r="M365" s="99"/>
      <c r="N365" s="99"/>
      <c r="O365" s="99"/>
      <c r="P365" s="99"/>
      <c r="Q365" s="99"/>
      <c r="R365" s="99"/>
      <c r="S365" s="99"/>
    </row>
    <row r="366" spans="2:19" s="15" customFormat="1">
      <c r="B366" s="29"/>
      <c r="C366" s="29"/>
      <c r="D366" s="25"/>
      <c r="E366" s="25"/>
      <c r="G366" s="165"/>
      <c r="H366" s="165"/>
      <c r="J366" s="99"/>
      <c r="K366" s="99"/>
      <c r="L366" s="99"/>
      <c r="M366" s="99"/>
      <c r="N366" s="99"/>
      <c r="O366" s="99"/>
      <c r="P366" s="99"/>
      <c r="Q366" s="99"/>
      <c r="R366" s="99"/>
      <c r="S366" s="99"/>
    </row>
    <row r="367" spans="2:19" s="15" customFormat="1">
      <c r="B367" s="29"/>
      <c r="C367" s="29"/>
      <c r="D367" s="25"/>
      <c r="E367" s="25"/>
      <c r="G367" s="165"/>
      <c r="H367" s="165"/>
      <c r="J367" s="99"/>
      <c r="K367" s="99"/>
      <c r="L367" s="99"/>
      <c r="M367" s="99"/>
      <c r="N367" s="99"/>
      <c r="O367" s="99"/>
      <c r="P367" s="99"/>
      <c r="Q367" s="99"/>
      <c r="R367" s="99"/>
      <c r="S367" s="99"/>
    </row>
    <row r="368" spans="2:19" s="15" customFormat="1">
      <c r="B368" s="29"/>
      <c r="C368" s="29"/>
      <c r="D368" s="25"/>
      <c r="E368" s="25"/>
      <c r="G368" s="165"/>
      <c r="H368" s="165"/>
      <c r="J368" s="99"/>
      <c r="K368" s="99"/>
      <c r="L368" s="99"/>
      <c r="M368" s="99"/>
      <c r="N368" s="99"/>
      <c r="O368" s="99"/>
      <c r="P368" s="99"/>
      <c r="Q368" s="99"/>
      <c r="R368" s="99"/>
      <c r="S368" s="99"/>
    </row>
    <row r="369" spans="2:19" s="15" customFormat="1">
      <c r="B369" s="29"/>
      <c r="C369" s="29"/>
      <c r="D369" s="25"/>
      <c r="E369" s="25"/>
      <c r="G369" s="165"/>
      <c r="H369" s="165"/>
      <c r="J369" s="99"/>
      <c r="K369" s="99"/>
      <c r="L369" s="99"/>
      <c r="M369" s="99"/>
      <c r="N369" s="99"/>
      <c r="O369" s="99"/>
      <c r="P369" s="99"/>
      <c r="Q369" s="99"/>
      <c r="R369" s="99"/>
      <c r="S369" s="99"/>
    </row>
    <row r="370" spans="2:19" s="15" customFormat="1">
      <c r="B370" s="29"/>
      <c r="C370" s="29"/>
      <c r="D370" s="25"/>
      <c r="E370" s="25"/>
      <c r="G370" s="165"/>
      <c r="H370" s="165"/>
      <c r="J370" s="99"/>
      <c r="K370" s="99"/>
      <c r="L370" s="99"/>
      <c r="M370" s="99"/>
      <c r="N370" s="99"/>
      <c r="O370" s="99"/>
      <c r="P370" s="99"/>
      <c r="Q370" s="99"/>
      <c r="R370" s="99"/>
      <c r="S370" s="99"/>
    </row>
    <row r="371" spans="2:19" s="15" customFormat="1">
      <c r="B371" s="29"/>
      <c r="C371" s="29"/>
      <c r="D371" s="25"/>
      <c r="E371" s="25"/>
      <c r="G371" s="165"/>
      <c r="H371" s="165"/>
      <c r="J371" s="99"/>
      <c r="K371" s="99"/>
      <c r="L371" s="99"/>
      <c r="M371" s="99"/>
      <c r="N371" s="99"/>
      <c r="O371" s="99"/>
      <c r="P371" s="99"/>
      <c r="Q371" s="99"/>
      <c r="R371" s="99"/>
      <c r="S371" s="99"/>
    </row>
    <row r="372" spans="2:19" s="15" customFormat="1">
      <c r="B372" s="29"/>
      <c r="C372" s="29"/>
      <c r="D372" s="25"/>
      <c r="E372" s="25"/>
      <c r="G372" s="165"/>
      <c r="H372" s="165"/>
      <c r="J372" s="99"/>
      <c r="K372" s="99"/>
      <c r="L372" s="99"/>
      <c r="M372" s="99"/>
      <c r="N372" s="99"/>
      <c r="O372" s="99"/>
      <c r="P372" s="99"/>
      <c r="Q372" s="99"/>
      <c r="R372" s="99"/>
      <c r="S372" s="99"/>
    </row>
    <row r="373" spans="2:19" s="15" customFormat="1">
      <c r="B373" s="29"/>
      <c r="C373" s="29"/>
      <c r="D373" s="25"/>
      <c r="E373" s="25"/>
      <c r="G373" s="165"/>
      <c r="H373" s="165"/>
      <c r="J373" s="99"/>
      <c r="K373" s="99"/>
      <c r="L373" s="99"/>
      <c r="M373" s="99"/>
      <c r="N373" s="99"/>
      <c r="O373" s="99"/>
      <c r="P373" s="99"/>
      <c r="Q373" s="99"/>
      <c r="R373" s="99"/>
      <c r="S373" s="99"/>
    </row>
    <row r="374" spans="2:19" s="15" customFormat="1">
      <c r="B374" s="29"/>
      <c r="C374" s="29"/>
      <c r="D374" s="25"/>
      <c r="E374" s="25"/>
      <c r="G374" s="165"/>
      <c r="H374" s="165"/>
      <c r="J374" s="99"/>
      <c r="K374" s="99"/>
      <c r="L374" s="99"/>
      <c r="M374" s="99"/>
      <c r="N374" s="99"/>
      <c r="O374" s="99"/>
      <c r="P374" s="99"/>
      <c r="Q374" s="99"/>
      <c r="R374" s="99"/>
      <c r="S374" s="99"/>
    </row>
    <row r="375" spans="2:19" s="15" customFormat="1">
      <c r="B375" s="29"/>
      <c r="C375" s="29"/>
      <c r="D375" s="25"/>
      <c r="E375" s="25"/>
      <c r="G375" s="165"/>
      <c r="H375" s="165"/>
      <c r="J375" s="99"/>
      <c r="K375" s="99"/>
      <c r="L375" s="99"/>
      <c r="M375" s="99"/>
      <c r="N375" s="99"/>
      <c r="O375" s="99"/>
      <c r="P375" s="99"/>
      <c r="Q375" s="99"/>
      <c r="R375" s="99"/>
      <c r="S375" s="99"/>
    </row>
    <row r="376" spans="2:19" s="15" customFormat="1">
      <c r="B376" s="29"/>
      <c r="C376" s="29"/>
      <c r="D376" s="25"/>
      <c r="E376" s="25"/>
      <c r="G376" s="165"/>
      <c r="H376" s="165"/>
      <c r="J376" s="99"/>
      <c r="K376" s="99"/>
      <c r="L376" s="99"/>
      <c r="M376" s="99"/>
      <c r="N376" s="99"/>
      <c r="O376" s="99"/>
      <c r="P376" s="99"/>
      <c r="Q376" s="99"/>
      <c r="R376" s="99"/>
      <c r="S376" s="99"/>
    </row>
    <row r="377" spans="2:19" s="15" customFormat="1">
      <c r="B377" s="29"/>
      <c r="C377" s="29"/>
      <c r="D377" s="25"/>
      <c r="E377" s="25"/>
      <c r="G377" s="165"/>
      <c r="H377" s="165"/>
      <c r="J377" s="99"/>
      <c r="K377" s="99"/>
      <c r="L377" s="99"/>
      <c r="M377" s="99"/>
      <c r="N377" s="99"/>
      <c r="O377" s="99"/>
      <c r="P377" s="99"/>
      <c r="Q377" s="99"/>
      <c r="R377" s="99"/>
      <c r="S377" s="99"/>
    </row>
    <row r="378" spans="2:19" s="15" customFormat="1">
      <c r="B378" s="29"/>
      <c r="C378" s="29"/>
      <c r="D378" s="25"/>
      <c r="E378" s="25"/>
      <c r="G378" s="165"/>
      <c r="H378" s="165"/>
      <c r="J378" s="99"/>
      <c r="K378" s="99"/>
      <c r="L378" s="99"/>
      <c r="M378" s="99"/>
      <c r="N378" s="99"/>
      <c r="O378" s="99"/>
      <c r="P378" s="99"/>
      <c r="Q378" s="99"/>
      <c r="R378" s="99"/>
      <c r="S378" s="99"/>
    </row>
    <row r="379" spans="2:19" s="15" customFormat="1">
      <c r="B379" s="29"/>
      <c r="C379" s="29"/>
      <c r="D379" s="25"/>
      <c r="E379" s="25"/>
      <c r="G379" s="165"/>
      <c r="H379" s="165"/>
      <c r="J379" s="99"/>
      <c r="K379" s="99"/>
      <c r="L379" s="99"/>
      <c r="M379" s="99"/>
      <c r="N379" s="99"/>
      <c r="O379" s="99"/>
      <c r="P379" s="99"/>
      <c r="Q379" s="99"/>
      <c r="R379" s="99"/>
      <c r="S379" s="99"/>
    </row>
    <row r="380" spans="2:19" s="15" customFormat="1">
      <c r="B380" s="29"/>
      <c r="C380" s="29"/>
      <c r="D380" s="25"/>
      <c r="E380" s="25"/>
      <c r="G380" s="165"/>
      <c r="H380" s="165"/>
      <c r="J380" s="99"/>
      <c r="K380" s="99"/>
      <c r="L380" s="99"/>
      <c r="M380" s="99"/>
      <c r="N380" s="99"/>
      <c r="O380" s="99"/>
      <c r="P380" s="99"/>
      <c r="Q380" s="99"/>
      <c r="R380" s="99"/>
      <c r="S380" s="99"/>
    </row>
    <row r="381" spans="2:19" s="15" customFormat="1">
      <c r="B381" s="29"/>
      <c r="C381" s="29"/>
      <c r="D381" s="25"/>
      <c r="E381" s="25"/>
      <c r="G381" s="165"/>
      <c r="H381" s="165"/>
      <c r="J381" s="99"/>
      <c r="K381" s="99"/>
      <c r="L381" s="99"/>
      <c r="M381" s="99"/>
      <c r="N381" s="99"/>
      <c r="O381" s="99"/>
      <c r="P381" s="99"/>
      <c r="Q381" s="99"/>
      <c r="R381" s="99"/>
      <c r="S381" s="99"/>
    </row>
    <row r="382" spans="2:19" s="15" customFormat="1">
      <c r="B382" s="29"/>
      <c r="C382" s="29"/>
      <c r="D382" s="25"/>
      <c r="E382" s="25"/>
      <c r="G382" s="165"/>
      <c r="H382" s="165"/>
      <c r="J382" s="99"/>
      <c r="K382" s="99"/>
      <c r="L382" s="99"/>
      <c r="M382" s="99"/>
      <c r="N382" s="99"/>
      <c r="O382" s="99"/>
      <c r="P382" s="99"/>
      <c r="Q382" s="99"/>
      <c r="R382" s="99"/>
      <c r="S382" s="99"/>
    </row>
    <row r="383" spans="2:19" s="15" customFormat="1">
      <c r="B383" s="29"/>
      <c r="C383" s="29"/>
      <c r="D383" s="25"/>
      <c r="E383" s="25"/>
      <c r="G383" s="165"/>
      <c r="H383" s="165"/>
      <c r="J383" s="99"/>
      <c r="K383" s="99"/>
      <c r="L383" s="99"/>
      <c r="M383" s="99"/>
      <c r="N383" s="99"/>
      <c r="O383" s="99"/>
      <c r="P383" s="99"/>
      <c r="Q383" s="99"/>
      <c r="R383" s="99"/>
      <c r="S383" s="99"/>
    </row>
    <row r="384" spans="2:19" s="15" customFormat="1">
      <c r="B384" s="29"/>
      <c r="C384" s="29"/>
      <c r="D384" s="25"/>
      <c r="E384" s="25"/>
      <c r="G384" s="165"/>
      <c r="H384" s="165"/>
      <c r="J384" s="99"/>
      <c r="K384" s="99"/>
      <c r="L384" s="99"/>
      <c r="M384" s="99"/>
      <c r="N384" s="99"/>
      <c r="O384" s="99"/>
      <c r="P384" s="99"/>
      <c r="Q384" s="99"/>
      <c r="R384" s="99"/>
      <c r="S384" s="99"/>
    </row>
    <row r="385" spans="2:19" s="15" customFormat="1">
      <c r="B385" s="29"/>
      <c r="C385" s="29"/>
      <c r="D385" s="25"/>
      <c r="E385" s="25"/>
      <c r="G385" s="165"/>
      <c r="H385" s="165"/>
      <c r="J385" s="99"/>
      <c r="K385" s="99"/>
      <c r="L385" s="99"/>
      <c r="M385" s="99"/>
      <c r="N385" s="99"/>
      <c r="O385" s="99"/>
      <c r="P385" s="99"/>
      <c r="Q385" s="99"/>
      <c r="R385" s="99"/>
      <c r="S385" s="99"/>
    </row>
    <row r="386" spans="2:19" s="15" customFormat="1">
      <c r="B386" s="29"/>
      <c r="C386" s="29"/>
      <c r="D386" s="25"/>
      <c r="E386" s="25"/>
      <c r="G386" s="165"/>
      <c r="H386" s="165"/>
      <c r="J386" s="99"/>
      <c r="K386" s="99"/>
      <c r="L386" s="99"/>
      <c r="M386" s="99"/>
      <c r="N386" s="99"/>
      <c r="O386" s="99"/>
      <c r="P386" s="99"/>
      <c r="Q386" s="99"/>
      <c r="R386" s="99"/>
      <c r="S386" s="99"/>
    </row>
    <row r="387" spans="2:19" s="15" customFormat="1">
      <c r="B387" s="29"/>
      <c r="C387" s="29"/>
      <c r="D387" s="25"/>
      <c r="E387" s="25"/>
      <c r="G387" s="165"/>
      <c r="H387" s="165"/>
      <c r="J387" s="99"/>
      <c r="K387" s="99"/>
      <c r="L387" s="99"/>
      <c r="M387" s="99"/>
      <c r="N387" s="99"/>
      <c r="O387" s="99"/>
      <c r="P387" s="99"/>
      <c r="Q387" s="99"/>
      <c r="R387" s="99"/>
      <c r="S387" s="99"/>
    </row>
    <row r="388" spans="2:19" s="15" customFormat="1">
      <c r="B388" s="29"/>
      <c r="C388" s="29"/>
      <c r="D388" s="25"/>
      <c r="E388" s="25"/>
      <c r="G388" s="165"/>
      <c r="H388" s="165"/>
      <c r="J388" s="99"/>
      <c r="K388" s="99"/>
      <c r="L388" s="99"/>
      <c r="M388" s="99"/>
      <c r="N388" s="99"/>
      <c r="O388" s="99"/>
      <c r="P388" s="99"/>
      <c r="Q388" s="99"/>
      <c r="R388" s="99"/>
      <c r="S388" s="99"/>
    </row>
    <row r="389" spans="2:19" s="15" customFormat="1">
      <c r="B389" s="29"/>
      <c r="C389" s="29"/>
      <c r="D389" s="25"/>
      <c r="E389" s="25"/>
      <c r="G389" s="165"/>
      <c r="H389" s="165"/>
      <c r="J389" s="99"/>
      <c r="K389" s="99"/>
      <c r="L389" s="99"/>
      <c r="M389" s="99"/>
      <c r="N389" s="99"/>
      <c r="O389" s="99"/>
      <c r="P389" s="99"/>
      <c r="Q389" s="99"/>
      <c r="R389" s="99"/>
      <c r="S389" s="99"/>
    </row>
    <row r="390" spans="2:19" s="15" customFormat="1">
      <c r="B390" s="29"/>
      <c r="C390" s="29"/>
      <c r="D390" s="25"/>
      <c r="E390" s="25"/>
      <c r="G390" s="165"/>
      <c r="H390" s="165"/>
      <c r="J390" s="99"/>
      <c r="K390" s="99"/>
      <c r="L390" s="99"/>
      <c r="M390" s="99"/>
      <c r="N390" s="99"/>
      <c r="O390" s="99"/>
      <c r="P390" s="99"/>
      <c r="Q390" s="99"/>
      <c r="R390" s="99"/>
      <c r="S390" s="99"/>
    </row>
    <row r="391" spans="2:19" s="15" customFormat="1">
      <c r="B391" s="29"/>
      <c r="C391" s="29"/>
      <c r="D391" s="25"/>
      <c r="E391" s="25"/>
      <c r="G391" s="165"/>
      <c r="H391" s="165"/>
      <c r="J391" s="99"/>
      <c r="K391" s="99"/>
      <c r="L391" s="99"/>
      <c r="M391" s="99"/>
      <c r="N391" s="99"/>
      <c r="O391" s="99"/>
      <c r="P391" s="99"/>
      <c r="Q391" s="99"/>
      <c r="R391" s="99"/>
      <c r="S391" s="99"/>
    </row>
    <row r="392" spans="2:19" s="15" customFormat="1">
      <c r="B392" s="29"/>
      <c r="C392" s="29"/>
      <c r="D392" s="25"/>
      <c r="E392" s="25"/>
      <c r="G392" s="165"/>
      <c r="H392" s="165"/>
      <c r="J392" s="99"/>
      <c r="K392" s="99"/>
      <c r="L392" s="99"/>
      <c r="M392" s="99"/>
      <c r="N392" s="99"/>
      <c r="O392" s="99"/>
      <c r="P392" s="99"/>
      <c r="Q392" s="99"/>
      <c r="R392" s="99"/>
      <c r="S392" s="99"/>
    </row>
    <row r="393" spans="2:19" s="15" customFormat="1">
      <c r="B393" s="29"/>
      <c r="C393" s="29"/>
      <c r="D393" s="25"/>
      <c r="E393" s="25"/>
      <c r="G393" s="165"/>
      <c r="H393" s="165"/>
      <c r="J393" s="99"/>
      <c r="K393" s="99"/>
      <c r="L393" s="99"/>
      <c r="M393" s="99"/>
      <c r="N393" s="99"/>
      <c r="O393" s="99"/>
      <c r="P393" s="99"/>
      <c r="Q393" s="99"/>
      <c r="R393" s="99"/>
      <c r="S393" s="99"/>
    </row>
    <row r="394" spans="2:19" s="15" customFormat="1">
      <c r="B394" s="29"/>
      <c r="C394" s="29"/>
      <c r="D394" s="25"/>
      <c r="E394" s="25"/>
      <c r="G394" s="165"/>
      <c r="H394" s="165"/>
      <c r="J394" s="99"/>
      <c r="K394" s="99"/>
      <c r="L394" s="99"/>
      <c r="M394" s="99"/>
      <c r="N394" s="99"/>
      <c r="O394" s="99"/>
      <c r="P394" s="99"/>
      <c r="Q394" s="99"/>
      <c r="R394" s="99"/>
      <c r="S394" s="99"/>
    </row>
    <row r="395" spans="2:19" s="15" customFormat="1">
      <c r="B395" s="29"/>
      <c r="C395" s="29"/>
      <c r="D395" s="25"/>
      <c r="E395" s="25"/>
      <c r="G395" s="165"/>
      <c r="H395" s="165"/>
      <c r="J395" s="99"/>
      <c r="K395" s="99"/>
      <c r="L395" s="99"/>
      <c r="M395" s="99"/>
      <c r="N395" s="99"/>
      <c r="O395" s="99"/>
      <c r="P395" s="99"/>
      <c r="Q395" s="99"/>
      <c r="R395" s="99"/>
      <c r="S395" s="99"/>
    </row>
    <row r="396" spans="2:19" s="15" customFormat="1">
      <c r="B396" s="29"/>
      <c r="C396" s="29"/>
      <c r="D396" s="25"/>
      <c r="E396" s="25"/>
      <c r="G396" s="165"/>
      <c r="H396" s="165"/>
      <c r="J396" s="99"/>
      <c r="K396" s="99"/>
      <c r="L396" s="99"/>
      <c r="M396" s="99"/>
      <c r="N396" s="99"/>
      <c r="O396" s="99"/>
      <c r="P396" s="99"/>
      <c r="Q396" s="99"/>
      <c r="R396" s="99"/>
      <c r="S396" s="99"/>
    </row>
    <row r="397" spans="2:19" s="15" customFormat="1">
      <c r="B397" s="29"/>
      <c r="C397" s="29"/>
      <c r="D397" s="25"/>
      <c r="E397" s="25"/>
      <c r="G397" s="165"/>
      <c r="H397" s="165"/>
      <c r="J397" s="99"/>
      <c r="K397" s="99"/>
      <c r="L397" s="99"/>
      <c r="M397" s="99"/>
      <c r="N397" s="99"/>
      <c r="O397" s="99"/>
      <c r="P397" s="99"/>
      <c r="Q397" s="99"/>
      <c r="R397" s="99"/>
      <c r="S397" s="99"/>
    </row>
    <row r="398" spans="2:19" s="15" customFormat="1">
      <c r="B398" s="29"/>
      <c r="C398" s="29"/>
      <c r="D398" s="25"/>
      <c r="E398" s="25"/>
      <c r="G398" s="165"/>
      <c r="H398" s="165"/>
      <c r="J398" s="99"/>
      <c r="K398" s="99"/>
      <c r="L398" s="99"/>
      <c r="M398" s="99"/>
      <c r="N398" s="99"/>
      <c r="O398" s="99"/>
      <c r="P398" s="99"/>
      <c r="Q398" s="99"/>
      <c r="R398" s="99"/>
      <c r="S398" s="99"/>
    </row>
    <row r="399" spans="2:19" s="15" customFormat="1">
      <c r="B399" s="29"/>
      <c r="C399" s="29"/>
      <c r="D399" s="25"/>
      <c r="E399" s="25"/>
      <c r="G399" s="165"/>
      <c r="H399" s="165"/>
      <c r="J399" s="99"/>
      <c r="K399" s="99"/>
      <c r="L399" s="99"/>
      <c r="M399" s="99"/>
      <c r="N399" s="99"/>
      <c r="O399" s="99"/>
      <c r="P399" s="99"/>
      <c r="Q399" s="99"/>
      <c r="R399" s="99"/>
      <c r="S399" s="99"/>
    </row>
    <row r="400" spans="2:19" s="15" customFormat="1">
      <c r="B400" s="29"/>
      <c r="C400" s="29"/>
      <c r="D400" s="25"/>
      <c r="E400" s="25"/>
      <c r="G400" s="165"/>
      <c r="H400" s="165"/>
      <c r="J400" s="99"/>
      <c r="K400" s="99"/>
      <c r="L400" s="99"/>
      <c r="M400" s="99"/>
      <c r="N400" s="99"/>
      <c r="O400" s="99"/>
      <c r="P400" s="99"/>
      <c r="Q400" s="99"/>
      <c r="R400" s="99"/>
      <c r="S400" s="99"/>
    </row>
    <row r="401" spans="2:19" s="15" customFormat="1">
      <c r="B401" s="29"/>
      <c r="C401" s="29"/>
      <c r="D401" s="25"/>
      <c r="E401" s="25"/>
      <c r="G401" s="165"/>
      <c r="H401" s="165"/>
      <c r="J401" s="99"/>
      <c r="K401" s="99"/>
      <c r="L401" s="99"/>
      <c r="M401" s="99"/>
      <c r="N401" s="99"/>
      <c r="O401" s="99"/>
      <c r="P401" s="99"/>
      <c r="Q401" s="99"/>
      <c r="R401" s="99"/>
      <c r="S401" s="99"/>
    </row>
    <row r="402" spans="2:19" s="15" customFormat="1">
      <c r="B402" s="29"/>
      <c r="C402" s="29"/>
      <c r="D402" s="25"/>
      <c r="E402" s="25"/>
      <c r="G402" s="165"/>
      <c r="H402" s="165"/>
      <c r="J402" s="99"/>
      <c r="K402" s="99"/>
      <c r="L402" s="99"/>
      <c r="M402" s="99"/>
      <c r="N402" s="99"/>
      <c r="O402" s="99"/>
      <c r="P402" s="99"/>
      <c r="Q402" s="99"/>
      <c r="R402" s="99"/>
      <c r="S402" s="99"/>
    </row>
    <row r="403" spans="2:19" s="15" customFormat="1">
      <c r="B403" s="29"/>
      <c r="C403" s="29"/>
      <c r="D403" s="25"/>
      <c r="E403" s="25"/>
      <c r="G403" s="165"/>
      <c r="H403" s="165"/>
      <c r="J403" s="99"/>
      <c r="K403" s="99"/>
      <c r="L403" s="99"/>
      <c r="M403" s="99"/>
      <c r="N403" s="99"/>
      <c r="O403" s="99"/>
      <c r="P403" s="99"/>
      <c r="Q403" s="99"/>
      <c r="R403" s="99"/>
      <c r="S403" s="99"/>
    </row>
    <row r="404" spans="2:19" s="15" customFormat="1">
      <c r="B404" s="29"/>
      <c r="C404" s="29"/>
      <c r="D404" s="25"/>
      <c r="E404" s="25"/>
      <c r="G404" s="165"/>
      <c r="H404" s="165"/>
      <c r="J404" s="99"/>
      <c r="K404" s="99"/>
      <c r="L404" s="99"/>
      <c r="M404" s="99"/>
      <c r="N404" s="99"/>
      <c r="O404" s="99"/>
      <c r="P404" s="99"/>
      <c r="Q404" s="99"/>
      <c r="R404" s="99"/>
      <c r="S404" s="99"/>
    </row>
    <row r="405" spans="2:19" s="15" customFormat="1">
      <c r="B405" s="29"/>
      <c r="C405" s="29"/>
      <c r="D405" s="25"/>
      <c r="E405" s="25"/>
      <c r="G405" s="165"/>
      <c r="H405" s="165"/>
      <c r="J405" s="99"/>
      <c r="K405" s="99"/>
      <c r="L405" s="99"/>
      <c r="M405" s="99"/>
      <c r="N405" s="99"/>
      <c r="O405" s="99"/>
      <c r="P405" s="99"/>
      <c r="Q405" s="99"/>
      <c r="R405" s="99"/>
      <c r="S405" s="99"/>
    </row>
    <row r="406" spans="2:19" s="15" customFormat="1">
      <c r="B406" s="29"/>
      <c r="C406" s="29"/>
      <c r="D406" s="25"/>
      <c r="E406" s="25"/>
      <c r="G406" s="165"/>
      <c r="H406" s="165"/>
      <c r="J406" s="99"/>
      <c r="K406" s="99"/>
      <c r="L406" s="99"/>
      <c r="M406" s="99"/>
      <c r="N406" s="99"/>
      <c r="O406" s="99"/>
      <c r="P406" s="99"/>
      <c r="Q406" s="99"/>
      <c r="R406" s="99"/>
      <c r="S406" s="99"/>
    </row>
    <row r="407" spans="2:19" s="15" customFormat="1">
      <c r="B407" s="29"/>
      <c r="C407" s="29"/>
      <c r="D407" s="25"/>
      <c r="E407" s="25"/>
      <c r="G407" s="165"/>
      <c r="H407" s="165"/>
      <c r="J407" s="99"/>
      <c r="K407" s="99"/>
      <c r="L407" s="99"/>
      <c r="M407" s="99"/>
      <c r="N407" s="99"/>
      <c r="O407" s="99"/>
      <c r="P407" s="99"/>
      <c r="Q407" s="99"/>
      <c r="R407" s="99"/>
      <c r="S407" s="99"/>
    </row>
    <row r="408" spans="2:19" s="15" customFormat="1">
      <c r="B408" s="29"/>
      <c r="C408" s="29"/>
      <c r="D408" s="25"/>
      <c r="E408" s="25"/>
      <c r="G408" s="165"/>
      <c r="H408" s="165"/>
      <c r="J408" s="99"/>
      <c r="K408" s="99"/>
      <c r="L408" s="99"/>
      <c r="M408" s="99"/>
      <c r="N408" s="99"/>
      <c r="O408" s="99"/>
      <c r="P408" s="99"/>
      <c r="Q408" s="99"/>
      <c r="R408" s="99"/>
      <c r="S408" s="99"/>
    </row>
    <row r="409" spans="2:19" s="15" customFormat="1">
      <c r="B409" s="29"/>
      <c r="C409" s="29"/>
      <c r="D409" s="25"/>
      <c r="E409" s="25"/>
      <c r="G409" s="165"/>
      <c r="H409" s="165"/>
      <c r="J409" s="99"/>
      <c r="K409" s="99"/>
      <c r="L409" s="99"/>
      <c r="M409" s="99"/>
      <c r="N409" s="99"/>
      <c r="O409" s="99"/>
      <c r="P409" s="99"/>
      <c r="Q409" s="99"/>
      <c r="R409" s="99"/>
      <c r="S409" s="99"/>
    </row>
    <row r="410" spans="2:19" s="15" customFormat="1">
      <c r="B410" s="29"/>
      <c r="C410" s="29"/>
      <c r="D410" s="25"/>
      <c r="E410" s="25"/>
      <c r="G410" s="165"/>
      <c r="H410" s="165"/>
      <c r="J410" s="99"/>
      <c r="K410" s="99"/>
      <c r="L410" s="99"/>
      <c r="M410" s="99"/>
      <c r="N410" s="99"/>
      <c r="O410" s="99"/>
      <c r="P410" s="99"/>
      <c r="Q410" s="99"/>
      <c r="R410" s="99"/>
      <c r="S410" s="99"/>
    </row>
    <row r="411" spans="2:19" s="15" customFormat="1">
      <c r="B411" s="29"/>
      <c r="C411" s="29"/>
      <c r="D411" s="25"/>
      <c r="E411" s="25"/>
      <c r="G411" s="165"/>
      <c r="H411" s="165"/>
      <c r="J411" s="99"/>
      <c r="K411" s="99"/>
      <c r="L411" s="99"/>
      <c r="M411" s="99"/>
      <c r="N411" s="99"/>
      <c r="O411" s="99"/>
      <c r="P411" s="99"/>
      <c r="Q411" s="99"/>
      <c r="R411" s="99"/>
      <c r="S411" s="99"/>
    </row>
    <row r="412" spans="2:19" s="15" customFormat="1">
      <c r="B412" s="29"/>
      <c r="C412" s="29"/>
      <c r="D412" s="25"/>
      <c r="E412" s="25"/>
      <c r="G412" s="165"/>
      <c r="H412" s="165"/>
      <c r="J412" s="99"/>
      <c r="K412" s="99"/>
      <c r="L412" s="99"/>
      <c r="M412" s="99"/>
      <c r="N412" s="99"/>
      <c r="O412" s="99"/>
      <c r="P412" s="99"/>
      <c r="Q412" s="99"/>
      <c r="R412" s="99"/>
      <c r="S412" s="99"/>
    </row>
    <row r="413" spans="2:19" s="15" customFormat="1">
      <c r="B413" s="29"/>
      <c r="C413" s="29"/>
      <c r="D413" s="25"/>
      <c r="E413" s="25"/>
      <c r="G413" s="165"/>
      <c r="H413" s="165"/>
      <c r="J413" s="99"/>
      <c r="K413" s="99"/>
      <c r="L413" s="99"/>
      <c r="M413" s="99"/>
      <c r="N413" s="99"/>
      <c r="O413" s="99"/>
      <c r="P413" s="99"/>
      <c r="Q413" s="99"/>
      <c r="R413" s="99"/>
      <c r="S413" s="99"/>
    </row>
    <row r="414" spans="2:19" s="15" customFormat="1">
      <c r="B414" s="29"/>
      <c r="C414" s="29"/>
      <c r="D414" s="25"/>
      <c r="E414" s="25"/>
      <c r="G414" s="165"/>
      <c r="H414" s="165"/>
      <c r="J414" s="99"/>
      <c r="K414" s="99"/>
      <c r="L414" s="99"/>
      <c r="M414" s="99"/>
      <c r="N414" s="99"/>
      <c r="O414" s="99"/>
      <c r="P414" s="99"/>
      <c r="Q414" s="99"/>
      <c r="R414" s="99"/>
      <c r="S414" s="99"/>
    </row>
    <row r="415" spans="2:19" s="15" customFormat="1">
      <c r="B415" s="29"/>
      <c r="C415" s="29"/>
      <c r="D415" s="25"/>
      <c r="E415" s="25"/>
      <c r="G415" s="165"/>
      <c r="H415" s="165"/>
      <c r="J415" s="99"/>
      <c r="K415" s="99"/>
      <c r="L415" s="99"/>
      <c r="M415" s="99"/>
      <c r="N415" s="99"/>
      <c r="O415" s="99"/>
      <c r="P415" s="99"/>
      <c r="Q415" s="99"/>
      <c r="R415" s="99"/>
      <c r="S415" s="99"/>
    </row>
    <row r="416" spans="2:19" s="15" customFormat="1">
      <c r="B416" s="29"/>
      <c r="C416" s="29"/>
      <c r="D416" s="25"/>
      <c r="E416" s="25"/>
      <c r="G416" s="165"/>
      <c r="H416" s="165"/>
      <c r="J416" s="99"/>
      <c r="K416" s="99"/>
      <c r="L416" s="99"/>
      <c r="M416" s="99"/>
      <c r="N416" s="99"/>
      <c r="O416" s="99"/>
      <c r="P416" s="99"/>
      <c r="Q416" s="99"/>
      <c r="R416" s="99"/>
      <c r="S416" s="99"/>
    </row>
    <row r="417" spans="2:19" s="15" customFormat="1">
      <c r="B417" s="29"/>
      <c r="C417" s="29"/>
      <c r="D417" s="25"/>
      <c r="E417" s="25"/>
      <c r="G417" s="165"/>
      <c r="H417" s="165"/>
      <c r="J417" s="99"/>
      <c r="K417" s="99"/>
      <c r="L417" s="99"/>
      <c r="M417" s="99"/>
      <c r="N417" s="99"/>
      <c r="O417" s="99"/>
      <c r="P417" s="99"/>
      <c r="Q417" s="99"/>
      <c r="R417" s="99"/>
      <c r="S417" s="99"/>
    </row>
    <row r="418" spans="2:19" s="15" customFormat="1">
      <c r="B418" s="29"/>
      <c r="C418" s="29"/>
      <c r="D418" s="25"/>
      <c r="E418" s="25"/>
      <c r="G418" s="165"/>
      <c r="H418" s="165"/>
      <c r="J418" s="99"/>
      <c r="K418" s="99"/>
      <c r="L418" s="99"/>
      <c r="M418" s="99"/>
      <c r="N418" s="99"/>
      <c r="O418" s="99"/>
      <c r="P418" s="99"/>
      <c r="Q418" s="99"/>
      <c r="R418" s="99"/>
      <c r="S418" s="99"/>
    </row>
    <row r="419" spans="2:19" s="15" customFormat="1">
      <c r="B419" s="29"/>
      <c r="C419" s="29"/>
      <c r="D419" s="25"/>
      <c r="E419" s="25"/>
      <c r="G419" s="165"/>
      <c r="H419" s="165"/>
      <c r="J419" s="99"/>
      <c r="K419" s="99"/>
      <c r="L419" s="99"/>
      <c r="M419" s="99"/>
      <c r="N419" s="99"/>
      <c r="O419" s="99"/>
      <c r="P419" s="99"/>
      <c r="Q419" s="99"/>
      <c r="R419" s="99"/>
      <c r="S419" s="99"/>
    </row>
    <row r="420" spans="2:19" s="15" customFormat="1">
      <c r="B420" s="29"/>
      <c r="C420" s="29"/>
      <c r="D420" s="25"/>
      <c r="E420" s="25"/>
      <c r="G420" s="165"/>
      <c r="H420" s="165"/>
      <c r="J420" s="99"/>
      <c r="K420" s="99"/>
      <c r="L420" s="99"/>
      <c r="M420" s="99"/>
      <c r="N420" s="99"/>
      <c r="O420" s="99"/>
      <c r="P420" s="99"/>
      <c r="Q420" s="99"/>
      <c r="R420" s="99"/>
      <c r="S420" s="99"/>
    </row>
    <row r="421" spans="2:19" s="15" customFormat="1">
      <c r="B421" s="29"/>
      <c r="C421" s="29"/>
      <c r="D421" s="25"/>
      <c r="E421" s="25"/>
      <c r="G421" s="165"/>
      <c r="H421" s="165"/>
      <c r="J421" s="99"/>
      <c r="K421" s="99"/>
      <c r="L421" s="99"/>
      <c r="M421" s="99"/>
      <c r="N421" s="99"/>
      <c r="O421" s="99"/>
      <c r="P421" s="99"/>
      <c r="Q421" s="99"/>
      <c r="R421" s="99"/>
      <c r="S421" s="99"/>
    </row>
    <row r="422" spans="2:19" s="15" customFormat="1">
      <c r="B422" s="29"/>
      <c r="C422" s="29"/>
      <c r="D422" s="25"/>
      <c r="E422" s="25"/>
      <c r="G422" s="165"/>
      <c r="H422" s="165"/>
      <c r="J422" s="99"/>
      <c r="K422" s="99"/>
      <c r="L422" s="99"/>
      <c r="M422" s="99"/>
      <c r="N422" s="99"/>
      <c r="O422" s="99"/>
      <c r="P422" s="99"/>
      <c r="Q422" s="99"/>
      <c r="R422" s="99"/>
      <c r="S422" s="99"/>
    </row>
    <row r="423" spans="2:19" s="15" customFormat="1">
      <c r="B423" s="29"/>
      <c r="C423" s="29"/>
      <c r="D423" s="25"/>
      <c r="E423" s="25"/>
      <c r="G423" s="165"/>
      <c r="H423" s="165"/>
      <c r="J423" s="99"/>
      <c r="K423" s="99"/>
      <c r="L423" s="99"/>
      <c r="M423" s="99"/>
      <c r="N423" s="99"/>
      <c r="O423" s="99"/>
      <c r="P423" s="99"/>
      <c r="Q423" s="99"/>
      <c r="R423" s="99"/>
      <c r="S423" s="99"/>
    </row>
    <row r="424" spans="2:19" s="15" customFormat="1">
      <c r="B424" s="29"/>
      <c r="C424" s="29"/>
      <c r="D424" s="25"/>
      <c r="E424" s="25"/>
      <c r="G424" s="165"/>
      <c r="H424" s="165"/>
      <c r="J424" s="99"/>
      <c r="K424" s="99"/>
      <c r="L424" s="99"/>
      <c r="M424" s="99"/>
      <c r="N424" s="99"/>
      <c r="O424" s="99"/>
      <c r="P424" s="99"/>
      <c r="Q424" s="99"/>
      <c r="R424" s="99"/>
      <c r="S424" s="99"/>
    </row>
    <row r="425" spans="2:19" s="15" customFormat="1">
      <c r="B425" s="29"/>
      <c r="C425" s="29"/>
      <c r="D425" s="25"/>
      <c r="E425" s="25"/>
      <c r="G425" s="165"/>
      <c r="H425" s="165"/>
      <c r="J425" s="99"/>
      <c r="K425" s="99"/>
      <c r="L425" s="99"/>
      <c r="M425" s="99"/>
      <c r="N425" s="99"/>
      <c r="O425" s="99"/>
      <c r="P425" s="99"/>
      <c r="Q425" s="99"/>
      <c r="R425" s="99"/>
      <c r="S425" s="99"/>
    </row>
    <row r="426" spans="2:19" s="15" customFormat="1">
      <c r="B426" s="29"/>
      <c r="C426" s="29"/>
      <c r="D426" s="25"/>
      <c r="E426" s="25"/>
      <c r="G426" s="165"/>
      <c r="H426" s="165"/>
      <c r="J426" s="99"/>
      <c r="K426" s="99"/>
      <c r="L426" s="99"/>
      <c r="M426" s="99"/>
      <c r="N426" s="99"/>
      <c r="O426" s="99"/>
      <c r="P426" s="99"/>
      <c r="Q426" s="99"/>
      <c r="R426" s="99"/>
      <c r="S426" s="99"/>
    </row>
    <row r="427" spans="2:19" s="15" customFormat="1">
      <c r="B427" s="29"/>
      <c r="C427" s="29"/>
      <c r="D427" s="25"/>
      <c r="E427" s="25"/>
      <c r="G427" s="165"/>
      <c r="H427" s="165"/>
      <c r="J427" s="99"/>
      <c r="K427" s="99"/>
      <c r="L427" s="99"/>
      <c r="M427" s="99"/>
      <c r="N427" s="99"/>
      <c r="O427" s="99"/>
      <c r="P427" s="99"/>
      <c r="Q427" s="99"/>
      <c r="R427" s="99"/>
      <c r="S427" s="99"/>
    </row>
    <row r="428" spans="2:19" s="15" customFormat="1">
      <c r="B428" s="29"/>
      <c r="C428" s="29"/>
      <c r="D428" s="25"/>
      <c r="E428" s="25"/>
      <c r="G428" s="165"/>
      <c r="H428" s="165"/>
      <c r="J428" s="99"/>
      <c r="K428" s="99"/>
      <c r="L428" s="99"/>
      <c r="M428" s="99"/>
      <c r="N428" s="99"/>
      <c r="O428" s="99"/>
      <c r="P428" s="99"/>
      <c r="Q428" s="99"/>
      <c r="R428" s="99"/>
      <c r="S428" s="99"/>
    </row>
    <row r="429" spans="2:19" s="15" customFormat="1">
      <c r="B429" s="29"/>
      <c r="C429" s="29"/>
      <c r="D429" s="25"/>
      <c r="E429" s="25"/>
      <c r="G429" s="165"/>
      <c r="H429" s="165"/>
      <c r="J429" s="99"/>
      <c r="K429" s="99"/>
      <c r="L429" s="99"/>
      <c r="M429" s="99"/>
      <c r="N429" s="99"/>
      <c r="O429" s="99"/>
      <c r="P429" s="99"/>
      <c r="Q429" s="99"/>
      <c r="R429" s="99"/>
      <c r="S429" s="99"/>
    </row>
    <row r="430" spans="2:19" s="15" customFormat="1">
      <c r="B430" s="29"/>
      <c r="C430" s="29"/>
      <c r="D430" s="25"/>
      <c r="E430" s="25"/>
      <c r="G430" s="165"/>
      <c r="H430" s="165"/>
      <c r="J430" s="99"/>
      <c r="K430" s="99"/>
      <c r="L430" s="99"/>
      <c r="M430" s="99"/>
      <c r="N430" s="99"/>
      <c r="O430" s="99"/>
      <c r="P430" s="99"/>
      <c r="Q430" s="99"/>
      <c r="R430" s="99"/>
      <c r="S430" s="99"/>
    </row>
    <row r="431" spans="2:19" s="15" customFormat="1">
      <c r="B431" s="29"/>
      <c r="C431" s="29"/>
      <c r="D431" s="25"/>
      <c r="E431" s="25"/>
      <c r="G431" s="165"/>
      <c r="H431" s="165"/>
      <c r="J431" s="99"/>
      <c r="K431" s="99"/>
      <c r="L431" s="99"/>
      <c r="M431" s="99"/>
      <c r="N431" s="99"/>
      <c r="O431" s="99"/>
      <c r="P431" s="99"/>
      <c r="Q431" s="99"/>
      <c r="R431" s="99"/>
      <c r="S431" s="99"/>
    </row>
    <row r="432" spans="2:19" s="15" customFormat="1">
      <c r="B432" s="29"/>
      <c r="C432" s="29"/>
      <c r="D432" s="25"/>
      <c r="E432" s="25"/>
      <c r="G432" s="165"/>
      <c r="H432" s="165"/>
      <c r="J432" s="99"/>
      <c r="K432" s="99"/>
      <c r="L432" s="99"/>
      <c r="M432" s="99"/>
      <c r="N432" s="99"/>
      <c r="O432" s="99"/>
      <c r="P432" s="99"/>
      <c r="Q432" s="99"/>
      <c r="R432" s="99"/>
      <c r="S432" s="99"/>
    </row>
    <row r="433" spans="2:19" s="15" customFormat="1">
      <c r="B433" s="29"/>
      <c r="C433" s="29"/>
      <c r="D433" s="25"/>
      <c r="E433" s="25"/>
      <c r="G433" s="165"/>
      <c r="H433" s="165"/>
      <c r="J433" s="99"/>
      <c r="K433" s="99"/>
      <c r="L433" s="99"/>
      <c r="M433" s="99"/>
      <c r="N433" s="99"/>
      <c r="O433" s="99"/>
      <c r="P433" s="99"/>
      <c r="Q433" s="99"/>
      <c r="R433" s="99"/>
      <c r="S433" s="99"/>
    </row>
    <row r="434" spans="2:19" s="15" customFormat="1">
      <c r="B434" s="29"/>
      <c r="C434" s="29"/>
      <c r="D434" s="25"/>
      <c r="E434" s="25"/>
      <c r="G434" s="165"/>
      <c r="H434" s="165"/>
      <c r="J434" s="99"/>
      <c r="K434" s="99"/>
      <c r="L434" s="99"/>
      <c r="M434" s="99"/>
      <c r="N434" s="99"/>
      <c r="O434" s="99"/>
      <c r="P434" s="99"/>
      <c r="Q434" s="99"/>
      <c r="R434" s="99"/>
      <c r="S434" s="99"/>
    </row>
    <row r="435" spans="2:19" s="15" customFormat="1">
      <c r="B435" s="29"/>
      <c r="C435" s="29"/>
      <c r="D435" s="25"/>
      <c r="E435" s="25"/>
      <c r="G435" s="165"/>
      <c r="H435" s="165"/>
      <c r="J435" s="99"/>
      <c r="K435" s="99"/>
      <c r="L435" s="99"/>
      <c r="M435" s="99"/>
      <c r="N435" s="99"/>
      <c r="O435" s="99"/>
      <c r="P435" s="99"/>
      <c r="Q435" s="99"/>
      <c r="R435" s="99"/>
      <c r="S435" s="99"/>
    </row>
    <row r="436" spans="2:19" s="15" customFormat="1">
      <c r="B436" s="29"/>
      <c r="C436" s="29"/>
      <c r="D436" s="25"/>
      <c r="E436" s="25"/>
      <c r="G436" s="165"/>
      <c r="H436" s="165"/>
      <c r="J436" s="99"/>
      <c r="K436" s="99"/>
      <c r="L436" s="99"/>
      <c r="M436" s="99"/>
      <c r="N436" s="99"/>
      <c r="O436" s="99"/>
      <c r="P436" s="99"/>
      <c r="Q436" s="99"/>
      <c r="R436" s="99"/>
      <c r="S436" s="99"/>
    </row>
    <row r="437" spans="2:19" s="15" customFormat="1">
      <c r="B437" s="29"/>
      <c r="C437" s="29"/>
      <c r="D437" s="25"/>
      <c r="E437" s="25"/>
      <c r="G437" s="165"/>
      <c r="H437" s="165"/>
      <c r="J437" s="99"/>
      <c r="K437" s="99"/>
      <c r="L437" s="99"/>
      <c r="M437" s="99"/>
      <c r="N437" s="99"/>
      <c r="O437" s="99"/>
      <c r="P437" s="99"/>
      <c r="Q437" s="99"/>
      <c r="R437" s="99"/>
      <c r="S437" s="99"/>
    </row>
    <row r="438" spans="2:19" s="15" customFormat="1">
      <c r="B438" s="29"/>
      <c r="C438" s="29"/>
      <c r="D438" s="25"/>
      <c r="E438" s="25"/>
      <c r="G438" s="165"/>
      <c r="H438" s="165"/>
      <c r="J438" s="99"/>
      <c r="K438" s="99"/>
      <c r="L438" s="99"/>
      <c r="M438" s="99"/>
      <c r="N438" s="99"/>
      <c r="O438" s="99"/>
      <c r="P438" s="99"/>
      <c r="Q438" s="99"/>
      <c r="R438" s="99"/>
      <c r="S438" s="99"/>
    </row>
    <row r="439" spans="2:19" s="15" customFormat="1">
      <c r="B439" s="29"/>
      <c r="C439" s="29"/>
      <c r="D439" s="25"/>
      <c r="E439" s="25"/>
      <c r="G439" s="165"/>
      <c r="H439" s="165"/>
      <c r="J439" s="99"/>
      <c r="K439" s="99"/>
      <c r="L439" s="99"/>
      <c r="M439" s="99"/>
      <c r="N439" s="99"/>
      <c r="O439" s="99"/>
      <c r="P439" s="99"/>
      <c r="Q439" s="99"/>
      <c r="R439" s="99"/>
      <c r="S439" s="99"/>
    </row>
    <row r="440" spans="2:19" s="15" customFormat="1">
      <c r="B440" s="29"/>
      <c r="C440" s="29"/>
      <c r="D440" s="25"/>
      <c r="E440" s="25"/>
      <c r="G440" s="165"/>
      <c r="H440" s="165"/>
      <c r="J440" s="99"/>
      <c r="K440" s="99"/>
      <c r="L440" s="99"/>
      <c r="M440" s="99"/>
      <c r="N440" s="99"/>
      <c r="O440" s="99"/>
      <c r="P440" s="99"/>
      <c r="Q440" s="99"/>
      <c r="R440" s="99"/>
      <c r="S440" s="99"/>
    </row>
    <row r="441" spans="2:19" s="15" customFormat="1">
      <c r="B441" s="29"/>
      <c r="C441" s="29"/>
      <c r="D441" s="25"/>
      <c r="E441" s="25"/>
      <c r="G441" s="165"/>
      <c r="H441" s="165"/>
      <c r="J441" s="99"/>
      <c r="K441" s="99"/>
      <c r="L441" s="99"/>
      <c r="M441" s="99"/>
      <c r="N441" s="99"/>
      <c r="O441" s="99"/>
      <c r="P441" s="99"/>
      <c r="Q441" s="99"/>
      <c r="R441" s="99"/>
      <c r="S441" s="99"/>
    </row>
    <row r="442" spans="2:19" s="15" customFormat="1">
      <c r="B442" s="29"/>
      <c r="C442" s="29"/>
      <c r="D442" s="25"/>
      <c r="E442" s="25"/>
      <c r="G442" s="165"/>
      <c r="H442" s="165"/>
      <c r="J442" s="99"/>
      <c r="K442" s="99"/>
      <c r="L442" s="99"/>
      <c r="M442" s="99"/>
      <c r="N442" s="99"/>
      <c r="O442" s="99"/>
      <c r="P442" s="99"/>
      <c r="Q442" s="99"/>
      <c r="R442" s="99"/>
      <c r="S442" s="99"/>
    </row>
    <row r="443" spans="2:19" s="15" customFormat="1">
      <c r="B443" s="29"/>
      <c r="C443" s="29"/>
      <c r="D443" s="25"/>
      <c r="E443" s="25"/>
      <c r="G443" s="165"/>
      <c r="H443" s="165"/>
      <c r="J443" s="99"/>
      <c r="K443" s="99"/>
      <c r="L443" s="99"/>
      <c r="M443" s="99"/>
      <c r="N443" s="99"/>
      <c r="O443" s="99"/>
      <c r="P443" s="99"/>
      <c r="Q443" s="99"/>
      <c r="R443" s="99"/>
      <c r="S443" s="99"/>
    </row>
    <row r="444" spans="2:19" s="15" customFormat="1">
      <c r="B444" s="29"/>
      <c r="C444" s="29"/>
      <c r="D444" s="25"/>
      <c r="E444" s="25"/>
      <c r="G444" s="165"/>
      <c r="H444" s="165"/>
      <c r="J444" s="99"/>
      <c r="K444" s="99"/>
      <c r="L444" s="99"/>
      <c r="M444" s="99"/>
      <c r="N444" s="99"/>
      <c r="O444" s="99"/>
      <c r="P444" s="99"/>
      <c r="Q444" s="99"/>
      <c r="R444" s="99"/>
      <c r="S444" s="99"/>
    </row>
    <row r="445" spans="2:19" s="15" customFormat="1">
      <c r="B445" s="29"/>
      <c r="C445" s="29"/>
      <c r="D445" s="25"/>
      <c r="E445" s="25"/>
      <c r="G445" s="165"/>
      <c r="H445" s="165"/>
      <c r="J445" s="99"/>
      <c r="K445" s="99"/>
      <c r="L445" s="99"/>
      <c r="M445" s="99"/>
      <c r="N445" s="99"/>
      <c r="O445" s="99"/>
      <c r="P445" s="99"/>
      <c r="Q445" s="99"/>
      <c r="R445" s="99"/>
      <c r="S445" s="99"/>
    </row>
    <row r="446" spans="2:19" s="15" customFormat="1">
      <c r="B446" s="29"/>
      <c r="C446" s="29"/>
      <c r="D446" s="25"/>
      <c r="E446" s="25"/>
      <c r="G446" s="165"/>
      <c r="H446" s="165"/>
      <c r="J446" s="99"/>
      <c r="K446" s="99"/>
      <c r="L446" s="99"/>
      <c r="M446" s="99"/>
      <c r="N446" s="99"/>
      <c r="O446" s="99"/>
      <c r="P446" s="99"/>
      <c r="Q446" s="99"/>
      <c r="R446" s="99"/>
      <c r="S446" s="99"/>
    </row>
    <row r="447" spans="2:19" s="15" customFormat="1">
      <c r="B447" s="29"/>
      <c r="C447" s="29"/>
      <c r="D447" s="25"/>
      <c r="E447" s="25"/>
      <c r="G447" s="165"/>
      <c r="H447" s="165"/>
      <c r="J447" s="99"/>
      <c r="K447" s="99"/>
      <c r="L447" s="99"/>
      <c r="M447" s="99"/>
      <c r="N447" s="99"/>
      <c r="O447" s="99"/>
      <c r="P447" s="99"/>
      <c r="Q447" s="99"/>
      <c r="R447" s="99"/>
      <c r="S447" s="99"/>
    </row>
    <row r="448" spans="2:19" s="15" customFormat="1">
      <c r="B448" s="29"/>
      <c r="C448" s="29"/>
      <c r="D448" s="25"/>
      <c r="E448" s="25"/>
      <c r="G448" s="165"/>
      <c r="H448" s="165"/>
      <c r="J448" s="99"/>
      <c r="K448" s="99"/>
      <c r="L448" s="99"/>
      <c r="M448" s="99"/>
      <c r="N448" s="99"/>
      <c r="O448" s="99"/>
      <c r="P448" s="99"/>
      <c r="Q448" s="99"/>
      <c r="R448" s="99"/>
      <c r="S448" s="99"/>
    </row>
    <row r="449" spans="2:19" s="15" customFormat="1">
      <c r="B449" s="29"/>
      <c r="C449" s="29"/>
      <c r="D449" s="25"/>
      <c r="E449" s="25"/>
      <c r="G449" s="165"/>
      <c r="H449" s="165"/>
      <c r="J449" s="99"/>
      <c r="K449" s="99"/>
      <c r="L449" s="99"/>
      <c r="M449" s="99"/>
      <c r="N449" s="99"/>
      <c r="O449" s="99"/>
      <c r="P449" s="99"/>
      <c r="Q449" s="99"/>
      <c r="R449" s="99"/>
      <c r="S449" s="99"/>
    </row>
    <row r="450" spans="2:19" s="15" customFormat="1">
      <c r="B450" s="29"/>
      <c r="C450" s="29"/>
      <c r="D450" s="25"/>
      <c r="E450" s="25"/>
      <c r="G450" s="165"/>
      <c r="H450" s="165"/>
      <c r="J450" s="99"/>
      <c r="K450" s="99"/>
      <c r="L450" s="99"/>
      <c r="M450" s="99"/>
      <c r="N450" s="99"/>
      <c r="O450" s="99"/>
      <c r="P450" s="99"/>
      <c r="Q450" s="99"/>
      <c r="R450" s="99"/>
      <c r="S450" s="99"/>
    </row>
    <row r="451" spans="2:19" s="15" customFormat="1">
      <c r="B451" s="29"/>
      <c r="C451" s="29"/>
      <c r="D451" s="25"/>
      <c r="E451" s="25"/>
      <c r="G451" s="165"/>
      <c r="H451" s="165"/>
      <c r="J451" s="99"/>
      <c r="K451" s="99"/>
      <c r="L451" s="99"/>
      <c r="M451" s="99"/>
      <c r="N451" s="99"/>
      <c r="O451" s="99"/>
      <c r="P451" s="99"/>
      <c r="Q451" s="99"/>
      <c r="R451" s="99"/>
      <c r="S451" s="99"/>
    </row>
    <row r="452" spans="2:19" s="15" customFormat="1">
      <c r="B452" s="29"/>
      <c r="C452" s="29"/>
      <c r="D452" s="25"/>
      <c r="E452" s="25"/>
      <c r="G452" s="165"/>
      <c r="H452" s="165"/>
      <c r="J452" s="99"/>
      <c r="K452" s="99"/>
      <c r="L452" s="99"/>
      <c r="M452" s="99"/>
      <c r="N452" s="99"/>
      <c r="O452" s="99"/>
      <c r="P452" s="99"/>
      <c r="Q452" s="99"/>
      <c r="R452" s="99"/>
      <c r="S452" s="99"/>
    </row>
    <row r="453" spans="2:19" s="15" customFormat="1">
      <c r="B453" s="29"/>
      <c r="C453" s="29"/>
      <c r="D453" s="25"/>
      <c r="E453" s="25"/>
      <c r="G453" s="165"/>
      <c r="H453" s="165"/>
      <c r="J453" s="99"/>
      <c r="K453" s="99"/>
      <c r="L453" s="99"/>
      <c r="M453" s="99"/>
      <c r="N453" s="99"/>
      <c r="O453" s="99"/>
      <c r="P453" s="99"/>
      <c r="Q453" s="99"/>
      <c r="R453" s="99"/>
      <c r="S453" s="99"/>
    </row>
    <row r="454" spans="2:19" s="15" customFormat="1">
      <c r="B454" s="29"/>
      <c r="C454" s="29"/>
      <c r="D454" s="25"/>
      <c r="E454" s="25"/>
      <c r="G454" s="165"/>
      <c r="H454" s="165"/>
      <c r="J454" s="99"/>
      <c r="K454" s="99"/>
      <c r="L454" s="99"/>
      <c r="M454" s="99"/>
      <c r="N454" s="99"/>
      <c r="O454" s="99"/>
      <c r="P454" s="99"/>
      <c r="Q454" s="99"/>
      <c r="R454" s="99"/>
      <c r="S454" s="99"/>
    </row>
    <row r="455" spans="2:19" s="15" customFormat="1">
      <c r="B455" s="29"/>
      <c r="C455" s="29"/>
      <c r="D455" s="25"/>
      <c r="E455" s="25"/>
      <c r="G455" s="165"/>
      <c r="H455" s="165"/>
      <c r="J455" s="99"/>
      <c r="K455" s="99"/>
      <c r="L455" s="99"/>
      <c r="M455" s="99"/>
      <c r="N455" s="99"/>
      <c r="O455" s="99"/>
      <c r="P455" s="99"/>
      <c r="Q455" s="99"/>
      <c r="R455" s="99"/>
      <c r="S455" s="99"/>
    </row>
    <row r="456" spans="2:19" s="15" customFormat="1">
      <c r="B456" s="29"/>
      <c r="C456" s="29"/>
      <c r="D456" s="25"/>
      <c r="E456" s="25"/>
      <c r="G456" s="165"/>
      <c r="H456" s="165"/>
      <c r="J456" s="99"/>
      <c r="K456" s="99"/>
      <c r="L456" s="99"/>
      <c r="M456" s="99"/>
      <c r="N456" s="99"/>
      <c r="O456" s="99"/>
      <c r="P456" s="99"/>
      <c r="Q456" s="99"/>
      <c r="R456" s="99"/>
      <c r="S456" s="99"/>
    </row>
    <row r="457" spans="2:19" s="15" customFormat="1">
      <c r="B457" s="29"/>
      <c r="C457" s="29"/>
      <c r="D457" s="25"/>
      <c r="E457" s="25"/>
      <c r="G457" s="165"/>
      <c r="H457" s="165"/>
      <c r="J457" s="99"/>
      <c r="K457" s="99"/>
      <c r="L457" s="99"/>
      <c r="M457" s="99"/>
      <c r="N457" s="99"/>
      <c r="O457" s="99"/>
      <c r="P457" s="99"/>
      <c r="Q457" s="99"/>
      <c r="R457" s="99"/>
      <c r="S457" s="99"/>
    </row>
    <row r="458" spans="2:19" s="15" customFormat="1">
      <c r="B458" s="29"/>
      <c r="C458" s="29"/>
      <c r="D458" s="25"/>
      <c r="E458" s="25"/>
      <c r="G458" s="165"/>
      <c r="H458" s="165"/>
      <c r="J458" s="99"/>
      <c r="K458" s="99"/>
      <c r="L458" s="99"/>
      <c r="M458" s="99"/>
      <c r="N458" s="99"/>
      <c r="O458" s="99"/>
      <c r="P458" s="99"/>
      <c r="Q458" s="99"/>
      <c r="R458" s="99"/>
      <c r="S458" s="99"/>
    </row>
    <row r="459" spans="2:19" s="15" customFormat="1">
      <c r="B459" s="29"/>
      <c r="C459" s="29"/>
      <c r="D459" s="25"/>
      <c r="E459" s="25"/>
      <c r="G459" s="165"/>
      <c r="H459" s="165"/>
      <c r="J459" s="99"/>
      <c r="K459" s="99"/>
      <c r="L459" s="99"/>
      <c r="M459" s="99"/>
      <c r="N459" s="99"/>
      <c r="O459" s="99"/>
      <c r="P459" s="99"/>
      <c r="Q459" s="99"/>
      <c r="R459" s="99"/>
      <c r="S459" s="99"/>
    </row>
    <row r="460" spans="2:19" s="15" customFormat="1">
      <c r="B460" s="29"/>
      <c r="C460" s="29"/>
      <c r="D460" s="25"/>
      <c r="E460" s="25"/>
      <c r="G460" s="165"/>
      <c r="H460" s="165"/>
      <c r="J460" s="99"/>
      <c r="K460" s="99"/>
      <c r="L460" s="99"/>
      <c r="M460" s="99"/>
      <c r="N460" s="99"/>
      <c r="O460" s="99"/>
      <c r="P460" s="99"/>
      <c r="Q460" s="99"/>
      <c r="R460" s="99"/>
      <c r="S460" s="99"/>
    </row>
    <row r="461" spans="2:19" s="15" customFormat="1">
      <c r="B461" s="29"/>
      <c r="C461" s="29"/>
      <c r="D461" s="25"/>
      <c r="E461" s="25"/>
      <c r="G461" s="165"/>
      <c r="H461" s="165"/>
      <c r="J461" s="99"/>
      <c r="K461" s="99"/>
      <c r="L461" s="99"/>
      <c r="M461" s="99"/>
      <c r="N461" s="99"/>
      <c r="O461" s="99"/>
      <c r="P461" s="99"/>
      <c r="Q461" s="99"/>
      <c r="R461" s="99"/>
      <c r="S461" s="99"/>
    </row>
    <row r="462" spans="2:19" s="15" customFormat="1">
      <c r="B462" s="29"/>
      <c r="C462" s="29"/>
      <c r="D462" s="25"/>
      <c r="E462" s="25"/>
      <c r="G462" s="165"/>
      <c r="H462" s="165"/>
      <c r="J462" s="99"/>
      <c r="K462" s="99"/>
      <c r="L462" s="99"/>
      <c r="M462" s="99"/>
      <c r="N462" s="99"/>
      <c r="O462" s="99"/>
      <c r="P462" s="99"/>
      <c r="Q462" s="99"/>
      <c r="R462" s="99"/>
      <c r="S462" s="99"/>
    </row>
    <row r="463" spans="2:19" s="15" customFormat="1">
      <c r="B463" s="29"/>
      <c r="C463" s="29"/>
      <c r="D463" s="25"/>
      <c r="E463" s="25"/>
      <c r="G463" s="165"/>
      <c r="H463" s="165"/>
      <c r="J463" s="99"/>
      <c r="K463" s="99"/>
      <c r="L463" s="99"/>
      <c r="M463" s="99"/>
      <c r="N463" s="99"/>
      <c r="O463" s="99"/>
      <c r="P463" s="99"/>
      <c r="Q463" s="99"/>
      <c r="R463" s="99"/>
      <c r="S463" s="99"/>
    </row>
    <row r="464" spans="2:19" s="15" customFormat="1">
      <c r="B464" s="29"/>
      <c r="C464" s="29"/>
      <c r="D464" s="25"/>
      <c r="E464" s="25"/>
      <c r="G464" s="165"/>
      <c r="H464" s="165"/>
      <c r="J464" s="99"/>
      <c r="K464" s="99"/>
      <c r="L464" s="99"/>
      <c r="M464" s="99"/>
      <c r="N464" s="99"/>
      <c r="O464" s="99"/>
      <c r="P464" s="99"/>
      <c r="Q464" s="99"/>
      <c r="R464" s="99"/>
      <c r="S464" s="99"/>
    </row>
    <row r="465" spans="2:20" s="15" customFormat="1">
      <c r="B465" s="29"/>
      <c r="C465" s="29"/>
      <c r="D465" s="25"/>
      <c r="E465" s="25"/>
      <c r="G465" s="165"/>
      <c r="H465" s="165"/>
      <c r="J465" s="99"/>
      <c r="K465" s="99"/>
      <c r="L465" s="99"/>
      <c r="M465" s="99"/>
      <c r="N465" s="99"/>
      <c r="O465" s="99"/>
      <c r="P465" s="99"/>
      <c r="Q465" s="99"/>
      <c r="R465" s="99"/>
      <c r="S465" s="99"/>
    </row>
    <row r="466" spans="2:20" s="15" customFormat="1">
      <c r="B466" s="29"/>
      <c r="C466" s="29"/>
      <c r="D466" s="25"/>
      <c r="E466" s="25"/>
      <c r="G466" s="165"/>
      <c r="H466" s="165"/>
      <c r="J466" s="99"/>
      <c r="K466" s="99"/>
      <c r="L466" s="99"/>
      <c r="M466" s="99"/>
      <c r="N466" s="99"/>
      <c r="O466" s="99"/>
      <c r="P466" s="99"/>
      <c r="Q466" s="99"/>
      <c r="R466" s="99"/>
      <c r="S466" s="99"/>
    </row>
    <row r="467" spans="2:20" s="15" customFormat="1">
      <c r="B467" s="29"/>
      <c r="C467" s="29"/>
      <c r="D467" s="25"/>
      <c r="E467" s="25"/>
      <c r="G467" s="165"/>
      <c r="H467" s="165"/>
      <c r="J467" s="99"/>
      <c r="K467" s="99"/>
      <c r="L467" s="99"/>
      <c r="M467" s="99"/>
      <c r="N467" s="99"/>
      <c r="O467" s="99"/>
      <c r="P467" s="99"/>
      <c r="Q467" s="99"/>
      <c r="R467" s="99"/>
      <c r="S467" s="99"/>
      <c r="T467" s="25"/>
    </row>
    <row r="468" spans="2:20" s="15" customFormat="1">
      <c r="B468" s="29"/>
      <c r="C468" s="29"/>
      <c r="D468" s="25"/>
      <c r="E468" s="25"/>
      <c r="G468" s="165"/>
      <c r="H468" s="165"/>
      <c r="J468" s="99"/>
      <c r="K468" s="99"/>
      <c r="L468" s="99"/>
      <c r="M468" s="99"/>
      <c r="N468" s="99"/>
      <c r="O468" s="99"/>
      <c r="P468" s="99"/>
      <c r="Q468" s="99"/>
      <c r="R468" s="99"/>
      <c r="S468" s="99"/>
      <c r="T468" s="25"/>
    </row>
    <row r="469" spans="2:20" s="15" customFormat="1">
      <c r="B469" s="29"/>
      <c r="C469" s="29"/>
      <c r="D469" s="25"/>
      <c r="E469" s="25"/>
      <c r="G469" s="165"/>
      <c r="H469" s="165"/>
      <c r="J469" s="99"/>
      <c r="K469" s="99"/>
      <c r="L469" s="99"/>
      <c r="M469" s="99"/>
      <c r="N469" s="99"/>
      <c r="O469" s="99"/>
      <c r="P469" s="99"/>
      <c r="Q469" s="99"/>
      <c r="R469" s="99"/>
      <c r="S469" s="99"/>
      <c r="T469" s="25"/>
    </row>
    <row r="470" spans="2:20" s="15" customFormat="1">
      <c r="B470" s="29"/>
      <c r="C470" s="29"/>
      <c r="D470" s="25"/>
      <c r="E470" s="25"/>
      <c r="G470" s="165"/>
      <c r="H470" s="165"/>
      <c r="J470" s="99"/>
      <c r="K470" s="99"/>
      <c r="L470" s="99"/>
      <c r="M470" s="99"/>
      <c r="N470" s="99"/>
      <c r="O470" s="99"/>
      <c r="P470" s="99"/>
      <c r="Q470" s="99"/>
      <c r="R470" s="99"/>
      <c r="S470" s="99"/>
      <c r="T470" s="25"/>
    </row>
    <row r="471" spans="2:20" s="15" customFormat="1">
      <c r="B471" s="29"/>
      <c r="C471" s="29"/>
      <c r="D471" s="25"/>
      <c r="E471" s="25"/>
      <c r="G471" s="165"/>
      <c r="H471" s="165"/>
      <c r="J471" s="99"/>
      <c r="K471" s="99"/>
      <c r="L471" s="99"/>
      <c r="M471" s="99"/>
      <c r="N471" s="99"/>
      <c r="O471" s="99"/>
      <c r="P471" s="99"/>
      <c r="Q471" s="99"/>
      <c r="R471" s="99"/>
      <c r="S471" s="99"/>
      <c r="T471" s="25"/>
    </row>
    <row r="472" spans="2:20" s="15" customFormat="1">
      <c r="B472" s="29"/>
      <c r="C472" s="29"/>
      <c r="D472" s="25"/>
      <c r="E472" s="25"/>
      <c r="G472" s="165"/>
      <c r="H472" s="165"/>
      <c r="J472" s="99"/>
      <c r="K472" s="99"/>
      <c r="L472" s="99"/>
      <c r="M472" s="99"/>
      <c r="N472" s="99"/>
      <c r="O472" s="99"/>
      <c r="P472" s="99"/>
      <c r="Q472" s="99"/>
      <c r="R472" s="99"/>
      <c r="S472" s="99"/>
      <c r="T472" s="25"/>
    </row>
  </sheetData>
  <sheetProtection selectLockedCells="1"/>
  <customSheetViews>
    <customSheetView guid="{9F94E489-9692-4C63-A554-7FBA98A324C0}" scale="70" topLeftCell="A76">
      <selection activeCell="F127" sqref="F127"/>
      <rowBreaks count="3" manualBreakCount="3">
        <brk id="51" min="1" max="27" man="1"/>
        <brk id="99" max="16383" man="1"/>
        <brk id="148" max="16383" man="1"/>
      </rowBreaks>
      <colBreaks count="3" manualBreakCount="3">
        <brk id="19" max="37" man="1"/>
        <brk id="36" max="1048575" man="1"/>
        <brk id="49" max="1048575" man="1"/>
      </colBreaks>
      <pageMargins left="0.75" right="0.75" top="1" bottom="1" header="0.5" footer="0.5"/>
      <printOptions horizontalCentered="1" verticalCentered="1"/>
    </customSheetView>
    <customSheetView guid="{0CBEA09E-24B8-4CE5-A052-7237E9208379}" showRuler="0" topLeftCell="A34">
      <pageMargins left="0.75" right="0.75" top="1" bottom="1" header="0" footer="0"/>
      <headerFooter alignWithMargins="0"/>
    </customSheetView>
    <customSheetView guid="{6E71BEFB-61B2-401E-9961-32884E4CD56C}" scale="70" zeroValues="0" showRuler="0" topLeftCell="A69">
      <selection activeCell="C99" sqref="C99"/>
      <rowBreaks count="2" manualBreakCount="2">
        <brk id="51" min="1" max="27" man="1"/>
        <brk id="99" max="16383" man="1"/>
      </rowBreaks>
      <colBreaks count="3" manualBreakCount="3">
        <brk id="20" max="37" man="1"/>
        <brk id="39" max="1048575" man="1"/>
        <brk id="52" max="1048575" man="1"/>
      </colBreaks>
      <pageMargins left="0.43307086614173229" right="0.27559055118110237" top="0.39370078740157483" bottom="0.19685039370078741" header="0" footer="0"/>
      <printOptions horizontalCentered="1" verticalCentered="1"/>
      <pageSetup scale="79" pageOrder="overThenDown" orientation="landscape" r:id="rId1"/>
      <headerFooter alignWithMargins="0"/>
    </customSheetView>
    <customSheetView guid="{74BDB053-C30B-49CC-8134-2CE4C1966D2C}" scale="85" zeroValues="0" showRuler="0" topLeftCell="B1">
      <pane ySplit="12" topLeftCell="A68" activePane="bottomLeft" state="frozen"/>
      <selection pane="bottomLeft" activeCell="E74" sqref="E74"/>
      <rowBreaks count="3" manualBreakCount="3">
        <brk id="51" min="1" max="27" man="1"/>
        <brk id="99" max="16383" man="1"/>
        <brk id="156" max="16383" man="1"/>
      </rowBreaks>
      <colBreaks count="3" manualBreakCount="3">
        <brk id="19" max="37" man="1"/>
        <brk id="36" max="1048575" man="1"/>
        <brk id="49" max="1048575" man="1"/>
      </colBreaks>
      <pageMargins left="0.43307086614173229" right="0.27559055118110237" top="0.39370078740157483" bottom="0.19685039370078741" header="0" footer="0"/>
      <printOptions horizontalCentered="1" verticalCentered="1"/>
      <pageSetup scale="79" pageOrder="overThenDown" orientation="landscape" r:id="rId2"/>
      <headerFooter alignWithMargins="0"/>
    </customSheetView>
    <customSheetView guid="{40B815EE-4446-47D1-839D-2EFF5F5EF0E5}" scale="85" zeroValues="0" showRuler="0" topLeftCell="A22">
      <selection activeCell="Q6" sqref="Q6"/>
      <rowBreaks count="3" manualBreakCount="3">
        <brk id="51" min="1" max="27" man="1"/>
        <brk id="99" max="16383" man="1"/>
        <brk id="156" max="16383" man="1"/>
      </rowBreaks>
      <colBreaks count="3" manualBreakCount="3">
        <brk id="19" max="37" man="1"/>
        <brk id="36" max="1048575" man="1"/>
        <brk id="49" max="1048575" man="1"/>
      </colBreaks>
      <pageMargins left="0.43307086614173229" right="0.27559055118110237" top="0.39370078740157483" bottom="0.19685039370078741" header="0" footer="0"/>
      <printOptions horizontalCentered="1" verticalCentered="1"/>
      <pageSetup scale="79" pageOrder="overThenDown" orientation="landscape" r:id="rId3"/>
      <headerFooter alignWithMargins="0"/>
    </customSheetView>
    <customSheetView guid="{52F59514-34F3-4352-A05C-5BB41CEA0827}" scale="85" zeroValues="0" showRuler="0">
      <pane ySplit="12" topLeftCell="A100" activePane="bottomLeft" state="frozen"/>
      <selection pane="bottomLeft" activeCell="B46" sqref="B46:E46"/>
      <rowBreaks count="3" manualBreakCount="3">
        <brk id="51" min="1" max="27" man="1"/>
        <brk id="99" max="16383" man="1"/>
        <brk id="152" max="16383" man="1"/>
      </rowBreaks>
      <colBreaks count="4" manualBreakCount="4">
        <brk id="15" max="37" man="1"/>
        <brk id="23" max="1048575" man="1"/>
        <brk id="36" max="1048575" man="1"/>
        <brk id="49" max="1048575" man="1"/>
      </colBreaks>
      <pageMargins left="0.43307086614173229" right="0.27559055118110237" top="0.39370078740157483" bottom="0.19685039370078741" header="0" footer="0"/>
      <printOptions horizontalCentered="1" verticalCentered="1"/>
      <pageSetup scale="79" pageOrder="overThenDown" orientation="landscape" r:id="rId4"/>
      <headerFooter alignWithMargins="0"/>
    </customSheetView>
    <customSheetView guid="{9F94E489-9692-4C63-A554-7FBA98A324C0}" scale="71" topLeftCell="C1213">
      <selection activeCell="E61" sqref="E61"/>
      <rowBreaks count="3" manualBreakCount="3">
        <brk id="51" min="1" max="27" man="1"/>
        <brk id="99" max="16383" man="1"/>
        <brk id="156" max="16383" man="1"/>
      </rowBreaks>
      <colBreaks count="3" manualBreakCount="3">
        <brk id="19" max="37" man="1"/>
        <brk id="36" max="1048575" man="1"/>
        <brk id="49" max="1048575" man="1"/>
      </colBreaks>
      <pageMargins left="0.75" right="0.75" top="1" bottom="1" header="0.5" footer="0.5"/>
      <printOptions horizontalCentered="1" verticalCentered="1"/>
    </customSheetView>
    <customSheetView guid="{9F94E489-9692-4C63-A554-7FBA98A324C0}" scale="115" topLeftCell="A12">
      <pane xSplit="2" ySplit="3" topLeftCell="C104" activePane="bottomRight" state="frozen"/>
      <selection pane="bottomRight" activeCell="C98" sqref="C98"/>
      <rowBreaks count="5" manualBreakCount="5">
        <brk id="49" max="16383" man="1"/>
        <brk id="50" max="16383" man="1"/>
        <brk id="51" min="1" max="27" man="1"/>
        <brk id="99" max="16383" man="1"/>
        <brk id="156" max="16383" man="1"/>
      </rowBreaks>
      <colBreaks count="5" manualBreakCount="5">
        <brk id="18" max="1048575" man="1"/>
        <brk id="19" max="37" man="1"/>
        <brk id="32" max="1048575" man="1"/>
        <brk id="36" max="1048575" man="1"/>
        <brk id="49" max="1048575" man="1"/>
      </colBreaks>
      <pageMargins left="0.75" right="0.75" top="1" bottom="1" header="0.5" footer="0.5"/>
      <printOptions horizontalCentered="1" verticalCentered="1"/>
    </customSheetView>
    <customSheetView guid="{9F94E489-9692-4C63-A554-7FBA98A324C0}" scale="70" zeroValues="0" topLeftCell="A82">
      <selection activeCell="D79" sqref="D79"/>
      <rowBreaks count="2" manualBreakCount="2">
        <brk id="51" min="1" max="27" man="1"/>
        <brk id="99" max="16383" man="1"/>
      </rowBreaks>
      <colBreaks count="3" manualBreakCount="3">
        <brk id="20" max="37" man="1"/>
        <brk id="39" max="1048575" man="1"/>
        <brk id="52" max="1048575" man="1"/>
      </colBreaks>
      <pageMargins left="0.75" right="0.75" top="1" bottom="1" header="0.5" footer="0.5"/>
      <printOptions horizontalCentered="1" verticalCentered="1"/>
    </customSheetView>
  </customSheetViews>
  <mergeCells count="14">
    <mergeCell ref="J11:S11"/>
    <mergeCell ref="G11:G12"/>
    <mergeCell ref="H11:H12"/>
    <mergeCell ref="B1:E1"/>
    <mergeCell ref="B2:E2"/>
    <mergeCell ref="B3:E3"/>
    <mergeCell ref="B4:E4"/>
    <mergeCell ref="B5:E5"/>
    <mergeCell ref="B6:E6"/>
    <mergeCell ref="B11:B12"/>
    <mergeCell ref="C11:C12"/>
    <mergeCell ref="D11:E11"/>
    <mergeCell ref="B8:E8"/>
    <mergeCell ref="B9:E9"/>
  </mergeCells>
  <phoneticPr fontId="6" type="noConversion"/>
  <conditionalFormatting sqref="J14:S20 B14:E20">
    <cfRule type="expression" dxfId="689" priority="19" stopIfTrue="1">
      <formula>MOD(ROW(),2)</formula>
    </cfRule>
  </conditionalFormatting>
  <conditionalFormatting sqref="H14:H20">
    <cfRule type="expression" dxfId="688" priority="11">
      <formula>AND(ROW()=CELL("ROW"),COLUMN()=CELL("COL"))</formula>
    </cfRule>
    <cfRule type="cellIs" dxfId="687" priority="13" operator="notEqual">
      <formula>"CORRECTO"</formula>
    </cfRule>
    <cfRule type="cellIs" dxfId="686" priority="14" operator="equal">
      <formula>"CORRECTO"</formula>
    </cfRule>
  </conditionalFormatting>
  <conditionalFormatting sqref="J14:S20 B14:G20">
    <cfRule type="expression" dxfId="685" priority="12">
      <formula>ROW()=CELL("ROW")</formula>
    </cfRule>
  </conditionalFormatting>
  <printOptions horizontalCentered="1"/>
  <pageMargins left="0.23622047244094491" right="0.23622047244094491" top="0.74803149606299213" bottom="0.74803149606299213" header="0.31496062992125984" footer="0.31496062992125984"/>
  <pageSetup scale="79" fitToHeight="0" orientation="portrait" r:id="rId5"/>
  <rowBreaks count="1" manualBreakCount="1">
    <brk id="55" max="16383" man="1"/>
  </rowBreaks>
  <colBreaks count="2" manualBreakCount="2">
    <brk id="19" max="1048575" man="1"/>
    <brk id="32" max="1048575" man="1"/>
  </colBreaks>
  <drawing r:id="rId6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10">
    <tabColor theme="7" tint="0.59999389629810485"/>
    <pageSetUpPr fitToPage="1"/>
  </sheetPr>
  <dimension ref="A1:G29"/>
  <sheetViews>
    <sheetView showGridLines="0" topLeftCell="A5" workbookViewId="0">
      <selection activeCell="C27" sqref="C27"/>
    </sheetView>
  </sheetViews>
  <sheetFormatPr baseColWidth="10" defaultColWidth="8.875" defaultRowHeight="15"/>
  <cols>
    <col min="1" max="1" width="1.75" style="86" bestFit="1" customWidth="1"/>
    <col min="2" max="2" width="16.375" style="87" customWidth="1"/>
    <col min="3" max="3" width="46.25" style="87" customWidth="1"/>
    <col min="4" max="4" width="14.375" style="95" customWidth="1"/>
    <col min="5" max="5" width="2.625" style="87" customWidth="1"/>
    <col min="6" max="6" width="15.375" style="165" customWidth="1"/>
    <col min="7" max="7" width="15.375" style="165" hidden="1" customWidth="1"/>
    <col min="8" max="9" width="8.875" style="87" customWidth="1"/>
    <col min="10" max="16384" width="8.875" style="87"/>
  </cols>
  <sheetData>
    <row r="1" spans="1:7" ht="19.5" customHeight="1">
      <c r="B1" s="322" t="str">
        <f>+PRESUPUESTOS!B1</f>
        <v>INSTITUTO NACIONAL DE VÍAS</v>
      </c>
      <c r="C1" s="322"/>
      <c r="D1" s="322"/>
      <c r="F1" s="162"/>
      <c r="G1" s="162"/>
    </row>
    <row r="2" spans="1:7" ht="19.5" customHeight="1">
      <c r="B2" s="322" t="str">
        <f>+PRESUPUESTOS!B2</f>
        <v>DIRECCIÓN GENERAL</v>
      </c>
      <c r="C2" s="322"/>
      <c r="D2" s="322"/>
      <c r="F2" s="1"/>
      <c r="G2" s="1"/>
    </row>
    <row r="3" spans="1:7" ht="19.5" customHeight="1">
      <c r="B3" s="322" t="str">
        <f>+PRESUPUESTOS!B3</f>
        <v>DIRECCION TERRITORIAL VALLE</v>
      </c>
      <c r="C3" s="322"/>
      <c r="D3" s="322"/>
      <c r="F3" s="1"/>
      <c r="G3" s="1"/>
    </row>
    <row r="4" spans="1:7" ht="19.5" customHeight="1">
      <c r="B4" s="322" t="str">
        <f>+PRESUPUESTOS!B4</f>
        <v>DIRECCION DE OPERACIÓN Y EJECUCION</v>
      </c>
      <c r="C4" s="322"/>
      <c r="D4" s="322"/>
      <c r="F4" s="1"/>
      <c r="G4" s="1"/>
    </row>
    <row r="5" spans="1:7" ht="19.5" customHeight="1">
      <c r="B5" s="322" t="str">
        <f>+PRESUPUESTOS!B5</f>
        <v>SA-MC-DT-VAL-005-2024</v>
      </c>
      <c r="C5" s="322"/>
      <c r="D5" s="322"/>
      <c r="F5" s="1"/>
      <c r="G5" s="1"/>
    </row>
    <row r="6" spans="1:7" ht="19.5" customHeight="1">
      <c r="B6" s="322" t="str">
        <f>+PRESUPUESTOS!B6</f>
        <v>OBJETO: ATENCIÓN SITIOS CRÍTICOS DE LA RED TERCIARIA A CARGO DEL INVIAS A TRAVÉS DEL SISTEMA DE MONTO AGOTABLE EN VÍAS A CARGO DE LA DIRECCIÓN TERRITORIAL VALLE DEL CAUCA</v>
      </c>
      <c r="C6" s="322"/>
      <c r="D6" s="322"/>
      <c r="F6" s="1"/>
      <c r="G6" s="1"/>
    </row>
    <row r="7" spans="1:7" ht="12.75">
      <c r="B7" s="96"/>
      <c r="C7" s="88"/>
      <c r="D7" s="93"/>
      <c r="F7" s="1"/>
      <c r="G7" s="1"/>
    </row>
    <row r="8" spans="1:7" ht="12.75">
      <c r="B8" s="322" t="s">
        <v>52</v>
      </c>
      <c r="C8" s="322"/>
      <c r="D8" s="322"/>
      <c r="F8" s="1"/>
      <c r="G8" s="1"/>
    </row>
    <row r="9" spans="1:7" ht="12.75">
      <c r="B9" s="322" t="s">
        <v>58</v>
      </c>
      <c r="C9" s="322"/>
      <c r="D9" s="322"/>
      <c r="F9" s="1"/>
      <c r="G9" s="1"/>
    </row>
    <row r="10" spans="1:7" customFormat="1" ht="9" customHeight="1">
      <c r="D10" s="323"/>
      <c r="F10" s="1"/>
      <c r="G10" s="1"/>
    </row>
    <row r="11" spans="1:7" ht="9" customHeight="1" thickBot="1">
      <c r="A11" s="89"/>
      <c r="B11" s="89"/>
      <c r="C11" s="89"/>
      <c r="D11" s="324"/>
      <c r="F11" s="1"/>
      <c r="G11" s="1"/>
    </row>
    <row r="12" spans="1:7" ht="22.5">
      <c r="B12" s="320" t="s">
        <v>8</v>
      </c>
      <c r="C12" s="219" t="s">
        <v>50</v>
      </c>
      <c r="D12" s="220" t="s">
        <v>53</v>
      </c>
      <c r="F12" s="1"/>
      <c r="G12" s="1"/>
    </row>
    <row r="13" spans="1:7" s="91" customFormat="1" ht="21.75" customHeight="1" thickBot="1">
      <c r="A13" s="90"/>
      <c r="B13" s="321" t="s">
        <v>7</v>
      </c>
      <c r="C13" s="221" t="s">
        <v>51</v>
      </c>
      <c r="D13" s="222" t="s">
        <v>54</v>
      </c>
      <c r="F13" s="311"/>
      <c r="G13" s="311"/>
    </row>
    <row r="14" spans="1:7" ht="6" customHeight="1">
      <c r="B14" s="145"/>
      <c r="C14" s="295"/>
      <c r="D14" s="146"/>
      <c r="F14" s="311"/>
      <c r="G14" s="311"/>
    </row>
    <row r="15" spans="1:7" ht="15" customHeight="1">
      <c r="B15" s="147">
        <f>PROPONENTES!C14</f>
        <v>1</v>
      </c>
      <c r="C15" s="299" t="str">
        <f>IF(B15-INT(B15)&gt;1,"",VLOOKUP(B15,PROPONENTES!$C$14:$D$20,2,FALSE))</f>
        <v>TULCAN L J EIVAR</v>
      </c>
      <c r="D15" s="148">
        <v>1</v>
      </c>
      <c r="F15" s="1"/>
      <c r="G15" s="164" t="str">
        <f>IF((B15-INT(B15)&gt;0),IF(COUNTIF($C$15:$C$23,C15)&gt;1,"REPETIDO "&amp;COUNTIF($C$15:$C$23,C15)&amp;" VECES","CORRECTO"),"")</f>
        <v/>
      </c>
    </row>
    <row r="16" spans="1:7" ht="15" customHeight="1">
      <c r="B16" s="147">
        <f>PROPONENTES!C15</f>
        <v>2</v>
      </c>
      <c r="C16" s="299" t="str">
        <f>IF(B16-INT(B16)&gt;1,"",VLOOKUP(B16,PROPONENTES!$C$14:$D$20,2,FALSE))</f>
        <v>CESAR ANTONIO PADRON TORRES</v>
      </c>
      <c r="D16" s="148">
        <v>1</v>
      </c>
      <c r="F16" s="1"/>
      <c r="G16" s="164"/>
    </row>
    <row r="17" spans="1:7" ht="15" customHeight="1">
      <c r="B17" s="147">
        <f>PROPONENTES!C16</f>
        <v>3</v>
      </c>
      <c r="C17" s="299" t="str">
        <f>IF(B17-INT(B17)&gt;1,"",VLOOKUP(B17,PROPONENTES!$C$14:$D$20,2,FALSE))</f>
        <v>CONSORCIO LANDA</v>
      </c>
      <c r="D17" s="148">
        <f>+SUM(D18:D19)</f>
        <v>1</v>
      </c>
      <c r="F17" s="1"/>
      <c r="G17" s="164"/>
    </row>
    <row r="18" spans="1:7" ht="15" customHeight="1">
      <c r="B18" s="147">
        <v>3.1</v>
      </c>
      <c r="C18" s="297" t="s">
        <v>211</v>
      </c>
      <c r="D18" s="148">
        <v>0.5</v>
      </c>
      <c r="F18" s="1"/>
      <c r="G18" s="164"/>
    </row>
    <row r="19" spans="1:7" ht="15" customHeight="1">
      <c r="B19" s="147">
        <v>3.2</v>
      </c>
      <c r="C19" s="298" t="s">
        <v>230</v>
      </c>
      <c r="D19" s="148">
        <v>0.5</v>
      </c>
      <c r="F19" s="1"/>
      <c r="G19" s="164"/>
    </row>
    <row r="20" spans="1:7" ht="15" hidden="1" customHeight="1">
      <c r="B20" s="147">
        <f>PROPONENTES!C17</f>
        <v>0</v>
      </c>
      <c r="C20" s="296" t="e">
        <f>IF(B20-INT(B20)&gt;1,"",VLOOKUP(B20,PROPONENTES!$C$14:$D$20,2,FALSE))</f>
        <v>#N/A</v>
      </c>
      <c r="D20" s="148">
        <v>1</v>
      </c>
      <c r="F20" s="1"/>
      <c r="G20" s="164"/>
    </row>
    <row r="21" spans="1:7" ht="15" hidden="1" customHeight="1">
      <c r="B21" s="147">
        <f>PROPONENTES!C18</f>
        <v>0</v>
      </c>
      <c r="C21" s="64" t="e">
        <f>IF(B21-INT(B21)&gt;1,"",VLOOKUP(B21,PROPONENTES!$C$14:$D$20,2,FALSE))</f>
        <v>#N/A</v>
      </c>
      <c r="D21" s="148">
        <v>1</v>
      </c>
      <c r="F21" s="1"/>
      <c r="G21" s="164"/>
    </row>
    <row r="22" spans="1:7" ht="15" hidden="1" customHeight="1">
      <c r="B22" s="147">
        <f>PROPONENTES!C19</f>
        <v>0</v>
      </c>
      <c r="C22" s="64" t="e">
        <f>IF(B22-INT(B22)&gt;1,"",VLOOKUP(B22,PROPONENTES!$C$14:$D$20,2,FALSE))</f>
        <v>#N/A</v>
      </c>
      <c r="D22" s="148">
        <v>1</v>
      </c>
      <c r="F22" s="1"/>
      <c r="G22" s="164"/>
    </row>
    <row r="23" spans="1:7" ht="22.15" hidden="1" customHeight="1">
      <c r="B23" s="147">
        <f>PROPONENTES!C20</f>
        <v>0</v>
      </c>
      <c r="C23" s="64" t="e">
        <f>IF(B23-INT(B23)&gt;1,"",VLOOKUP(B23,PROPONENTES!$C$14:$D$20,2,FALSE))</f>
        <v>#N/A</v>
      </c>
      <c r="D23" s="148">
        <v>1</v>
      </c>
      <c r="F23" s="1"/>
      <c r="G23" s="164" t="str">
        <f>IF((B23-INT(B23)&gt;0),IF(COUNTIF($C$15:$C$23,C23)&gt;1,"REPETIDO "&amp;COUNTIF($C$15:$C$23,C23)&amp;" VECES","CORRECTO"),"")</f>
        <v/>
      </c>
    </row>
    <row r="24" spans="1:7" ht="3" customHeight="1" thickBot="1">
      <c r="B24" s="167" t="s">
        <v>117</v>
      </c>
      <c r="C24" s="149"/>
      <c r="D24" s="150"/>
      <c r="G24" s="164"/>
    </row>
    <row r="25" spans="1:7" ht="24.75" customHeight="1">
      <c r="A25" s="92"/>
      <c r="B25" s="92"/>
      <c r="C25" s="92"/>
      <c r="D25" s="94"/>
    </row>
    <row r="26" spans="1:7" ht="24.75" customHeight="1"/>
    <row r="27" spans="1:7" ht="24.75" customHeight="1"/>
    <row r="28" spans="1:7" ht="24.75" customHeight="1"/>
    <row r="29" spans="1:7" ht="24.75" customHeight="1"/>
  </sheetData>
  <sheetProtection insertRows="0" deleteRows="0"/>
  <mergeCells count="12">
    <mergeCell ref="F13:F14"/>
    <mergeCell ref="G13:G14"/>
    <mergeCell ref="B12:B13"/>
    <mergeCell ref="B1:D1"/>
    <mergeCell ref="B2:D2"/>
    <mergeCell ref="B3:D3"/>
    <mergeCell ref="B4:D4"/>
    <mergeCell ref="B5:D5"/>
    <mergeCell ref="B6:D6"/>
    <mergeCell ref="B8:D8"/>
    <mergeCell ref="B9:D9"/>
    <mergeCell ref="D10:D11"/>
  </mergeCells>
  <conditionalFormatting sqref="B15:B17 D15:D17 B18:D23">
    <cfRule type="expression" dxfId="684" priority="7" stopIfTrue="1">
      <formula>IF($B15-INT($B15)&gt;0,TRUE,FALSE)</formula>
    </cfRule>
    <cfRule type="expression" dxfId="683" priority="11">
      <formula>(B15-INT(B15))=0</formula>
    </cfRule>
  </conditionalFormatting>
  <conditionalFormatting sqref="B15:B17 D15:G17 B18:G23">
    <cfRule type="expression" dxfId="682" priority="6">
      <formula>ROW()=CELL("ROW")</formula>
    </cfRule>
  </conditionalFormatting>
  <conditionalFormatting sqref="G15:G23">
    <cfRule type="expression" dxfId="681" priority="5">
      <formula>AND(ROW()=CELL("ROW"),COLUMN()=CELL("COL"))</formula>
    </cfRule>
    <cfRule type="cellIs" dxfId="680" priority="8" operator="notEqual">
      <formula>"CORRECTO"</formula>
    </cfRule>
    <cfRule type="cellIs" dxfId="679" priority="9" operator="equal">
      <formula>"CORRECTO"</formula>
    </cfRule>
  </conditionalFormatting>
  <printOptions horizontalCentered="1"/>
  <pageMargins left="0.23622047244094491" right="0.23622047244094491" top="0.74803149606299213" bottom="0.74803149606299213" header="0.31496062992125984" footer="0.31496062992125984"/>
  <pageSetup scale="99" fitToHeight="0" orientation="portrait" horizontalDpi="1200" verticalDpi="1200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Hoja11">
    <tabColor theme="5" tint="0.39997558519241921"/>
    <pageSetUpPr fitToPage="1"/>
  </sheetPr>
  <dimension ref="A1:AC19609"/>
  <sheetViews>
    <sheetView showGridLines="0" topLeftCell="A56" zoomScale="70" zoomScaleNormal="70" workbookViewId="0">
      <selection activeCell="R83" sqref="R83:S83"/>
    </sheetView>
  </sheetViews>
  <sheetFormatPr baseColWidth="10" defaultColWidth="11.5" defaultRowHeight="15.75"/>
  <cols>
    <col min="1" max="1" width="2.875" style="79" bestFit="1" customWidth="1"/>
    <col min="2" max="2" width="5.625" customWidth="1"/>
    <col min="3" max="3" width="14.5" bestFit="1" customWidth="1"/>
    <col min="4" max="4" width="8.375" customWidth="1"/>
    <col min="5" max="5" width="33.375" customWidth="1"/>
    <col min="6" max="6" width="15.375" customWidth="1"/>
    <col min="7" max="8" width="12.875" customWidth="1"/>
    <col min="9" max="9" width="14" customWidth="1"/>
    <col min="10" max="10" width="14.875" customWidth="1"/>
    <col min="11" max="11" width="14" customWidth="1"/>
    <col min="12" max="12" width="14.5" customWidth="1"/>
    <col min="13" max="13" width="16.125" customWidth="1"/>
    <col min="14" max="14" width="23" customWidth="1"/>
    <col min="15" max="15" width="32.375" customWidth="1"/>
    <col min="16" max="16" width="23.25" customWidth="1"/>
    <col min="17" max="17" width="15.5" customWidth="1"/>
    <col min="18" max="18" width="19.25" bestFit="1" customWidth="1"/>
    <col min="19" max="19" width="17.75" style="99" customWidth="1"/>
    <col min="20" max="20" width="20.625" style="99" customWidth="1"/>
    <col min="21" max="21" width="20.625" customWidth="1"/>
    <col min="22" max="22" width="42" customWidth="1"/>
    <col min="23" max="23" width="2.625" customWidth="1"/>
    <col min="24" max="24" width="59.625" customWidth="1"/>
    <col min="25" max="25" width="33.75" customWidth="1"/>
    <col min="26" max="26" width="35" style="99" customWidth="1"/>
    <col min="27" max="27" width="5.75" style="99" customWidth="1"/>
    <col min="28" max="28" width="17.625" style="99" customWidth="1"/>
    <col min="29" max="29" width="25.625" style="99" customWidth="1"/>
  </cols>
  <sheetData>
    <row r="1" spans="1:29" s="1" customFormat="1" ht="18">
      <c r="A1" s="77"/>
      <c r="B1" s="399" t="str">
        <f>PRESUPUESTOS!B1</f>
        <v>INSTITUTO NACIONAL DE VÍAS</v>
      </c>
      <c r="C1" s="399"/>
      <c r="D1" s="399"/>
      <c r="E1" s="399"/>
      <c r="F1" s="399"/>
      <c r="G1" s="399"/>
      <c r="H1" s="399"/>
      <c r="I1" s="399"/>
      <c r="J1" s="399"/>
      <c r="K1" s="399"/>
      <c r="L1" s="399"/>
      <c r="M1" s="399"/>
      <c r="N1" s="399"/>
      <c r="O1" s="399"/>
      <c r="P1" s="399"/>
      <c r="Q1" s="399"/>
      <c r="R1" s="399"/>
      <c r="S1" s="399"/>
      <c r="T1" s="399"/>
      <c r="U1" s="399"/>
      <c r="V1" s="399"/>
      <c r="W1" s="114"/>
      <c r="X1" s="114"/>
      <c r="Z1" s="32"/>
      <c r="AA1" s="32"/>
      <c r="AB1" s="32"/>
      <c r="AC1" s="32"/>
    </row>
    <row r="2" spans="1:29" s="1" customFormat="1" ht="18">
      <c r="A2" s="77"/>
      <c r="B2" s="399" t="str">
        <f>PRESUPUESTOS!B2</f>
        <v>DIRECCIÓN GENERAL</v>
      </c>
      <c r="C2" s="399"/>
      <c r="D2" s="399"/>
      <c r="E2" s="399"/>
      <c r="F2" s="399"/>
      <c r="G2" s="399"/>
      <c r="H2" s="399"/>
      <c r="I2" s="399"/>
      <c r="J2" s="399"/>
      <c r="K2" s="399"/>
      <c r="L2" s="399"/>
      <c r="M2" s="399"/>
      <c r="N2" s="399"/>
      <c r="O2" s="399"/>
      <c r="P2" s="399"/>
      <c r="Q2" s="399"/>
      <c r="R2" s="399"/>
      <c r="S2" s="399"/>
      <c r="T2" s="399"/>
      <c r="U2" s="399"/>
      <c r="V2" s="399"/>
      <c r="W2" s="114"/>
      <c r="X2" s="114"/>
      <c r="Z2" s="32"/>
      <c r="AA2" s="32"/>
      <c r="AB2" s="32"/>
      <c r="AC2" s="32"/>
    </row>
    <row r="3" spans="1:29" s="1" customFormat="1" ht="18">
      <c r="A3" s="77"/>
      <c r="B3" s="399" t="str">
        <f>PRESUPUESTOS!B3</f>
        <v>DIRECCION TERRITORIAL VALLE</v>
      </c>
      <c r="C3" s="399"/>
      <c r="D3" s="399"/>
      <c r="E3" s="399"/>
      <c r="F3" s="399"/>
      <c r="G3" s="399"/>
      <c r="H3" s="399"/>
      <c r="I3" s="399"/>
      <c r="J3" s="399"/>
      <c r="K3" s="399"/>
      <c r="L3" s="399"/>
      <c r="M3" s="399"/>
      <c r="N3" s="399"/>
      <c r="O3" s="399"/>
      <c r="P3" s="399"/>
      <c r="Q3" s="399"/>
      <c r="R3" s="399"/>
      <c r="S3" s="399"/>
      <c r="T3" s="399"/>
      <c r="U3" s="399"/>
      <c r="V3" s="399"/>
      <c r="W3" s="114"/>
      <c r="X3" s="114"/>
      <c r="Z3" s="32"/>
      <c r="AA3" s="32"/>
      <c r="AB3" s="32"/>
      <c r="AC3" s="32"/>
    </row>
    <row r="4" spans="1:29" s="1" customFormat="1" ht="18">
      <c r="A4" s="77"/>
      <c r="B4" s="399" t="str">
        <f>PRESUPUESTOS!B4</f>
        <v>DIRECCION DE OPERACIÓN Y EJECUCION</v>
      </c>
      <c r="C4" s="399"/>
      <c r="D4" s="399"/>
      <c r="E4" s="399"/>
      <c r="F4" s="399"/>
      <c r="G4" s="399"/>
      <c r="H4" s="399"/>
      <c r="I4" s="399"/>
      <c r="J4" s="399"/>
      <c r="K4" s="399"/>
      <c r="L4" s="399"/>
      <c r="M4" s="399"/>
      <c r="N4" s="399"/>
      <c r="O4" s="399"/>
      <c r="P4" s="399"/>
      <c r="Q4" s="399"/>
      <c r="R4" s="399"/>
      <c r="S4" s="399"/>
      <c r="T4" s="399"/>
      <c r="U4" s="399"/>
      <c r="V4" s="399"/>
      <c r="W4" s="114"/>
      <c r="X4" s="114"/>
      <c r="Z4" s="32"/>
      <c r="AA4" s="32"/>
      <c r="AB4" s="32"/>
      <c r="AC4" s="32"/>
    </row>
    <row r="5" spans="1:29" s="1" customFormat="1" ht="18">
      <c r="A5" s="77"/>
      <c r="B5" s="399" t="str">
        <f>PRESUPUESTOS!B5</f>
        <v>SA-MC-DT-VAL-005-2024</v>
      </c>
      <c r="C5" s="399"/>
      <c r="D5" s="399"/>
      <c r="E5" s="399"/>
      <c r="F5" s="399"/>
      <c r="G5" s="399"/>
      <c r="H5" s="399"/>
      <c r="I5" s="399"/>
      <c r="J5" s="399"/>
      <c r="K5" s="399"/>
      <c r="L5" s="399"/>
      <c r="M5" s="399"/>
      <c r="N5" s="399"/>
      <c r="O5" s="399"/>
      <c r="P5" s="399"/>
      <c r="Q5" s="399"/>
      <c r="R5" s="399"/>
      <c r="S5" s="399"/>
      <c r="T5" s="399"/>
      <c r="U5" s="399"/>
      <c r="V5" s="399"/>
      <c r="W5" s="114"/>
      <c r="X5" s="114"/>
      <c r="Z5" s="32"/>
      <c r="AA5" s="32"/>
      <c r="AB5" s="32"/>
      <c r="AC5" s="32"/>
    </row>
    <row r="6" spans="1:29" s="1" customFormat="1" ht="18">
      <c r="A6" s="77"/>
      <c r="B6" s="399" t="str">
        <f>PRESUPUESTOS!B6</f>
        <v>OBJETO: ATENCIÓN SITIOS CRÍTICOS DE LA RED TERCIARIA A CARGO DEL INVIAS A TRAVÉS DEL SISTEMA DE MONTO AGOTABLE EN VÍAS A CARGO DE LA DIRECCIÓN TERRITORIAL VALLE DEL CAUCA</v>
      </c>
      <c r="C6" s="399"/>
      <c r="D6" s="399"/>
      <c r="E6" s="399"/>
      <c r="F6" s="399"/>
      <c r="G6" s="399"/>
      <c r="H6" s="399"/>
      <c r="I6" s="399"/>
      <c r="J6" s="399"/>
      <c r="K6" s="399"/>
      <c r="L6" s="399"/>
      <c r="M6" s="399"/>
      <c r="N6" s="399"/>
      <c r="O6" s="399"/>
      <c r="P6" s="399"/>
      <c r="Q6" s="399"/>
      <c r="R6" s="399"/>
      <c r="S6" s="399"/>
      <c r="T6" s="399"/>
      <c r="U6" s="399"/>
      <c r="V6" s="399"/>
      <c r="W6" s="114"/>
      <c r="X6" s="114"/>
      <c r="Z6" s="32"/>
      <c r="AA6" s="32"/>
      <c r="AB6" s="32"/>
      <c r="AC6" s="32"/>
    </row>
    <row r="7" spans="1:29" s="1" customFormat="1" ht="18">
      <c r="A7" s="77"/>
      <c r="B7" s="113"/>
      <c r="C7" s="8"/>
      <c r="D7" s="8"/>
      <c r="E7" s="4"/>
      <c r="F7" s="4"/>
      <c r="G7" s="4"/>
      <c r="H7" s="4"/>
      <c r="I7" s="4"/>
      <c r="J7" s="4"/>
      <c r="K7" s="4"/>
      <c r="L7" s="36"/>
      <c r="M7" s="36"/>
      <c r="N7" s="36"/>
      <c r="O7" s="36"/>
      <c r="P7" s="36"/>
      <c r="Q7" s="36"/>
      <c r="R7" s="36"/>
      <c r="S7" s="32"/>
      <c r="T7" s="98"/>
      <c r="U7" s="4"/>
      <c r="V7" s="36"/>
      <c r="W7" s="36"/>
      <c r="X7" s="36"/>
      <c r="Z7" s="32"/>
      <c r="AA7" s="32"/>
      <c r="AB7" s="32"/>
      <c r="AC7" s="32"/>
    </row>
    <row r="8" spans="1:29" s="1" customFormat="1" ht="18">
      <c r="A8" s="77"/>
      <c r="B8" s="400" t="s">
        <v>19</v>
      </c>
      <c r="C8" s="400"/>
      <c r="D8" s="400"/>
      <c r="E8" s="400"/>
      <c r="F8" s="400"/>
      <c r="G8" s="400"/>
      <c r="H8" s="400"/>
      <c r="I8" s="400"/>
      <c r="J8" s="400"/>
      <c r="K8" s="400"/>
      <c r="L8" s="400"/>
      <c r="M8" s="400"/>
      <c r="N8" s="400"/>
      <c r="O8" s="400"/>
      <c r="P8" s="400"/>
      <c r="Q8" s="400"/>
      <c r="R8" s="400"/>
      <c r="S8" s="400"/>
      <c r="T8" s="400"/>
      <c r="U8" s="400"/>
      <c r="V8" s="400"/>
      <c r="W8" s="115"/>
      <c r="X8" s="115"/>
      <c r="Z8" s="32"/>
      <c r="AA8" s="32"/>
      <c r="AB8" s="32"/>
      <c r="AC8" s="32"/>
    </row>
    <row r="9" spans="1:29" s="1" customFormat="1" ht="18">
      <c r="A9" s="77"/>
      <c r="B9" s="400" t="s">
        <v>103</v>
      </c>
      <c r="C9" s="400"/>
      <c r="D9" s="400"/>
      <c r="E9" s="400"/>
      <c r="F9" s="400"/>
      <c r="G9" s="400"/>
      <c r="H9" s="400"/>
      <c r="I9" s="400"/>
      <c r="J9" s="400"/>
      <c r="K9" s="400"/>
      <c r="L9" s="400"/>
      <c r="M9" s="400"/>
      <c r="N9" s="400"/>
      <c r="O9" s="400"/>
      <c r="P9" s="400"/>
      <c r="Q9" s="400"/>
      <c r="R9" s="400"/>
      <c r="S9" s="400"/>
      <c r="T9" s="400"/>
      <c r="U9" s="400"/>
      <c r="V9" s="400"/>
      <c r="W9" s="115"/>
      <c r="X9" s="115"/>
      <c r="Z9" s="32"/>
      <c r="AA9" s="32"/>
      <c r="AB9" s="32"/>
      <c r="AC9" s="32"/>
    </row>
    <row r="10" spans="1:29" s="1" customFormat="1" ht="12.75">
      <c r="A10" s="77"/>
      <c r="B10" s="3"/>
      <c r="C10" s="3"/>
      <c r="D10" s="3"/>
      <c r="E10" s="4"/>
      <c r="F10" s="4"/>
      <c r="G10" s="4"/>
      <c r="H10" s="4"/>
      <c r="I10" s="4"/>
      <c r="J10" s="4"/>
      <c r="K10" s="4"/>
      <c r="L10" s="36"/>
      <c r="M10" s="36"/>
      <c r="N10" s="36"/>
      <c r="O10" s="36"/>
      <c r="P10" s="36"/>
      <c r="Q10" s="36"/>
      <c r="R10" s="36"/>
      <c r="S10" s="32"/>
      <c r="T10" s="32"/>
      <c r="U10" s="5"/>
      <c r="Z10" s="32"/>
      <c r="AA10" s="32"/>
      <c r="AB10" s="32"/>
      <c r="AC10" s="32"/>
    </row>
    <row r="11" spans="1:29" s="1" customFormat="1" ht="18" customHeight="1">
      <c r="A11" s="77"/>
      <c r="B11" s="3"/>
      <c r="C11" s="2"/>
      <c r="D11" s="2"/>
      <c r="E11" s="4"/>
      <c r="F11" s="4"/>
      <c r="G11" s="4"/>
      <c r="H11" s="4"/>
      <c r="I11" s="4"/>
      <c r="J11" s="4"/>
      <c r="K11" s="4"/>
      <c r="L11" s="36"/>
      <c r="M11" s="36"/>
      <c r="N11" s="36"/>
      <c r="O11" s="36"/>
      <c r="P11" s="36"/>
      <c r="Q11" s="36"/>
      <c r="R11" s="36"/>
      <c r="S11" s="32"/>
      <c r="T11" s="32"/>
      <c r="U11" s="5"/>
      <c r="Z11" s="32"/>
      <c r="AA11" s="32"/>
      <c r="AB11" s="32"/>
      <c r="AC11" s="32"/>
    </row>
    <row r="12" spans="1:29" s="1" customFormat="1" ht="13.5" thickBot="1">
      <c r="A12" s="77"/>
      <c r="C12" s="30"/>
      <c r="I12" s="32"/>
      <c r="S12" s="32"/>
      <c r="T12" s="32"/>
      <c r="Z12" s="32"/>
      <c r="AA12" s="32"/>
      <c r="AB12" s="32"/>
      <c r="AC12" s="32"/>
    </row>
    <row r="13" spans="1:29" s="1" customFormat="1" ht="36">
      <c r="A13" s="77"/>
      <c r="B13" s="6"/>
      <c r="C13" s="31"/>
      <c r="D13" s="6"/>
      <c r="E13" s="6"/>
      <c r="F13" s="6"/>
      <c r="G13" s="32"/>
      <c r="H13" s="32"/>
      <c r="I13" s="32"/>
      <c r="J13" s="227" t="s">
        <v>111</v>
      </c>
      <c r="K13" s="228" t="s">
        <v>55</v>
      </c>
      <c r="L13" s="229" t="s">
        <v>56</v>
      </c>
      <c r="Z13" s="32"/>
      <c r="AA13" s="32"/>
      <c r="AB13" s="32"/>
      <c r="AC13" s="32"/>
    </row>
    <row r="14" spans="1:29" s="1" customFormat="1" ht="13.5" thickBot="1">
      <c r="A14" s="77"/>
      <c r="C14" s="30"/>
      <c r="G14" s="32"/>
      <c r="H14" s="32"/>
      <c r="I14" s="32"/>
      <c r="J14" s="230"/>
      <c r="K14" s="231">
        <v>29221</v>
      </c>
      <c r="L14" s="232">
        <f>fcierre</f>
        <v>45460</v>
      </c>
      <c r="M14" s="43"/>
      <c r="N14" s="43"/>
      <c r="O14" s="43"/>
      <c r="P14" s="43"/>
      <c r="Q14" s="43"/>
      <c r="R14" s="43"/>
      <c r="Z14" s="32"/>
      <c r="AA14" s="32"/>
      <c r="AB14" s="32"/>
      <c r="AC14" s="32"/>
    </row>
    <row r="15" spans="1:29" s="274" customFormat="1" ht="12.75">
      <c r="A15" s="271"/>
      <c r="B15" s="272">
        <v>2</v>
      </c>
      <c r="C15" s="273">
        <v>3</v>
      </c>
      <c r="D15" s="272">
        <v>4</v>
      </c>
      <c r="E15" s="273">
        <v>5</v>
      </c>
      <c r="F15" s="272">
        <v>6</v>
      </c>
      <c r="G15" s="273">
        <v>7</v>
      </c>
      <c r="H15" s="272">
        <v>8</v>
      </c>
      <c r="I15" s="273">
        <v>9</v>
      </c>
      <c r="J15" s="272">
        <v>10</v>
      </c>
      <c r="K15" s="273">
        <v>11</v>
      </c>
      <c r="L15" s="272">
        <v>12</v>
      </c>
      <c r="M15" s="273">
        <v>13</v>
      </c>
      <c r="N15" s="272">
        <v>14</v>
      </c>
      <c r="O15" s="273">
        <v>15</v>
      </c>
      <c r="P15" s="272">
        <v>16</v>
      </c>
      <c r="Q15" s="273">
        <v>17</v>
      </c>
      <c r="R15" s="272">
        <v>18</v>
      </c>
      <c r="S15" s="273">
        <v>19</v>
      </c>
      <c r="T15" s="272">
        <v>20</v>
      </c>
      <c r="U15" s="273">
        <v>21</v>
      </c>
      <c r="V15" s="272">
        <v>22</v>
      </c>
      <c r="W15" s="273">
        <v>23</v>
      </c>
      <c r="X15" s="272">
        <v>24</v>
      </c>
      <c r="Y15" s="273">
        <v>25</v>
      </c>
      <c r="Z15" s="188"/>
      <c r="AA15" s="188"/>
      <c r="AB15" s="188"/>
      <c r="AC15" s="188"/>
    </row>
    <row r="16" spans="1:29" s="7" customFormat="1" ht="24" customHeight="1" thickBot="1">
      <c r="A16" s="97">
        <v>1</v>
      </c>
      <c r="B16" s="388" t="s">
        <v>1</v>
      </c>
      <c r="C16" s="388"/>
      <c r="D16" s="388"/>
      <c r="E16" s="70">
        <f>VLOOKUP(A16,PROPONENTES!$B$14:$D$21,2,FALSE)</f>
        <v>1</v>
      </c>
      <c r="F16" s="71" t="str">
        <f>VLOOKUP(E16,PROPONENTES!$C$14:$D$21,2,FALSE)</f>
        <v>TULCAN L J EIVAR</v>
      </c>
      <c r="G16" s="72"/>
      <c r="H16" s="72"/>
      <c r="I16" s="72"/>
      <c r="J16" s="71"/>
      <c r="K16" s="71"/>
      <c r="L16" s="70"/>
      <c r="M16" s="72"/>
      <c r="N16" s="72"/>
      <c r="O16" s="72"/>
      <c r="P16" s="72"/>
      <c r="Q16" s="72"/>
      <c r="R16" s="72"/>
      <c r="S16" s="72"/>
      <c r="T16" s="72"/>
      <c r="U16" s="73"/>
      <c r="V16" s="74"/>
      <c r="W16" s="74"/>
      <c r="X16" s="74"/>
      <c r="Z16" s="72"/>
      <c r="AA16" s="72"/>
      <c r="AC16" s="72"/>
    </row>
    <row r="17" spans="1:29" s="83" customFormat="1" ht="20.100000000000001" customHeight="1">
      <c r="A17" s="82"/>
      <c r="B17" s="389" t="s">
        <v>71</v>
      </c>
      <c r="C17" s="391" t="s">
        <v>45</v>
      </c>
      <c r="D17" s="393" t="s">
        <v>104</v>
      </c>
      <c r="E17" s="345"/>
      <c r="F17" s="393" t="s">
        <v>76</v>
      </c>
      <c r="G17" s="345"/>
      <c r="H17" s="394" t="s">
        <v>72</v>
      </c>
      <c r="I17" s="394" t="s">
        <v>85</v>
      </c>
      <c r="J17" s="394" t="s">
        <v>2</v>
      </c>
      <c r="K17" s="394" t="s">
        <v>26</v>
      </c>
      <c r="L17" s="394" t="s">
        <v>27</v>
      </c>
      <c r="M17" s="395" t="s">
        <v>28</v>
      </c>
      <c r="N17" s="394" t="s">
        <v>86</v>
      </c>
      <c r="O17" s="397" t="s">
        <v>61</v>
      </c>
      <c r="P17" s="398"/>
      <c r="Q17" s="391" t="s">
        <v>120</v>
      </c>
      <c r="R17" s="343" t="s">
        <v>3</v>
      </c>
      <c r="S17" s="343"/>
      <c r="T17" s="380" t="s">
        <v>17</v>
      </c>
      <c r="U17" s="381"/>
      <c r="V17" s="339" t="s">
        <v>84</v>
      </c>
      <c r="W17" s="142"/>
      <c r="X17" s="270" t="s">
        <v>166</v>
      </c>
      <c r="Y17" s="270" t="s">
        <v>167</v>
      </c>
    </row>
    <row r="18" spans="1:29" s="83" customFormat="1" ht="102.75" customHeight="1" thickBot="1">
      <c r="A18" s="82"/>
      <c r="B18" s="390"/>
      <c r="C18" s="392"/>
      <c r="D18" s="223" t="s">
        <v>9</v>
      </c>
      <c r="E18" s="223" t="s">
        <v>4</v>
      </c>
      <c r="F18" s="223" t="s">
        <v>14</v>
      </c>
      <c r="G18" s="224" t="s">
        <v>73</v>
      </c>
      <c r="H18" s="369"/>
      <c r="I18" s="369"/>
      <c r="J18" s="369"/>
      <c r="K18" s="369"/>
      <c r="L18" s="369"/>
      <c r="M18" s="396"/>
      <c r="N18" s="369"/>
      <c r="O18" s="225" t="s">
        <v>59</v>
      </c>
      <c r="P18" s="225" t="s">
        <v>87</v>
      </c>
      <c r="Q18" s="392"/>
      <c r="R18" s="225" t="s">
        <v>64</v>
      </c>
      <c r="S18" s="226" t="s">
        <v>60</v>
      </c>
      <c r="T18" s="382"/>
      <c r="U18" s="383"/>
      <c r="V18" s="341"/>
      <c r="W18" s="142"/>
      <c r="X18" s="281" t="s">
        <v>207</v>
      </c>
      <c r="Y18" s="269" t="s">
        <v>208</v>
      </c>
    </row>
    <row r="19" spans="1:29" s="1" customFormat="1" ht="12" customHeight="1" thickBot="1">
      <c r="A19" s="77"/>
      <c r="B19" s="68"/>
      <c r="C19" s="69"/>
      <c r="D19" s="69"/>
      <c r="E19" s="69"/>
      <c r="F19" s="69"/>
      <c r="G19" s="69"/>
      <c r="H19" s="69"/>
      <c r="I19" s="69"/>
      <c r="J19" s="69"/>
      <c r="K19" s="69"/>
      <c r="L19" s="69"/>
      <c r="M19" s="69"/>
      <c r="N19" s="69"/>
      <c r="O19" s="69"/>
      <c r="P19" s="69"/>
      <c r="Q19" s="100"/>
      <c r="R19" s="100"/>
      <c r="S19" s="69"/>
      <c r="T19" s="384"/>
      <c r="U19" s="385"/>
      <c r="V19" s="144"/>
      <c r="W19" s="32"/>
      <c r="X19" s="205"/>
      <c r="Y19" s="204"/>
    </row>
    <row r="20" spans="1:29" s="85" customFormat="1" ht="92.25" customHeight="1">
      <c r="A20" s="80" t="str">
        <f>"A"&amp;E16</f>
        <v>A1</v>
      </c>
      <c r="B20" s="251">
        <v>1</v>
      </c>
      <c r="C20" s="252" t="s">
        <v>158</v>
      </c>
      <c r="D20" s="252" t="s">
        <v>214</v>
      </c>
      <c r="E20" s="252" t="s">
        <v>215</v>
      </c>
      <c r="F20" s="252" t="s">
        <v>159</v>
      </c>
      <c r="G20" s="253">
        <v>1</v>
      </c>
      <c r="H20" s="253" t="s">
        <v>96</v>
      </c>
      <c r="I20" s="254" t="s">
        <v>47</v>
      </c>
      <c r="J20" s="254" t="s">
        <v>218</v>
      </c>
      <c r="K20" s="255">
        <v>43641</v>
      </c>
      <c r="L20" s="255">
        <v>44104</v>
      </c>
      <c r="M20" s="81">
        <f t="shared" ref="M20:M21" si="0">IF(OR(K20="",L20=""),"",IF(OR(K20&gt;$L$14,K20&lt;$K$14,L20&gt;$L$14,AND(K20&lt;$K$14,L20&lt;$K$14)),"FUERA DE RANGO",IF(K20&gt;=$K$14,ROUND(((L20-K20+1)/360*12),1),ROUND(((L20-$K$14+1)/360*12),1))))</f>
        <v>15.5</v>
      </c>
      <c r="N20" s="294">
        <v>84</v>
      </c>
      <c r="O20" s="254" t="s">
        <v>47</v>
      </c>
      <c r="P20" s="257" t="s">
        <v>47</v>
      </c>
      <c r="Q20" s="258">
        <v>750.89</v>
      </c>
      <c r="R20" s="67">
        <f>IF(OR(G20="",Q20=""),"",Q20*G20)</f>
        <v>750.89</v>
      </c>
      <c r="S20" s="168">
        <f>IF(OR(I20="NO",I20="",R20=""),"",IF(OR(L20&lt;$K$14,L20&gt;$L$14,,L20=""),0,ROUND(R20,2)))</f>
        <v>750.89</v>
      </c>
      <c r="T20" s="386"/>
      <c r="U20" s="387"/>
      <c r="V20" s="259"/>
      <c r="W20" s="143"/>
      <c r="X20" s="266" t="s">
        <v>33</v>
      </c>
      <c r="Y20" s="266" t="s">
        <v>33</v>
      </c>
    </row>
    <row r="21" spans="1:29" s="85" customFormat="1" ht="62.25" customHeight="1">
      <c r="A21" s="80" t="str">
        <f>"B"&amp;E16</f>
        <v>B1</v>
      </c>
      <c r="B21" s="251">
        <v>2</v>
      </c>
      <c r="C21" s="252" t="s">
        <v>158</v>
      </c>
      <c r="D21" s="252" t="s">
        <v>217</v>
      </c>
      <c r="E21" s="252" t="s">
        <v>216</v>
      </c>
      <c r="F21" s="252" t="s">
        <v>159</v>
      </c>
      <c r="G21" s="253">
        <v>1</v>
      </c>
      <c r="H21" s="253" t="s">
        <v>96</v>
      </c>
      <c r="I21" s="254" t="s">
        <v>47</v>
      </c>
      <c r="J21" s="254" t="s">
        <v>218</v>
      </c>
      <c r="K21" s="255">
        <v>41870</v>
      </c>
      <c r="L21" s="255">
        <v>42004</v>
      </c>
      <c r="M21" s="81">
        <f t="shared" si="0"/>
        <v>4.5</v>
      </c>
      <c r="N21" s="294">
        <v>56</v>
      </c>
      <c r="O21" s="254" t="s">
        <v>47</v>
      </c>
      <c r="P21" s="257" t="s">
        <v>47</v>
      </c>
      <c r="Q21" s="258">
        <v>478.9</v>
      </c>
      <c r="R21" s="67">
        <f>IF(OR(G21="",Q21=""),"",Q21*G21)</f>
        <v>478.9</v>
      </c>
      <c r="S21" s="168">
        <f>IF(OR(I21="NO",I21="",R21=""),"",IF(OR(L21&lt;$K$14,L21&gt;$L$14,,L21=""),0,ROUND(R21,2)))</f>
        <v>478.9</v>
      </c>
      <c r="T21" s="386"/>
      <c r="U21" s="387"/>
      <c r="V21" s="259"/>
      <c r="W21" s="143"/>
      <c r="X21" s="266" t="s">
        <v>33</v>
      </c>
      <c r="Y21" s="266" t="s">
        <v>33</v>
      </c>
    </row>
    <row r="22" spans="1:29" s="1" customFormat="1" ht="15.75" customHeight="1" thickBot="1">
      <c r="A22" s="77"/>
      <c r="B22" s="261"/>
      <c r="C22" s="262"/>
      <c r="D22" s="262"/>
      <c r="E22" s="262"/>
      <c r="F22" s="262"/>
      <c r="G22" s="262"/>
      <c r="H22" s="262"/>
      <c r="I22" s="262"/>
      <c r="J22" s="262"/>
      <c r="K22" s="262"/>
      <c r="L22" s="262"/>
      <c r="M22" s="262"/>
      <c r="N22" s="262"/>
      <c r="O22" s="262"/>
      <c r="P22" s="262"/>
      <c r="Q22" s="262"/>
      <c r="R22" s="262"/>
      <c r="S22" s="262"/>
      <c r="T22" s="175"/>
      <c r="U22" s="177"/>
      <c r="V22" s="263"/>
      <c r="W22" s="140"/>
      <c r="X22" s="265"/>
      <c r="Y22" s="264"/>
      <c r="Z22" s="32"/>
    </row>
    <row r="23" spans="1:29" s="1" customFormat="1" ht="17.25" customHeight="1" thickBot="1">
      <c r="A23" s="78"/>
      <c r="B23" s="244"/>
      <c r="C23" s="234"/>
      <c r="D23" s="234"/>
      <c r="E23" s="234"/>
      <c r="F23" s="234"/>
      <c r="G23" s="234"/>
      <c r="H23" s="234"/>
      <c r="I23" s="234"/>
      <c r="J23" s="234"/>
      <c r="K23" s="234"/>
      <c r="L23" s="234"/>
      <c r="M23" s="234"/>
      <c r="N23" s="234"/>
      <c r="O23" s="234"/>
      <c r="P23" s="234"/>
      <c r="Q23" s="245"/>
      <c r="R23" s="245"/>
      <c r="S23" s="246">
        <f>SUM(S20:S21)</f>
        <v>1229.79</v>
      </c>
      <c r="T23" s="334"/>
      <c r="U23" s="335"/>
      <c r="V23" s="247"/>
      <c r="W23" s="32"/>
      <c r="X23" s="260"/>
      <c r="Y23" s="203" t="str">
        <f>IF(COUNTIF(Y20:Y21,"")&gt;9,"VERIFICAR",IF(COUNTIF(Y20:Y21,"CUMPLE")&gt;0,"CUMPLE","NO CUMPLE"))</f>
        <v>CUMPLE</v>
      </c>
    </row>
    <row r="24" spans="1:29" ht="17.25" customHeight="1">
      <c r="B24" s="112"/>
      <c r="C24" s="110"/>
      <c r="D24" s="110"/>
      <c r="E24" s="110"/>
      <c r="F24" s="110"/>
      <c r="G24" s="110"/>
      <c r="H24" s="110"/>
      <c r="I24" s="110"/>
      <c r="J24" s="110"/>
      <c r="K24" s="110"/>
      <c r="L24" s="110"/>
      <c r="M24" s="110"/>
      <c r="N24" s="110"/>
      <c r="O24" s="110"/>
      <c r="P24" s="110"/>
      <c r="Q24" s="110"/>
      <c r="R24" s="110"/>
      <c r="U24" s="111"/>
      <c r="V24" s="111"/>
      <c r="X24" s="99"/>
      <c r="Y24" s="99"/>
    </row>
    <row r="25" spans="1:29" s="1" customFormat="1" ht="16.5" customHeight="1" thickBot="1">
      <c r="A25" s="77"/>
      <c r="B25" s="233" t="s">
        <v>42</v>
      </c>
      <c r="C25" s="234"/>
      <c r="D25" s="234"/>
      <c r="E25" s="234"/>
      <c r="F25" s="234"/>
      <c r="G25" s="235"/>
      <c r="H25" s="235"/>
      <c r="I25" s="235"/>
      <c r="J25" s="235"/>
      <c r="K25" s="235"/>
      <c r="L25" s="235"/>
      <c r="M25" s="235"/>
      <c r="N25" s="235"/>
      <c r="O25" s="235"/>
      <c r="P25" s="235"/>
      <c r="Q25" s="235"/>
      <c r="R25" s="235"/>
      <c r="S25" s="235"/>
      <c r="T25" s="235"/>
      <c r="U25" s="248"/>
      <c r="V25" s="116"/>
      <c r="X25" s="32"/>
      <c r="Y25" s="32"/>
      <c r="Z25" s="32"/>
      <c r="AA25" s="32"/>
      <c r="AB25" s="32"/>
      <c r="AC25" s="32"/>
    </row>
    <row r="26" spans="1:29" s="1" customFormat="1" ht="15.75" customHeight="1" thickBot="1">
      <c r="A26" s="77" t="str">
        <f>"G"&amp;E16</f>
        <v>G1</v>
      </c>
      <c r="B26" s="336" t="s">
        <v>80</v>
      </c>
      <c r="C26" s="337"/>
      <c r="D26" s="337"/>
      <c r="E26" s="337"/>
      <c r="F26" s="337"/>
      <c r="G26" s="338"/>
      <c r="H26" s="236" t="s">
        <v>83</v>
      </c>
      <c r="I26" s="237"/>
      <c r="J26" s="237"/>
      <c r="K26" s="237"/>
      <c r="L26" s="237"/>
      <c r="M26" s="237"/>
      <c r="N26" s="237"/>
      <c r="O26" s="238" t="s">
        <v>118</v>
      </c>
      <c r="P26" s="239" t="s">
        <v>124</v>
      </c>
      <c r="Q26" s="339" t="s">
        <v>126</v>
      </c>
      <c r="R26" s="249"/>
      <c r="S26" s="249"/>
      <c r="T26" s="249"/>
      <c r="U26" s="250"/>
    </row>
    <row r="27" spans="1:29" s="1" customFormat="1" ht="22.5" customHeight="1">
      <c r="A27" s="77" t="str">
        <f>"H"&amp;E16</f>
        <v>H1</v>
      </c>
      <c r="B27" s="342" t="s">
        <v>106</v>
      </c>
      <c r="C27" s="343"/>
      <c r="D27" s="343"/>
      <c r="E27" s="343"/>
      <c r="F27" s="343"/>
      <c r="G27" s="344"/>
      <c r="H27" s="342" t="s">
        <v>16</v>
      </c>
      <c r="I27" s="343"/>
      <c r="J27" s="343"/>
      <c r="K27" s="343"/>
      <c r="L27" s="345"/>
      <c r="M27" s="240">
        <f>VLOOKUP(E16,PROPONENTES!$C$14:$E$21,3,0)</f>
        <v>1</v>
      </c>
      <c r="N27" s="339" t="s">
        <v>162</v>
      </c>
      <c r="O27" s="346" t="s">
        <v>119</v>
      </c>
      <c r="P27" s="348" t="s">
        <v>125</v>
      </c>
      <c r="Q27" s="340"/>
      <c r="S27" s="169"/>
      <c r="T27" s="351" t="s">
        <v>121</v>
      </c>
      <c r="U27" s="352"/>
    </row>
    <row r="28" spans="1:29" s="30" customFormat="1" ht="22.5" customHeight="1">
      <c r="A28" s="77" t="str">
        <f>"I"&amp;E16</f>
        <v>I1</v>
      </c>
      <c r="B28" s="355" t="s">
        <v>105</v>
      </c>
      <c r="C28" s="356"/>
      <c r="D28" s="357"/>
      <c r="E28" s="361">
        <f>COUNTIFS(I20:I21,"SI",S20:S21,"&gt;0")</f>
        <v>2</v>
      </c>
      <c r="F28" s="363" t="s">
        <v>107</v>
      </c>
      <c r="G28" s="365">
        <f>IF(E28=0,"N/A",IF(AND(E28&gt;=1,E28&lt;=2),0.75,IF(AND(E28&gt;=3,E28&lt;=4),1.2,IF(E28=5,1.5,IF(AND(E28=6,OR(R36="MIPYME",R36="EMEM")),1.5,IF(AND(E28=7,R36="MIPYME Y EMEM"),1.5,"REVISAR"))))))</f>
        <v>0.75</v>
      </c>
      <c r="H28" s="348" t="s">
        <v>15</v>
      </c>
      <c r="I28" s="367"/>
      <c r="J28" s="369" t="s">
        <v>0</v>
      </c>
      <c r="K28" s="369" t="s">
        <v>114</v>
      </c>
      <c r="L28" s="369" t="s">
        <v>115</v>
      </c>
      <c r="M28" s="370" t="s">
        <v>116</v>
      </c>
      <c r="N28" s="340"/>
      <c r="O28" s="346"/>
      <c r="P28" s="349"/>
      <c r="Q28" s="340"/>
      <c r="R28" s="170"/>
      <c r="S28" s="170"/>
      <c r="T28" s="353"/>
      <c r="U28" s="354"/>
    </row>
    <row r="29" spans="1:29" s="30" customFormat="1" ht="22.5" customHeight="1" thickBot="1">
      <c r="A29" s="77" t="str">
        <f>"J"&amp;E16</f>
        <v>J1</v>
      </c>
      <c r="B29" s="358"/>
      <c r="C29" s="359"/>
      <c r="D29" s="360"/>
      <c r="E29" s="362"/>
      <c r="F29" s="364"/>
      <c r="G29" s="366"/>
      <c r="H29" s="350"/>
      <c r="I29" s="368"/>
      <c r="J29" s="369"/>
      <c r="K29" s="369"/>
      <c r="L29" s="369"/>
      <c r="M29" s="371"/>
      <c r="N29" s="341"/>
      <c r="O29" s="347"/>
      <c r="P29" s="350"/>
      <c r="Q29" s="341"/>
      <c r="R29" s="170"/>
      <c r="S29" s="170"/>
      <c r="T29" s="372">
        <f>E16</f>
        <v>1</v>
      </c>
      <c r="U29" s="373"/>
    </row>
    <row r="30" spans="1:29" s="1" customFormat="1" ht="12.75">
      <c r="A30" s="80" t="str">
        <f>"K"&amp;E16</f>
        <v>K1</v>
      </c>
      <c r="B30" s="342" t="s">
        <v>81</v>
      </c>
      <c r="C30" s="343"/>
      <c r="D30" s="343"/>
      <c r="E30" s="343"/>
      <c r="F30" s="343"/>
      <c r="G30" s="343"/>
      <c r="H30" s="107">
        <v>1</v>
      </c>
      <c r="I30" s="65" t="str">
        <f>IF(AND(H30&lt;=M27,M27&gt;1),VLOOKUP(VALUE(E16&amp;","&amp;H30),INTEGRANTES!$B$15:$D$23,2,0),"")</f>
        <v/>
      </c>
      <c r="J30" s="108" t="str">
        <f>IF(I30&lt;&gt;"",VLOOKUP(VALUE(E16&amp;","&amp;H30),INTEGRANTES!$B$15:$D$23,3,0),"")</f>
        <v/>
      </c>
      <c r="K30" s="134" t="str">
        <f>IF($I30="","",IF($G28="N/A","",ROUND($E32*PORPOM,2)))</f>
        <v/>
      </c>
      <c r="L30" s="134" t="str">
        <f>IF(I30="","",SUMIF($J20:$J21,I30,$S20:$S21))</f>
        <v/>
      </c>
      <c r="M30" s="66" t="str">
        <f t="shared" ref="M30:M35" si="1">IF($I30="","",IF($K30&gt;L30,"NO CUMPLE","CUMPLE"))</f>
        <v/>
      </c>
      <c r="N30" s="66" t="str">
        <f>IF($I30="","",IF(M30="CUMPLE","CUMPLE","NO CUMPLE"))</f>
        <v/>
      </c>
      <c r="O30" s="181" t="str">
        <f>IF(OR(J30="",L30=""),"",IF(AND(J30&gt;=0.25,L30&gt;=$F32*0.25),"SI","NO"))</f>
        <v/>
      </c>
      <c r="P30" s="66" t="str">
        <f>IF(I30="","",IF(OR(SUMIF($J20:$J21,I30,$S20:$S21)&gt;=5%*E32,AND(SUMIF($J20:$J21,I30,$S20:$S21)=0,J30&lt;=10%)),"CUMPLE","NO CUMPLE"))</f>
        <v/>
      </c>
      <c r="Q30" s="184" t="str">
        <f>IF(OR(I30="",P30="",P30="CUMPLE"),"",IF(AND(P30="NO CUMPLE",L30=0,J30&gt;5%),"EXP = 0 y PART &gt; 5%",IF(L30&lt;5%*E32,"EXP &lt; 5%","")))</f>
        <v/>
      </c>
      <c r="R30" s="170"/>
      <c r="S30" s="170"/>
      <c r="T30" s="372"/>
      <c r="U30" s="373"/>
    </row>
    <row r="31" spans="1:29" s="1" customFormat="1" ht="12.75">
      <c r="A31" s="80" t="str">
        <f>"L"&amp;E16</f>
        <v>L1</v>
      </c>
      <c r="B31" s="355" t="s">
        <v>108</v>
      </c>
      <c r="C31" s="356"/>
      <c r="D31" s="357"/>
      <c r="E31" s="241" t="s">
        <v>109</v>
      </c>
      <c r="F31" s="241" t="s">
        <v>110</v>
      </c>
      <c r="G31" s="242" t="s">
        <v>82</v>
      </c>
      <c r="H31" s="107">
        <v>2</v>
      </c>
      <c r="I31" s="65" t="str">
        <f>IF(AND(H31&lt;=M27,M27&gt;1),VLOOKUP(VALUE(E16&amp;","&amp;H31),INTEGRANTES!$B$15:$D$23,2,0),"")</f>
        <v/>
      </c>
      <c r="J31" s="108" t="str">
        <f>IF(I31&lt;&gt;"",VLOOKUP(VALUE(E16&amp;","&amp;H31),INTEGRANTES!$B$15:$D$23,3,0),"")</f>
        <v/>
      </c>
      <c r="K31" s="134" t="str">
        <f>IF($I31="","",IF($G28="N/A","",ROUND($E32*PORPOM,2)))</f>
        <v/>
      </c>
      <c r="L31" s="134" t="str">
        <f>IF(I31="","",SUMIF($J20:$J21,I31,$S20:$S21))</f>
        <v/>
      </c>
      <c r="M31" s="66" t="str">
        <f t="shared" si="1"/>
        <v/>
      </c>
      <c r="N31" s="66" t="str">
        <f t="shared" ref="N31:N35" si="2">IF($I31="","",IF(M31="CUMPLE","CUMPLE","NO CUMPLE"))</f>
        <v/>
      </c>
      <c r="O31" s="181" t="str">
        <f>IF(OR(J31="",L31=""),"",IF(AND(J31&gt;=0.25,L31&gt;=$F32*0.25),"SI","NO"))</f>
        <v/>
      </c>
      <c r="P31" s="66" t="str">
        <f>IF(I31="","",IF(OR(SUMIF($J20:$J21,I31,$S20:$S21)&gt;=5%*E32,AND(SUMIF($J20:J$21,$J31,$S20:$S21)=0,J31&lt;=10%)),"CUMPLE","NO CUMPLE"))</f>
        <v/>
      </c>
      <c r="Q31" s="184" t="str">
        <f>IF(OR(I31="",P31="",P31="CUMPLE"),"",IF(AND(P31="NO CUMPLE",L31=0,J31&gt;5%),"EXP = 0 y PART &gt; 5%",IF(L31&lt;5%*E32,"EXP &lt; 5%","")))</f>
        <v/>
      </c>
      <c r="R31" s="170"/>
      <c r="S31" s="170"/>
      <c r="T31" s="372"/>
      <c r="U31" s="373"/>
    </row>
    <row r="32" spans="1:29" s="1" customFormat="1" ht="24" customHeight="1" thickBot="1">
      <c r="A32" s="77" t="str">
        <f>"M"&amp;E16</f>
        <v>M1</v>
      </c>
      <c r="B32" s="358"/>
      <c r="C32" s="359"/>
      <c r="D32" s="360"/>
      <c r="E32" s="132">
        <f>IF(ISTEXT(G28),"NO APLICA",G28*POSMMLV)</f>
        <v>441.34615384615381</v>
      </c>
      <c r="F32" s="133">
        <f>IF(E32="","",S23)</f>
        <v>1229.79</v>
      </c>
      <c r="G32" s="131" t="str">
        <f>IF(E32="","",IF(E32="NO APLICA","NO CUMPLE",IF(F32&gt;=E32,"CUMPLE", "NO CUMPLE")))</f>
        <v>CUMPLE</v>
      </c>
      <c r="H32" s="107">
        <v>3</v>
      </c>
      <c r="I32" s="65" t="str">
        <f>IF(AND(H32&lt;=M27,M27&gt;1),VLOOKUP(VALUE(E16&amp;","&amp;H32),INTEGRANTES!$B$15:$D$23,2,0),"")</f>
        <v/>
      </c>
      <c r="J32" s="108" t="str">
        <f>IF(I32&lt;&gt;"",VLOOKUP(VALUE(E16&amp;","&amp;H32),INTEGRANTES!$B$15:$D$23,3,0),"")</f>
        <v/>
      </c>
      <c r="K32" s="134" t="str">
        <f>IF($I32="","",IF($G28="N/A","",ROUND($E32*PORPOM,2)))</f>
        <v/>
      </c>
      <c r="L32" s="134" t="str">
        <f>IF(I32="","",SUMIF($J20:$J21,I32,$S20:$S21))</f>
        <v/>
      </c>
      <c r="M32" s="66" t="str">
        <f t="shared" si="1"/>
        <v/>
      </c>
      <c r="N32" s="66" t="str">
        <f t="shared" si="2"/>
        <v/>
      </c>
      <c r="O32" s="181" t="str">
        <f>IF(OR(J32="",L32=""),"",IF(AND(J32&gt;=0.25,L32&gt;=$F32*0.25),"SI","NO"))</f>
        <v/>
      </c>
      <c r="P32" s="66" t="str">
        <f>IF(I32="","",IF(OR(SUMIF($J20:$J21,I32,$S20:$S21)&gt;=5%*E32,AND(SUMIF($J20:$J21,J32,$S20:$S21)=0,J32&lt;=10%)),"CUMPLE","NO CUMPLE"))</f>
        <v/>
      </c>
      <c r="Q32" s="184" t="str">
        <f>IF(OR(I32="",P32="",P32="CUMPLE"),"",IF(AND(P32="NO CUMPLE",L32=0,J32&gt;5%),"EXP = 0 y PART &gt; 5%",IF(L32&lt;5%*E32,"EXP &lt; 5%","")))</f>
        <v/>
      </c>
      <c r="R32" s="170"/>
      <c r="S32" s="170"/>
      <c r="T32" s="372"/>
      <c r="U32" s="373"/>
    </row>
    <row r="33" spans="1:29" s="1" customFormat="1" ht="16.5" customHeight="1">
      <c r="A33" s="77" t="str">
        <f>"N"&amp;E16</f>
        <v>N1</v>
      </c>
      <c r="B33" s="342" t="s">
        <v>88</v>
      </c>
      <c r="C33" s="343"/>
      <c r="D33" s="343"/>
      <c r="E33" s="343"/>
      <c r="F33" s="343"/>
      <c r="G33" s="343"/>
      <c r="H33" s="107">
        <v>4</v>
      </c>
      <c r="I33" s="65" t="str">
        <f>IF(AND(H33&lt;=M27,M27&gt;1),VLOOKUP(VALUE(E16&amp;","&amp;H33),INTEGRANTES!$B$15:$D$23,2,0),"")</f>
        <v/>
      </c>
      <c r="J33" s="108" t="str">
        <f>IF(I33&lt;&gt;"",VLOOKUP(VALUE(E16&amp;","&amp;H33),INTEGRANTES!$B$15:$D$23,3,0),"")</f>
        <v/>
      </c>
      <c r="K33" s="134" t="str">
        <f>IF($I33="","",IF($G28="N/A","",ROUND($E32*PORPOM,2)))</f>
        <v/>
      </c>
      <c r="L33" s="134" t="str">
        <f>IF(I33="","",SUMIF($J20:$J21,I33,$S20:$S21))</f>
        <v/>
      </c>
      <c r="M33" s="66" t="str">
        <f t="shared" si="1"/>
        <v/>
      </c>
      <c r="N33" s="66" t="str">
        <f t="shared" si="2"/>
        <v/>
      </c>
      <c r="O33" s="181" t="str">
        <f>IF(OR(J33="",L33=""),"",IF(AND(J33&gt;=0.25,L33&gt;=$F32*0.25),"SI","NO"))</f>
        <v/>
      </c>
      <c r="P33" s="66" t="str">
        <f>IF(I33="","",IF(OR(SUMIF($J20:$J21,I33,$S20:$S21)&gt;=5%*E32,AND(SUMIF($J20:$J21,J33,$S20:$S21)=0,J33&lt;=10%)),"CUMPLE","NO CUMPLE"))</f>
        <v/>
      </c>
      <c r="Q33" s="184" t="str">
        <f>IF(OR(I33="",P33="",P33="CUMPLE"),"",IF(AND(P33="NO CUMPLE",L33=0,J33&gt;5%),"EXP = 0 y PART &gt; 5%",IF(L33&lt;5%*E32,"EXP &lt; 5%","")))</f>
        <v/>
      </c>
      <c r="R33" s="170"/>
      <c r="S33" s="170"/>
      <c r="T33" s="372"/>
      <c r="U33" s="373"/>
    </row>
    <row r="34" spans="1:29" s="1" customFormat="1" ht="16.5" customHeight="1">
      <c r="A34" s="77" t="str">
        <f>"O"&amp;E16</f>
        <v>O1</v>
      </c>
      <c r="B34" s="355" t="s">
        <v>89</v>
      </c>
      <c r="C34" s="356"/>
      <c r="D34" s="356"/>
      <c r="E34" s="356"/>
      <c r="F34" s="356"/>
      <c r="G34" s="243" t="s">
        <v>82</v>
      </c>
      <c r="H34" s="107">
        <v>5</v>
      </c>
      <c r="I34" s="65" t="str">
        <f>IF(AND(H34&lt;=M27,M27&gt;1),VLOOKUP(VALUE(E16&amp;","&amp;H34),INTEGRANTES!$B$15:$D$23,2,0),"")</f>
        <v/>
      </c>
      <c r="J34" s="108" t="str">
        <f>IF(I34&lt;&gt;"",VLOOKUP(VALUE(E16&amp;","&amp;H34),INTEGRANTES!$B$15:$D$23,3,0),"")</f>
        <v/>
      </c>
      <c r="K34" s="134" t="str">
        <f>IF($I34="","",IF($G28="N/A","",ROUND($E32*PORPOM,2)))</f>
        <v/>
      </c>
      <c r="L34" s="134" t="str">
        <f>IF(I34="","",SUMIF($J20:$J21,I34,$S20:$S21))</f>
        <v/>
      </c>
      <c r="M34" s="66" t="str">
        <f t="shared" si="1"/>
        <v/>
      </c>
      <c r="N34" s="66" t="str">
        <f t="shared" si="2"/>
        <v/>
      </c>
      <c r="O34" s="181" t="str">
        <f>IF(OR(J34="",L34=""),"",IF(AND(J34&gt;=0.25,L34&gt;=$F32*0.25),"SI","NO"))</f>
        <v/>
      </c>
      <c r="P34" s="66" t="str">
        <f>IF(I34="","",IF(OR(SUMIF($J20:$J21,I34,$S20:$S21)&gt;=5%*E32,AND(SUMIF($J20:$J21,J34,$S20:$S21)=0,J34&lt;=10%)),"CUMPLE","NO CUMPLE"))</f>
        <v/>
      </c>
      <c r="Q34" s="184" t="str">
        <f>IF(OR(I34="",P34="",P34="CUMPLE"),"",IF(AND(P34="NO CUMPLE",L34=0,J34&gt;5%),"EXP = 0 y PART &gt; 5%",IF(L34&lt;5%*E32,"EXP &lt; 5%","")))</f>
        <v/>
      </c>
      <c r="R34" s="378" t="s">
        <v>155</v>
      </c>
      <c r="S34" s="379"/>
      <c r="T34" s="372"/>
      <c r="U34" s="373"/>
    </row>
    <row r="35" spans="1:29" s="1" customFormat="1" ht="15.75" customHeight="1" thickBot="1">
      <c r="A35" s="77" t="str">
        <f>"P"&amp;E16</f>
        <v>P1</v>
      </c>
      <c r="B35" s="376"/>
      <c r="C35" s="377"/>
      <c r="D35" s="377"/>
      <c r="E35" s="377"/>
      <c r="F35" s="377"/>
      <c r="G35" s="84" t="str">
        <f>IF(COUNTIF(Y20:Y21,"")&gt;5,"NO CUMPLE",IF(COUNTIF(Y20:Y21,"CUMPLE")&gt;=1,"CUMPLE", "NO CUMPLE"))</f>
        <v>CUMPLE</v>
      </c>
      <c r="H35" s="137">
        <v>6</v>
      </c>
      <c r="I35" s="138" t="str">
        <f>IF(AND(H35&lt;=M27,M27&gt;1),VLOOKUP(VALUE(E17&amp;","&amp;H35),INTEGRANTES!$B$15:$D$23,2,0),"")</f>
        <v/>
      </c>
      <c r="J35" s="108" t="str">
        <f>IF(I35&lt;&gt;"",VLOOKUP(VALUE(E17&amp;","&amp;H35),INTEGRANTES!$B$15:$D$23,3,0),"")</f>
        <v/>
      </c>
      <c r="K35" s="134" t="str">
        <f>IF($I35="","",IF($G28="N/A","",ROUND($E32*PORPOM,2)))</f>
        <v/>
      </c>
      <c r="L35" s="134" t="str">
        <f>IF(I35="","",SUMIF($J20:$J21,I35,$S20:$S21))</f>
        <v/>
      </c>
      <c r="M35" s="139" t="str">
        <f t="shared" si="1"/>
        <v/>
      </c>
      <c r="N35" s="66" t="str">
        <f t="shared" si="2"/>
        <v/>
      </c>
      <c r="O35" s="181" t="str">
        <f>IF(OR(J35="",L35=""),"",IF(AND(J35&gt;=0.25,L35&gt;=$F32*0.25),"SI","NO"))</f>
        <v/>
      </c>
      <c r="P35" s="66" t="str">
        <f>IF(I35="","",IF(OR(SUMIF($J20:$J21,I35,$S20:$S21)&gt;=5%*E32,AND(SUMIF($J20:$J21,J35,$S20:$S21)=0,J35&lt;=10%)),"CUMPLE","NO CUMPLE"))</f>
        <v/>
      </c>
      <c r="Q35" s="185" t="str">
        <f>IF(OR(I35="",P35="",P35="CUMPLE"),"",IF(AND(P35="NO CUMPLE",L35=0,J35&gt;5%),"EXP = 0 y PART &gt; 5%",IF(L35&lt;5%*E32,"EXP &lt; 5%","")))</f>
        <v/>
      </c>
      <c r="R35" s="378"/>
      <c r="S35" s="379"/>
      <c r="T35" s="372"/>
      <c r="U35" s="373"/>
    </row>
    <row r="36" spans="1:29" s="1" customFormat="1" ht="39" customHeight="1" thickBot="1">
      <c r="A36" s="77" t="str">
        <f>"Q"&amp;E16</f>
        <v>Q1</v>
      </c>
      <c r="B36" s="325"/>
      <c r="C36" s="326"/>
      <c r="D36" s="326"/>
      <c r="E36" s="326"/>
      <c r="F36" s="326"/>
      <c r="G36" s="327"/>
      <c r="H36" s="328" t="s">
        <v>112</v>
      </c>
      <c r="I36" s="329"/>
      <c r="J36" s="330"/>
      <c r="K36" s="328" t="s">
        <v>113</v>
      </c>
      <c r="L36" s="331"/>
      <c r="M36" s="109" t="str">
        <f>IF(OR($M27="",SUM(J30:J35)=0),"",IF(COUNTIF(M30:M35,"CUMPLE")&gt;=1,"CUMPLE","NO CUMPLE"))</f>
        <v/>
      </c>
      <c r="N36" s="109" t="str">
        <f>IF(OR($M27="",SUM(J30:J35)=0),"",IF(COUNTIF(N30:N35,"CUMPLE")&gt;=1,"CUMPLE","NO CUMPLE"))</f>
        <v/>
      </c>
      <c r="O36" s="182"/>
      <c r="P36" s="182" t="str">
        <f>IF(COUNTIF(P30:P35,"")&gt;5,"",IF(COUNTIF(P30:P35,"NO CUMPLE")&gt;0,"NO CUMPLE","CUMPLE"))</f>
        <v/>
      </c>
      <c r="Q36" s="186"/>
      <c r="R36" s="332" t="s">
        <v>163</v>
      </c>
      <c r="S36" s="333"/>
      <c r="T36" s="374"/>
      <c r="U36" s="375"/>
      <c r="X36" s="141"/>
      <c r="Y36" s="141"/>
      <c r="Z36" s="32"/>
      <c r="AA36" s="32"/>
      <c r="AB36" s="32"/>
    </row>
    <row r="37" spans="1:29">
      <c r="A37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U37" s="99"/>
      <c r="V37" s="99"/>
      <c r="W37" s="99"/>
      <c r="X37" s="99"/>
      <c r="Y37" s="99"/>
      <c r="AC37"/>
    </row>
    <row r="38" spans="1:29">
      <c r="A38"/>
      <c r="M38" s="143"/>
    </row>
    <row r="39" spans="1:29" s="7" customFormat="1" ht="24" customHeight="1" thickBot="1">
      <c r="A39" s="97">
        <v>2</v>
      </c>
      <c r="B39" s="388" t="s">
        <v>1</v>
      </c>
      <c r="C39" s="388"/>
      <c r="D39" s="388"/>
      <c r="E39" s="70">
        <f>VLOOKUP(A39,PROPONENTES!$B$14:$D$21,2,FALSE)</f>
        <v>2</v>
      </c>
      <c r="F39" s="71" t="str">
        <f>VLOOKUP(E39,PROPONENTES!$C$14:$D$21,2,FALSE)</f>
        <v>CESAR ANTONIO PADRON TORRES</v>
      </c>
      <c r="G39" s="72"/>
      <c r="H39" s="72"/>
      <c r="I39" s="72"/>
      <c r="J39" s="71"/>
      <c r="K39" s="71"/>
      <c r="L39" s="70"/>
      <c r="M39" s="72"/>
      <c r="N39" s="72"/>
      <c r="O39" s="72"/>
      <c r="P39" s="72"/>
      <c r="Q39" s="72"/>
      <c r="R39" s="72"/>
      <c r="S39" s="72"/>
      <c r="T39" s="72"/>
      <c r="U39" s="73"/>
      <c r="V39" s="74"/>
      <c r="W39" s="74"/>
      <c r="X39" s="74"/>
      <c r="Z39" s="72"/>
      <c r="AA39" s="72"/>
      <c r="AC39" s="72"/>
    </row>
    <row r="40" spans="1:29" s="83" customFormat="1" ht="18.75">
      <c r="A40" s="82"/>
      <c r="B40" s="389" t="s">
        <v>71</v>
      </c>
      <c r="C40" s="391" t="s">
        <v>45</v>
      </c>
      <c r="D40" s="393" t="s">
        <v>104</v>
      </c>
      <c r="E40" s="345"/>
      <c r="F40" s="393" t="s">
        <v>76</v>
      </c>
      <c r="G40" s="345"/>
      <c r="H40" s="394" t="s">
        <v>72</v>
      </c>
      <c r="I40" s="394" t="s">
        <v>85</v>
      </c>
      <c r="J40" s="394" t="s">
        <v>2</v>
      </c>
      <c r="K40" s="394" t="s">
        <v>26</v>
      </c>
      <c r="L40" s="394" t="s">
        <v>27</v>
      </c>
      <c r="M40" s="395" t="s">
        <v>28</v>
      </c>
      <c r="N40" s="394" t="s">
        <v>86</v>
      </c>
      <c r="O40" s="397" t="s">
        <v>61</v>
      </c>
      <c r="P40" s="398"/>
      <c r="Q40" s="391" t="s">
        <v>120</v>
      </c>
      <c r="R40" s="343" t="s">
        <v>3</v>
      </c>
      <c r="S40" s="343"/>
      <c r="T40" s="380" t="s">
        <v>17</v>
      </c>
      <c r="U40" s="381"/>
      <c r="V40" s="339" t="s">
        <v>84</v>
      </c>
      <c r="W40" s="142"/>
      <c r="X40" s="270" t="s">
        <v>166</v>
      </c>
      <c r="Y40" s="270" t="s">
        <v>167</v>
      </c>
    </row>
    <row r="41" spans="1:29" s="83" customFormat="1" ht="84.75" customHeight="1" thickBot="1">
      <c r="A41" s="82"/>
      <c r="B41" s="390"/>
      <c r="C41" s="392"/>
      <c r="D41" s="223" t="s">
        <v>9</v>
      </c>
      <c r="E41" s="223" t="s">
        <v>4</v>
      </c>
      <c r="F41" s="223" t="s">
        <v>14</v>
      </c>
      <c r="G41" s="224" t="s">
        <v>73</v>
      </c>
      <c r="H41" s="369"/>
      <c r="I41" s="369"/>
      <c r="J41" s="369"/>
      <c r="K41" s="369"/>
      <c r="L41" s="369"/>
      <c r="M41" s="396"/>
      <c r="N41" s="369"/>
      <c r="O41" s="225" t="s">
        <v>59</v>
      </c>
      <c r="P41" s="225" t="s">
        <v>87</v>
      </c>
      <c r="Q41" s="392"/>
      <c r="R41" s="225" t="s">
        <v>64</v>
      </c>
      <c r="S41" s="226" t="s">
        <v>60</v>
      </c>
      <c r="T41" s="382"/>
      <c r="U41" s="383"/>
      <c r="V41" s="341"/>
      <c r="W41" s="142"/>
      <c r="X41" s="281" t="str">
        <f>+X18</f>
        <v>Contratos que dentro de su alcance contengan actividades de remoción de derrumbes o movimiento de tierras</v>
      </c>
      <c r="Y41" s="281" t="str">
        <f>+Y18</f>
        <v>El valor ejecutado del ítem de El valor ejecutado del ítem de remoción de derrumbes de uno de los contratos debe ser mínimo del 70% del Presupuesto Oficial.</v>
      </c>
    </row>
    <row r="42" spans="1:29" s="1" customFormat="1" ht="12" customHeight="1" thickBot="1">
      <c r="A42" s="77"/>
      <c r="B42" s="68"/>
      <c r="C42" s="69"/>
      <c r="D42" s="69"/>
      <c r="E42" s="69"/>
      <c r="F42" s="69"/>
      <c r="G42" s="69"/>
      <c r="H42" s="69"/>
      <c r="I42" s="69"/>
      <c r="J42" s="69"/>
      <c r="K42" s="69"/>
      <c r="L42" s="69"/>
      <c r="M42" s="69"/>
      <c r="N42" s="69"/>
      <c r="O42" s="69"/>
      <c r="P42" s="69"/>
      <c r="Q42" s="100"/>
      <c r="R42" s="100"/>
      <c r="S42" s="69"/>
      <c r="T42" s="384"/>
      <c r="U42" s="385"/>
      <c r="V42" s="144"/>
      <c r="W42" s="32"/>
      <c r="X42" s="205"/>
      <c r="Y42" s="204"/>
    </row>
    <row r="43" spans="1:29" s="85" customFormat="1" ht="58.5" customHeight="1">
      <c r="A43" s="80" t="str">
        <f>"A"&amp;E39</f>
        <v>A2</v>
      </c>
      <c r="B43" s="251">
        <v>1</v>
      </c>
      <c r="C43" s="252" t="s">
        <v>158</v>
      </c>
      <c r="D43" s="252" t="s">
        <v>220</v>
      </c>
      <c r="E43" s="252" t="s">
        <v>219</v>
      </c>
      <c r="F43" s="252" t="s">
        <v>159</v>
      </c>
      <c r="G43" s="253">
        <v>1</v>
      </c>
      <c r="H43" s="253" t="s">
        <v>96</v>
      </c>
      <c r="I43" s="254" t="s">
        <v>47</v>
      </c>
      <c r="J43" s="254" t="s">
        <v>209</v>
      </c>
      <c r="K43" s="255">
        <v>42855</v>
      </c>
      <c r="L43" s="255">
        <v>42948</v>
      </c>
      <c r="M43" s="81">
        <f t="shared" ref="M43:M44" si="3">IF(OR(K43="",L43=""),"",IF(OR(K43&gt;$L$14,K43&lt;$K$14,L43&gt;$L$14,AND(K43&lt;$K$14,L43&lt;$K$14)),"FUERA DE RANGO",IF(K43&gt;=$K$14,ROUND(((L43-K43+1)/360*12),1),ROUND(((L43-$K$14+1)/360*12),1))))</f>
        <v>3.1</v>
      </c>
      <c r="N43" s="256">
        <v>29</v>
      </c>
      <c r="O43" s="254" t="s">
        <v>47</v>
      </c>
      <c r="P43" s="257" t="s">
        <v>47</v>
      </c>
      <c r="Q43" s="258">
        <v>751.09</v>
      </c>
      <c r="R43" s="67">
        <f t="shared" ref="R43:R44" si="4">IF(OR(G43="",Q43=""),"",Q43*G43)</f>
        <v>751.09</v>
      </c>
      <c r="S43" s="168">
        <f t="shared" ref="S43:S44" si="5">IF(OR(I43="NO",I43="",R43=""),"",IF(OR(L43&lt;$K$14,L43&gt;$L$14,,L43=""),0,ROUND(R43,2)))</f>
        <v>751.09</v>
      </c>
      <c r="T43" s="386"/>
      <c r="U43" s="387"/>
      <c r="V43" s="259"/>
      <c r="W43" s="143"/>
      <c r="X43" s="266" t="s">
        <v>33</v>
      </c>
      <c r="Y43" s="266" t="s">
        <v>33</v>
      </c>
    </row>
    <row r="44" spans="1:29" s="85" customFormat="1" ht="67.5">
      <c r="A44" s="80" t="str">
        <f>"B"&amp;E39</f>
        <v>B2</v>
      </c>
      <c r="B44" s="251">
        <v>2</v>
      </c>
      <c r="C44" s="252" t="s">
        <v>221</v>
      </c>
      <c r="D44" s="252" t="s">
        <v>222</v>
      </c>
      <c r="E44" s="252" t="s">
        <v>223</v>
      </c>
      <c r="F44" s="252" t="s">
        <v>157</v>
      </c>
      <c r="G44" s="253">
        <v>0.2</v>
      </c>
      <c r="H44" s="253" t="s">
        <v>96</v>
      </c>
      <c r="I44" s="254" t="s">
        <v>47</v>
      </c>
      <c r="J44" s="254" t="s">
        <v>209</v>
      </c>
      <c r="K44" s="255">
        <v>43415</v>
      </c>
      <c r="L44" s="255">
        <v>43797</v>
      </c>
      <c r="M44" s="81">
        <f t="shared" si="3"/>
        <v>12.8</v>
      </c>
      <c r="N44" s="256">
        <v>35</v>
      </c>
      <c r="O44" s="254" t="s">
        <v>47</v>
      </c>
      <c r="P44" s="257" t="s">
        <v>47</v>
      </c>
      <c r="Q44" s="258">
        <v>10356.61</v>
      </c>
      <c r="R44" s="67">
        <f t="shared" si="4"/>
        <v>2071.3220000000001</v>
      </c>
      <c r="S44" s="168">
        <f t="shared" si="5"/>
        <v>2071.3200000000002</v>
      </c>
      <c r="T44" s="386"/>
      <c r="U44" s="387"/>
      <c r="V44" s="259"/>
      <c r="W44" s="143"/>
      <c r="X44" s="266" t="s">
        <v>33</v>
      </c>
      <c r="Y44" s="266" t="s">
        <v>33</v>
      </c>
    </row>
    <row r="45" spans="1:29" s="1" customFormat="1" ht="15.75" customHeight="1" thickBot="1">
      <c r="A45" s="77"/>
      <c r="B45" s="261"/>
      <c r="C45" s="262"/>
      <c r="D45" s="262"/>
      <c r="E45" s="262"/>
      <c r="F45" s="262"/>
      <c r="G45" s="262"/>
      <c r="H45" s="262"/>
      <c r="I45" s="262"/>
      <c r="J45" s="262"/>
      <c r="K45" s="262"/>
      <c r="L45" s="262"/>
      <c r="M45" s="262"/>
      <c r="N45" s="262"/>
      <c r="O45" s="262"/>
      <c r="P45" s="262"/>
      <c r="Q45" s="262"/>
      <c r="R45" s="262"/>
      <c r="S45" s="262"/>
      <c r="T45" s="175"/>
      <c r="U45" s="177"/>
      <c r="V45" s="263"/>
      <c r="W45" s="140"/>
      <c r="X45" s="265"/>
      <c r="Y45" s="264"/>
      <c r="Z45" s="32"/>
    </row>
    <row r="46" spans="1:29" s="1" customFormat="1" ht="17.25" customHeight="1" thickBot="1">
      <c r="A46" s="78"/>
      <c r="B46" s="244"/>
      <c r="C46" s="234"/>
      <c r="D46" s="234"/>
      <c r="E46" s="234"/>
      <c r="F46" s="234"/>
      <c r="G46" s="234"/>
      <c r="H46" s="234"/>
      <c r="I46" s="234"/>
      <c r="J46" s="234"/>
      <c r="K46" s="234"/>
      <c r="L46" s="234"/>
      <c r="M46" s="234"/>
      <c r="N46" s="234"/>
      <c r="O46" s="234"/>
      <c r="P46" s="234"/>
      <c r="Q46" s="245"/>
      <c r="R46" s="245"/>
      <c r="S46" s="246">
        <f>SUM(S43:S44)</f>
        <v>2822.4100000000003</v>
      </c>
      <c r="T46" s="334"/>
      <c r="U46" s="335"/>
      <c r="V46" s="247"/>
      <c r="W46" s="32"/>
      <c r="X46" s="260"/>
      <c r="Y46" s="203" t="str">
        <f>IF(COUNTIF(Y43:Y44,"")&gt;9,"VERIFICAR",IF(COUNTIF(Y43:Y44,"CUMPLE")&gt;0,"CUMPLE","NO CUMPLE"))</f>
        <v>CUMPLE</v>
      </c>
    </row>
    <row r="47" spans="1:29" ht="17.25" customHeight="1">
      <c r="B47" s="112"/>
      <c r="C47" s="110"/>
      <c r="D47" s="110"/>
      <c r="E47" s="110"/>
      <c r="F47" s="110"/>
      <c r="G47" s="110"/>
      <c r="H47" s="110"/>
      <c r="I47" s="110"/>
      <c r="J47" s="110"/>
      <c r="K47" s="110"/>
      <c r="L47" s="110"/>
      <c r="M47" s="110"/>
      <c r="N47" s="110"/>
      <c r="O47" s="110"/>
      <c r="P47" s="110"/>
      <c r="Q47" s="110"/>
      <c r="R47" s="110"/>
      <c r="U47" s="111"/>
      <c r="V47" s="111"/>
      <c r="X47" s="99"/>
      <c r="Y47" s="99"/>
    </row>
    <row r="48" spans="1:29" s="1" customFormat="1" ht="16.5" customHeight="1" thickBot="1">
      <c r="A48" s="77"/>
      <c r="B48" s="233" t="s">
        <v>42</v>
      </c>
      <c r="C48" s="234"/>
      <c r="D48" s="234"/>
      <c r="E48" s="234"/>
      <c r="F48" s="234"/>
      <c r="G48" s="235"/>
      <c r="H48" s="235"/>
      <c r="I48" s="235"/>
      <c r="J48" s="235"/>
      <c r="K48" s="235"/>
      <c r="L48" s="235"/>
      <c r="M48" s="235"/>
      <c r="N48" s="235"/>
      <c r="O48" s="235"/>
      <c r="P48" s="235"/>
      <c r="Q48" s="235"/>
      <c r="R48" s="235"/>
      <c r="S48" s="235"/>
      <c r="T48" s="235"/>
      <c r="U48" s="248"/>
      <c r="V48" s="116"/>
      <c r="X48" s="32"/>
      <c r="Y48" s="32"/>
      <c r="Z48" s="32"/>
      <c r="AA48" s="32"/>
      <c r="AB48" s="32"/>
      <c r="AC48" s="32"/>
    </row>
    <row r="49" spans="1:29" s="1" customFormat="1" ht="15.75" customHeight="1" thickBot="1">
      <c r="A49" s="77" t="str">
        <f>"G"&amp;E39</f>
        <v>G2</v>
      </c>
      <c r="B49" s="336" t="s">
        <v>80</v>
      </c>
      <c r="C49" s="337"/>
      <c r="D49" s="337"/>
      <c r="E49" s="337"/>
      <c r="F49" s="337"/>
      <c r="G49" s="338"/>
      <c r="H49" s="236" t="s">
        <v>83</v>
      </c>
      <c r="I49" s="237"/>
      <c r="J49" s="237"/>
      <c r="K49" s="237"/>
      <c r="L49" s="237"/>
      <c r="M49" s="237"/>
      <c r="N49" s="237"/>
      <c r="O49" s="238" t="s">
        <v>118</v>
      </c>
      <c r="P49" s="239" t="s">
        <v>124</v>
      </c>
      <c r="Q49" s="339" t="s">
        <v>126</v>
      </c>
      <c r="R49" s="249"/>
      <c r="S49" s="249"/>
      <c r="T49" s="249"/>
      <c r="U49" s="250"/>
    </row>
    <row r="50" spans="1:29" s="1" customFormat="1" ht="15.75" customHeight="1">
      <c r="A50" s="77" t="str">
        <f>"H"&amp;E39</f>
        <v>H2</v>
      </c>
      <c r="B50" s="342" t="s">
        <v>106</v>
      </c>
      <c r="C50" s="343"/>
      <c r="D50" s="343"/>
      <c r="E50" s="343"/>
      <c r="F50" s="343"/>
      <c r="G50" s="344"/>
      <c r="H50" s="342" t="s">
        <v>16</v>
      </c>
      <c r="I50" s="343"/>
      <c r="J50" s="343"/>
      <c r="K50" s="343"/>
      <c r="L50" s="345"/>
      <c r="M50" s="240">
        <f>VLOOKUP(E39,PROPONENTES!$C$14:$E$21,3,0)</f>
        <v>1</v>
      </c>
      <c r="N50" s="339" t="s">
        <v>161</v>
      </c>
      <c r="O50" s="346" t="s">
        <v>160</v>
      </c>
      <c r="P50" s="348" t="s">
        <v>125</v>
      </c>
      <c r="Q50" s="340"/>
      <c r="S50" s="169"/>
      <c r="T50" s="351" t="s">
        <v>121</v>
      </c>
      <c r="U50" s="352"/>
    </row>
    <row r="51" spans="1:29" s="30" customFormat="1" ht="22.5" customHeight="1">
      <c r="A51" s="77" t="str">
        <f>"I"&amp;E39</f>
        <v>I2</v>
      </c>
      <c r="B51" s="355" t="s">
        <v>105</v>
      </c>
      <c r="C51" s="356"/>
      <c r="D51" s="357"/>
      <c r="E51" s="361">
        <f>COUNTIFS(I43:I44,"SI",S43:S44,"&gt;0")</f>
        <v>2</v>
      </c>
      <c r="F51" s="363" t="s">
        <v>107</v>
      </c>
      <c r="G51" s="365">
        <f>IF(E51=0,"N/A",IF(AND(E51&gt;=1,E51&lt;=2),0.75,IF(AND(E51&gt;=3,E51&lt;=4),1.2,IF(E51=5,1.5,IF(AND(E51=6,OR(R59="MIPYME",R59="EMEM")),1.5,IF(AND(E51=7,R59="MIPYME Y EMEM"),1.5,"REVISAR"))))))</f>
        <v>0.75</v>
      </c>
      <c r="H51" s="348" t="s">
        <v>15</v>
      </c>
      <c r="I51" s="367"/>
      <c r="J51" s="369" t="s">
        <v>0</v>
      </c>
      <c r="K51" s="369" t="s">
        <v>114</v>
      </c>
      <c r="L51" s="369" t="s">
        <v>115</v>
      </c>
      <c r="M51" s="370" t="s">
        <v>116</v>
      </c>
      <c r="N51" s="340"/>
      <c r="O51" s="346"/>
      <c r="P51" s="349"/>
      <c r="Q51" s="340"/>
      <c r="R51" s="170"/>
      <c r="S51" s="170"/>
      <c r="T51" s="353"/>
      <c r="U51" s="354"/>
    </row>
    <row r="52" spans="1:29" s="30" customFormat="1" ht="15.75" customHeight="1" thickBot="1">
      <c r="A52" s="77" t="str">
        <f>"J"&amp;E39</f>
        <v>J2</v>
      </c>
      <c r="B52" s="358"/>
      <c r="C52" s="359"/>
      <c r="D52" s="360"/>
      <c r="E52" s="362"/>
      <c r="F52" s="364"/>
      <c r="G52" s="366"/>
      <c r="H52" s="350"/>
      <c r="I52" s="368"/>
      <c r="J52" s="369"/>
      <c r="K52" s="369"/>
      <c r="L52" s="369"/>
      <c r="M52" s="371"/>
      <c r="N52" s="341"/>
      <c r="O52" s="347"/>
      <c r="P52" s="350"/>
      <c r="Q52" s="341"/>
      <c r="R52" s="170"/>
      <c r="S52" s="170"/>
      <c r="T52" s="372">
        <f>E39</f>
        <v>2</v>
      </c>
      <c r="U52" s="373"/>
    </row>
    <row r="53" spans="1:29" s="1" customFormat="1" ht="12.75">
      <c r="A53" s="80" t="str">
        <f>"K"&amp;E39</f>
        <v>K2</v>
      </c>
      <c r="B53" s="342" t="s">
        <v>81</v>
      </c>
      <c r="C53" s="343"/>
      <c r="D53" s="343"/>
      <c r="E53" s="343"/>
      <c r="F53" s="343"/>
      <c r="G53" s="343"/>
      <c r="H53" s="107">
        <v>1</v>
      </c>
      <c r="I53" s="65" t="str">
        <f>IF(AND(H53&lt;=M50,M50&gt;1),VLOOKUP(VALUE(E39&amp;","&amp;H53),INTEGRANTES!$B$15:$D$23,2,0),"")</f>
        <v/>
      </c>
      <c r="J53" s="108" t="str">
        <f>IF(I53&lt;&gt;"",VLOOKUP(VALUE(E39&amp;","&amp;H53),INTEGRANTES!$B$15:$D$23,3,0),"")</f>
        <v/>
      </c>
      <c r="K53" s="134" t="str">
        <f>IF($I53="","",IF($G51="N/A","",ROUND($E55*PORPOM,2)))</f>
        <v/>
      </c>
      <c r="L53" s="134" t="str">
        <f>IF(I53="","",SUMIF($J43:$J44,I53,$S43:$S44))</f>
        <v/>
      </c>
      <c r="M53" s="66" t="str">
        <f t="shared" ref="M53:M58" si="6">IF($I53="","",IF($K53&gt;L53,"NO CUMPLE","CUMPLE"))</f>
        <v/>
      </c>
      <c r="N53" s="66" t="str">
        <f>IF($I53="","",IF(M53="CUMPLE","CUMPLE","NO CUMPLE"))</f>
        <v/>
      </c>
      <c r="O53" s="181" t="str">
        <f>IF(OR(J53="",L53=""),"",IF(AND(J53&gt;=0.25,L53&gt;=$F55*0.25),"SI","NO"))</f>
        <v/>
      </c>
      <c r="P53" s="66" t="str">
        <f>IF(I53="","",IF(OR(SUMIF($J43:$J44,I53,$S43:$S44)&gt;=5%*E55,AND(SUMIF($J43:$J44,I53,$S43:$S44)=0,J53&lt;=10%)),"CUMPLE","NO CUMPLE"))</f>
        <v/>
      </c>
      <c r="Q53" s="184" t="str">
        <f>IF(OR(I53="",P53="",P53="CUMPLE"),"",IF(AND(P53="NO CUMPLE",L53=0,J53&gt;5%),"EXP = 0 y PART &gt; 5%",IF(L53&lt;5%*E55,"EXP &lt; 5%","")))</f>
        <v/>
      </c>
      <c r="R53" s="170"/>
      <c r="S53" s="170"/>
      <c r="T53" s="372"/>
      <c r="U53" s="373"/>
    </row>
    <row r="54" spans="1:29" s="1" customFormat="1" ht="12.75">
      <c r="A54" s="80" t="str">
        <f>"L"&amp;E39</f>
        <v>L2</v>
      </c>
      <c r="B54" s="355" t="s">
        <v>108</v>
      </c>
      <c r="C54" s="356"/>
      <c r="D54" s="357"/>
      <c r="E54" s="241" t="s">
        <v>109</v>
      </c>
      <c r="F54" s="241" t="s">
        <v>110</v>
      </c>
      <c r="G54" s="242" t="s">
        <v>82</v>
      </c>
      <c r="H54" s="107">
        <v>2</v>
      </c>
      <c r="I54" s="65" t="str">
        <f>IF(AND(H54&lt;=M50,M50&gt;1),VLOOKUP(VALUE(E39&amp;","&amp;H54),INTEGRANTES!$B$15:$D$23,2,0),"")</f>
        <v/>
      </c>
      <c r="J54" s="108" t="str">
        <f>IF(I54&lt;&gt;"",VLOOKUP(VALUE(E39&amp;","&amp;H54),INTEGRANTES!$B$15:$D$23,3,0),"")</f>
        <v/>
      </c>
      <c r="K54" s="134" t="str">
        <f>IF($I54="","",IF($G51="N/A","",ROUND($E55*PORPOM,2)))</f>
        <v/>
      </c>
      <c r="L54" s="134" t="str">
        <f>IF(I54="","",SUMIF($J43:$J44,I54,$S43:$S44))</f>
        <v/>
      </c>
      <c r="M54" s="66" t="str">
        <f>IF($I54="","",IF($K54&gt;L54,"NO CUMPLE","CUMPLE"))</f>
        <v/>
      </c>
      <c r="N54" s="66" t="str">
        <f t="shared" ref="N54:N58" si="7">IF($I54="","",IF(M54="CUMPLE","CUMPLE","NO CUMPLE"))</f>
        <v/>
      </c>
      <c r="O54" s="181" t="str">
        <f>IF(OR(J54="",L54=""),"",IF(AND(J54&gt;=0.25,L54&gt;=$F55*0.25),"SI","NO"))</f>
        <v/>
      </c>
      <c r="P54" s="66" t="str">
        <f>IF(I54="","",IF(OR(SUMIF($J43:$J44,I54,$S43:$S44)&gt;=5%*E55,AND(SUMIF($J$22:J43,$J54,$S43:$S44)=0,J54&lt;=10%)),"CUMPLE","NO CUMPLE"))</f>
        <v/>
      </c>
      <c r="Q54" s="184" t="str">
        <f>IF(OR(I54="",P54="",P54="CUMPLE"),"",IF(AND(P54="NO CUMPLE",L54=0,J54&gt;5%),"EXP = 0 y PART &gt; 5%",IF(L54&lt;5%*E55,"EXP &lt; 5%","")))</f>
        <v/>
      </c>
      <c r="R54" s="170"/>
      <c r="S54" s="170"/>
      <c r="T54" s="372"/>
      <c r="U54" s="373"/>
    </row>
    <row r="55" spans="1:29" s="1" customFormat="1" ht="13.5" thickBot="1">
      <c r="A55" s="77" t="str">
        <f>"M"&amp;E39</f>
        <v>M2</v>
      </c>
      <c r="B55" s="358"/>
      <c r="C55" s="359"/>
      <c r="D55" s="360"/>
      <c r="E55" s="132">
        <f>IF(ISTEXT(G51),"NO APLICA",G51*POSMMLV)</f>
        <v>441.34615384615381</v>
      </c>
      <c r="F55" s="133">
        <f>IF(E55="","",S46)</f>
        <v>2822.4100000000003</v>
      </c>
      <c r="G55" s="131" t="str">
        <f>IF(E55="","",IF(E55="NO APLICA","NO CUMPLE",IF(F55&gt;=E55,"CUMPLE", "NO CUMPLE")))</f>
        <v>CUMPLE</v>
      </c>
      <c r="H55" s="107">
        <v>3</v>
      </c>
      <c r="I55" s="65" t="str">
        <f>IF(AND(H55&lt;=M50,M50&gt;1),VLOOKUP(VALUE(E39&amp;","&amp;H55),INTEGRANTES!$B$15:$D$23,2,0),"")</f>
        <v/>
      </c>
      <c r="J55" s="108" t="str">
        <f>IF(I55&lt;&gt;"",VLOOKUP(VALUE(E39&amp;","&amp;H55),INTEGRANTES!$B$15:$D$23,3,0),"")</f>
        <v/>
      </c>
      <c r="K55" s="134" t="str">
        <f>IF($I55="","",IF($G51="N/A","",ROUND($E55*PORPOM,2)))</f>
        <v/>
      </c>
      <c r="L55" s="134" t="str">
        <f>IF(I55="","",SUMIF($J43:$J44,I55,$S43:$S44))</f>
        <v/>
      </c>
      <c r="M55" s="66" t="str">
        <f t="shared" si="6"/>
        <v/>
      </c>
      <c r="N55" s="66" t="str">
        <f t="shared" si="7"/>
        <v/>
      </c>
      <c r="O55" s="181" t="str">
        <f>IF(OR(J55="",L55=""),"",IF(AND(J55&gt;=0.25,L55&gt;=$F55*0.25),"SI","NO"))</f>
        <v/>
      </c>
      <c r="P55" s="66" t="str">
        <f>IF(I55="","",IF(OR(SUMIF($J43:$J44,I55,$S43:$S44)&gt;=5%*E55,AND(SUMIF($J43:$J44,J55,$S43:$S44)=0,J55&lt;=10%)),"CUMPLE","NO CUMPLE"))</f>
        <v/>
      </c>
      <c r="Q55" s="184" t="str">
        <f>IF(OR(I55="",P55="",P55="CUMPLE"),"",IF(AND(P55="NO CUMPLE",L55=0,J55&gt;5%),"EXP = 0 y PART &gt; 5%",IF(L55&lt;5%*E55,"EXP &lt; 5%","")))</f>
        <v/>
      </c>
      <c r="R55" s="170"/>
      <c r="S55" s="170"/>
      <c r="T55" s="372"/>
      <c r="U55" s="373"/>
    </row>
    <row r="56" spans="1:29" s="1" customFormat="1" ht="16.5" customHeight="1">
      <c r="A56" s="77" t="str">
        <f>"N"&amp;E39</f>
        <v>N2</v>
      </c>
      <c r="B56" s="342" t="s">
        <v>88</v>
      </c>
      <c r="C56" s="343"/>
      <c r="D56" s="343"/>
      <c r="E56" s="343"/>
      <c r="F56" s="343"/>
      <c r="G56" s="343"/>
      <c r="H56" s="107">
        <v>4</v>
      </c>
      <c r="I56" s="65" t="str">
        <f>IF(AND(H56&lt;=M50,M50&gt;1),VLOOKUP(VALUE(E39&amp;","&amp;H56),INTEGRANTES!$B$15:$D$23,2,0),"")</f>
        <v/>
      </c>
      <c r="J56" s="108" t="str">
        <f>IF(I56&lt;&gt;"",VLOOKUP(VALUE(E39&amp;","&amp;H56),INTEGRANTES!$B$15:$D$23,3,0),"")</f>
        <v/>
      </c>
      <c r="K56" s="134" t="str">
        <f>IF($I56="","",IF($G51="N/A","",ROUND($E55*PORPOM,2)))</f>
        <v/>
      </c>
      <c r="L56" s="134" t="str">
        <f>IF(I56="","",SUMIF($J43:$J44,I56,$S43:$S44))</f>
        <v/>
      </c>
      <c r="M56" s="66" t="str">
        <f t="shared" si="6"/>
        <v/>
      </c>
      <c r="N56" s="66" t="str">
        <f t="shared" si="7"/>
        <v/>
      </c>
      <c r="O56" s="181" t="str">
        <f>IF(OR(J56="",L56=""),"",IF(AND(J56&gt;=0.25,L56&gt;=$F55*0.25),"SI","NO"))</f>
        <v/>
      </c>
      <c r="P56" s="66" t="str">
        <f>IF(I56="","",IF(OR(SUMIF($J43:$J44,I56,$S43:$S44)&gt;=5%*E55,AND(SUMIF($J43:$J44,J56,$S43:$S44)=0,J56&lt;=10%)),"CUMPLE","NO CUMPLE"))</f>
        <v/>
      </c>
      <c r="Q56" s="184" t="str">
        <f>IF(OR(I56="",P56="",P56="CUMPLE"),"",IF(AND(P56="NO CUMPLE",L56=0,J56&gt;5%),"EXP = 0 y PART &gt; 5%",IF(L56&lt;5%*E55,"EXP &lt; 5%","")))</f>
        <v/>
      </c>
      <c r="R56" s="170"/>
      <c r="S56" s="170"/>
      <c r="T56" s="372"/>
      <c r="U56" s="373"/>
    </row>
    <row r="57" spans="1:29" s="1" customFormat="1" ht="16.5" customHeight="1">
      <c r="A57" s="77" t="str">
        <f>"O"&amp;E39</f>
        <v>O2</v>
      </c>
      <c r="B57" s="355" t="s">
        <v>89</v>
      </c>
      <c r="C57" s="356"/>
      <c r="D57" s="356"/>
      <c r="E57" s="356"/>
      <c r="F57" s="356"/>
      <c r="G57" s="243" t="s">
        <v>82</v>
      </c>
      <c r="H57" s="107">
        <v>5</v>
      </c>
      <c r="I57" s="65" t="str">
        <f>IF(AND(H57&lt;=M50,M50&gt;1),VLOOKUP(VALUE(E39&amp;","&amp;H57),INTEGRANTES!$B$15:$D$23,2,0),"")</f>
        <v/>
      </c>
      <c r="J57" s="108" t="str">
        <f>IF(I57&lt;&gt;"",VLOOKUP(VALUE(E39&amp;","&amp;H57),INTEGRANTES!$B$15:$D$23,3,0),"")</f>
        <v/>
      </c>
      <c r="K57" s="134" t="str">
        <f>IF($I57="","",IF($G51="N/A","",ROUND($E55*PORPOM,2)))</f>
        <v/>
      </c>
      <c r="L57" s="134" t="str">
        <f>IF(I57="","",SUMIF($J43:$J44,I57,$S43:$S44))</f>
        <v/>
      </c>
      <c r="M57" s="66" t="str">
        <f t="shared" si="6"/>
        <v/>
      </c>
      <c r="N57" s="66" t="str">
        <f t="shared" si="7"/>
        <v/>
      </c>
      <c r="O57" s="181" t="str">
        <f>IF(OR(J57="",L57=""),"",IF(AND(J57&gt;=0.25,L57&gt;=$F55*0.25),"SI","NO"))</f>
        <v/>
      </c>
      <c r="P57" s="66" t="str">
        <f>IF(I57="","",IF(OR(SUMIF($J43:$J44,I57,$S43:$S44)&gt;=5%*E55,AND(SUMIF($J43:$J44,J57,$S43:$S44)=0,J57&lt;=10%)),"CUMPLE","NO CUMPLE"))</f>
        <v/>
      </c>
      <c r="Q57" s="184" t="str">
        <f>IF(OR(I57="",P57="",P57="CUMPLE"),"",IF(AND(P57="NO CUMPLE",L57=0,J57&gt;5%),"EXP = 0 y PART &gt; 5%",IF(L57&lt;5%*E55,"EXP &lt; 5%","")))</f>
        <v/>
      </c>
      <c r="R57" s="378" t="s">
        <v>155</v>
      </c>
      <c r="S57" s="379"/>
      <c r="T57" s="372"/>
      <c r="U57" s="373"/>
    </row>
    <row r="58" spans="1:29" s="1" customFormat="1" ht="15.75" customHeight="1" thickBot="1">
      <c r="A58" s="77" t="str">
        <f>"P"&amp;E39</f>
        <v>P2</v>
      </c>
      <c r="B58" s="376"/>
      <c r="C58" s="377"/>
      <c r="D58" s="377"/>
      <c r="E58" s="377"/>
      <c r="F58" s="377"/>
      <c r="G58" s="84" t="str">
        <f>IF(COUNTIF(Y43:Y44,"")&gt;5,"NO CUMPLE",IF(COUNTIF(Y43:Y44,"CUMPLE")&gt;=1,"CUMPLE", "NO CUMPLE"))</f>
        <v>CUMPLE</v>
      </c>
      <c r="H58" s="137">
        <v>6</v>
      </c>
      <c r="I58" s="138" t="str">
        <f>IF(AND(H58&lt;=M50,M50&gt;1),VLOOKUP(VALUE(E40&amp;","&amp;H58),INTEGRANTES!$B$15:$D$23,2,0),"")</f>
        <v/>
      </c>
      <c r="J58" s="108" t="str">
        <f>IF(I58&lt;&gt;"",VLOOKUP(VALUE(E40&amp;","&amp;H58),INTEGRANTES!$B$15:$D$23,3,0),"")</f>
        <v/>
      </c>
      <c r="K58" s="134" t="str">
        <f>IF($I58="","",IF($G51="N/A","",ROUND($E55*PORPOM,2)))</f>
        <v/>
      </c>
      <c r="L58" s="134" t="str">
        <f>IF(I58="","",SUMIF($J43:$J44,I58,$S43:$S44))</f>
        <v/>
      </c>
      <c r="M58" s="139" t="str">
        <f t="shared" si="6"/>
        <v/>
      </c>
      <c r="N58" s="66" t="str">
        <f t="shared" si="7"/>
        <v/>
      </c>
      <c r="O58" s="181" t="str">
        <f>IF(OR(J58="",L58=""),"",IF(AND(J58&gt;=0.25,L58&gt;=$F55*0.25),"SI","NO"))</f>
        <v/>
      </c>
      <c r="P58" s="66" t="str">
        <f>IF(I58="","",IF(OR(SUMIF($J43:$J44,I58,$S43:$S44)&gt;=5%*E55,AND(SUMIF($J43:$J44,J58,$S43:$S44)=0,J58&lt;=10%)),"CUMPLE","NO CUMPLE"))</f>
        <v/>
      </c>
      <c r="Q58" s="185" t="str">
        <f>IF(OR(I58="",P58="",P58="CUMPLE"),"",IF(AND(P58="NO CUMPLE",L58=0,J58&gt;5%),"EXP = 0 y PART &gt; 5%",IF(L58&lt;5%*E55,"EXP &lt; 5%","")))</f>
        <v/>
      </c>
      <c r="R58" s="378"/>
      <c r="S58" s="379"/>
      <c r="T58" s="372"/>
      <c r="U58" s="373"/>
    </row>
    <row r="59" spans="1:29" s="1" customFormat="1" ht="39" customHeight="1" thickBot="1">
      <c r="A59" s="77" t="str">
        <f>"Q"&amp;E39</f>
        <v>Q2</v>
      </c>
      <c r="B59" s="325"/>
      <c r="C59" s="326"/>
      <c r="D59" s="326"/>
      <c r="E59" s="326"/>
      <c r="F59" s="326"/>
      <c r="G59" s="327"/>
      <c r="H59" s="328" t="s">
        <v>112</v>
      </c>
      <c r="I59" s="329"/>
      <c r="J59" s="330"/>
      <c r="K59" s="328" t="s">
        <v>113</v>
      </c>
      <c r="L59" s="331"/>
      <c r="M59" s="109" t="str">
        <f>IF(OR($M50="",SUM(J53:J58)=0),"",IF(COUNTIF(M53:M58,"CUMPLE")&gt;=1,"CUMPLE","NO CUMPLE"))</f>
        <v/>
      </c>
      <c r="N59" s="109" t="str">
        <f>IF(OR($M50="",SUM(J53:J58)=0),"",IF(COUNTIF(N53:N58,"CUMPLE")&gt;=1,"CUMPLE","NO CUMPLE"))</f>
        <v/>
      </c>
      <c r="O59" s="182"/>
      <c r="P59" s="182" t="str">
        <f>IF(COUNTIF(P53:P58,"")&gt;5,"",IF(COUNTIF(P53:P58,"NO CUMPLE")&gt;0,"NO CUMPLE","CUMPLE"))</f>
        <v/>
      </c>
      <c r="Q59" s="186"/>
      <c r="R59" s="332" t="s">
        <v>163</v>
      </c>
      <c r="S59" s="333"/>
      <c r="T59" s="374"/>
      <c r="U59" s="375"/>
      <c r="X59" s="141"/>
      <c r="Y59" s="141"/>
      <c r="Z59" s="32"/>
      <c r="AA59" s="32"/>
      <c r="AB59" s="32"/>
    </row>
    <row r="62" spans="1:29" s="7" customFormat="1" ht="24" customHeight="1" thickBot="1">
      <c r="A62" s="97">
        <v>3</v>
      </c>
      <c r="B62" s="388" t="s">
        <v>1</v>
      </c>
      <c r="C62" s="388"/>
      <c r="D62" s="388"/>
      <c r="E62" s="70">
        <f>VLOOKUP(A62,PROPONENTES!$B$14:$D$21,2,FALSE)</f>
        <v>3</v>
      </c>
      <c r="F62" s="71" t="str">
        <f>VLOOKUP(E62,PROPONENTES!$C$14:$D$21,2,FALSE)</f>
        <v>CONSORCIO LANDA</v>
      </c>
      <c r="G62" s="72"/>
      <c r="H62" s="72"/>
      <c r="I62" s="72"/>
      <c r="J62" s="71"/>
      <c r="K62" s="71"/>
      <c r="L62" s="70"/>
      <c r="M62" s="72"/>
      <c r="N62" s="72"/>
      <c r="O62" s="72"/>
      <c r="P62" s="72"/>
      <c r="Q62" s="72"/>
      <c r="R62" s="72"/>
      <c r="S62" s="72"/>
      <c r="T62" s="72"/>
      <c r="U62" s="73"/>
      <c r="V62" s="74"/>
      <c r="W62" s="74"/>
      <c r="X62" s="74"/>
      <c r="Z62" s="72"/>
      <c r="AA62" s="72"/>
      <c r="AC62" s="72"/>
    </row>
    <row r="63" spans="1:29" s="83" customFormat="1" ht="18.75">
      <c r="A63" s="82"/>
      <c r="B63" s="389" t="s">
        <v>71</v>
      </c>
      <c r="C63" s="391" t="s">
        <v>45</v>
      </c>
      <c r="D63" s="393" t="s">
        <v>104</v>
      </c>
      <c r="E63" s="345"/>
      <c r="F63" s="393" t="s">
        <v>76</v>
      </c>
      <c r="G63" s="345"/>
      <c r="H63" s="394" t="s">
        <v>72</v>
      </c>
      <c r="I63" s="394" t="s">
        <v>85</v>
      </c>
      <c r="J63" s="394" t="s">
        <v>2</v>
      </c>
      <c r="K63" s="394" t="s">
        <v>26</v>
      </c>
      <c r="L63" s="394" t="s">
        <v>27</v>
      </c>
      <c r="M63" s="395" t="s">
        <v>28</v>
      </c>
      <c r="N63" s="394" t="s">
        <v>86</v>
      </c>
      <c r="O63" s="397" t="s">
        <v>61</v>
      </c>
      <c r="P63" s="398"/>
      <c r="Q63" s="391" t="s">
        <v>120</v>
      </c>
      <c r="R63" s="343" t="s">
        <v>3</v>
      </c>
      <c r="S63" s="343"/>
      <c r="T63" s="380" t="s">
        <v>17</v>
      </c>
      <c r="U63" s="381"/>
      <c r="V63" s="339" t="s">
        <v>84</v>
      </c>
      <c r="W63" s="142"/>
      <c r="X63" s="270" t="s">
        <v>166</v>
      </c>
      <c r="Y63" s="270" t="s">
        <v>167</v>
      </c>
    </row>
    <row r="64" spans="1:29" s="83" customFormat="1" ht="93" customHeight="1" thickBot="1">
      <c r="A64" s="82"/>
      <c r="B64" s="390"/>
      <c r="C64" s="392"/>
      <c r="D64" s="223" t="s">
        <v>9</v>
      </c>
      <c r="E64" s="223" t="s">
        <v>4</v>
      </c>
      <c r="F64" s="223" t="s">
        <v>14</v>
      </c>
      <c r="G64" s="224" t="s">
        <v>73</v>
      </c>
      <c r="H64" s="369"/>
      <c r="I64" s="369"/>
      <c r="J64" s="369"/>
      <c r="K64" s="369"/>
      <c r="L64" s="369"/>
      <c r="M64" s="396"/>
      <c r="N64" s="369"/>
      <c r="O64" s="225" t="s">
        <v>59</v>
      </c>
      <c r="P64" s="225" t="s">
        <v>87</v>
      </c>
      <c r="Q64" s="392"/>
      <c r="R64" s="225" t="s">
        <v>64</v>
      </c>
      <c r="S64" s="226" t="s">
        <v>60</v>
      </c>
      <c r="T64" s="382"/>
      <c r="U64" s="383"/>
      <c r="V64" s="341"/>
      <c r="W64" s="142"/>
      <c r="X64" s="281" t="str">
        <f>+X18</f>
        <v>Contratos que dentro de su alcance contengan actividades de remoción de derrumbes o movimiento de tierras</v>
      </c>
      <c r="Y64" s="269" t="str">
        <f>+Y18</f>
        <v>El valor ejecutado del ítem de El valor ejecutado del ítem de remoción de derrumbes de uno de los contratos debe ser mínimo del 70% del Presupuesto Oficial.</v>
      </c>
    </row>
    <row r="65" spans="1:29" s="1" customFormat="1" ht="12" customHeight="1" thickBot="1">
      <c r="A65" s="77"/>
      <c r="B65" s="68"/>
      <c r="C65" s="69"/>
      <c r="D65" s="69"/>
      <c r="E65" s="69"/>
      <c r="F65" s="69"/>
      <c r="G65" s="69"/>
      <c r="H65" s="69"/>
      <c r="I65" s="69"/>
      <c r="J65" s="69"/>
      <c r="K65" s="69"/>
      <c r="L65" s="69"/>
      <c r="M65" s="69"/>
      <c r="N65" s="69"/>
      <c r="O65" s="69"/>
      <c r="P65" s="69"/>
      <c r="Q65" s="100"/>
      <c r="R65" s="100"/>
      <c r="S65" s="69"/>
      <c r="T65" s="384"/>
      <c r="U65" s="385"/>
      <c r="V65" s="144"/>
      <c r="W65" s="32"/>
      <c r="X65" s="205"/>
      <c r="Y65" s="204"/>
    </row>
    <row r="66" spans="1:29" s="85" customFormat="1" ht="58.5" customHeight="1">
      <c r="A66" s="80" t="str">
        <f>"A"&amp;E62</f>
        <v>A3</v>
      </c>
      <c r="B66" s="251">
        <v>1</v>
      </c>
      <c r="C66" s="252" t="s">
        <v>158</v>
      </c>
      <c r="D66" s="252" t="s">
        <v>227</v>
      </c>
      <c r="E66" s="252" t="s">
        <v>224</v>
      </c>
      <c r="F66" s="252" t="s">
        <v>159</v>
      </c>
      <c r="G66" s="253">
        <v>1</v>
      </c>
      <c r="H66" s="253" t="s">
        <v>96</v>
      </c>
      <c r="I66" s="254" t="s">
        <v>47</v>
      </c>
      <c r="J66" s="254" t="s">
        <v>230</v>
      </c>
      <c r="K66" s="255">
        <v>44083</v>
      </c>
      <c r="L66" s="255">
        <v>44377</v>
      </c>
      <c r="M66" s="81">
        <f t="shared" ref="M66:M68" si="8">IF(OR(K66="",L66=""),"",IF(OR(K66&gt;$L$14,K66&lt;$K$14,L66&gt;$L$14,AND(K66&lt;$K$14,L66&lt;$K$14)),"FUERA DE RANGO",IF(K66&gt;=$K$14,ROUND(((L66-K66+1)/360*12),1),ROUND(((L66-$K$14+1)/360*12),1))))</f>
        <v>9.8000000000000007</v>
      </c>
      <c r="N66" s="256">
        <v>75</v>
      </c>
      <c r="O66" s="254" t="s">
        <v>47</v>
      </c>
      <c r="P66" s="257" t="s">
        <v>47</v>
      </c>
      <c r="Q66" s="258">
        <v>661.1</v>
      </c>
      <c r="R66" s="67">
        <f>IF(OR(G66="",Q66=""),"",Q66*G66)</f>
        <v>661.1</v>
      </c>
      <c r="S66" s="168">
        <f t="shared" ref="S66:S68" si="9">IF(OR(I66="NO",I66="",R66=""),"",IF(OR(L66&lt;$K$14,L66&gt;$L$14,,L66=""),0,ROUND(R66,2)))</f>
        <v>661.1</v>
      </c>
      <c r="T66" s="386"/>
      <c r="U66" s="387"/>
      <c r="V66" s="259" t="s">
        <v>232</v>
      </c>
      <c r="W66" s="143"/>
      <c r="X66" s="266" t="s">
        <v>33</v>
      </c>
      <c r="Y66" s="266" t="s">
        <v>34</v>
      </c>
    </row>
    <row r="67" spans="1:29" s="85" customFormat="1" ht="56.25">
      <c r="A67" s="80" t="str">
        <f>"B"&amp;E62</f>
        <v>B3</v>
      </c>
      <c r="B67" s="251">
        <v>2</v>
      </c>
      <c r="C67" s="252" t="s">
        <v>158</v>
      </c>
      <c r="D67" s="252" t="s">
        <v>228</v>
      </c>
      <c r="E67" s="252" t="s">
        <v>225</v>
      </c>
      <c r="F67" s="252" t="s">
        <v>157</v>
      </c>
      <c r="G67" s="253">
        <v>0.5</v>
      </c>
      <c r="H67" s="253" t="s">
        <v>96</v>
      </c>
      <c r="I67" s="254" t="s">
        <v>47</v>
      </c>
      <c r="J67" s="254" t="s">
        <v>231</v>
      </c>
      <c r="K67" s="255">
        <v>43038</v>
      </c>
      <c r="L67" s="255">
        <v>43100</v>
      </c>
      <c r="M67" s="81">
        <f t="shared" si="8"/>
        <v>2.1</v>
      </c>
      <c r="N67" s="256">
        <v>16</v>
      </c>
      <c r="O67" s="254" t="s">
        <v>47</v>
      </c>
      <c r="P67" s="257" t="s">
        <v>47</v>
      </c>
      <c r="Q67" s="258">
        <v>74.11</v>
      </c>
      <c r="R67" s="67">
        <f t="shared" ref="R67:R68" si="10">IF(OR(G67="",Q67=""),"",Q67*G67)</f>
        <v>37.055</v>
      </c>
      <c r="S67" s="168">
        <f t="shared" si="9"/>
        <v>37.06</v>
      </c>
      <c r="T67" s="386"/>
      <c r="U67" s="387"/>
      <c r="V67" s="259"/>
      <c r="W67" s="143"/>
      <c r="X67" s="267" t="s">
        <v>33</v>
      </c>
      <c r="Y67" s="267" t="s">
        <v>34</v>
      </c>
    </row>
    <row r="68" spans="1:29" s="85" customFormat="1" ht="78.75">
      <c r="A68" s="80" t="str">
        <f>"C"&amp;E62</f>
        <v>C3</v>
      </c>
      <c r="B68" s="251">
        <v>3</v>
      </c>
      <c r="C68" s="252" t="s">
        <v>158</v>
      </c>
      <c r="D68" s="252" t="s">
        <v>229</v>
      </c>
      <c r="E68" s="252" t="s">
        <v>226</v>
      </c>
      <c r="F68" s="252" t="s">
        <v>157</v>
      </c>
      <c r="G68" s="253">
        <v>0.25</v>
      </c>
      <c r="H68" s="253" t="s">
        <v>96</v>
      </c>
      <c r="I68" s="254" t="s">
        <v>47</v>
      </c>
      <c r="J68" s="254" t="s">
        <v>231</v>
      </c>
      <c r="K68" s="255">
        <v>43516</v>
      </c>
      <c r="L68" s="255">
        <v>43575</v>
      </c>
      <c r="M68" s="81">
        <f t="shared" si="8"/>
        <v>2</v>
      </c>
      <c r="N68" s="256">
        <v>29</v>
      </c>
      <c r="O68" s="254" t="s">
        <v>47</v>
      </c>
      <c r="P68" s="257" t="s">
        <v>47</v>
      </c>
      <c r="Q68" s="258">
        <v>99.02</v>
      </c>
      <c r="R68" s="67">
        <f t="shared" si="10"/>
        <v>24.754999999999999</v>
      </c>
      <c r="S68" s="168">
        <f t="shared" si="9"/>
        <v>24.76</v>
      </c>
      <c r="T68" s="386"/>
      <c r="U68" s="387"/>
      <c r="V68" s="259"/>
      <c r="W68" s="143"/>
      <c r="X68" s="267" t="s">
        <v>33</v>
      </c>
      <c r="Y68" s="267" t="s">
        <v>34</v>
      </c>
    </row>
    <row r="69" spans="1:29" s="1" customFormat="1" ht="15.75" customHeight="1" thickBot="1">
      <c r="A69" s="77"/>
      <c r="B69" s="261"/>
      <c r="C69" s="262"/>
      <c r="D69" s="262"/>
      <c r="E69" s="262"/>
      <c r="F69" s="262"/>
      <c r="G69" s="262"/>
      <c r="H69" s="262"/>
      <c r="I69" s="262"/>
      <c r="J69" s="262"/>
      <c r="K69" s="262"/>
      <c r="L69" s="262"/>
      <c r="M69" s="262"/>
      <c r="N69" s="262"/>
      <c r="O69" s="262"/>
      <c r="P69" s="262"/>
      <c r="Q69" s="262"/>
      <c r="R69" s="262"/>
      <c r="S69" s="262"/>
      <c r="T69" s="175"/>
      <c r="U69" s="177"/>
      <c r="V69" s="263"/>
      <c r="W69" s="140"/>
      <c r="X69" s="265"/>
      <c r="Y69" s="264"/>
      <c r="Z69" s="32"/>
    </row>
    <row r="70" spans="1:29" s="1" customFormat="1" ht="17.25" customHeight="1" thickBot="1">
      <c r="A70" s="78"/>
      <c r="B70" s="244"/>
      <c r="C70" s="234"/>
      <c r="D70" s="234"/>
      <c r="E70" s="234"/>
      <c r="F70" s="234"/>
      <c r="G70" s="234"/>
      <c r="H70" s="234"/>
      <c r="I70" s="234"/>
      <c r="J70" s="234"/>
      <c r="K70" s="234"/>
      <c r="L70" s="234"/>
      <c r="M70" s="234"/>
      <c r="N70" s="234"/>
      <c r="O70" s="234"/>
      <c r="P70" s="234"/>
      <c r="Q70" s="245"/>
      <c r="R70" s="245"/>
      <c r="S70" s="246">
        <f>SUM(S66:S68)</f>
        <v>722.92000000000007</v>
      </c>
      <c r="T70" s="334"/>
      <c r="U70" s="335"/>
      <c r="V70" s="247"/>
      <c r="W70" s="32"/>
      <c r="X70" s="260"/>
      <c r="Y70" s="203" t="str">
        <f>IF(COUNTIF(Y66:Y68,"")&gt;9,"VERIFICAR",IF(COUNTIF(Y66:Y68,"CUMPLE")&gt;0,"CUMPLE","NO CUMPLE"))</f>
        <v>NO CUMPLE</v>
      </c>
    </row>
    <row r="71" spans="1:29" ht="17.25" customHeight="1">
      <c r="B71" s="112"/>
      <c r="C71" s="110"/>
      <c r="D71" s="110"/>
      <c r="E71" s="110"/>
      <c r="F71" s="110"/>
      <c r="G71" s="110"/>
      <c r="H71" s="110"/>
      <c r="I71" s="110"/>
      <c r="J71" s="110"/>
      <c r="K71" s="110"/>
      <c r="L71" s="110"/>
      <c r="M71" s="110"/>
      <c r="N71" s="110"/>
      <c r="O71" s="110"/>
      <c r="P71" s="110"/>
      <c r="Q71" s="110"/>
      <c r="R71" s="110"/>
      <c r="U71" s="111"/>
      <c r="V71" s="111"/>
      <c r="X71" s="99"/>
      <c r="Y71" s="99"/>
    </row>
    <row r="72" spans="1:29" s="1" customFormat="1" ht="16.5" customHeight="1" thickBot="1">
      <c r="A72" s="77"/>
      <c r="B72" s="233" t="s">
        <v>42</v>
      </c>
      <c r="C72" s="234"/>
      <c r="D72" s="234"/>
      <c r="E72" s="234"/>
      <c r="F72" s="234"/>
      <c r="G72" s="235"/>
      <c r="H72" s="235"/>
      <c r="I72" s="235"/>
      <c r="J72" s="235"/>
      <c r="K72" s="235"/>
      <c r="L72" s="235"/>
      <c r="M72" s="235"/>
      <c r="N72" s="235"/>
      <c r="O72" s="235"/>
      <c r="P72" s="235"/>
      <c r="Q72" s="235"/>
      <c r="R72" s="235"/>
      <c r="S72" s="235"/>
      <c r="T72" s="235"/>
      <c r="U72" s="248"/>
      <c r="V72" s="116"/>
      <c r="X72" s="32"/>
      <c r="Y72" s="32"/>
      <c r="Z72" s="32"/>
      <c r="AA72" s="32"/>
      <c r="AB72" s="32"/>
      <c r="AC72" s="32"/>
    </row>
    <row r="73" spans="1:29" s="1" customFormat="1" ht="15.75" customHeight="1" thickBot="1">
      <c r="A73" s="77" t="str">
        <f>"G"&amp;E62</f>
        <v>G3</v>
      </c>
      <c r="B73" s="336" t="s">
        <v>80</v>
      </c>
      <c r="C73" s="337"/>
      <c r="D73" s="337"/>
      <c r="E73" s="337"/>
      <c r="F73" s="337"/>
      <c r="G73" s="338"/>
      <c r="H73" s="236" t="s">
        <v>83</v>
      </c>
      <c r="I73" s="237"/>
      <c r="J73" s="237"/>
      <c r="K73" s="237"/>
      <c r="L73" s="237"/>
      <c r="M73" s="237"/>
      <c r="N73" s="237"/>
      <c r="O73" s="238" t="s">
        <v>118</v>
      </c>
      <c r="P73" s="239" t="s">
        <v>124</v>
      </c>
      <c r="Q73" s="339" t="s">
        <v>126</v>
      </c>
      <c r="R73" s="249"/>
      <c r="S73" s="249"/>
      <c r="T73" s="249"/>
      <c r="U73" s="250"/>
    </row>
    <row r="74" spans="1:29" s="1" customFormat="1" ht="15.75" customHeight="1">
      <c r="A74" s="77" t="str">
        <f>"H"&amp;E62</f>
        <v>H3</v>
      </c>
      <c r="B74" s="342" t="s">
        <v>106</v>
      </c>
      <c r="C74" s="343"/>
      <c r="D74" s="343"/>
      <c r="E74" s="343"/>
      <c r="F74" s="343"/>
      <c r="G74" s="344"/>
      <c r="H74" s="342" t="s">
        <v>16</v>
      </c>
      <c r="I74" s="343"/>
      <c r="J74" s="343"/>
      <c r="K74" s="343"/>
      <c r="L74" s="345"/>
      <c r="M74" s="240">
        <f>VLOOKUP(E62,PROPONENTES!$C$14:$E$21,3,0)</f>
        <v>2</v>
      </c>
      <c r="N74" s="339" t="s">
        <v>161</v>
      </c>
      <c r="O74" s="346" t="s">
        <v>160</v>
      </c>
      <c r="P74" s="348" t="s">
        <v>125</v>
      </c>
      <c r="Q74" s="340"/>
      <c r="S74" s="169"/>
      <c r="T74" s="351" t="s">
        <v>121</v>
      </c>
      <c r="U74" s="352"/>
    </row>
    <row r="75" spans="1:29" s="30" customFormat="1" ht="22.5" customHeight="1">
      <c r="A75" s="77" t="str">
        <f>"I"&amp;E62</f>
        <v>I3</v>
      </c>
      <c r="B75" s="355" t="s">
        <v>105</v>
      </c>
      <c r="C75" s="356"/>
      <c r="D75" s="357"/>
      <c r="E75" s="361">
        <f>COUNTIFS(I66:I68,"SI",S66:S68,"&gt;0")</f>
        <v>3</v>
      </c>
      <c r="F75" s="363" t="s">
        <v>107</v>
      </c>
      <c r="G75" s="365">
        <f>IF(E75=0,"N/A",IF(AND(E75&gt;=1,E75&lt;=2),0.75,IF(AND(E75&gt;=3,E75&lt;=4),1.2,IF(E75=5,1.5,IF(AND(E75=6,OR(R83="MIPYME",R83="EMEM")),1.5,IF(AND(E75=7,R83="MIPYME Y EMEM"),1.5,"REVISAR"))))))</f>
        <v>1.2</v>
      </c>
      <c r="H75" s="348" t="s">
        <v>15</v>
      </c>
      <c r="I75" s="367"/>
      <c r="J75" s="369" t="s">
        <v>0</v>
      </c>
      <c r="K75" s="369" t="s">
        <v>114</v>
      </c>
      <c r="L75" s="369" t="s">
        <v>115</v>
      </c>
      <c r="M75" s="370" t="s">
        <v>116</v>
      </c>
      <c r="N75" s="340"/>
      <c r="O75" s="346"/>
      <c r="P75" s="349"/>
      <c r="Q75" s="340"/>
      <c r="R75" s="170"/>
      <c r="S75" s="170"/>
      <c r="T75" s="353"/>
      <c r="U75" s="354"/>
    </row>
    <row r="76" spans="1:29" s="30" customFormat="1" ht="15.75" customHeight="1" thickBot="1">
      <c r="A76" s="77" t="str">
        <f>"J"&amp;E62</f>
        <v>J3</v>
      </c>
      <c r="B76" s="358"/>
      <c r="C76" s="359"/>
      <c r="D76" s="360"/>
      <c r="E76" s="362"/>
      <c r="F76" s="364"/>
      <c r="G76" s="366"/>
      <c r="H76" s="350"/>
      <c r="I76" s="368"/>
      <c r="J76" s="369"/>
      <c r="K76" s="369"/>
      <c r="L76" s="369"/>
      <c r="M76" s="371"/>
      <c r="N76" s="341"/>
      <c r="O76" s="347"/>
      <c r="P76" s="350"/>
      <c r="Q76" s="341"/>
      <c r="R76" s="170"/>
      <c r="S76" s="170"/>
      <c r="T76" s="372">
        <f>E62</f>
        <v>3</v>
      </c>
      <c r="U76" s="373"/>
    </row>
    <row r="77" spans="1:29" s="1" customFormat="1" ht="22.5">
      <c r="A77" s="80" t="str">
        <f>"K"&amp;E62</f>
        <v>K3</v>
      </c>
      <c r="B77" s="342" t="s">
        <v>81</v>
      </c>
      <c r="C77" s="343"/>
      <c r="D77" s="343"/>
      <c r="E77" s="343"/>
      <c r="F77" s="343"/>
      <c r="G77" s="343"/>
      <c r="H77" s="107">
        <v>1</v>
      </c>
      <c r="I77" s="65" t="str">
        <f>IF(AND(H77&lt;=M74,M74&gt;1),VLOOKUP(VALUE(E62&amp;","&amp;H77),INTEGRANTES!$B$15:$D$23,2,0),"")</f>
        <v>INGENIERIA CUMBRE S.A.S.</v>
      </c>
      <c r="J77" s="108">
        <f>IF(I77&lt;&gt;"",VLOOKUP(VALUE(E62&amp;","&amp;H77),INTEGRANTES!$B$15:$D$23,3,0),"")</f>
        <v>0.5</v>
      </c>
      <c r="K77" s="134">
        <f>IF($I77="","",IF($G75="N/A","",ROUND($E79*PORPOM,2)))</f>
        <v>0</v>
      </c>
      <c r="L77" s="134">
        <f>IF(I77="","",SUMIF($J66:$J68,I77,$S66:$S68))</f>
        <v>0</v>
      </c>
      <c r="M77" s="66" t="str">
        <f t="shared" ref="M77" si="11">IF($I77="","",IF($K77&gt;L77,"NO CUMPLE","CUMPLE"))</f>
        <v>CUMPLE</v>
      </c>
      <c r="N77" s="66" t="str">
        <f>IF($I77="","",IF(M77="CUMPLE","CUMPLE","NO CUMPLE"))</f>
        <v>CUMPLE</v>
      </c>
      <c r="O77" s="181" t="str">
        <f>IF(OR(J77="",L77=""),"",IF(AND(J77&gt;=0.25,L77&gt;=$F79*0.25),"SI","NO"))</f>
        <v>NO</v>
      </c>
      <c r="P77" s="66" t="str">
        <f>IF(I77="","",IF(OR(SUMIF($J66:$J68,I77,$S66:$S68)&gt;=5%*E79,AND(SUMIF($J66:$J68,I77,$S66:$S68)=0,J77&lt;=10%)),"CUMPLE","NO CUMPLE"))</f>
        <v>NO CUMPLE</v>
      </c>
      <c r="Q77" s="184" t="str">
        <f>IF(OR(I77="",P77="",P77="CUMPLE"),"",IF(AND(P77="NO CUMPLE",L77=0,J77&gt;5%),"EXP = 0 y PART &gt; 5%",IF(L77&lt;5%*E79,"EXP &lt; 5%","")))</f>
        <v>EXP = 0 y PART &gt; 5%</v>
      </c>
      <c r="R77" s="170"/>
      <c r="S77" s="170"/>
      <c r="T77" s="372"/>
      <c r="U77" s="373"/>
    </row>
    <row r="78" spans="1:29" s="1" customFormat="1" ht="33.75">
      <c r="A78" s="80" t="str">
        <f>"L"&amp;E62</f>
        <v>L3</v>
      </c>
      <c r="B78" s="355" t="s">
        <v>108</v>
      </c>
      <c r="C78" s="356"/>
      <c r="D78" s="357"/>
      <c r="E78" s="241" t="s">
        <v>109</v>
      </c>
      <c r="F78" s="241" t="s">
        <v>110</v>
      </c>
      <c r="G78" s="242" t="s">
        <v>82</v>
      </c>
      <c r="H78" s="107">
        <v>2</v>
      </c>
      <c r="I78" s="65" t="str">
        <f>IF(AND(H78&lt;=M74,M74&gt;1),VLOOKUP(VALUE(E62&amp;","&amp;H78),INTEGRANTES!$B$15:$D$23,2,0),"")</f>
        <v>R INGENIERIA ARQUITECTURA COLOMBIANA SAS</v>
      </c>
      <c r="J78" s="108">
        <f>IF(I78&lt;&gt;"",VLOOKUP(VALUE(E62&amp;","&amp;H78),INTEGRANTES!$B$15:$D$23,3,0),"")</f>
        <v>0.5</v>
      </c>
      <c r="K78" s="134">
        <f>IF($I78="","",IF($G75="N/A","",ROUND($E79*PORPOM,2)))</f>
        <v>0</v>
      </c>
      <c r="L78" s="134">
        <f>IF(I78="","",SUMIF($J66:$J68,I78,$S66:$S68))</f>
        <v>661.1</v>
      </c>
      <c r="M78" s="66" t="str">
        <f>IF($I78="","",IF($K78&gt;L78,"NO CUMPLE","CUMPLE"))</f>
        <v>CUMPLE</v>
      </c>
      <c r="N78" s="66" t="str">
        <f t="shared" ref="N78:N82" si="12">IF($I78="","",IF(M78="CUMPLE","CUMPLE","NO CUMPLE"))</f>
        <v>CUMPLE</v>
      </c>
      <c r="O78" s="181" t="str">
        <f>IF(OR(J78="",L78=""),"",IF(AND(J78&gt;=0.25,L78&gt;=$F79*0.25),"SI","NO"))</f>
        <v>SI</v>
      </c>
      <c r="P78" s="66" t="str">
        <f ca="1">IF(I78="","",IF(OR(SUMIF($J66:$J68,I78,$S66:$S68)&gt;=5%*E79,AND(SUMIF($J$22:J66,$J78,$S66:$S68)=0,J78&lt;=10%)),"CUMPLE","NO CUMPLE"))</f>
        <v>CUMPLE</v>
      </c>
      <c r="Q78" s="184" t="str">
        <f ca="1">IF(OR(I78="",P78="",P78="CUMPLE"),"",IF(AND(P78="NO CUMPLE",L78=0,J78&gt;5%),"EXP = 0 y PART &gt; 5%",IF(L78&lt;5%*E79,"EXP &lt; 5%","")))</f>
        <v/>
      </c>
      <c r="R78" s="170"/>
      <c r="S78" s="170"/>
      <c r="T78" s="372"/>
      <c r="U78" s="373"/>
    </row>
    <row r="79" spans="1:29" s="1" customFormat="1" ht="13.5" thickBot="1">
      <c r="A79" s="77" t="str">
        <f>"M"&amp;E62</f>
        <v>M3</v>
      </c>
      <c r="B79" s="358"/>
      <c r="C79" s="359"/>
      <c r="D79" s="360"/>
      <c r="E79" s="132">
        <f>IF(ISTEXT(G75),"NO APLICA",G75*POSMMLV)</f>
        <v>706.15384615384608</v>
      </c>
      <c r="F79" s="133">
        <f>IF(E79="","",S70)</f>
        <v>722.92000000000007</v>
      </c>
      <c r="G79" s="131" t="str">
        <f>IF(E79="","",IF(E79="NO APLICA","NO CUMPLE",IF(F79&gt;=E79,"CUMPLE", "NO CUMPLE")))</f>
        <v>CUMPLE</v>
      </c>
      <c r="H79" s="107">
        <v>3</v>
      </c>
      <c r="I79" s="65" t="str">
        <f>IF(AND(H79&lt;=M74,M74&gt;1),VLOOKUP(VALUE(E62&amp;","&amp;H79),INTEGRANTES!$B$15:$D$23,2,0),"")</f>
        <v/>
      </c>
      <c r="J79" s="108" t="str">
        <f>IF(I79&lt;&gt;"",VLOOKUP(VALUE(E62&amp;","&amp;H79),INTEGRANTES!$B$15:$D$23,3,0),"")</f>
        <v/>
      </c>
      <c r="K79" s="134" t="str">
        <f>IF($I79="","",IF($G75="N/A","",ROUND($E79*PORPOM,2)))</f>
        <v/>
      </c>
      <c r="L79" s="134" t="str">
        <f>IF(I79="","",SUMIF($J66:$J68,I79,$S66:$S68))</f>
        <v/>
      </c>
      <c r="M79" s="66" t="str">
        <f t="shared" ref="M79:M82" si="13">IF($I79="","",IF($K79&gt;L79,"NO CUMPLE","CUMPLE"))</f>
        <v/>
      </c>
      <c r="N79" s="66" t="str">
        <f t="shared" si="12"/>
        <v/>
      </c>
      <c r="O79" s="181" t="str">
        <f>IF(OR(J79="",L79=""),"",IF(AND(J79&gt;=0.25,L79&gt;=$F79*0.25),"SI","NO"))</f>
        <v/>
      </c>
      <c r="P79" s="66" t="str">
        <f>IF(I79="","",IF(OR(SUMIF($J66:$J68,I79,$S66:$S68)&gt;=5%*E79,AND(SUMIF($J66:$J68,J79,$S66:$S68)=0,J79&lt;=10%)),"CUMPLE","NO CUMPLE"))</f>
        <v/>
      </c>
      <c r="Q79" s="184" t="str">
        <f>IF(OR(I79="",P79="",P79="CUMPLE"),"",IF(AND(P79="NO CUMPLE",L79=0,J79&gt;5%),"EXP = 0 y PART &gt; 5%",IF(L79&lt;5%*E79,"EXP &lt; 5%","")))</f>
        <v/>
      </c>
      <c r="R79" s="170"/>
      <c r="S79" s="170"/>
      <c r="T79" s="372"/>
      <c r="U79" s="373"/>
    </row>
    <row r="80" spans="1:29" s="1" customFormat="1" ht="16.5" customHeight="1">
      <c r="A80" s="77" t="str">
        <f>"N"&amp;E62</f>
        <v>N3</v>
      </c>
      <c r="B80" s="342" t="s">
        <v>88</v>
      </c>
      <c r="C80" s="343"/>
      <c r="D80" s="343"/>
      <c r="E80" s="343"/>
      <c r="F80" s="343"/>
      <c r="G80" s="343"/>
      <c r="H80" s="107">
        <v>4</v>
      </c>
      <c r="I80" s="65" t="str">
        <f>IF(AND(H80&lt;=M74,M74&gt;1),VLOOKUP(VALUE(E62&amp;","&amp;H80),INTEGRANTES!$B$15:$D$23,2,0),"")</f>
        <v/>
      </c>
      <c r="J80" s="108" t="str">
        <f>IF(I80&lt;&gt;"",VLOOKUP(VALUE(E62&amp;","&amp;H80),INTEGRANTES!$B$15:$D$23,3,0),"")</f>
        <v/>
      </c>
      <c r="K80" s="134" t="str">
        <f>IF($I80="","",IF($G75="N/A","",ROUND($E79*PORPOM,2)))</f>
        <v/>
      </c>
      <c r="L80" s="134" t="str">
        <f>IF(I80="","",SUMIF($J66:$J68,I80,$S66:$S68))</f>
        <v/>
      </c>
      <c r="M80" s="66" t="str">
        <f t="shared" si="13"/>
        <v/>
      </c>
      <c r="N80" s="66" t="str">
        <f t="shared" si="12"/>
        <v/>
      </c>
      <c r="O80" s="181" t="str">
        <f>IF(OR(J80="",L80=""),"",IF(AND(J80&gt;=0.25,L80&gt;=$F79*0.25),"SI","NO"))</f>
        <v/>
      </c>
      <c r="P80" s="66" t="str">
        <f>IF(I80="","",IF(OR(SUMIF($J66:$J68,I80,$S66:$S68)&gt;=5%*E79,AND(SUMIF($J66:$J68,J80,$S66:$S68)=0,J80&lt;=10%)),"CUMPLE","NO CUMPLE"))</f>
        <v/>
      </c>
      <c r="Q80" s="184" t="str">
        <f>IF(OR(I80="",P80="",P80="CUMPLE"),"",IF(AND(P80="NO CUMPLE",L80=0,J80&gt;5%),"EXP = 0 y PART &gt; 5%",IF(L80&lt;5%*E79,"EXP &lt; 5%","")))</f>
        <v/>
      </c>
      <c r="R80" s="170"/>
      <c r="S80" s="170"/>
      <c r="T80" s="372"/>
      <c r="U80" s="373"/>
    </row>
    <row r="81" spans="1:29" s="1" customFormat="1" ht="16.5" customHeight="1">
      <c r="A81" s="77" t="str">
        <f>"O"&amp;E62</f>
        <v>O3</v>
      </c>
      <c r="B81" s="355" t="s">
        <v>89</v>
      </c>
      <c r="C81" s="356"/>
      <c r="D81" s="356"/>
      <c r="E81" s="356"/>
      <c r="F81" s="356"/>
      <c r="G81" s="243" t="s">
        <v>82</v>
      </c>
      <c r="H81" s="107">
        <v>5</v>
      </c>
      <c r="I81" s="65" t="str">
        <f>IF(AND(H81&lt;=M74,M74&gt;1),VLOOKUP(VALUE(E62&amp;","&amp;H81),INTEGRANTES!$B$15:$D$23,2,0),"")</f>
        <v/>
      </c>
      <c r="J81" s="108" t="str">
        <f>IF(I81&lt;&gt;"",VLOOKUP(VALUE(E62&amp;","&amp;H81),INTEGRANTES!$B$15:$D$23,3,0),"")</f>
        <v/>
      </c>
      <c r="K81" s="134" t="str">
        <f>IF($I81="","",IF($G75="N/A","",ROUND($E79*PORPOM,2)))</f>
        <v/>
      </c>
      <c r="L81" s="134" t="str">
        <f>IF(I81="","",SUMIF($J66:$J68,I81,$S66:$S68))</f>
        <v/>
      </c>
      <c r="M81" s="66" t="str">
        <f t="shared" si="13"/>
        <v/>
      </c>
      <c r="N81" s="66" t="str">
        <f t="shared" si="12"/>
        <v/>
      </c>
      <c r="O81" s="181" t="str">
        <f>IF(OR(J81="",L81=""),"",IF(AND(J81&gt;=0.25,L81&gt;=$F79*0.25),"SI","NO"))</f>
        <v/>
      </c>
      <c r="P81" s="66" t="str">
        <f>IF(I81="","",IF(OR(SUMIF($J66:$J68,I81,$S66:$S68)&gt;=5%*E79,AND(SUMIF($J66:$J68,J81,$S66:$S68)=0,J81&lt;=10%)),"CUMPLE","NO CUMPLE"))</f>
        <v/>
      </c>
      <c r="Q81" s="184" t="str">
        <f>IF(OR(I81="",P81="",P81="CUMPLE"),"",IF(AND(P81="NO CUMPLE",L81=0,J81&gt;5%),"EXP = 0 y PART &gt; 5%",IF(L81&lt;5%*E79,"EXP &lt; 5%","")))</f>
        <v/>
      </c>
      <c r="R81" s="378" t="s">
        <v>155</v>
      </c>
      <c r="S81" s="379"/>
      <c r="T81" s="372"/>
      <c r="U81" s="373"/>
    </row>
    <row r="82" spans="1:29" s="1" customFormat="1" ht="15.75" customHeight="1" thickBot="1">
      <c r="A82" s="77" t="str">
        <f>"P"&amp;E62</f>
        <v>P3</v>
      </c>
      <c r="B82" s="376"/>
      <c r="C82" s="377"/>
      <c r="D82" s="377"/>
      <c r="E82" s="377"/>
      <c r="F82" s="377"/>
      <c r="G82" s="84" t="str">
        <f>IF(COUNTIF(Y66:Y68,"")&gt;5,"NO CUMPLE",IF(COUNTIF(Y66:Y68,"CUMPLE")&gt;=1,"CUMPLE", "NO CUMPLE"))</f>
        <v>NO CUMPLE</v>
      </c>
      <c r="H82" s="137">
        <v>6</v>
      </c>
      <c r="I82" s="138" t="str">
        <f>IF(AND(H82&lt;=M74,M74&gt;1),VLOOKUP(VALUE(E63&amp;","&amp;H82),INTEGRANTES!$B$15:$D$23,2,0),"")</f>
        <v/>
      </c>
      <c r="J82" s="108" t="str">
        <f>IF(I82&lt;&gt;"",VLOOKUP(VALUE(E63&amp;","&amp;H82),INTEGRANTES!$B$15:$D$23,3,0),"")</f>
        <v/>
      </c>
      <c r="K82" s="134" t="str">
        <f>IF($I82="","",IF($G75="N/A","",ROUND($E79*PORPOM,2)))</f>
        <v/>
      </c>
      <c r="L82" s="134" t="str">
        <f>IF(I82="","",SUMIF($J66:$J68,I82,$S66:$S68))</f>
        <v/>
      </c>
      <c r="M82" s="139" t="str">
        <f t="shared" si="13"/>
        <v/>
      </c>
      <c r="N82" s="66" t="str">
        <f t="shared" si="12"/>
        <v/>
      </c>
      <c r="O82" s="181" t="str">
        <f>IF(OR(J82="",L82=""),"",IF(AND(J82&gt;=0.25,L82&gt;=$F79*0.25),"SI","NO"))</f>
        <v/>
      </c>
      <c r="P82" s="66" t="str">
        <f>IF(I82="","",IF(OR(SUMIF($J66:$J68,I82,$S66:$S68)&gt;=5%*E79,AND(SUMIF($J66:$J68,J82,$S66:$S68)=0,J82&lt;=10%)),"CUMPLE","NO CUMPLE"))</f>
        <v/>
      </c>
      <c r="Q82" s="185" t="str">
        <f>IF(OR(I82="",P82="",P82="CUMPLE"),"",IF(AND(P82="NO CUMPLE",L82=0,J82&gt;5%),"EXP = 0 y PART &gt; 5%",IF(L82&lt;5%*E79,"EXP &lt; 5%","")))</f>
        <v/>
      </c>
      <c r="R82" s="378"/>
      <c r="S82" s="379"/>
      <c r="T82" s="372"/>
      <c r="U82" s="373"/>
    </row>
    <row r="83" spans="1:29" s="1" customFormat="1" ht="39" customHeight="1" thickBot="1">
      <c r="A83" s="77" t="str">
        <f>"Q"&amp;E62</f>
        <v>Q3</v>
      </c>
      <c r="B83" s="325"/>
      <c r="C83" s="326"/>
      <c r="D83" s="326"/>
      <c r="E83" s="326"/>
      <c r="F83" s="326"/>
      <c r="G83" s="327"/>
      <c r="H83" s="328" t="s">
        <v>112</v>
      </c>
      <c r="I83" s="329"/>
      <c r="J83" s="330"/>
      <c r="K83" s="328" t="s">
        <v>113</v>
      </c>
      <c r="L83" s="331"/>
      <c r="M83" s="109" t="str">
        <f>IF(OR($M74="",SUM(J77:J82)=0),"",IF(COUNTIF(M77:M82,"CUMPLE")&gt;=1,"CUMPLE","NO CUMPLE"))</f>
        <v>CUMPLE</v>
      </c>
      <c r="N83" s="109" t="str">
        <f>IF(OR($M74="",SUM(J77:J82)=0),"",IF(COUNTIF(N77:N82,"CUMPLE")&gt;=1,"CUMPLE","NO CUMPLE"))</f>
        <v>CUMPLE</v>
      </c>
      <c r="O83" s="182"/>
      <c r="P83" s="182" t="str">
        <f ca="1">IF(COUNTIF(P77:P82,"")&gt;5,"",IF(COUNTIF(P77:P82,"NO CUMPLE")&gt;0,"NO CUMPLE","CUMPLE"))</f>
        <v>NO CUMPLE</v>
      </c>
      <c r="Q83" s="186"/>
      <c r="R83" s="332" t="s">
        <v>179</v>
      </c>
      <c r="S83" s="333"/>
      <c r="T83" s="374"/>
      <c r="U83" s="375"/>
      <c r="X83" s="141"/>
      <c r="Y83" s="141"/>
      <c r="Z83" s="32"/>
      <c r="AA83" s="32"/>
      <c r="AB83" s="32"/>
    </row>
    <row r="88" spans="1:29" s="7" customFormat="1" ht="24" hidden="1" customHeight="1" thickBot="1">
      <c r="A88" s="97">
        <v>5</v>
      </c>
      <c r="B88" s="388" t="s">
        <v>1</v>
      </c>
      <c r="C88" s="388"/>
      <c r="D88" s="388"/>
      <c r="E88" s="70" t="e">
        <f>VLOOKUP(A88,PROPONENTES!$B$14:$D$21,2,FALSE)</f>
        <v>#N/A</v>
      </c>
      <c r="F88" s="71" t="e">
        <f>VLOOKUP(E88,PROPONENTES!$C$14:$D$21,2,FALSE)</f>
        <v>#N/A</v>
      </c>
      <c r="G88" s="72"/>
      <c r="H88" s="72"/>
      <c r="I88" s="72"/>
      <c r="J88" s="71"/>
      <c r="K88" s="71"/>
      <c r="L88" s="70"/>
      <c r="M88" s="72"/>
      <c r="N88" s="72"/>
      <c r="O88" s="72"/>
      <c r="P88" s="72"/>
      <c r="Q88" s="72"/>
      <c r="R88" s="72"/>
      <c r="S88" s="72"/>
      <c r="T88" s="72"/>
      <c r="U88" s="73"/>
      <c r="V88" s="74"/>
      <c r="W88" s="74"/>
      <c r="X88" s="74"/>
      <c r="Z88" s="72"/>
      <c r="AA88" s="72"/>
      <c r="AC88" s="72"/>
    </row>
    <row r="89" spans="1:29" s="83" customFormat="1" ht="18.75" hidden="1">
      <c r="A89" s="82"/>
      <c r="B89" s="389" t="s">
        <v>71</v>
      </c>
      <c r="C89" s="391" t="s">
        <v>45</v>
      </c>
      <c r="D89" s="393" t="s">
        <v>104</v>
      </c>
      <c r="E89" s="345"/>
      <c r="F89" s="393" t="s">
        <v>76</v>
      </c>
      <c r="G89" s="345"/>
      <c r="H89" s="394" t="s">
        <v>72</v>
      </c>
      <c r="I89" s="394" t="s">
        <v>85</v>
      </c>
      <c r="J89" s="394" t="s">
        <v>2</v>
      </c>
      <c r="K89" s="394" t="s">
        <v>26</v>
      </c>
      <c r="L89" s="394" t="s">
        <v>27</v>
      </c>
      <c r="M89" s="395" t="s">
        <v>28</v>
      </c>
      <c r="N89" s="394" t="s">
        <v>86</v>
      </c>
      <c r="O89" s="397" t="s">
        <v>61</v>
      </c>
      <c r="P89" s="398"/>
      <c r="Q89" s="391" t="s">
        <v>120</v>
      </c>
      <c r="R89" s="343" t="s">
        <v>3</v>
      </c>
      <c r="S89" s="343"/>
      <c r="T89" s="380" t="s">
        <v>17</v>
      </c>
      <c r="U89" s="381"/>
      <c r="V89" s="339" t="s">
        <v>84</v>
      </c>
      <c r="W89" s="142"/>
      <c r="X89" s="270" t="s">
        <v>166</v>
      </c>
      <c r="Y89" s="270" t="s">
        <v>167</v>
      </c>
    </row>
    <row r="90" spans="1:29" s="83" customFormat="1" ht="93" hidden="1" customHeight="1" thickBot="1">
      <c r="A90" s="82"/>
      <c r="B90" s="390"/>
      <c r="C90" s="392"/>
      <c r="D90" s="223" t="s">
        <v>9</v>
      </c>
      <c r="E90" s="223" t="s">
        <v>4</v>
      </c>
      <c r="F90" s="223" t="s">
        <v>14</v>
      </c>
      <c r="G90" s="224" t="s">
        <v>73</v>
      </c>
      <c r="H90" s="369"/>
      <c r="I90" s="369"/>
      <c r="J90" s="369"/>
      <c r="K90" s="369"/>
      <c r="L90" s="369"/>
      <c r="M90" s="396"/>
      <c r="N90" s="369"/>
      <c r="O90" s="225" t="s">
        <v>59</v>
      </c>
      <c r="P90" s="225" t="s">
        <v>87</v>
      </c>
      <c r="Q90" s="392"/>
      <c r="R90" s="225" t="s">
        <v>64</v>
      </c>
      <c r="S90" s="226" t="s">
        <v>60</v>
      </c>
      <c r="T90" s="382"/>
      <c r="U90" s="383"/>
      <c r="V90" s="341"/>
      <c r="W90" s="142"/>
      <c r="X90" s="281" t="s">
        <v>177</v>
      </c>
      <c r="Y90" s="269" t="s">
        <v>178</v>
      </c>
    </row>
    <row r="91" spans="1:29" s="1" customFormat="1" ht="12" hidden="1" customHeight="1" thickBot="1">
      <c r="A91" s="77"/>
      <c r="B91" s="68"/>
      <c r="C91" s="69"/>
      <c r="D91" s="69"/>
      <c r="E91" s="69"/>
      <c r="F91" s="69"/>
      <c r="G91" s="69"/>
      <c r="H91" s="69"/>
      <c r="I91" s="69"/>
      <c r="J91" s="69"/>
      <c r="K91" s="69"/>
      <c r="L91" s="69"/>
      <c r="M91" s="69"/>
      <c r="N91" s="69"/>
      <c r="O91" s="69"/>
      <c r="P91" s="69"/>
      <c r="Q91" s="100"/>
      <c r="R91" s="100"/>
      <c r="S91" s="69"/>
      <c r="T91" s="384"/>
      <c r="U91" s="385"/>
      <c r="V91" s="144"/>
      <c r="W91" s="32"/>
      <c r="X91" s="205"/>
      <c r="Y91" s="204"/>
    </row>
    <row r="92" spans="1:29" s="85" customFormat="1" ht="58.5" hidden="1" customHeight="1">
      <c r="A92" s="80" t="e">
        <f>"A"&amp;E88</f>
        <v>#N/A</v>
      </c>
      <c r="B92" s="251">
        <v>1</v>
      </c>
      <c r="C92" s="252" t="s">
        <v>158</v>
      </c>
      <c r="D92" s="252" t="s">
        <v>182</v>
      </c>
      <c r="E92" s="252" t="s">
        <v>183</v>
      </c>
      <c r="F92" s="252" t="s">
        <v>159</v>
      </c>
      <c r="G92" s="253">
        <v>1</v>
      </c>
      <c r="H92" s="253" t="s">
        <v>96</v>
      </c>
      <c r="I92" s="254" t="s">
        <v>47</v>
      </c>
      <c r="J92" s="254" t="s">
        <v>175</v>
      </c>
      <c r="K92" s="255">
        <v>43830</v>
      </c>
      <c r="L92" s="255">
        <v>44057</v>
      </c>
      <c r="M92" s="81">
        <f t="shared" ref="M92:M97" si="14">IF(OR(K92="",L92=""),"",IF(OR(K92&gt;$L$14,K92&lt;$K$14,L92&gt;$L$14,AND(K92&lt;$K$14,L92&lt;$K$14)),"FUERA DE RANGO",IF(K92&gt;=$K$14,ROUND(((L92-K92+1)/360*12),1),ROUND(((L92-$K$14+1)/360*12),1))))</f>
        <v>7.6</v>
      </c>
      <c r="N92" s="256">
        <v>53</v>
      </c>
      <c r="O92" s="254" t="s">
        <v>47</v>
      </c>
      <c r="P92" s="257" t="s">
        <v>47</v>
      </c>
      <c r="Q92" s="258">
        <v>1966.5</v>
      </c>
      <c r="R92" s="67">
        <f>IF(OR(G92="",Q92=""),"",Q92*G92)</f>
        <v>1966.5</v>
      </c>
      <c r="S92" s="168">
        <f t="shared" ref="S92:S97" si="15">IF(OR(I92="NO",I92="",R92=""),"",IF(OR(L92&lt;$K$14,L92&gt;$L$14,,L92=""),0,ROUND(R92,2)))</f>
        <v>1966.5</v>
      </c>
      <c r="T92" s="386"/>
      <c r="U92" s="387"/>
      <c r="V92" s="259"/>
      <c r="W92" s="143"/>
      <c r="X92" s="266" t="s">
        <v>33</v>
      </c>
      <c r="Y92" s="266" t="s">
        <v>33</v>
      </c>
    </row>
    <row r="93" spans="1:29" s="85" customFormat="1" ht="45" hidden="1">
      <c r="A93" s="80" t="e">
        <f>"B"&amp;E88</f>
        <v>#N/A</v>
      </c>
      <c r="B93" s="251">
        <v>2</v>
      </c>
      <c r="C93" s="252" t="s">
        <v>158</v>
      </c>
      <c r="D93" s="252" t="s">
        <v>184</v>
      </c>
      <c r="E93" s="252" t="s">
        <v>189</v>
      </c>
      <c r="F93" s="252" t="s">
        <v>159</v>
      </c>
      <c r="G93" s="253">
        <v>1</v>
      </c>
      <c r="H93" s="253" t="s">
        <v>96</v>
      </c>
      <c r="I93" s="254" t="s">
        <v>47</v>
      </c>
      <c r="J93" s="254" t="s">
        <v>175</v>
      </c>
      <c r="K93" s="255">
        <v>43826</v>
      </c>
      <c r="L93" s="255">
        <v>44003</v>
      </c>
      <c r="M93" s="81">
        <f t="shared" si="14"/>
        <v>5.9</v>
      </c>
      <c r="N93" s="256">
        <v>51</v>
      </c>
      <c r="O93" s="254" t="s">
        <v>47</v>
      </c>
      <c r="P93" s="257" t="s">
        <v>47</v>
      </c>
      <c r="Q93" s="258">
        <v>901.43</v>
      </c>
      <c r="R93" s="67">
        <f t="shared" ref="R93:R97" si="16">IF(OR(G93="",Q93=""),"",Q93*G93)</f>
        <v>901.43</v>
      </c>
      <c r="S93" s="168">
        <f t="shared" si="15"/>
        <v>901.43</v>
      </c>
      <c r="T93" s="386"/>
      <c r="U93" s="387"/>
      <c r="V93" s="259"/>
      <c r="W93" s="143"/>
      <c r="X93" s="267"/>
      <c r="Y93" s="267"/>
    </row>
    <row r="94" spans="1:29" s="85" customFormat="1" ht="56.25" hidden="1">
      <c r="A94" s="80" t="e">
        <f>"C"&amp;E88</f>
        <v>#N/A</v>
      </c>
      <c r="B94" s="251">
        <v>3</v>
      </c>
      <c r="C94" s="252" t="s">
        <v>158</v>
      </c>
      <c r="D94" s="252" t="s">
        <v>185</v>
      </c>
      <c r="E94" s="252" t="s">
        <v>190</v>
      </c>
      <c r="F94" s="252" t="s">
        <v>159</v>
      </c>
      <c r="G94" s="253">
        <v>1</v>
      </c>
      <c r="H94" s="253" t="s">
        <v>96</v>
      </c>
      <c r="I94" s="254" t="s">
        <v>47</v>
      </c>
      <c r="J94" s="254" t="s">
        <v>175</v>
      </c>
      <c r="K94" s="255">
        <v>41928</v>
      </c>
      <c r="L94" s="255">
        <v>41988</v>
      </c>
      <c r="M94" s="81">
        <f t="shared" si="14"/>
        <v>2</v>
      </c>
      <c r="N94" s="256">
        <v>33</v>
      </c>
      <c r="O94" s="254" t="s">
        <v>47</v>
      </c>
      <c r="P94" s="257" t="s">
        <v>47</v>
      </c>
      <c r="Q94" s="258">
        <v>647.24</v>
      </c>
      <c r="R94" s="67">
        <f t="shared" si="16"/>
        <v>647.24</v>
      </c>
      <c r="S94" s="168">
        <f t="shared" si="15"/>
        <v>647.24</v>
      </c>
      <c r="T94" s="386"/>
      <c r="U94" s="387"/>
      <c r="V94" s="259"/>
      <c r="W94" s="143"/>
      <c r="X94" s="267"/>
      <c r="Y94" s="267"/>
    </row>
    <row r="95" spans="1:29" s="85" customFormat="1" ht="20.100000000000001" hidden="1" customHeight="1">
      <c r="A95" s="80" t="e">
        <f>"D"&amp;E88</f>
        <v>#N/A</v>
      </c>
      <c r="B95" s="251">
        <v>4</v>
      </c>
      <c r="C95" s="252" t="s">
        <v>158</v>
      </c>
      <c r="D95" s="252" t="s">
        <v>186</v>
      </c>
      <c r="E95" s="252" t="s">
        <v>191</v>
      </c>
      <c r="F95" s="252" t="s">
        <v>159</v>
      </c>
      <c r="G95" s="253">
        <v>1</v>
      </c>
      <c r="H95" s="253" t="s">
        <v>96</v>
      </c>
      <c r="I95" s="254" t="s">
        <v>47</v>
      </c>
      <c r="J95" s="254" t="s">
        <v>175</v>
      </c>
      <c r="K95" s="255">
        <v>39419</v>
      </c>
      <c r="L95" s="255">
        <v>39544</v>
      </c>
      <c r="M95" s="81">
        <f t="shared" si="14"/>
        <v>4.2</v>
      </c>
      <c r="N95" s="256">
        <v>16</v>
      </c>
      <c r="O95" s="254" t="s">
        <v>47</v>
      </c>
      <c r="P95" s="257" t="s">
        <v>47</v>
      </c>
      <c r="Q95" s="258">
        <v>1126.74</v>
      </c>
      <c r="R95" s="67">
        <f t="shared" si="16"/>
        <v>1126.74</v>
      </c>
      <c r="S95" s="168">
        <f t="shared" si="15"/>
        <v>1126.74</v>
      </c>
      <c r="T95" s="386"/>
      <c r="U95" s="387"/>
      <c r="V95" s="259"/>
      <c r="W95" s="143"/>
      <c r="X95" s="267"/>
      <c r="Y95" s="267"/>
    </row>
    <row r="96" spans="1:29" s="85" customFormat="1" ht="20.100000000000001" hidden="1" customHeight="1">
      <c r="A96" s="80" t="e">
        <f>"E"&amp;E88</f>
        <v>#N/A</v>
      </c>
      <c r="B96" s="251">
        <v>5</v>
      </c>
      <c r="C96" s="252" t="s">
        <v>158</v>
      </c>
      <c r="D96" s="252" t="s">
        <v>187</v>
      </c>
      <c r="E96" s="252" t="s">
        <v>192</v>
      </c>
      <c r="F96" s="252" t="s">
        <v>159</v>
      </c>
      <c r="G96" s="253">
        <v>1</v>
      </c>
      <c r="H96" s="253" t="s">
        <v>96</v>
      </c>
      <c r="I96" s="254" t="s">
        <v>47</v>
      </c>
      <c r="J96" s="254" t="s">
        <v>175</v>
      </c>
      <c r="K96" s="255">
        <v>43819</v>
      </c>
      <c r="L96" s="255">
        <v>43965</v>
      </c>
      <c r="M96" s="81">
        <f t="shared" si="14"/>
        <v>4.9000000000000004</v>
      </c>
      <c r="N96" s="256">
        <v>52</v>
      </c>
      <c r="O96" s="254" t="s">
        <v>47</v>
      </c>
      <c r="P96" s="257" t="s">
        <v>47</v>
      </c>
      <c r="Q96" s="258">
        <v>541.41999999999996</v>
      </c>
      <c r="R96" s="67">
        <f t="shared" si="16"/>
        <v>541.41999999999996</v>
      </c>
      <c r="S96" s="168">
        <f t="shared" si="15"/>
        <v>541.41999999999996</v>
      </c>
      <c r="T96" s="386"/>
      <c r="U96" s="387"/>
      <c r="V96" s="259"/>
      <c r="W96" s="143"/>
      <c r="X96" s="267"/>
      <c r="Y96" s="267"/>
    </row>
    <row r="97" spans="1:29" s="85" customFormat="1" ht="20.100000000000001" hidden="1" customHeight="1">
      <c r="A97" s="80" t="e">
        <f>"F"&amp;E88</f>
        <v>#N/A</v>
      </c>
      <c r="B97" s="251">
        <v>6</v>
      </c>
      <c r="C97" s="252" t="s">
        <v>181</v>
      </c>
      <c r="D97" s="252" t="s">
        <v>188</v>
      </c>
      <c r="E97" s="252" t="s">
        <v>193</v>
      </c>
      <c r="F97" s="252" t="s">
        <v>157</v>
      </c>
      <c r="G97" s="253">
        <v>0.5</v>
      </c>
      <c r="H97" s="253" t="s">
        <v>96</v>
      </c>
      <c r="I97" s="254" t="s">
        <v>47</v>
      </c>
      <c r="J97" s="254" t="s">
        <v>175</v>
      </c>
      <c r="K97" s="255">
        <v>38600</v>
      </c>
      <c r="L97" s="255">
        <v>38797</v>
      </c>
      <c r="M97" s="81">
        <f t="shared" si="14"/>
        <v>6.6</v>
      </c>
      <c r="N97" s="256">
        <v>20</v>
      </c>
      <c r="O97" s="254" t="s">
        <v>47</v>
      </c>
      <c r="P97" s="257" t="s">
        <v>47</v>
      </c>
      <c r="Q97" s="258">
        <v>2359.1</v>
      </c>
      <c r="R97" s="67">
        <f t="shared" si="16"/>
        <v>1179.55</v>
      </c>
      <c r="S97" s="168">
        <f t="shared" si="15"/>
        <v>1179.55</v>
      </c>
      <c r="T97" s="386"/>
      <c r="U97" s="387"/>
      <c r="V97" s="259"/>
      <c r="W97" s="143"/>
      <c r="X97" s="267"/>
      <c r="Y97" s="267"/>
    </row>
    <row r="98" spans="1:29" s="1" customFormat="1" ht="15.75" hidden="1" customHeight="1" thickBot="1">
      <c r="A98" s="77"/>
      <c r="B98" s="261"/>
      <c r="C98" s="262"/>
      <c r="D98" s="262"/>
      <c r="E98" s="262"/>
      <c r="F98" s="262"/>
      <c r="G98" s="262"/>
      <c r="H98" s="262"/>
      <c r="I98" s="262"/>
      <c r="J98" s="262"/>
      <c r="K98" s="262"/>
      <c r="L98" s="262"/>
      <c r="M98" s="262"/>
      <c r="N98" s="262"/>
      <c r="O98" s="262"/>
      <c r="P98" s="262"/>
      <c r="Q98" s="262"/>
      <c r="R98" s="262"/>
      <c r="S98" s="262"/>
      <c r="T98" s="175"/>
      <c r="U98" s="177"/>
      <c r="V98" s="263"/>
      <c r="W98" s="140"/>
      <c r="X98" s="265"/>
      <c r="Y98" s="264"/>
      <c r="Z98" s="32"/>
    </row>
    <row r="99" spans="1:29" s="1" customFormat="1" ht="17.25" hidden="1" customHeight="1" thickBot="1">
      <c r="A99" s="78"/>
      <c r="B99" s="244"/>
      <c r="C99" s="234"/>
      <c r="D99" s="234"/>
      <c r="E99" s="234"/>
      <c r="F99" s="234"/>
      <c r="G99" s="234"/>
      <c r="H99" s="234"/>
      <c r="I99" s="234"/>
      <c r="J99" s="234"/>
      <c r="K99" s="234"/>
      <c r="L99" s="234"/>
      <c r="M99" s="234"/>
      <c r="N99" s="234"/>
      <c r="O99" s="234"/>
      <c r="P99" s="234"/>
      <c r="Q99" s="245"/>
      <c r="R99" s="245"/>
      <c r="S99" s="246">
        <f>SUM(S92:S97)</f>
        <v>6362.88</v>
      </c>
      <c r="T99" s="334"/>
      <c r="U99" s="335"/>
      <c r="V99" s="247"/>
      <c r="W99" s="32"/>
      <c r="X99" s="260"/>
      <c r="Y99" s="203" t="str">
        <f>IF(COUNTIF(Y92:Y97,"")&gt;9,"VERIFICAR",IF(COUNTIF(Y92:Y97,"CUMPLE")&gt;0,"CUMPLE","NO CUMPLE"))</f>
        <v>CUMPLE</v>
      </c>
    </row>
    <row r="100" spans="1:29" ht="17.25" hidden="1" customHeight="1">
      <c r="B100" s="112"/>
      <c r="C100" s="110"/>
      <c r="D100" s="110"/>
      <c r="E100" s="110"/>
      <c r="F100" s="110"/>
      <c r="G100" s="110"/>
      <c r="H100" s="110"/>
      <c r="I100" s="110"/>
      <c r="J100" s="110"/>
      <c r="K100" s="110"/>
      <c r="L100" s="110"/>
      <c r="M100" s="110"/>
      <c r="N100" s="110"/>
      <c r="O100" s="110"/>
      <c r="P100" s="110"/>
      <c r="Q100" s="110"/>
      <c r="R100" s="110"/>
      <c r="U100" s="111"/>
      <c r="V100" s="111"/>
      <c r="X100" s="99"/>
      <c r="Y100" s="99"/>
    </row>
    <row r="101" spans="1:29" s="1" customFormat="1" ht="16.5" hidden="1" customHeight="1" thickBot="1">
      <c r="A101" s="77"/>
      <c r="B101" s="233" t="s">
        <v>42</v>
      </c>
      <c r="C101" s="234"/>
      <c r="D101" s="234"/>
      <c r="E101" s="234"/>
      <c r="F101" s="234"/>
      <c r="G101" s="235"/>
      <c r="H101" s="235"/>
      <c r="I101" s="235"/>
      <c r="J101" s="235"/>
      <c r="K101" s="235"/>
      <c r="L101" s="235"/>
      <c r="M101" s="235"/>
      <c r="N101" s="235"/>
      <c r="O101" s="235"/>
      <c r="P101" s="235"/>
      <c r="Q101" s="235"/>
      <c r="R101" s="235"/>
      <c r="S101" s="235"/>
      <c r="T101" s="235"/>
      <c r="U101" s="248"/>
      <c r="V101" s="116"/>
      <c r="X101" s="32"/>
      <c r="Y101" s="32"/>
      <c r="Z101" s="32"/>
      <c r="AA101" s="32"/>
      <c r="AB101" s="32"/>
      <c r="AC101" s="32"/>
    </row>
    <row r="102" spans="1:29" s="1" customFormat="1" ht="15.75" hidden="1" customHeight="1" thickBot="1">
      <c r="A102" s="77" t="e">
        <f>"G"&amp;E88</f>
        <v>#N/A</v>
      </c>
      <c r="B102" s="336" t="s">
        <v>80</v>
      </c>
      <c r="C102" s="337"/>
      <c r="D102" s="337"/>
      <c r="E102" s="337"/>
      <c r="F102" s="337"/>
      <c r="G102" s="338"/>
      <c r="H102" s="236" t="s">
        <v>83</v>
      </c>
      <c r="I102" s="237"/>
      <c r="J102" s="237"/>
      <c r="K102" s="237"/>
      <c r="L102" s="237"/>
      <c r="M102" s="237"/>
      <c r="N102" s="237"/>
      <c r="O102" s="238" t="s">
        <v>118</v>
      </c>
      <c r="P102" s="239" t="s">
        <v>124</v>
      </c>
      <c r="Q102" s="339" t="s">
        <v>126</v>
      </c>
      <c r="R102" s="249"/>
      <c r="S102" s="249"/>
      <c r="T102" s="249"/>
      <c r="U102" s="250"/>
    </row>
    <row r="103" spans="1:29" s="1" customFormat="1" ht="15.75" hidden="1" customHeight="1">
      <c r="A103" s="77" t="e">
        <f>"H"&amp;E88</f>
        <v>#N/A</v>
      </c>
      <c r="B103" s="342" t="s">
        <v>106</v>
      </c>
      <c r="C103" s="343"/>
      <c r="D103" s="343"/>
      <c r="E103" s="343"/>
      <c r="F103" s="343"/>
      <c r="G103" s="344"/>
      <c r="H103" s="342" t="s">
        <v>16</v>
      </c>
      <c r="I103" s="343"/>
      <c r="J103" s="343"/>
      <c r="K103" s="343"/>
      <c r="L103" s="345"/>
      <c r="M103" s="240" t="e">
        <f>VLOOKUP(E88,PROPONENTES!$C$14:$E$21,3,0)</f>
        <v>#N/A</v>
      </c>
      <c r="N103" s="339" t="s">
        <v>161</v>
      </c>
      <c r="O103" s="346" t="s">
        <v>160</v>
      </c>
      <c r="P103" s="348" t="s">
        <v>125</v>
      </c>
      <c r="Q103" s="340"/>
      <c r="S103" s="169"/>
      <c r="T103" s="351" t="s">
        <v>121</v>
      </c>
      <c r="U103" s="352"/>
    </row>
    <row r="104" spans="1:29" s="30" customFormat="1" ht="22.5" hidden="1" customHeight="1">
      <c r="A104" s="77" t="e">
        <f>"I"&amp;E88</f>
        <v>#N/A</v>
      </c>
      <c r="B104" s="355" t="s">
        <v>105</v>
      </c>
      <c r="C104" s="356"/>
      <c r="D104" s="357"/>
      <c r="E104" s="361">
        <f>COUNTIFS(I92:I97,"SI",S92:S97,"&gt;0")</f>
        <v>6</v>
      </c>
      <c r="F104" s="363" t="s">
        <v>107</v>
      </c>
      <c r="G104" s="365">
        <f>IF(E104=0,"N/A",IF(AND(E104&gt;=1,E104&lt;=2),0.75,IF(AND(E104&gt;=3,E104&lt;=4),1.2,IF(E104=5,1.5,IF(AND(E104=6,OR(R112="MIPYME",R112="EMEM")),1.5,IF(AND(E104=7,R112="MIPYME Y EMEM"),1.5,"REVISAR"))))))</f>
        <v>1.5</v>
      </c>
      <c r="H104" s="348" t="s">
        <v>15</v>
      </c>
      <c r="I104" s="367"/>
      <c r="J104" s="369" t="s">
        <v>0</v>
      </c>
      <c r="K104" s="369" t="s">
        <v>114</v>
      </c>
      <c r="L104" s="369" t="s">
        <v>115</v>
      </c>
      <c r="M104" s="370" t="s">
        <v>116</v>
      </c>
      <c r="N104" s="340"/>
      <c r="O104" s="346"/>
      <c r="P104" s="349"/>
      <c r="Q104" s="340"/>
      <c r="R104" s="170"/>
      <c r="S104" s="170"/>
      <c r="T104" s="353"/>
      <c r="U104" s="354"/>
    </row>
    <row r="105" spans="1:29" s="30" customFormat="1" ht="15.75" hidden="1" customHeight="1" thickBot="1">
      <c r="A105" s="77" t="e">
        <f>"J"&amp;E88</f>
        <v>#N/A</v>
      </c>
      <c r="B105" s="358"/>
      <c r="C105" s="359"/>
      <c r="D105" s="360"/>
      <c r="E105" s="362"/>
      <c r="F105" s="364"/>
      <c r="G105" s="366"/>
      <c r="H105" s="350"/>
      <c r="I105" s="368"/>
      <c r="J105" s="369"/>
      <c r="K105" s="369"/>
      <c r="L105" s="369"/>
      <c r="M105" s="371"/>
      <c r="N105" s="341"/>
      <c r="O105" s="347"/>
      <c r="P105" s="350"/>
      <c r="Q105" s="341"/>
      <c r="R105" s="170"/>
      <c r="S105" s="170"/>
      <c r="T105" s="372" t="e">
        <f>E88</f>
        <v>#N/A</v>
      </c>
      <c r="U105" s="373"/>
    </row>
    <row r="106" spans="1:29" s="1" customFormat="1" ht="12.75" hidden="1">
      <c r="A106" s="80" t="e">
        <f>"K"&amp;E88</f>
        <v>#N/A</v>
      </c>
      <c r="B106" s="342" t="s">
        <v>81</v>
      </c>
      <c r="C106" s="343"/>
      <c r="D106" s="343"/>
      <c r="E106" s="343"/>
      <c r="F106" s="343"/>
      <c r="G106" s="343"/>
      <c r="H106" s="107">
        <v>1</v>
      </c>
      <c r="I106" s="65" t="e">
        <f>IF(AND(H106&lt;=M103,M103&gt;1),VLOOKUP(VALUE(E88&amp;","&amp;H106),INTEGRANTES!$B$15:$D$23,2,0),"")</f>
        <v>#N/A</v>
      </c>
      <c r="J106" s="108" t="e">
        <f>IF(I106&lt;&gt;"",VLOOKUP(VALUE(E88&amp;","&amp;H106),INTEGRANTES!$B$15:$D$23,3,0),"")</f>
        <v>#N/A</v>
      </c>
      <c r="K106" s="134" t="e">
        <f>IF($I106="","",IF($G104="N/A","",ROUND($E108*PORPOM,2)))</f>
        <v>#N/A</v>
      </c>
      <c r="L106" s="134" t="e">
        <f>IF(I106="","",SUMIF($J92:$J97,I106,$S92:$S97))</f>
        <v>#N/A</v>
      </c>
      <c r="M106" s="66" t="e">
        <f t="shared" ref="M106" si="17">IF($I106="","",IF($K106&gt;L106,"NO CUMPLE","CUMPLE"))</f>
        <v>#N/A</v>
      </c>
      <c r="N106" s="66" t="e">
        <f>IF($I106="","",IF(M106="CUMPLE","CUMPLE","NO CUMPLE"))</f>
        <v>#N/A</v>
      </c>
      <c r="O106" s="181" t="e">
        <f>IF(OR(J106="",L106=""),"",IF(AND(J106&gt;=0.25,L106&gt;=$F108*0.25),"SI","NO"))</f>
        <v>#N/A</v>
      </c>
      <c r="P106" s="66" t="e">
        <f>IF(I106="","",IF(OR(SUMIF($J92:$J97,I106,$S92:$S97)&gt;=5%*E108,AND(SUMIF($J92:$J97,I106,$S92:$S97)=0,J106&lt;=10%)),"CUMPLE","NO CUMPLE"))</f>
        <v>#N/A</v>
      </c>
      <c r="Q106" s="184" t="e">
        <f>IF(OR(I106="",P106="",P106="CUMPLE"),"",IF(AND(P106="NO CUMPLE",L106=0,J106&gt;5%),"EXP = 0 y PART &gt; 5%",IF(L106&lt;5%*E108,"EXP &lt; 5%","")))</f>
        <v>#N/A</v>
      </c>
      <c r="R106" s="170"/>
      <c r="S106" s="170"/>
      <c r="T106" s="372"/>
      <c r="U106" s="373"/>
    </row>
    <row r="107" spans="1:29" s="1" customFormat="1" ht="12.75" hidden="1">
      <c r="A107" s="80" t="e">
        <f>"L"&amp;E88</f>
        <v>#N/A</v>
      </c>
      <c r="B107" s="355" t="s">
        <v>108</v>
      </c>
      <c r="C107" s="356"/>
      <c r="D107" s="357"/>
      <c r="E107" s="241" t="s">
        <v>109</v>
      </c>
      <c r="F107" s="241" t="s">
        <v>110</v>
      </c>
      <c r="G107" s="242" t="s">
        <v>82</v>
      </c>
      <c r="H107" s="107">
        <v>2</v>
      </c>
      <c r="I107" s="65" t="e">
        <f>IF(AND(H107&lt;=M103,M103&gt;1),VLOOKUP(VALUE(E88&amp;","&amp;H107),INTEGRANTES!$B$15:$D$23,2,0),"")</f>
        <v>#N/A</v>
      </c>
      <c r="J107" s="108" t="e">
        <f>IF(I107&lt;&gt;"",VLOOKUP(VALUE(E88&amp;","&amp;H107),INTEGRANTES!$B$15:$D$23,3,0),"")</f>
        <v>#N/A</v>
      </c>
      <c r="K107" s="134" t="e">
        <f>IF($I107="","",IF($G104="N/A","",ROUND($E108*PORPOM,2)))</f>
        <v>#N/A</v>
      </c>
      <c r="L107" s="134" t="e">
        <f>IF(I107="","",SUMIF($J92:$J97,I107,$S92:$S97))</f>
        <v>#N/A</v>
      </c>
      <c r="M107" s="66" t="e">
        <f>IF($I107="","",IF($K107&gt;L107,"NO CUMPLE","CUMPLE"))</f>
        <v>#N/A</v>
      </c>
      <c r="N107" s="66" t="e">
        <f t="shared" ref="N107:N111" si="18">IF($I107="","",IF(M107="CUMPLE","CUMPLE","NO CUMPLE"))</f>
        <v>#N/A</v>
      </c>
      <c r="O107" s="181" t="e">
        <f>IF(OR(J107="",L107=""),"",IF(AND(J107&gt;=0.25,L107&gt;=$F108*0.25),"SI","NO"))</f>
        <v>#N/A</v>
      </c>
      <c r="P107" s="66" t="e">
        <f>IF(I107="","",IF(OR(SUMIF($J92:$J97,I107,$S92:$S97)&gt;=5%*E108,AND(SUMIF($J$22:J92,$J107,$S92:$S97)=0,J107&lt;=10%)),"CUMPLE","NO CUMPLE"))</f>
        <v>#N/A</v>
      </c>
      <c r="Q107" s="184" t="e">
        <f>IF(OR(I107="",P107="",P107="CUMPLE"),"",IF(AND(P107="NO CUMPLE",L107=0,J107&gt;5%),"EXP = 0 y PART &gt; 5%",IF(L107&lt;5%*E108,"EXP &lt; 5%","")))</f>
        <v>#N/A</v>
      </c>
      <c r="R107" s="170"/>
      <c r="S107" s="170"/>
      <c r="T107" s="372"/>
      <c r="U107" s="373"/>
    </row>
    <row r="108" spans="1:29" s="1" customFormat="1" ht="13.5" hidden="1" thickBot="1">
      <c r="A108" s="77" t="e">
        <f>"M"&amp;E88</f>
        <v>#N/A</v>
      </c>
      <c r="B108" s="358"/>
      <c r="C108" s="359"/>
      <c r="D108" s="360"/>
      <c r="E108" s="132">
        <f>IF(ISTEXT(G104),"NO APLICA",G104*POSMMLV)</f>
        <v>882.69230769230762</v>
      </c>
      <c r="F108" s="133">
        <f>IF(E108="","",S99)</f>
        <v>6362.88</v>
      </c>
      <c r="G108" s="131" t="str">
        <f>IF(E108="","",IF(E108="NO APLICA","NO CUMPLE",IF(F108&gt;=E108,"CUMPLE", "NO CUMPLE")))</f>
        <v>CUMPLE</v>
      </c>
      <c r="H108" s="107">
        <v>3</v>
      </c>
      <c r="I108" s="65" t="e">
        <f>IF(AND(H108&lt;=M103,M103&gt;1),VLOOKUP(VALUE(E88&amp;","&amp;H108),INTEGRANTES!$B$15:$D$23,2,0),"")</f>
        <v>#N/A</v>
      </c>
      <c r="J108" s="108" t="e">
        <f>IF(I108&lt;&gt;"",VLOOKUP(VALUE(E88&amp;","&amp;H108),INTEGRANTES!$B$15:$D$23,3,0),"")</f>
        <v>#N/A</v>
      </c>
      <c r="K108" s="134" t="e">
        <f>IF($I108="","",IF($G104="N/A","",ROUND($E108*PORPOM,2)))</f>
        <v>#N/A</v>
      </c>
      <c r="L108" s="134" t="e">
        <f>IF(I108="","",SUMIF($J92:$J97,I108,$S92:$S97))</f>
        <v>#N/A</v>
      </c>
      <c r="M108" s="66" t="e">
        <f t="shared" ref="M108:M111" si="19">IF($I108="","",IF($K108&gt;L108,"NO CUMPLE","CUMPLE"))</f>
        <v>#N/A</v>
      </c>
      <c r="N108" s="66" t="e">
        <f t="shared" si="18"/>
        <v>#N/A</v>
      </c>
      <c r="O108" s="181" t="e">
        <f>IF(OR(J108="",L108=""),"",IF(AND(J108&gt;=0.25,L108&gt;=$F108*0.25),"SI","NO"))</f>
        <v>#N/A</v>
      </c>
      <c r="P108" s="66" t="e">
        <f>IF(I108="","",IF(OR(SUMIF($J92:$J97,I108,$S92:$S97)&gt;=5%*E108,AND(SUMIF($J92:$J97,J108,$S92:$S97)=0,J108&lt;=10%)),"CUMPLE","NO CUMPLE"))</f>
        <v>#N/A</v>
      </c>
      <c r="Q108" s="184" t="e">
        <f>IF(OR(I108="",P108="",P108="CUMPLE"),"",IF(AND(P108="NO CUMPLE",L108=0,J108&gt;5%),"EXP = 0 y PART &gt; 5%",IF(L108&lt;5%*E108,"EXP &lt; 5%","")))</f>
        <v>#N/A</v>
      </c>
      <c r="R108" s="170"/>
      <c r="S108" s="170"/>
      <c r="T108" s="372"/>
      <c r="U108" s="373"/>
    </row>
    <row r="109" spans="1:29" s="1" customFormat="1" ht="16.5" hidden="1" customHeight="1">
      <c r="A109" s="77" t="e">
        <f>"N"&amp;E88</f>
        <v>#N/A</v>
      </c>
      <c r="B109" s="342" t="s">
        <v>88</v>
      </c>
      <c r="C109" s="343"/>
      <c r="D109" s="343"/>
      <c r="E109" s="343"/>
      <c r="F109" s="343"/>
      <c r="G109" s="343"/>
      <c r="H109" s="107">
        <v>4</v>
      </c>
      <c r="I109" s="65" t="e">
        <f>IF(AND(H109&lt;=M103,M103&gt;1),VLOOKUP(VALUE(E88&amp;","&amp;H109),INTEGRANTES!$B$15:$D$23,2,0),"")</f>
        <v>#N/A</v>
      </c>
      <c r="J109" s="108" t="e">
        <f>IF(I109&lt;&gt;"",VLOOKUP(VALUE(E88&amp;","&amp;H109),INTEGRANTES!$B$15:$D$23,3,0),"")</f>
        <v>#N/A</v>
      </c>
      <c r="K109" s="134" t="e">
        <f>IF($I109="","",IF($G104="N/A","",ROUND($E108*PORPOM,2)))</f>
        <v>#N/A</v>
      </c>
      <c r="L109" s="134" t="e">
        <f>IF(I109="","",SUMIF($J92:$J97,I109,$S92:$S97))</f>
        <v>#N/A</v>
      </c>
      <c r="M109" s="66" t="e">
        <f t="shared" si="19"/>
        <v>#N/A</v>
      </c>
      <c r="N109" s="66" t="e">
        <f t="shared" si="18"/>
        <v>#N/A</v>
      </c>
      <c r="O109" s="181" t="e">
        <f>IF(OR(J109="",L109=""),"",IF(AND(J109&gt;=0.25,L109&gt;=$F108*0.25),"SI","NO"))</f>
        <v>#N/A</v>
      </c>
      <c r="P109" s="66" t="e">
        <f>IF(I109="","",IF(OR(SUMIF($J92:$J97,I109,$S92:$S97)&gt;=5%*E108,AND(SUMIF($J92:$J97,J109,$S92:$S97)=0,J109&lt;=10%)),"CUMPLE","NO CUMPLE"))</f>
        <v>#N/A</v>
      </c>
      <c r="Q109" s="184" t="e">
        <f>IF(OR(I109="",P109="",P109="CUMPLE"),"",IF(AND(P109="NO CUMPLE",L109=0,J109&gt;5%),"EXP = 0 y PART &gt; 5%",IF(L109&lt;5%*E108,"EXP &lt; 5%","")))</f>
        <v>#N/A</v>
      </c>
      <c r="R109" s="170"/>
      <c r="S109" s="170"/>
      <c r="T109" s="372"/>
      <c r="U109" s="373"/>
    </row>
    <row r="110" spans="1:29" s="1" customFormat="1" ht="16.5" hidden="1" customHeight="1">
      <c r="A110" s="77" t="e">
        <f>"O"&amp;E88</f>
        <v>#N/A</v>
      </c>
      <c r="B110" s="355" t="s">
        <v>89</v>
      </c>
      <c r="C110" s="356"/>
      <c r="D110" s="356"/>
      <c r="E110" s="356"/>
      <c r="F110" s="356"/>
      <c r="G110" s="243" t="s">
        <v>82</v>
      </c>
      <c r="H110" s="107">
        <v>5</v>
      </c>
      <c r="I110" s="65" t="e">
        <f>IF(AND(H110&lt;=M103,M103&gt;1),VLOOKUP(VALUE(E88&amp;","&amp;H110),INTEGRANTES!$B$15:$D$23,2,0),"")</f>
        <v>#N/A</v>
      </c>
      <c r="J110" s="108" t="e">
        <f>IF(I110&lt;&gt;"",VLOOKUP(VALUE(E88&amp;","&amp;H110),INTEGRANTES!$B$15:$D$23,3,0),"")</f>
        <v>#N/A</v>
      </c>
      <c r="K110" s="134" t="e">
        <f>IF($I110="","",IF($G104="N/A","",ROUND($E108*PORPOM,2)))</f>
        <v>#N/A</v>
      </c>
      <c r="L110" s="134" t="e">
        <f>IF(I110="","",SUMIF($J92:$J97,I110,$S92:$S97))</f>
        <v>#N/A</v>
      </c>
      <c r="M110" s="66" t="e">
        <f t="shared" si="19"/>
        <v>#N/A</v>
      </c>
      <c r="N110" s="66" t="e">
        <f t="shared" si="18"/>
        <v>#N/A</v>
      </c>
      <c r="O110" s="181" t="e">
        <f>IF(OR(J110="",L110=""),"",IF(AND(J110&gt;=0.25,L110&gt;=$F108*0.25),"SI","NO"))</f>
        <v>#N/A</v>
      </c>
      <c r="P110" s="66" t="e">
        <f>IF(I110="","",IF(OR(SUMIF($J92:$J97,I110,$S92:$S97)&gt;=5%*E108,AND(SUMIF($J92:$J97,J110,$S92:$S97)=0,J110&lt;=10%)),"CUMPLE","NO CUMPLE"))</f>
        <v>#N/A</v>
      </c>
      <c r="Q110" s="184" t="e">
        <f>IF(OR(I110="",P110="",P110="CUMPLE"),"",IF(AND(P110="NO CUMPLE",L110=0,J110&gt;5%),"EXP = 0 y PART &gt; 5%",IF(L110&lt;5%*E108,"EXP &lt; 5%","")))</f>
        <v>#N/A</v>
      </c>
      <c r="R110" s="378" t="s">
        <v>155</v>
      </c>
      <c r="S110" s="379"/>
      <c r="T110" s="372"/>
      <c r="U110" s="373"/>
    </row>
    <row r="111" spans="1:29" s="1" customFormat="1" ht="15.75" hidden="1" customHeight="1" thickBot="1">
      <c r="A111" s="77" t="e">
        <f>"P"&amp;E88</f>
        <v>#N/A</v>
      </c>
      <c r="B111" s="376"/>
      <c r="C111" s="377"/>
      <c r="D111" s="377"/>
      <c r="E111" s="377"/>
      <c r="F111" s="377"/>
      <c r="G111" s="84" t="str">
        <f>IF(COUNTIF(Y92:Y97,"")&gt;5,"NO CUMPLE",IF(COUNTIF(Y92:Y97,"CUMPLE")&gt;=1,"CUMPLE", "NO CUMPLE"))</f>
        <v>CUMPLE</v>
      </c>
      <c r="H111" s="137">
        <v>6</v>
      </c>
      <c r="I111" s="138" t="e">
        <f>IF(AND(H111&lt;=M103,M103&gt;1),VLOOKUP(VALUE(E89&amp;","&amp;H111),INTEGRANTES!$B$15:$D$23,2,0),"")</f>
        <v>#N/A</v>
      </c>
      <c r="J111" s="108" t="e">
        <f>IF(I111&lt;&gt;"",VLOOKUP(VALUE(E89&amp;","&amp;H111),INTEGRANTES!$B$15:$D$23,3,0),"")</f>
        <v>#N/A</v>
      </c>
      <c r="K111" s="134" t="e">
        <f>IF($I111="","",IF($G104="N/A","",ROUND($E108*PORPOM,2)))</f>
        <v>#N/A</v>
      </c>
      <c r="L111" s="134" t="e">
        <f>IF(I111="","",SUMIF($J92:$J97,I111,$S92:$S97))</f>
        <v>#N/A</v>
      </c>
      <c r="M111" s="139" t="e">
        <f t="shared" si="19"/>
        <v>#N/A</v>
      </c>
      <c r="N111" s="66" t="e">
        <f t="shared" si="18"/>
        <v>#N/A</v>
      </c>
      <c r="O111" s="181" t="e">
        <f>IF(OR(J111="",L111=""),"",IF(AND(J111&gt;=0.25,L111&gt;=$F108*0.25),"SI","NO"))</f>
        <v>#N/A</v>
      </c>
      <c r="P111" s="66" t="e">
        <f>IF(I111="","",IF(OR(SUMIF($J92:$J97,I111,$S92:$S97)&gt;=5%*E108,AND(SUMIF($J92:$J97,J111,$S92:$S97)=0,J111&lt;=10%)),"CUMPLE","NO CUMPLE"))</f>
        <v>#N/A</v>
      </c>
      <c r="Q111" s="185" t="e">
        <f>IF(OR(I111="",P111="",P111="CUMPLE"),"",IF(AND(P111="NO CUMPLE",L111=0,J111&gt;5%),"EXP = 0 y PART &gt; 5%",IF(L111&lt;5%*E108,"EXP &lt; 5%","")))</f>
        <v>#N/A</v>
      </c>
      <c r="R111" s="378"/>
      <c r="S111" s="379"/>
      <c r="T111" s="372"/>
      <c r="U111" s="373"/>
    </row>
    <row r="112" spans="1:29" s="1" customFormat="1" ht="39" hidden="1" customHeight="1" thickBot="1">
      <c r="A112" s="77" t="e">
        <f>"Q"&amp;E88</f>
        <v>#N/A</v>
      </c>
      <c r="B112" s="325"/>
      <c r="C112" s="326"/>
      <c r="D112" s="326"/>
      <c r="E112" s="326"/>
      <c r="F112" s="326"/>
      <c r="G112" s="327"/>
      <c r="H112" s="328" t="s">
        <v>112</v>
      </c>
      <c r="I112" s="329"/>
      <c r="J112" s="330"/>
      <c r="K112" s="328" t="s">
        <v>113</v>
      </c>
      <c r="L112" s="331"/>
      <c r="M112" s="109" t="e">
        <f>IF(OR($M103="",SUM(J106:J111)=0),"",IF(COUNTIF(M106:M111,"CUMPLE")&gt;=1,"CUMPLE","NO CUMPLE"))</f>
        <v>#N/A</v>
      </c>
      <c r="N112" s="109" t="e">
        <f>IF(OR($M103="",SUM(J106:J111)=0),"",IF(COUNTIF(N106:N111,"CUMPLE")&gt;=1,"CUMPLE","NO CUMPLE"))</f>
        <v>#N/A</v>
      </c>
      <c r="O112" s="182"/>
      <c r="P112" s="182" t="str">
        <f>IF(COUNTIF(P106:P111,"")&gt;5,"",IF(COUNTIF(P106:P111,"NO CUMPLE")&gt;0,"NO CUMPLE","CUMPLE"))</f>
        <v>CUMPLE</v>
      </c>
      <c r="Q112" s="186"/>
      <c r="R112" s="332" t="s">
        <v>163</v>
      </c>
      <c r="S112" s="333"/>
      <c r="T112" s="374"/>
      <c r="U112" s="375"/>
      <c r="X112" s="141"/>
      <c r="Y112" s="141"/>
      <c r="Z112" s="32"/>
      <c r="AA112" s="32"/>
      <c r="AB112" s="32"/>
    </row>
    <row r="113" spans="1:29" hidden="1"/>
    <row r="114" spans="1:29" hidden="1"/>
    <row r="115" spans="1:29" s="7" customFormat="1" ht="24" hidden="1" customHeight="1" thickBot="1">
      <c r="A115" s="97">
        <v>6</v>
      </c>
      <c r="B115" s="388" t="s">
        <v>1</v>
      </c>
      <c r="C115" s="388"/>
      <c r="D115" s="388"/>
      <c r="E115" s="70" t="e">
        <f>VLOOKUP(A115,PROPONENTES!$B$14:$D$21,2,FALSE)</f>
        <v>#N/A</v>
      </c>
      <c r="F115" s="71" t="e">
        <f>VLOOKUP(E115,PROPONENTES!$C$14:$D$21,2,FALSE)</f>
        <v>#N/A</v>
      </c>
      <c r="G115" s="72"/>
      <c r="H115" s="72"/>
      <c r="I115" s="72"/>
      <c r="J115" s="71"/>
      <c r="K115" s="71"/>
      <c r="L115" s="70"/>
      <c r="M115" s="72"/>
      <c r="N115" s="72"/>
      <c r="O115" s="72"/>
      <c r="P115" s="72"/>
      <c r="Q115" s="72"/>
      <c r="R115" s="72"/>
      <c r="S115" s="72"/>
      <c r="T115" s="72"/>
      <c r="U115" s="73"/>
      <c r="V115" s="74"/>
      <c r="W115" s="74"/>
      <c r="X115" s="74"/>
      <c r="Z115" s="72"/>
      <c r="AA115" s="72"/>
      <c r="AC115" s="72"/>
    </row>
    <row r="116" spans="1:29" s="83" customFormat="1" ht="18.75" hidden="1">
      <c r="A116" s="82"/>
      <c r="B116" s="389" t="s">
        <v>71</v>
      </c>
      <c r="C116" s="391" t="s">
        <v>45</v>
      </c>
      <c r="D116" s="393" t="s">
        <v>104</v>
      </c>
      <c r="E116" s="345"/>
      <c r="F116" s="393" t="s">
        <v>76</v>
      </c>
      <c r="G116" s="345"/>
      <c r="H116" s="394" t="s">
        <v>72</v>
      </c>
      <c r="I116" s="394" t="s">
        <v>85</v>
      </c>
      <c r="J116" s="394" t="s">
        <v>2</v>
      </c>
      <c r="K116" s="394" t="s">
        <v>26</v>
      </c>
      <c r="L116" s="394" t="s">
        <v>27</v>
      </c>
      <c r="M116" s="395" t="s">
        <v>28</v>
      </c>
      <c r="N116" s="394" t="s">
        <v>86</v>
      </c>
      <c r="O116" s="397" t="s">
        <v>61</v>
      </c>
      <c r="P116" s="398"/>
      <c r="Q116" s="391" t="s">
        <v>120</v>
      </c>
      <c r="R116" s="343" t="s">
        <v>3</v>
      </c>
      <c r="S116" s="343"/>
      <c r="T116" s="380" t="s">
        <v>17</v>
      </c>
      <c r="U116" s="381"/>
      <c r="V116" s="339" t="s">
        <v>84</v>
      </c>
      <c r="W116" s="142"/>
      <c r="X116" s="270" t="s">
        <v>166</v>
      </c>
      <c r="Y116" s="270" t="s">
        <v>167</v>
      </c>
    </row>
    <row r="117" spans="1:29" s="83" customFormat="1" ht="93" hidden="1" customHeight="1" thickBot="1">
      <c r="A117" s="82"/>
      <c r="B117" s="390"/>
      <c r="C117" s="392"/>
      <c r="D117" s="223" t="s">
        <v>9</v>
      </c>
      <c r="E117" s="223" t="s">
        <v>4</v>
      </c>
      <c r="F117" s="223" t="s">
        <v>14</v>
      </c>
      <c r="G117" s="224" t="s">
        <v>73</v>
      </c>
      <c r="H117" s="369"/>
      <c r="I117" s="369"/>
      <c r="J117" s="369"/>
      <c r="K117" s="369"/>
      <c r="L117" s="369"/>
      <c r="M117" s="396"/>
      <c r="N117" s="369"/>
      <c r="O117" s="225" t="s">
        <v>59</v>
      </c>
      <c r="P117" s="225" t="s">
        <v>87</v>
      </c>
      <c r="Q117" s="392"/>
      <c r="R117" s="225" t="s">
        <v>64</v>
      </c>
      <c r="S117" s="226" t="s">
        <v>60</v>
      </c>
      <c r="T117" s="382"/>
      <c r="U117" s="383"/>
      <c r="V117" s="341"/>
      <c r="W117" s="142"/>
      <c r="X117" s="281" t="s">
        <v>177</v>
      </c>
      <c r="Y117" s="269" t="s">
        <v>178</v>
      </c>
    </row>
    <row r="118" spans="1:29" s="1" customFormat="1" ht="12" hidden="1" customHeight="1" thickBot="1">
      <c r="A118" s="77"/>
      <c r="B118" s="68"/>
      <c r="C118" s="69"/>
      <c r="D118" s="69"/>
      <c r="E118" s="69"/>
      <c r="F118" s="69"/>
      <c r="G118" s="69"/>
      <c r="H118" s="69"/>
      <c r="I118" s="69"/>
      <c r="J118" s="69"/>
      <c r="K118" s="69"/>
      <c r="L118" s="69"/>
      <c r="M118" s="69"/>
      <c r="N118" s="69"/>
      <c r="O118" s="69"/>
      <c r="P118" s="69"/>
      <c r="Q118" s="100"/>
      <c r="R118" s="100"/>
      <c r="S118" s="69"/>
      <c r="T118" s="384"/>
      <c r="U118" s="385"/>
      <c r="V118" s="144"/>
      <c r="W118" s="32"/>
      <c r="X118" s="205"/>
      <c r="Y118" s="204"/>
    </row>
    <row r="119" spans="1:29" s="85" customFormat="1" ht="58.5" hidden="1" customHeight="1">
      <c r="A119" s="80" t="e">
        <f>"A"&amp;E115</f>
        <v>#N/A</v>
      </c>
      <c r="B119" s="251">
        <v>1</v>
      </c>
      <c r="C119" s="252" t="s">
        <v>194</v>
      </c>
      <c r="D119" s="252" t="s">
        <v>195</v>
      </c>
      <c r="E119" s="252" t="s">
        <v>196</v>
      </c>
      <c r="F119" s="252" t="s">
        <v>157</v>
      </c>
      <c r="G119" s="253">
        <v>0.5</v>
      </c>
      <c r="H119" s="253" t="s">
        <v>96</v>
      </c>
      <c r="I119" s="254" t="s">
        <v>47</v>
      </c>
      <c r="J119" s="254" t="s">
        <v>197</v>
      </c>
      <c r="K119" s="255">
        <v>42893</v>
      </c>
      <c r="L119" s="255">
        <v>44778</v>
      </c>
      <c r="M119" s="81">
        <f t="shared" ref="M119:M124" si="20">IF(OR(K119="",L119=""),"",IF(OR(K119&gt;$L$14,K119&lt;$K$14,L119&gt;$L$14,AND(K119&lt;$K$14,L119&lt;$K$14)),"FUERA DE RANGO",IF(K119&gt;=$K$14,ROUND(((L119-K119+1)/360*12),1),ROUND(((L119-$K$14+1)/360*12),1))))</f>
        <v>62.9</v>
      </c>
      <c r="N119" s="256">
        <v>25</v>
      </c>
      <c r="O119" s="254" t="s">
        <v>47</v>
      </c>
      <c r="P119" s="257" t="s">
        <v>47</v>
      </c>
      <c r="Q119" s="258">
        <v>10277</v>
      </c>
      <c r="R119" s="67">
        <f>IF(OR(G119="",Q119=""),"",Q119*G119)</f>
        <v>5138.5</v>
      </c>
      <c r="S119" s="168">
        <f t="shared" ref="S119:S124" si="21">IF(OR(I119="NO",I119="",R119=""),"",IF(OR(L119&lt;$K$14,L119&gt;$L$14,,L119=""),0,ROUND(R119,2)))</f>
        <v>5138.5</v>
      </c>
      <c r="T119" s="386"/>
      <c r="U119" s="387"/>
      <c r="V119" s="259" t="s">
        <v>200</v>
      </c>
      <c r="W119" s="143"/>
      <c r="X119" s="266" t="s">
        <v>33</v>
      </c>
      <c r="Y119" s="266" t="s">
        <v>33</v>
      </c>
    </row>
    <row r="120" spans="1:29" s="85" customFormat="1" ht="15" hidden="1">
      <c r="A120" s="80" t="e">
        <f>"B"&amp;E115</f>
        <v>#N/A</v>
      </c>
      <c r="B120" s="251"/>
      <c r="C120" s="252"/>
      <c r="D120" s="252"/>
      <c r="E120" s="252"/>
      <c r="F120" s="252"/>
      <c r="G120" s="253"/>
      <c r="H120" s="253"/>
      <c r="I120" s="254"/>
      <c r="J120" s="254"/>
      <c r="K120" s="255"/>
      <c r="L120" s="255"/>
      <c r="M120" s="81" t="str">
        <f t="shared" si="20"/>
        <v/>
      </c>
      <c r="N120" s="256"/>
      <c r="O120" s="254"/>
      <c r="P120" s="257"/>
      <c r="Q120" s="258"/>
      <c r="R120" s="67" t="str">
        <f t="shared" ref="R120:R124" si="22">IF(OR(G120="",Q120=""),"",Q120*G120)</f>
        <v/>
      </c>
      <c r="S120" s="168" t="str">
        <f t="shared" si="21"/>
        <v/>
      </c>
      <c r="T120" s="386"/>
      <c r="U120" s="387"/>
      <c r="V120" s="259"/>
      <c r="W120" s="143"/>
      <c r="X120" s="267"/>
      <c r="Y120" s="267"/>
    </row>
    <row r="121" spans="1:29" s="85" customFormat="1" ht="15" hidden="1">
      <c r="A121" s="80" t="e">
        <f>"C"&amp;E115</f>
        <v>#N/A</v>
      </c>
      <c r="B121" s="251"/>
      <c r="C121" s="252"/>
      <c r="D121" s="252"/>
      <c r="E121" s="252"/>
      <c r="F121" s="252"/>
      <c r="G121" s="253"/>
      <c r="H121" s="253"/>
      <c r="I121" s="254"/>
      <c r="J121" s="254"/>
      <c r="K121" s="255"/>
      <c r="L121" s="255"/>
      <c r="M121" s="81" t="str">
        <f t="shared" si="20"/>
        <v/>
      </c>
      <c r="N121" s="256"/>
      <c r="O121" s="254"/>
      <c r="P121" s="257"/>
      <c r="Q121" s="258"/>
      <c r="R121" s="67" t="str">
        <f t="shared" si="22"/>
        <v/>
      </c>
      <c r="S121" s="168" t="str">
        <f t="shared" si="21"/>
        <v/>
      </c>
      <c r="T121" s="386"/>
      <c r="U121" s="387"/>
      <c r="V121" s="259"/>
      <c r="W121" s="143"/>
      <c r="X121" s="267"/>
      <c r="Y121" s="267"/>
    </row>
    <row r="122" spans="1:29" s="85" customFormat="1" ht="20.100000000000001" hidden="1" customHeight="1">
      <c r="A122" s="80" t="e">
        <f>"D"&amp;E115</f>
        <v>#N/A</v>
      </c>
      <c r="B122" s="251"/>
      <c r="C122" s="252"/>
      <c r="D122" s="252"/>
      <c r="E122" s="252"/>
      <c r="F122" s="252"/>
      <c r="G122" s="253"/>
      <c r="H122" s="253"/>
      <c r="I122" s="254"/>
      <c r="J122" s="254"/>
      <c r="K122" s="255"/>
      <c r="L122" s="255"/>
      <c r="M122" s="81" t="str">
        <f t="shared" si="20"/>
        <v/>
      </c>
      <c r="N122" s="256"/>
      <c r="O122" s="254"/>
      <c r="P122" s="257"/>
      <c r="Q122" s="258"/>
      <c r="R122" s="67" t="str">
        <f t="shared" si="22"/>
        <v/>
      </c>
      <c r="S122" s="168" t="str">
        <f t="shared" si="21"/>
        <v/>
      </c>
      <c r="T122" s="386"/>
      <c r="U122" s="387"/>
      <c r="V122" s="259"/>
      <c r="W122" s="143"/>
      <c r="X122" s="267"/>
      <c r="Y122" s="206" t="str">
        <f>IF(I122="SI",IF(X122*G122&gt;=Y118,"CUMPLE","NO CUMPLE"),"")</f>
        <v/>
      </c>
    </row>
    <row r="123" spans="1:29" s="85" customFormat="1" ht="20.100000000000001" hidden="1" customHeight="1">
      <c r="A123" s="80" t="e">
        <f>"E"&amp;E115</f>
        <v>#N/A</v>
      </c>
      <c r="B123" s="251"/>
      <c r="C123" s="252"/>
      <c r="D123" s="252"/>
      <c r="E123" s="252"/>
      <c r="F123" s="252"/>
      <c r="G123" s="253"/>
      <c r="H123" s="253"/>
      <c r="I123" s="254"/>
      <c r="J123" s="254"/>
      <c r="K123" s="255"/>
      <c r="L123" s="255"/>
      <c r="M123" s="81" t="str">
        <f t="shared" si="20"/>
        <v/>
      </c>
      <c r="N123" s="256"/>
      <c r="O123" s="254"/>
      <c r="P123" s="257"/>
      <c r="Q123" s="258"/>
      <c r="R123" s="67" t="str">
        <f t="shared" si="22"/>
        <v/>
      </c>
      <c r="S123" s="168" t="str">
        <f t="shared" si="21"/>
        <v/>
      </c>
      <c r="T123" s="386"/>
      <c r="U123" s="387"/>
      <c r="V123" s="259"/>
      <c r="W123" s="143"/>
      <c r="X123" s="267"/>
      <c r="Y123" s="206" t="str">
        <f>IF(I123="SI",IF(X123*G123&gt;=Y118,"CUMPLE","NO CUMPLE"),"")</f>
        <v/>
      </c>
    </row>
    <row r="124" spans="1:29" s="85" customFormat="1" ht="20.100000000000001" hidden="1" customHeight="1">
      <c r="A124" s="80" t="e">
        <f>"F"&amp;E115</f>
        <v>#N/A</v>
      </c>
      <c r="B124" s="251"/>
      <c r="C124" s="252"/>
      <c r="D124" s="252"/>
      <c r="E124" s="252"/>
      <c r="F124" s="252"/>
      <c r="G124" s="253"/>
      <c r="H124" s="253"/>
      <c r="I124" s="254"/>
      <c r="J124" s="254"/>
      <c r="K124" s="255"/>
      <c r="L124" s="255"/>
      <c r="M124" s="81" t="str">
        <f t="shared" si="20"/>
        <v/>
      </c>
      <c r="N124" s="256"/>
      <c r="O124" s="254"/>
      <c r="P124" s="257"/>
      <c r="Q124" s="258"/>
      <c r="R124" s="67" t="str">
        <f t="shared" si="22"/>
        <v/>
      </c>
      <c r="S124" s="168" t="str">
        <f t="shared" si="21"/>
        <v/>
      </c>
      <c r="T124" s="386"/>
      <c r="U124" s="387"/>
      <c r="V124" s="259"/>
      <c r="W124" s="143"/>
      <c r="X124" s="267"/>
      <c r="Y124" s="206" t="str">
        <f>IF(I124="SI",IF(X124*G124&gt;=Y118,"CUMPLE","NO CUMPLE"),"")</f>
        <v/>
      </c>
    </row>
    <row r="125" spans="1:29" s="1" customFormat="1" ht="15.75" hidden="1" customHeight="1" thickBot="1">
      <c r="A125" s="77"/>
      <c r="B125" s="261"/>
      <c r="C125" s="262"/>
      <c r="D125" s="262"/>
      <c r="E125" s="262"/>
      <c r="F125" s="262"/>
      <c r="G125" s="262"/>
      <c r="H125" s="262"/>
      <c r="I125" s="262"/>
      <c r="J125" s="262"/>
      <c r="K125" s="262"/>
      <c r="L125" s="262"/>
      <c r="M125" s="262"/>
      <c r="N125" s="262"/>
      <c r="O125" s="262"/>
      <c r="P125" s="262"/>
      <c r="Q125" s="262"/>
      <c r="R125" s="262"/>
      <c r="S125" s="262"/>
      <c r="T125" s="175"/>
      <c r="U125" s="177"/>
      <c r="V125" s="263"/>
      <c r="W125" s="140"/>
      <c r="X125" s="265"/>
      <c r="Y125" s="264"/>
      <c r="Z125" s="32"/>
    </row>
    <row r="126" spans="1:29" s="1" customFormat="1" ht="17.25" hidden="1" customHeight="1" thickBot="1">
      <c r="A126" s="78"/>
      <c r="B126" s="244"/>
      <c r="C126" s="234"/>
      <c r="D126" s="234"/>
      <c r="E126" s="234"/>
      <c r="F126" s="234"/>
      <c r="G126" s="234"/>
      <c r="H126" s="234"/>
      <c r="I126" s="234"/>
      <c r="J126" s="234"/>
      <c r="K126" s="234"/>
      <c r="L126" s="234"/>
      <c r="M126" s="234"/>
      <c r="N126" s="234"/>
      <c r="O126" s="234"/>
      <c r="P126" s="234"/>
      <c r="Q126" s="245"/>
      <c r="R126" s="245"/>
      <c r="S126" s="246">
        <f>SUM(S119:S124)</f>
        <v>5138.5</v>
      </c>
      <c r="T126" s="334"/>
      <c r="U126" s="335"/>
      <c r="V126" s="247"/>
      <c r="W126" s="32"/>
      <c r="X126" s="260"/>
      <c r="Y126" s="203" t="str">
        <f>IF(COUNTIF(Y119:Y124,"")&gt;9,"VERIFICAR",IF(COUNTIF(Y119:Y124,"CUMPLE")&gt;0,"CUMPLE","NO CUMPLE"))</f>
        <v>CUMPLE</v>
      </c>
    </row>
    <row r="127" spans="1:29" ht="17.25" hidden="1" customHeight="1">
      <c r="B127" s="112"/>
      <c r="C127" s="110"/>
      <c r="D127" s="110"/>
      <c r="E127" s="110"/>
      <c r="F127" s="110"/>
      <c r="G127" s="110"/>
      <c r="H127" s="110"/>
      <c r="I127" s="110"/>
      <c r="J127" s="110"/>
      <c r="K127" s="110"/>
      <c r="L127" s="110"/>
      <c r="M127" s="110"/>
      <c r="N127" s="110"/>
      <c r="O127" s="110"/>
      <c r="P127" s="110"/>
      <c r="Q127" s="110"/>
      <c r="R127" s="110"/>
      <c r="U127" s="111"/>
      <c r="V127" s="111"/>
      <c r="X127" s="99"/>
      <c r="Y127" s="99"/>
    </row>
    <row r="128" spans="1:29" s="1" customFormat="1" ht="16.5" hidden="1" customHeight="1" thickBot="1">
      <c r="A128" s="77"/>
      <c r="B128" s="233" t="s">
        <v>42</v>
      </c>
      <c r="C128" s="234"/>
      <c r="D128" s="234"/>
      <c r="E128" s="234"/>
      <c r="F128" s="234"/>
      <c r="G128" s="235"/>
      <c r="H128" s="235"/>
      <c r="I128" s="235"/>
      <c r="J128" s="235"/>
      <c r="K128" s="235"/>
      <c r="L128" s="235"/>
      <c r="M128" s="235"/>
      <c r="N128" s="235"/>
      <c r="O128" s="235"/>
      <c r="P128" s="235"/>
      <c r="Q128" s="235"/>
      <c r="R128" s="235"/>
      <c r="S128" s="235"/>
      <c r="T128" s="235"/>
      <c r="U128" s="248"/>
      <c r="V128" s="116"/>
      <c r="X128" s="32"/>
      <c r="Y128" s="32"/>
      <c r="Z128" s="32"/>
      <c r="AA128" s="32"/>
      <c r="AB128" s="32"/>
      <c r="AC128" s="32"/>
    </row>
    <row r="129" spans="1:29" s="1" customFormat="1" ht="15.75" hidden="1" customHeight="1" thickBot="1">
      <c r="A129" s="77" t="e">
        <f>"G"&amp;E115</f>
        <v>#N/A</v>
      </c>
      <c r="B129" s="336" t="s">
        <v>80</v>
      </c>
      <c r="C129" s="337"/>
      <c r="D129" s="337"/>
      <c r="E129" s="337"/>
      <c r="F129" s="337"/>
      <c r="G129" s="338"/>
      <c r="H129" s="236" t="s">
        <v>83</v>
      </c>
      <c r="I129" s="237"/>
      <c r="J129" s="237"/>
      <c r="K129" s="237"/>
      <c r="L129" s="237"/>
      <c r="M129" s="237"/>
      <c r="N129" s="237"/>
      <c r="O129" s="238" t="s">
        <v>118</v>
      </c>
      <c r="P129" s="239" t="s">
        <v>124</v>
      </c>
      <c r="Q129" s="339" t="s">
        <v>126</v>
      </c>
      <c r="R129" s="249"/>
      <c r="S129" s="249"/>
      <c r="T129" s="249"/>
      <c r="U129" s="250"/>
    </row>
    <row r="130" spans="1:29" s="1" customFormat="1" ht="15.75" hidden="1" customHeight="1">
      <c r="A130" s="77" t="e">
        <f>"H"&amp;E115</f>
        <v>#N/A</v>
      </c>
      <c r="B130" s="342" t="s">
        <v>106</v>
      </c>
      <c r="C130" s="343"/>
      <c r="D130" s="343"/>
      <c r="E130" s="343"/>
      <c r="F130" s="343"/>
      <c r="G130" s="344"/>
      <c r="H130" s="342" t="s">
        <v>16</v>
      </c>
      <c r="I130" s="343"/>
      <c r="J130" s="343"/>
      <c r="K130" s="343"/>
      <c r="L130" s="345"/>
      <c r="M130" s="240" t="e">
        <f>VLOOKUP(E115,PROPONENTES!$C$14:$E$21,3,0)</f>
        <v>#N/A</v>
      </c>
      <c r="N130" s="339" t="s">
        <v>161</v>
      </c>
      <c r="O130" s="346" t="s">
        <v>160</v>
      </c>
      <c r="P130" s="348" t="s">
        <v>125</v>
      </c>
      <c r="Q130" s="340"/>
      <c r="S130" s="169"/>
      <c r="T130" s="351" t="s">
        <v>121</v>
      </c>
      <c r="U130" s="352"/>
    </row>
    <row r="131" spans="1:29" s="30" customFormat="1" ht="22.5" hidden="1" customHeight="1">
      <c r="A131" s="77" t="e">
        <f>"I"&amp;E115</f>
        <v>#N/A</v>
      </c>
      <c r="B131" s="355" t="s">
        <v>105</v>
      </c>
      <c r="C131" s="356"/>
      <c r="D131" s="357"/>
      <c r="E131" s="361">
        <f>COUNTIFS(I119:I124,"SI",S119:S124,"&gt;0")</f>
        <v>1</v>
      </c>
      <c r="F131" s="363" t="s">
        <v>107</v>
      </c>
      <c r="G131" s="365">
        <f>IF(E131=0,"N/A",IF(AND(E131&gt;=1,E131&lt;=2),0.75,IF(AND(E131&gt;=3,E131&lt;=4),1.2,IF(E131=5,1.5,IF(AND(E131=6,OR(R139="MIPYME",R139="EMEM")),1.5,IF(AND(E131=7,R139="MIPYME Y EMEM"),1.5,"REVISAR"))))))</f>
        <v>0.75</v>
      </c>
      <c r="H131" s="348" t="s">
        <v>15</v>
      </c>
      <c r="I131" s="367"/>
      <c r="J131" s="369" t="s">
        <v>0</v>
      </c>
      <c r="K131" s="369" t="s">
        <v>114</v>
      </c>
      <c r="L131" s="369" t="s">
        <v>115</v>
      </c>
      <c r="M131" s="370" t="s">
        <v>116</v>
      </c>
      <c r="N131" s="340"/>
      <c r="O131" s="346"/>
      <c r="P131" s="349"/>
      <c r="Q131" s="340"/>
      <c r="R131" s="170"/>
      <c r="S131" s="170"/>
      <c r="T131" s="353"/>
      <c r="U131" s="354"/>
    </row>
    <row r="132" spans="1:29" s="30" customFormat="1" ht="15.75" hidden="1" customHeight="1" thickBot="1">
      <c r="A132" s="77" t="e">
        <f>"J"&amp;E115</f>
        <v>#N/A</v>
      </c>
      <c r="B132" s="358"/>
      <c r="C132" s="359"/>
      <c r="D132" s="360"/>
      <c r="E132" s="362"/>
      <c r="F132" s="364"/>
      <c r="G132" s="366"/>
      <c r="H132" s="350"/>
      <c r="I132" s="368"/>
      <c r="J132" s="369"/>
      <c r="K132" s="369"/>
      <c r="L132" s="369"/>
      <c r="M132" s="371"/>
      <c r="N132" s="341"/>
      <c r="O132" s="347"/>
      <c r="P132" s="350"/>
      <c r="Q132" s="341"/>
      <c r="R132" s="170"/>
      <c r="S132" s="170"/>
      <c r="T132" s="372" t="e">
        <f>E115</f>
        <v>#N/A</v>
      </c>
      <c r="U132" s="373"/>
    </row>
    <row r="133" spans="1:29" s="1" customFormat="1" ht="12.75" hidden="1">
      <c r="A133" s="80" t="e">
        <f>"K"&amp;E115</f>
        <v>#N/A</v>
      </c>
      <c r="B133" s="342" t="s">
        <v>81</v>
      </c>
      <c r="C133" s="343"/>
      <c r="D133" s="343"/>
      <c r="E133" s="343"/>
      <c r="F133" s="343"/>
      <c r="G133" s="343"/>
      <c r="H133" s="107">
        <v>1</v>
      </c>
      <c r="I133" s="65" t="e">
        <f>IF(AND(H133&lt;=M130,M130&gt;1),VLOOKUP(VALUE(E115&amp;","&amp;H133),INTEGRANTES!$B$15:$D$23,2,0),"")</f>
        <v>#N/A</v>
      </c>
      <c r="J133" s="108" t="e">
        <f>IF(I133&lt;&gt;"",VLOOKUP(VALUE(E115&amp;","&amp;H133),INTEGRANTES!$B$15:$D$23,3,0),"")</f>
        <v>#N/A</v>
      </c>
      <c r="K133" s="134" t="e">
        <f>IF($I133="","",IF($G131="N/A","",ROUND($E135*PORPOM,2)))</f>
        <v>#N/A</v>
      </c>
      <c r="L133" s="134" t="e">
        <f>IF(I133="","",SUMIF($J119:$J124,I133,$S119:$S124))</f>
        <v>#N/A</v>
      </c>
      <c r="M133" s="66" t="e">
        <f t="shared" ref="M133" si="23">IF($I133="","",IF($K133&gt;L133,"NO CUMPLE","CUMPLE"))</f>
        <v>#N/A</v>
      </c>
      <c r="N133" s="66" t="e">
        <f>IF($I133="","",IF(M133="CUMPLE","CUMPLE","NO CUMPLE"))</f>
        <v>#N/A</v>
      </c>
      <c r="O133" s="181" t="e">
        <f>IF(OR(J133="",L133=""),"",IF(AND(J133&gt;=0.25,L133&gt;=$F135*0.25),"SI","NO"))</f>
        <v>#N/A</v>
      </c>
      <c r="P133" s="66" t="e">
        <f>IF(I133="","",IF(OR(SUMIF($J119:$J124,I133,$S119:$S124)&gt;=5%*E135,AND(SUMIF($J119:$J124,I133,$S119:$S124)=0,J133&lt;=10%)),"CUMPLE","NO CUMPLE"))</f>
        <v>#N/A</v>
      </c>
      <c r="Q133" s="184" t="e">
        <f>IF(OR(I133="",P133="",P133="CUMPLE"),"",IF(AND(P133="NO CUMPLE",L133=0,J133&gt;5%),"EXP = 0 y PART &gt; 5%",IF(L133&lt;5%*E135,"EXP &lt; 5%","")))</f>
        <v>#N/A</v>
      </c>
      <c r="R133" s="170"/>
      <c r="S133" s="170"/>
      <c r="T133" s="372"/>
      <c r="U133" s="373"/>
    </row>
    <row r="134" spans="1:29" s="1" customFormat="1" ht="12.75" hidden="1">
      <c r="A134" s="80" t="e">
        <f>"L"&amp;E115</f>
        <v>#N/A</v>
      </c>
      <c r="B134" s="355" t="s">
        <v>108</v>
      </c>
      <c r="C134" s="356"/>
      <c r="D134" s="357"/>
      <c r="E134" s="241" t="s">
        <v>109</v>
      </c>
      <c r="F134" s="241" t="s">
        <v>110</v>
      </c>
      <c r="G134" s="242" t="s">
        <v>82</v>
      </c>
      <c r="H134" s="107">
        <v>2</v>
      </c>
      <c r="I134" s="65" t="e">
        <f>IF(AND(H134&lt;=M130,M130&gt;1),VLOOKUP(VALUE(E115&amp;","&amp;H134),INTEGRANTES!$B$15:$D$23,2,0),"")</f>
        <v>#N/A</v>
      </c>
      <c r="J134" s="108" t="e">
        <f>IF(I134&lt;&gt;"",VLOOKUP(VALUE(E115&amp;","&amp;H134),INTEGRANTES!$B$15:$D$23,3,0),"")</f>
        <v>#N/A</v>
      </c>
      <c r="K134" s="134" t="e">
        <f>IF($I134="","",IF($G131="N/A","",ROUND($E135*PORPOM,2)))</f>
        <v>#N/A</v>
      </c>
      <c r="L134" s="134" t="e">
        <f>IF(I134="","",SUMIF($J119:$J124,I134,$S119:$S124))</f>
        <v>#N/A</v>
      </c>
      <c r="M134" s="66" t="e">
        <f>IF($I134="","",IF($K134&gt;L134,"NO CUMPLE","CUMPLE"))</f>
        <v>#N/A</v>
      </c>
      <c r="N134" s="66" t="e">
        <f t="shared" ref="N134:N138" si="24">IF($I134="","",IF(M134="CUMPLE","CUMPLE","NO CUMPLE"))</f>
        <v>#N/A</v>
      </c>
      <c r="O134" s="181" t="e">
        <f>IF(OR(J134="",L134=""),"",IF(AND(J134&gt;=0.25,L134&gt;=$F135*0.25),"SI","NO"))</f>
        <v>#N/A</v>
      </c>
      <c r="P134" s="66" t="e">
        <f>IF(I134="","",IF(OR(SUMIF($J119:$J124,I134,$S119:$S124)&gt;=5%*E135,AND(SUMIF($J$22:J119,$J134,$S119:$S124)=0,J134&lt;=10%)),"CUMPLE","NO CUMPLE"))</f>
        <v>#N/A</v>
      </c>
      <c r="Q134" s="184" t="e">
        <f>IF(OR(I134="",P134="",P134="CUMPLE"),"",IF(AND(P134="NO CUMPLE",L134=0,J134&gt;5%),"EXP = 0 y PART &gt; 5%",IF(L134&lt;5%*E135,"EXP &lt; 5%","")))</f>
        <v>#N/A</v>
      </c>
      <c r="R134" s="170"/>
      <c r="S134" s="170"/>
      <c r="T134" s="372"/>
      <c r="U134" s="373"/>
    </row>
    <row r="135" spans="1:29" s="1" customFormat="1" ht="13.5" hidden="1" thickBot="1">
      <c r="A135" s="77" t="e">
        <f>"M"&amp;E115</f>
        <v>#N/A</v>
      </c>
      <c r="B135" s="358"/>
      <c r="C135" s="359"/>
      <c r="D135" s="360"/>
      <c r="E135" s="132">
        <f>IF(ISTEXT(G131),"NO APLICA",G131*POSMMLV)</f>
        <v>441.34615384615381</v>
      </c>
      <c r="F135" s="133">
        <f>IF(E135="","",S126)</f>
        <v>5138.5</v>
      </c>
      <c r="G135" s="131" t="str">
        <f>IF(E135="","",IF(E135="NO APLICA","NO CUMPLE",IF(F135&gt;=E135,"CUMPLE", "NO CUMPLE")))</f>
        <v>CUMPLE</v>
      </c>
      <c r="H135" s="107">
        <v>3</v>
      </c>
      <c r="I135" s="65" t="e">
        <f>IF(AND(H135&lt;=M130,M130&gt;1),VLOOKUP(VALUE(E115&amp;","&amp;H135),INTEGRANTES!$B$15:$D$23,2,0),"")</f>
        <v>#N/A</v>
      </c>
      <c r="J135" s="108" t="e">
        <f>IF(I135&lt;&gt;"",VLOOKUP(VALUE(E115&amp;","&amp;H135),INTEGRANTES!$B$15:$D$23,3,0),"")</f>
        <v>#N/A</v>
      </c>
      <c r="K135" s="134" t="e">
        <f>IF($I135="","",IF($G131="N/A","",ROUND($E135*PORPOM,2)))</f>
        <v>#N/A</v>
      </c>
      <c r="L135" s="134" t="e">
        <f>IF(I135="","",SUMIF($J119:$J124,I135,$S119:$S124))</f>
        <v>#N/A</v>
      </c>
      <c r="M135" s="66" t="e">
        <f t="shared" ref="M135:M138" si="25">IF($I135="","",IF($K135&gt;L135,"NO CUMPLE","CUMPLE"))</f>
        <v>#N/A</v>
      </c>
      <c r="N135" s="66" t="e">
        <f t="shared" si="24"/>
        <v>#N/A</v>
      </c>
      <c r="O135" s="181" t="e">
        <f>IF(OR(J135="",L135=""),"",IF(AND(J135&gt;=0.25,L135&gt;=$F135*0.25),"SI","NO"))</f>
        <v>#N/A</v>
      </c>
      <c r="P135" s="66" t="e">
        <f>IF(I135="","",IF(OR(SUMIF($J119:$J124,I135,$S119:$S124)&gt;=5%*E135,AND(SUMIF($J119:$J124,J135,$S119:$S124)=0,J135&lt;=10%)),"CUMPLE","NO CUMPLE"))</f>
        <v>#N/A</v>
      </c>
      <c r="Q135" s="184" t="e">
        <f>IF(OR(I135="",P135="",P135="CUMPLE"),"",IF(AND(P135="NO CUMPLE",L135=0,J135&gt;5%),"EXP = 0 y PART &gt; 5%",IF(L135&lt;5%*E135,"EXP &lt; 5%","")))</f>
        <v>#N/A</v>
      </c>
      <c r="R135" s="170"/>
      <c r="S135" s="170"/>
      <c r="T135" s="372"/>
      <c r="U135" s="373"/>
    </row>
    <row r="136" spans="1:29" s="1" customFormat="1" ht="16.5" hidden="1" customHeight="1">
      <c r="A136" s="77" t="e">
        <f>"N"&amp;E115</f>
        <v>#N/A</v>
      </c>
      <c r="B136" s="342" t="s">
        <v>88</v>
      </c>
      <c r="C136" s="343"/>
      <c r="D136" s="343"/>
      <c r="E136" s="343"/>
      <c r="F136" s="343"/>
      <c r="G136" s="343"/>
      <c r="H136" s="107">
        <v>4</v>
      </c>
      <c r="I136" s="65" t="e">
        <f>IF(AND(H136&lt;=M130,M130&gt;1),VLOOKUP(VALUE(E115&amp;","&amp;H136),INTEGRANTES!$B$15:$D$23,2,0),"")</f>
        <v>#N/A</v>
      </c>
      <c r="J136" s="108" t="e">
        <f>IF(I136&lt;&gt;"",VLOOKUP(VALUE(E115&amp;","&amp;H136),INTEGRANTES!$B$15:$D$23,3,0),"")</f>
        <v>#N/A</v>
      </c>
      <c r="K136" s="134" t="e">
        <f>IF($I136="","",IF($G131="N/A","",ROUND($E135*PORPOM,2)))</f>
        <v>#N/A</v>
      </c>
      <c r="L136" s="134" t="e">
        <f>IF(I136="","",SUMIF($J119:$J124,I136,$S119:$S124))</f>
        <v>#N/A</v>
      </c>
      <c r="M136" s="66" t="e">
        <f t="shared" si="25"/>
        <v>#N/A</v>
      </c>
      <c r="N136" s="66" t="e">
        <f t="shared" si="24"/>
        <v>#N/A</v>
      </c>
      <c r="O136" s="181" t="e">
        <f>IF(OR(J136="",L136=""),"",IF(AND(J136&gt;=0.25,L136&gt;=$F135*0.25),"SI","NO"))</f>
        <v>#N/A</v>
      </c>
      <c r="P136" s="66" t="e">
        <f>IF(I136="","",IF(OR(SUMIF($J119:$J124,I136,$S119:$S124)&gt;=5%*E135,AND(SUMIF($J119:$J124,J136,$S119:$S124)=0,J136&lt;=10%)),"CUMPLE","NO CUMPLE"))</f>
        <v>#N/A</v>
      </c>
      <c r="Q136" s="184" t="e">
        <f>IF(OR(I136="",P136="",P136="CUMPLE"),"",IF(AND(P136="NO CUMPLE",L136=0,J136&gt;5%),"EXP = 0 y PART &gt; 5%",IF(L136&lt;5%*E135,"EXP &lt; 5%","")))</f>
        <v>#N/A</v>
      </c>
      <c r="R136" s="170"/>
      <c r="S136" s="170"/>
      <c r="T136" s="372"/>
      <c r="U136" s="373"/>
    </row>
    <row r="137" spans="1:29" s="1" customFormat="1" ht="16.5" hidden="1" customHeight="1">
      <c r="A137" s="77" t="e">
        <f>"O"&amp;E115</f>
        <v>#N/A</v>
      </c>
      <c r="B137" s="355" t="s">
        <v>89</v>
      </c>
      <c r="C137" s="356"/>
      <c r="D137" s="356"/>
      <c r="E137" s="356"/>
      <c r="F137" s="356"/>
      <c r="G137" s="243" t="s">
        <v>82</v>
      </c>
      <c r="H137" s="107">
        <v>5</v>
      </c>
      <c r="I137" s="65" t="e">
        <f>IF(AND(H137&lt;=M130,M130&gt;1),VLOOKUP(VALUE(E115&amp;","&amp;H137),INTEGRANTES!$B$15:$D$23,2,0),"")</f>
        <v>#N/A</v>
      </c>
      <c r="J137" s="108" t="e">
        <f>IF(I137&lt;&gt;"",VLOOKUP(VALUE(E115&amp;","&amp;H137),INTEGRANTES!$B$15:$D$23,3,0),"")</f>
        <v>#N/A</v>
      </c>
      <c r="K137" s="134" t="e">
        <f>IF($I137="","",IF($G131="N/A","",ROUND($E135*PORPOM,2)))</f>
        <v>#N/A</v>
      </c>
      <c r="L137" s="134" t="e">
        <f>IF(I137="","",SUMIF($J119:$J124,I137,$S119:$S124))</f>
        <v>#N/A</v>
      </c>
      <c r="M137" s="66" t="e">
        <f t="shared" si="25"/>
        <v>#N/A</v>
      </c>
      <c r="N137" s="66" t="e">
        <f t="shared" si="24"/>
        <v>#N/A</v>
      </c>
      <c r="O137" s="181" t="e">
        <f>IF(OR(J137="",L137=""),"",IF(AND(J137&gt;=0.25,L137&gt;=$F135*0.25),"SI","NO"))</f>
        <v>#N/A</v>
      </c>
      <c r="P137" s="66" t="e">
        <f>IF(I137="","",IF(OR(SUMIF($J119:$J124,I137,$S119:$S124)&gt;=5%*E135,AND(SUMIF($J119:$J124,J137,$S119:$S124)=0,J137&lt;=10%)),"CUMPLE","NO CUMPLE"))</f>
        <v>#N/A</v>
      </c>
      <c r="Q137" s="184" t="e">
        <f>IF(OR(I137="",P137="",P137="CUMPLE"),"",IF(AND(P137="NO CUMPLE",L137=0,J137&gt;5%),"EXP = 0 y PART &gt; 5%",IF(L137&lt;5%*E135,"EXP &lt; 5%","")))</f>
        <v>#N/A</v>
      </c>
      <c r="R137" s="378" t="s">
        <v>155</v>
      </c>
      <c r="S137" s="379"/>
      <c r="T137" s="372"/>
      <c r="U137" s="373"/>
    </row>
    <row r="138" spans="1:29" s="1" customFormat="1" ht="15.75" hidden="1" customHeight="1" thickBot="1">
      <c r="A138" s="77" t="e">
        <f>"P"&amp;E115</f>
        <v>#N/A</v>
      </c>
      <c r="B138" s="376"/>
      <c r="C138" s="377"/>
      <c r="D138" s="377"/>
      <c r="E138" s="377"/>
      <c r="F138" s="377"/>
      <c r="G138" s="84" t="str">
        <f>IF(COUNTIF(Y119:Y124,"")&gt;5,"NO CUMPLE",IF(COUNTIF(Y119:Y124,"CUMPLE")&gt;=1,"CUMPLE", "NO CUMPLE"))</f>
        <v>CUMPLE</v>
      </c>
      <c r="H138" s="137">
        <v>6</v>
      </c>
      <c r="I138" s="138" t="e">
        <f>IF(AND(H138&lt;=M130,M130&gt;1),VLOOKUP(VALUE(E116&amp;","&amp;H138),INTEGRANTES!$B$15:$D$23,2,0),"")</f>
        <v>#N/A</v>
      </c>
      <c r="J138" s="108" t="e">
        <f>IF(I138&lt;&gt;"",VLOOKUP(VALUE(E116&amp;","&amp;H138),INTEGRANTES!$B$15:$D$23,3,0),"")</f>
        <v>#N/A</v>
      </c>
      <c r="K138" s="134" t="e">
        <f>IF($I138="","",IF($G131="N/A","",ROUND($E135*PORPOM,2)))</f>
        <v>#N/A</v>
      </c>
      <c r="L138" s="134" t="e">
        <f>IF(I138="","",SUMIF($J119:$J124,I138,$S119:$S124))</f>
        <v>#N/A</v>
      </c>
      <c r="M138" s="139" t="e">
        <f t="shared" si="25"/>
        <v>#N/A</v>
      </c>
      <c r="N138" s="66" t="e">
        <f t="shared" si="24"/>
        <v>#N/A</v>
      </c>
      <c r="O138" s="181" t="e">
        <f>IF(OR(J138="",L138=""),"",IF(AND(J138&gt;=0.25,L138&gt;=$F135*0.25),"SI","NO"))</f>
        <v>#N/A</v>
      </c>
      <c r="P138" s="66" t="e">
        <f>IF(I138="","",IF(OR(SUMIF($J119:$J124,I138,$S119:$S124)&gt;=5%*E135,AND(SUMIF($J119:$J124,J138,$S119:$S124)=0,J138&lt;=10%)),"CUMPLE","NO CUMPLE"))</f>
        <v>#N/A</v>
      </c>
      <c r="Q138" s="185" t="e">
        <f>IF(OR(I138="",P138="",P138="CUMPLE"),"",IF(AND(P138="NO CUMPLE",L138=0,J138&gt;5%),"EXP = 0 y PART &gt; 5%",IF(L138&lt;5%*E135,"EXP &lt; 5%","")))</f>
        <v>#N/A</v>
      </c>
      <c r="R138" s="378"/>
      <c r="S138" s="379"/>
      <c r="T138" s="372"/>
      <c r="U138" s="373"/>
    </row>
    <row r="139" spans="1:29" s="1" customFormat="1" ht="39" hidden="1" customHeight="1" thickBot="1">
      <c r="A139" s="77" t="e">
        <f>"Q"&amp;E115</f>
        <v>#N/A</v>
      </c>
      <c r="B139" s="325"/>
      <c r="C139" s="326"/>
      <c r="D139" s="326"/>
      <c r="E139" s="326"/>
      <c r="F139" s="326"/>
      <c r="G139" s="327"/>
      <c r="H139" s="328" t="s">
        <v>112</v>
      </c>
      <c r="I139" s="329"/>
      <c r="J139" s="330"/>
      <c r="K139" s="328" t="s">
        <v>113</v>
      </c>
      <c r="L139" s="331"/>
      <c r="M139" s="109" t="e">
        <f>IF(OR($M130="",SUM(J133:J138)=0),"",IF(COUNTIF(M133:M138,"CUMPLE")&gt;=1,"CUMPLE","NO CUMPLE"))</f>
        <v>#N/A</v>
      </c>
      <c r="N139" s="109" t="e">
        <f>IF(OR($M130="",SUM(J133:J138)=0),"",IF(COUNTIF(N133:N138,"CUMPLE")&gt;=1,"CUMPLE","NO CUMPLE"))</f>
        <v>#N/A</v>
      </c>
      <c r="O139" s="182"/>
      <c r="P139" s="182" t="str">
        <f>IF(COUNTIF(P133:P138,"")&gt;5,"",IF(COUNTIF(P133:P138,"NO CUMPLE")&gt;0,"NO CUMPLE","CUMPLE"))</f>
        <v>CUMPLE</v>
      </c>
      <c r="Q139" s="186"/>
      <c r="R139" s="332" t="s">
        <v>179</v>
      </c>
      <c r="S139" s="333"/>
      <c r="T139" s="374"/>
      <c r="U139" s="375"/>
      <c r="X139" s="141"/>
      <c r="Y139" s="141"/>
      <c r="Z139" s="32"/>
      <c r="AA139" s="32"/>
      <c r="AB139" s="32"/>
    </row>
    <row r="140" spans="1:29" hidden="1"/>
    <row r="141" spans="1:29" hidden="1"/>
    <row r="142" spans="1:29" s="7" customFormat="1" ht="24" hidden="1" customHeight="1" thickBot="1">
      <c r="A142" s="97">
        <v>7</v>
      </c>
      <c r="B142" s="388" t="s">
        <v>1</v>
      </c>
      <c r="C142" s="388"/>
      <c r="D142" s="388"/>
      <c r="E142" s="70" t="e">
        <f>VLOOKUP(A142,PROPONENTES!$B$14:$D$21,2,FALSE)</f>
        <v>#N/A</v>
      </c>
      <c r="F142" s="71" t="e">
        <f>VLOOKUP(E142,PROPONENTES!$C$14:$D$21,2,FALSE)</f>
        <v>#N/A</v>
      </c>
      <c r="G142" s="72"/>
      <c r="H142" s="72"/>
      <c r="I142" s="72"/>
      <c r="J142" s="71"/>
      <c r="K142" s="71"/>
      <c r="L142" s="70"/>
      <c r="M142" s="72"/>
      <c r="N142" s="72"/>
      <c r="O142" s="72"/>
      <c r="P142" s="72"/>
      <c r="Q142" s="72"/>
      <c r="R142" s="72"/>
      <c r="S142" s="72"/>
      <c r="T142" s="72"/>
      <c r="U142" s="73"/>
      <c r="V142" s="74"/>
      <c r="W142" s="74"/>
      <c r="X142" s="74"/>
      <c r="Z142" s="72"/>
      <c r="AA142" s="72"/>
      <c r="AC142" s="72"/>
    </row>
    <row r="143" spans="1:29" s="83" customFormat="1" ht="18.75" hidden="1">
      <c r="A143" s="82"/>
      <c r="B143" s="389" t="s">
        <v>71</v>
      </c>
      <c r="C143" s="391" t="s">
        <v>45</v>
      </c>
      <c r="D143" s="393" t="s">
        <v>104</v>
      </c>
      <c r="E143" s="345"/>
      <c r="F143" s="393" t="s">
        <v>76</v>
      </c>
      <c r="G143" s="345"/>
      <c r="H143" s="394" t="s">
        <v>72</v>
      </c>
      <c r="I143" s="394" t="s">
        <v>85</v>
      </c>
      <c r="J143" s="394" t="s">
        <v>2</v>
      </c>
      <c r="K143" s="394" t="s">
        <v>26</v>
      </c>
      <c r="L143" s="394" t="s">
        <v>27</v>
      </c>
      <c r="M143" s="395" t="s">
        <v>28</v>
      </c>
      <c r="N143" s="394" t="s">
        <v>86</v>
      </c>
      <c r="O143" s="397" t="s">
        <v>61</v>
      </c>
      <c r="P143" s="398"/>
      <c r="Q143" s="391" t="s">
        <v>120</v>
      </c>
      <c r="R143" s="343" t="s">
        <v>3</v>
      </c>
      <c r="S143" s="343"/>
      <c r="T143" s="380" t="s">
        <v>17</v>
      </c>
      <c r="U143" s="381"/>
      <c r="V143" s="339" t="s">
        <v>84</v>
      </c>
      <c r="W143" s="142"/>
      <c r="X143" s="270" t="s">
        <v>166</v>
      </c>
      <c r="Y143" s="270" t="s">
        <v>167</v>
      </c>
    </row>
    <row r="144" spans="1:29" s="83" customFormat="1" ht="93" hidden="1" customHeight="1" thickBot="1">
      <c r="A144" s="82"/>
      <c r="B144" s="390"/>
      <c r="C144" s="392"/>
      <c r="D144" s="223" t="s">
        <v>9</v>
      </c>
      <c r="E144" s="223" t="s">
        <v>4</v>
      </c>
      <c r="F144" s="223" t="s">
        <v>14</v>
      </c>
      <c r="G144" s="224" t="s">
        <v>73</v>
      </c>
      <c r="H144" s="369"/>
      <c r="I144" s="369"/>
      <c r="J144" s="369"/>
      <c r="K144" s="369"/>
      <c r="L144" s="369"/>
      <c r="M144" s="396"/>
      <c r="N144" s="369"/>
      <c r="O144" s="225" t="s">
        <v>59</v>
      </c>
      <c r="P144" s="225" t="s">
        <v>87</v>
      </c>
      <c r="Q144" s="392"/>
      <c r="R144" s="225" t="s">
        <v>64</v>
      </c>
      <c r="S144" s="226" t="s">
        <v>60</v>
      </c>
      <c r="T144" s="382"/>
      <c r="U144" s="383"/>
      <c r="V144" s="341"/>
      <c r="W144" s="142"/>
      <c r="X144" s="281" t="s">
        <v>177</v>
      </c>
      <c r="Y144" s="269" t="s">
        <v>178</v>
      </c>
    </row>
    <row r="145" spans="1:29" s="1" customFormat="1" ht="12" hidden="1" customHeight="1" thickBot="1">
      <c r="A145" s="77"/>
      <c r="B145" s="68"/>
      <c r="C145" s="69"/>
      <c r="D145" s="69"/>
      <c r="E145" s="69"/>
      <c r="F145" s="69"/>
      <c r="G145" s="69"/>
      <c r="H145" s="69"/>
      <c r="I145" s="69"/>
      <c r="J145" s="69"/>
      <c r="K145" s="69"/>
      <c r="L145" s="69"/>
      <c r="M145" s="69"/>
      <c r="N145" s="69"/>
      <c r="O145" s="69"/>
      <c r="P145" s="69"/>
      <c r="Q145" s="100"/>
      <c r="R145" s="100"/>
      <c r="S145" s="69"/>
      <c r="T145" s="384"/>
      <c r="U145" s="385"/>
      <c r="V145" s="144"/>
      <c r="W145" s="32"/>
      <c r="X145" s="205"/>
      <c r="Y145" s="204"/>
    </row>
    <row r="146" spans="1:29" s="85" customFormat="1" ht="58.5" hidden="1" customHeight="1">
      <c r="A146" s="80" t="e">
        <f>"A"&amp;E142</f>
        <v>#N/A</v>
      </c>
      <c r="B146" s="251">
        <v>1</v>
      </c>
      <c r="C146" s="252" t="s">
        <v>158</v>
      </c>
      <c r="D146" s="252" t="s">
        <v>198</v>
      </c>
      <c r="E146" s="252" t="s">
        <v>199</v>
      </c>
      <c r="F146" s="252" t="s">
        <v>180</v>
      </c>
      <c r="G146" s="253">
        <v>0.6</v>
      </c>
      <c r="H146" s="253" t="s">
        <v>96</v>
      </c>
      <c r="I146" s="254" t="s">
        <v>47</v>
      </c>
      <c r="J146" s="254" t="s">
        <v>176</v>
      </c>
      <c r="K146" s="255">
        <v>43550</v>
      </c>
      <c r="L146" s="255">
        <v>44902</v>
      </c>
      <c r="M146" s="81">
        <f t="shared" ref="M146:M151" si="26">IF(OR(K146="",L146=""),"",IF(OR(K146&gt;$L$14,K146&lt;$K$14,L146&gt;$L$14,AND(K146&lt;$K$14,L146&lt;$K$14)),"FUERA DE RANGO",IF(K146&gt;=$K$14,ROUND(((L146-K146+1)/360*12),1),ROUND(((L146-$K$14+1)/360*12),1))))</f>
        <v>45.1</v>
      </c>
      <c r="N146" s="256">
        <v>34</v>
      </c>
      <c r="O146" s="254" t="s">
        <v>47</v>
      </c>
      <c r="P146" s="257" t="s">
        <v>47</v>
      </c>
      <c r="Q146" s="258">
        <v>24130.21</v>
      </c>
      <c r="R146" s="67">
        <f>IF(OR(G146="",Q146=""),"",Q146*G146)</f>
        <v>14478.125999999998</v>
      </c>
      <c r="S146" s="168">
        <f t="shared" ref="S146:S151" si="27">IF(OR(I146="NO",I146="",R146=""),"",IF(OR(L146&lt;$K$14,L146&gt;$L$14,,L146=""),0,ROUND(R146,2)))</f>
        <v>14478.13</v>
      </c>
      <c r="T146" s="386"/>
      <c r="U146" s="387"/>
      <c r="V146" s="259"/>
      <c r="W146" s="143"/>
      <c r="X146" s="266" t="s">
        <v>33</v>
      </c>
      <c r="Y146" s="266" t="s">
        <v>33</v>
      </c>
    </row>
    <row r="147" spans="1:29" s="85" customFormat="1" ht="15" hidden="1">
      <c r="A147" s="80" t="e">
        <f>"B"&amp;E142</f>
        <v>#N/A</v>
      </c>
      <c r="B147" s="251">
        <v>2</v>
      </c>
      <c r="C147" s="252"/>
      <c r="D147" s="252"/>
      <c r="E147" s="252"/>
      <c r="F147" s="252"/>
      <c r="G147" s="253"/>
      <c r="H147" s="253"/>
      <c r="I147" s="254"/>
      <c r="J147" s="254"/>
      <c r="K147" s="255"/>
      <c r="L147" s="255"/>
      <c r="M147" s="81" t="str">
        <f t="shared" si="26"/>
        <v/>
      </c>
      <c r="N147" s="256"/>
      <c r="O147" s="254"/>
      <c r="P147" s="257"/>
      <c r="Q147" s="258"/>
      <c r="R147" s="67" t="str">
        <f t="shared" ref="R147:R151" si="28">IF(OR(G147="",Q147=""),"",Q147*G147)</f>
        <v/>
      </c>
      <c r="S147" s="168" t="str">
        <f t="shared" si="27"/>
        <v/>
      </c>
      <c r="T147" s="386"/>
      <c r="U147" s="387"/>
      <c r="V147" s="259"/>
      <c r="W147" s="143"/>
      <c r="X147" s="267"/>
      <c r="Y147" s="267"/>
    </row>
    <row r="148" spans="1:29" s="85" customFormat="1" ht="15" hidden="1">
      <c r="A148" s="80" t="e">
        <f>"C"&amp;E142</f>
        <v>#N/A</v>
      </c>
      <c r="B148" s="251">
        <v>3</v>
      </c>
      <c r="C148" s="252"/>
      <c r="D148" s="252"/>
      <c r="E148" s="252"/>
      <c r="F148" s="252"/>
      <c r="G148" s="253"/>
      <c r="H148" s="253"/>
      <c r="I148" s="254"/>
      <c r="J148" s="254"/>
      <c r="K148" s="255"/>
      <c r="L148" s="255"/>
      <c r="M148" s="81" t="str">
        <f t="shared" si="26"/>
        <v/>
      </c>
      <c r="N148" s="256"/>
      <c r="O148" s="254"/>
      <c r="P148" s="257"/>
      <c r="Q148" s="258"/>
      <c r="R148" s="67" t="str">
        <f t="shared" si="28"/>
        <v/>
      </c>
      <c r="S148" s="168" t="str">
        <f t="shared" si="27"/>
        <v/>
      </c>
      <c r="T148" s="386"/>
      <c r="U148" s="387"/>
      <c r="V148" s="259"/>
      <c r="W148" s="143"/>
      <c r="X148" s="267"/>
      <c r="Y148" s="267"/>
    </row>
    <row r="149" spans="1:29" s="85" customFormat="1" ht="20.100000000000001" hidden="1" customHeight="1">
      <c r="A149" s="80" t="e">
        <f>"D"&amp;E142</f>
        <v>#N/A</v>
      </c>
      <c r="B149" s="251"/>
      <c r="C149" s="252"/>
      <c r="D149" s="252"/>
      <c r="E149" s="252"/>
      <c r="F149" s="252"/>
      <c r="G149" s="253"/>
      <c r="H149" s="253"/>
      <c r="I149" s="254"/>
      <c r="J149" s="254"/>
      <c r="K149" s="255"/>
      <c r="L149" s="255"/>
      <c r="M149" s="81" t="str">
        <f t="shared" si="26"/>
        <v/>
      </c>
      <c r="N149" s="256"/>
      <c r="O149" s="254"/>
      <c r="P149" s="257"/>
      <c r="Q149" s="258"/>
      <c r="R149" s="67" t="str">
        <f t="shared" si="28"/>
        <v/>
      </c>
      <c r="S149" s="168" t="str">
        <f t="shared" si="27"/>
        <v/>
      </c>
      <c r="T149" s="386"/>
      <c r="U149" s="387"/>
      <c r="V149" s="259"/>
      <c r="W149" s="143"/>
      <c r="X149" s="267"/>
      <c r="Y149" s="206" t="str">
        <f>IF(I149="SI",IF(X149*G149&gt;=Y145,"CUMPLE","NO CUMPLE"),"")</f>
        <v/>
      </c>
    </row>
    <row r="150" spans="1:29" s="85" customFormat="1" ht="20.100000000000001" hidden="1" customHeight="1">
      <c r="A150" s="80" t="e">
        <f>"E"&amp;E142</f>
        <v>#N/A</v>
      </c>
      <c r="B150" s="251"/>
      <c r="C150" s="252"/>
      <c r="D150" s="252"/>
      <c r="E150" s="252"/>
      <c r="F150" s="252"/>
      <c r="G150" s="253"/>
      <c r="H150" s="253"/>
      <c r="I150" s="254"/>
      <c r="J150" s="254"/>
      <c r="K150" s="255"/>
      <c r="L150" s="255"/>
      <c r="M150" s="81" t="str">
        <f t="shared" si="26"/>
        <v/>
      </c>
      <c r="N150" s="256"/>
      <c r="O150" s="254"/>
      <c r="P150" s="257"/>
      <c r="Q150" s="258"/>
      <c r="R150" s="67" t="str">
        <f t="shared" si="28"/>
        <v/>
      </c>
      <c r="S150" s="168" t="str">
        <f t="shared" si="27"/>
        <v/>
      </c>
      <c r="T150" s="386"/>
      <c r="U150" s="387"/>
      <c r="V150" s="259"/>
      <c r="W150" s="143"/>
      <c r="X150" s="267"/>
      <c r="Y150" s="206" t="str">
        <f>IF(I150="SI",IF(X150*G150&gt;=Y145,"CUMPLE","NO CUMPLE"),"")</f>
        <v/>
      </c>
    </row>
    <row r="151" spans="1:29" s="85" customFormat="1" ht="20.100000000000001" hidden="1" customHeight="1">
      <c r="A151" s="80" t="e">
        <f>"F"&amp;E142</f>
        <v>#N/A</v>
      </c>
      <c r="B151" s="251"/>
      <c r="C151" s="252"/>
      <c r="D151" s="252"/>
      <c r="E151" s="252"/>
      <c r="F151" s="252"/>
      <c r="G151" s="253"/>
      <c r="H151" s="253"/>
      <c r="I151" s="254"/>
      <c r="J151" s="254"/>
      <c r="K151" s="255"/>
      <c r="L151" s="255"/>
      <c r="M151" s="81" t="str">
        <f t="shared" si="26"/>
        <v/>
      </c>
      <c r="N151" s="256"/>
      <c r="O151" s="254"/>
      <c r="P151" s="257"/>
      <c r="Q151" s="258"/>
      <c r="R151" s="67" t="str">
        <f t="shared" si="28"/>
        <v/>
      </c>
      <c r="S151" s="168" t="str">
        <f t="shared" si="27"/>
        <v/>
      </c>
      <c r="T151" s="386"/>
      <c r="U151" s="387"/>
      <c r="V151" s="259"/>
      <c r="W151" s="143"/>
      <c r="X151" s="267"/>
      <c r="Y151" s="206" t="str">
        <f>IF(I151="SI",IF(X151*G151&gt;=Y145,"CUMPLE","NO CUMPLE"),"")</f>
        <v/>
      </c>
    </row>
    <row r="152" spans="1:29" s="1" customFormat="1" ht="15.75" hidden="1" customHeight="1" thickBot="1">
      <c r="A152" s="77"/>
      <c r="B152" s="261"/>
      <c r="C152" s="262"/>
      <c r="D152" s="262"/>
      <c r="E152" s="262"/>
      <c r="F152" s="262"/>
      <c r="G152" s="262"/>
      <c r="H152" s="262"/>
      <c r="I152" s="262"/>
      <c r="J152" s="262"/>
      <c r="K152" s="262"/>
      <c r="L152" s="262"/>
      <c r="M152" s="262"/>
      <c r="N152" s="262"/>
      <c r="O152" s="262"/>
      <c r="P152" s="262"/>
      <c r="Q152" s="262"/>
      <c r="R152" s="262"/>
      <c r="S152" s="262"/>
      <c r="T152" s="175"/>
      <c r="U152" s="177"/>
      <c r="V152" s="263"/>
      <c r="W152" s="140"/>
      <c r="X152" s="265"/>
      <c r="Y152" s="264"/>
      <c r="Z152" s="32"/>
    </row>
    <row r="153" spans="1:29" s="1" customFormat="1" ht="17.25" hidden="1" customHeight="1" thickBot="1">
      <c r="A153" s="78"/>
      <c r="B153" s="244"/>
      <c r="C153" s="234"/>
      <c r="D153" s="234"/>
      <c r="E153" s="234"/>
      <c r="F153" s="234"/>
      <c r="G153" s="234"/>
      <c r="H153" s="234"/>
      <c r="I153" s="234"/>
      <c r="J153" s="234"/>
      <c r="K153" s="234"/>
      <c r="L153" s="234"/>
      <c r="M153" s="234"/>
      <c r="N153" s="234"/>
      <c r="O153" s="234"/>
      <c r="P153" s="234"/>
      <c r="Q153" s="245"/>
      <c r="R153" s="245"/>
      <c r="S153" s="246">
        <f>SUM(S146:S151)</f>
        <v>14478.13</v>
      </c>
      <c r="T153" s="334"/>
      <c r="U153" s="335"/>
      <c r="V153" s="247"/>
      <c r="W153" s="32"/>
      <c r="X153" s="260"/>
      <c r="Y153" s="203" t="str">
        <f>IF(COUNTIF(Y146:Y151,"")&gt;9,"VERIFICAR",IF(COUNTIF(Y146:Y151,"CUMPLE")&gt;0,"CUMPLE","NO CUMPLE"))</f>
        <v>CUMPLE</v>
      </c>
    </row>
    <row r="154" spans="1:29" ht="17.25" hidden="1" customHeight="1">
      <c r="B154" s="112"/>
      <c r="C154" s="110"/>
      <c r="D154" s="110"/>
      <c r="E154" s="110"/>
      <c r="F154" s="110"/>
      <c r="G154" s="110"/>
      <c r="H154" s="110"/>
      <c r="I154" s="110"/>
      <c r="J154" s="110"/>
      <c r="K154" s="110"/>
      <c r="L154" s="110"/>
      <c r="M154" s="110"/>
      <c r="N154" s="110"/>
      <c r="O154" s="110"/>
      <c r="P154" s="110"/>
      <c r="Q154" s="110"/>
      <c r="R154" s="110"/>
      <c r="U154" s="111"/>
      <c r="V154" s="111"/>
      <c r="X154" s="99"/>
      <c r="Y154" s="99"/>
    </row>
    <row r="155" spans="1:29" s="1" customFormat="1" ht="16.5" hidden="1" customHeight="1" thickBot="1">
      <c r="A155" s="77"/>
      <c r="B155" s="233" t="s">
        <v>42</v>
      </c>
      <c r="C155" s="234"/>
      <c r="D155" s="234"/>
      <c r="E155" s="234"/>
      <c r="F155" s="234"/>
      <c r="G155" s="235"/>
      <c r="H155" s="235"/>
      <c r="I155" s="235"/>
      <c r="J155" s="235"/>
      <c r="K155" s="235"/>
      <c r="L155" s="235"/>
      <c r="M155" s="235"/>
      <c r="N155" s="235"/>
      <c r="O155" s="235"/>
      <c r="P155" s="235"/>
      <c r="Q155" s="235"/>
      <c r="R155" s="235"/>
      <c r="S155" s="235"/>
      <c r="T155" s="235"/>
      <c r="U155" s="248"/>
      <c r="V155" s="116"/>
      <c r="X155" s="32"/>
      <c r="Y155" s="32"/>
      <c r="Z155" s="32"/>
      <c r="AA155" s="32"/>
      <c r="AB155" s="32"/>
      <c r="AC155" s="32"/>
    </row>
    <row r="156" spans="1:29" s="1" customFormat="1" ht="15.75" hidden="1" customHeight="1" thickBot="1">
      <c r="A156" s="77" t="e">
        <f>"G"&amp;E142</f>
        <v>#N/A</v>
      </c>
      <c r="B156" s="336" t="s">
        <v>80</v>
      </c>
      <c r="C156" s="337"/>
      <c r="D156" s="337"/>
      <c r="E156" s="337"/>
      <c r="F156" s="337"/>
      <c r="G156" s="338"/>
      <c r="H156" s="236" t="s">
        <v>83</v>
      </c>
      <c r="I156" s="237"/>
      <c r="J156" s="237"/>
      <c r="K156" s="237"/>
      <c r="L156" s="237"/>
      <c r="M156" s="237"/>
      <c r="N156" s="237"/>
      <c r="O156" s="238" t="s">
        <v>118</v>
      </c>
      <c r="P156" s="239" t="s">
        <v>124</v>
      </c>
      <c r="Q156" s="339" t="s">
        <v>126</v>
      </c>
      <c r="R156" s="249"/>
      <c r="S156" s="249"/>
      <c r="T156" s="249"/>
      <c r="U156" s="250"/>
    </row>
    <row r="157" spans="1:29" s="1" customFormat="1" ht="15.75" hidden="1" customHeight="1">
      <c r="A157" s="77" t="e">
        <f>"H"&amp;E142</f>
        <v>#N/A</v>
      </c>
      <c r="B157" s="342" t="s">
        <v>106</v>
      </c>
      <c r="C157" s="343"/>
      <c r="D157" s="343"/>
      <c r="E157" s="343"/>
      <c r="F157" s="343"/>
      <c r="G157" s="344"/>
      <c r="H157" s="342" t="s">
        <v>16</v>
      </c>
      <c r="I157" s="343"/>
      <c r="J157" s="343"/>
      <c r="K157" s="343"/>
      <c r="L157" s="345"/>
      <c r="M157" s="240" t="e">
        <f>VLOOKUP(E142,PROPONENTES!$C$14:$E$21,3,0)</f>
        <v>#N/A</v>
      </c>
      <c r="N157" s="339" t="s">
        <v>161</v>
      </c>
      <c r="O157" s="346" t="s">
        <v>160</v>
      </c>
      <c r="P157" s="348" t="s">
        <v>125</v>
      </c>
      <c r="Q157" s="340"/>
      <c r="S157" s="169"/>
      <c r="T157" s="351" t="s">
        <v>121</v>
      </c>
      <c r="U157" s="352"/>
    </row>
    <row r="158" spans="1:29" s="30" customFormat="1" ht="22.5" hidden="1" customHeight="1">
      <c r="A158" s="77" t="e">
        <f>"I"&amp;E142</f>
        <v>#N/A</v>
      </c>
      <c r="B158" s="355" t="s">
        <v>105</v>
      </c>
      <c r="C158" s="356"/>
      <c r="D158" s="357"/>
      <c r="E158" s="361">
        <f>COUNTIFS(I146:I151,"SI",S146:S151,"&gt;0")</f>
        <v>1</v>
      </c>
      <c r="F158" s="363" t="s">
        <v>107</v>
      </c>
      <c r="G158" s="365">
        <f>IF(E158=0,"N/A",IF(AND(E158&gt;=1,E158&lt;=2),0.75,IF(AND(E158&gt;=3,E158&lt;=4),1.2,IF(E158=5,1.5,IF(AND(E158=6,OR(R166="MIPYME",R166="EMEM")),1.5,IF(AND(E158=7,R166="MIPYME Y EMEM"),1.5,"REVISAR"))))))</f>
        <v>0.75</v>
      </c>
      <c r="H158" s="348" t="s">
        <v>15</v>
      </c>
      <c r="I158" s="367"/>
      <c r="J158" s="369" t="s">
        <v>0</v>
      </c>
      <c r="K158" s="369" t="s">
        <v>114</v>
      </c>
      <c r="L158" s="369" t="s">
        <v>115</v>
      </c>
      <c r="M158" s="370" t="s">
        <v>116</v>
      </c>
      <c r="N158" s="340"/>
      <c r="O158" s="346"/>
      <c r="P158" s="349"/>
      <c r="Q158" s="340"/>
      <c r="R158" s="170"/>
      <c r="S158" s="170"/>
      <c r="T158" s="353"/>
      <c r="U158" s="354"/>
    </row>
    <row r="159" spans="1:29" s="30" customFormat="1" ht="15.75" hidden="1" customHeight="1" thickBot="1">
      <c r="A159" s="77" t="e">
        <f>"J"&amp;E142</f>
        <v>#N/A</v>
      </c>
      <c r="B159" s="358"/>
      <c r="C159" s="359"/>
      <c r="D159" s="360"/>
      <c r="E159" s="362"/>
      <c r="F159" s="364"/>
      <c r="G159" s="366"/>
      <c r="H159" s="350"/>
      <c r="I159" s="368"/>
      <c r="J159" s="369"/>
      <c r="K159" s="369"/>
      <c r="L159" s="369"/>
      <c r="M159" s="371"/>
      <c r="N159" s="341"/>
      <c r="O159" s="347"/>
      <c r="P159" s="350"/>
      <c r="Q159" s="341"/>
      <c r="R159" s="170"/>
      <c r="S159" s="170"/>
      <c r="T159" s="372" t="e">
        <f>E142</f>
        <v>#N/A</v>
      </c>
      <c r="U159" s="373"/>
    </row>
    <row r="160" spans="1:29" s="1" customFormat="1" ht="12.75" hidden="1">
      <c r="A160" s="80" t="e">
        <f>"K"&amp;E142</f>
        <v>#N/A</v>
      </c>
      <c r="B160" s="342" t="s">
        <v>81</v>
      </c>
      <c r="C160" s="343"/>
      <c r="D160" s="343"/>
      <c r="E160" s="343"/>
      <c r="F160" s="343"/>
      <c r="G160" s="343"/>
      <c r="H160" s="107">
        <v>1</v>
      </c>
      <c r="I160" s="65" t="e">
        <f>IF(AND(H160&lt;=M157,M157&gt;1),VLOOKUP(VALUE(E142&amp;","&amp;H160),INTEGRANTES!$B$15:$D$23,2,0),"")</f>
        <v>#N/A</v>
      </c>
      <c r="J160" s="108" t="e">
        <f>IF(I160&lt;&gt;"",VLOOKUP(VALUE(E142&amp;","&amp;H160),INTEGRANTES!$B$15:$D$23,3,0),"")</f>
        <v>#N/A</v>
      </c>
      <c r="K160" s="134" t="e">
        <f>IF($I160="","",IF($G158="N/A","",ROUND($E162*PORPOM,2)))</f>
        <v>#N/A</v>
      </c>
      <c r="L160" s="134" t="e">
        <f>IF(I160="","",SUMIF($J146:$J151,I160,$S146:$S151))</f>
        <v>#N/A</v>
      </c>
      <c r="M160" s="66" t="e">
        <f t="shared" ref="M160" si="29">IF($I160="","",IF($K160&gt;L160,"NO CUMPLE","CUMPLE"))</f>
        <v>#N/A</v>
      </c>
      <c r="N160" s="66" t="e">
        <f>IF($I160="","",IF(M160="CUMPLE","CUMPLE","NO CUMPLE"))</f>
        <v>#N/A</v>
      </c>
      <c r="O160" s="181" t="e">
        <f>IF(OR(J160="",L160=""),"",IF(AND(J160&gt;=0.25,L160&gt;=$F162*0.25),"SI","NO"))</f>
        <v>#N/A</v>
      </c>
      <c r="P160" s="66" t="e">
        <f>IF(I160="","",IF(OR(SUMIF($J146:$J151,I160,$S146:$S151)&gt;=5%*E162,AND(SUMIF($J146:$J151,I160,$S146:$S151)=0,J160&lt;=10%)),"CUMPLE","NO CUMPLE"))</f>
        <v>#N/A</v>
      </c>
      <c r="Q160" s="184" t="e">
        <f>IF(OR(I160="",P160="",P160="CUMPLE"),"",IF(AND(P160="NO CUMPLE",L160=0,J160&gt;5%),"EXP = 0 y PART &gt; 5%",IF(L160&lt;5%*E162,"EXP &lt; 5%","")))</f>
        <v>#N/A</v>
      </c>
      <c r="R160" s="170"/>
      <c r="S160" s="170"/>
      <c r="T160" s="372"/>
      <c r="U160" s="373"/>
    </row>
    <row r="161" spans="1:29" s="1" customFormat="1" ht="12.75" hidden="1">
      <c r="A161" s="80" t="e">
        <f>"L"&amp;E142</f>
        <v>#N/A</v>
      </c>
      <c r="B161" s="355" t="s">
        <v>108</v>
      </c>
      <c r="C161" s="356"/>
      <c r="D161" s="357"/>
      <c r="E161" s="241" t="s">
        <v>109</v>
      </c>
      <c r="F161" s="241" t="s">
        <v>110</v>
      </c>
      <c r="G161" s="242" t="s">
        <v>82</v>
      </c>
      <c r="H161" s="107">
        <v>2</v>
      </c>
      <c r="I161" s="65" t="e">
        <f>IF(AND(H161&lt;=M157,M157&gt;1),VLOOKUP(VALUE(E142&amp;","&amp;H161),INTEGRANTES!$B$15:$D$23,2,0),"")</f>
        <v>#N/A</v>
      </c>
      <c r="J161" s="108" t="e">
        <f>IF(I161&lt;&gt;"",VLOOKUP(VALUE(E142&amp;","&amp;H161),INTEGRANTES!$B$15:$D$23,3,0),"")</f>
        <v>#N/A</v>
      </c>
      <c r="K161" s="134" t="e">
        <f>IF($I161="","",IF($G158="N/A","",ROUND($E162*PORPOM,2)))</f>
        <v>#N/A</v>
      </c>
      <c r="L161" s="134" t="e">
        <f>IF(I161="","",SUMIF($J146:$J151,I161,$S146:$S151))</f>
        <v>#N/A</v>
      </c>
      <c r="M161" s="66" t="e">
        <f>IF($I161="","",IF($K161&gt;L161,"NO CUMPLE","CUMPLE"))</f>
        <v>#N/A</v>
      </c>
      <c r="N161" s="66" t="e">
        <f t="shared" ref="N161:N165" si="30">IF($I161="","",IF(M161="CUMPLE","CUMPLE","NO CUMPLE"))</f>
        <v>#N/A</v>
      </c>
      <c r="O161" s="181" t="e">
        <f>IF(OR(J161="",L161=""),"",IF(AND(J161&gt;=0.25,L161&gt;=$F162*0.25),"SI","NO"))</f>
        <v>#N/A</v>
      </c>
      <c r="P161" s="66" t="e">
        <f>IF(I161="","",IF(OR(SUMIF($J146:$J151,I161,$S146:$S151)&gt;=5%*E162,AND(SUMIF($J$22:J146,$J161,$S146:$S151)=0,J161&lt;=10%)),"CUMPLE","NO CUMPLE"))</f>
        <v>#N/A</v>
      </c>
      <c r="Q161" s="184" t="e">
        <f>IF(OR(I161="",P161="",P161="CUMPLE"),"",IF(AND(P161="NO CUMPLE",L161=0,J161&gt;5%),"EXP = 0 y PART &gt; 5%",IF(L161&lt;5%*E162,"EXP &lt; 5%","")))</f>
        <v>#N/A</v>
      </c>
      <c r="R161" s="170"/>
      <c r="S161" s="170"/>
      <c r="T161" s="372"/>
      <c r="U161" s="373"/>
    </row>
    <row r="162" spans="1:29" s="1" customFormat="1" ht="13.5" hidden="1" thickBot="1">
      <c r="A162" s="77" t="e">
        <f>"M"&amp;E142</f>
        <v>#N/A</v>
      </c>
      <c r="B162" s="358"/>
      <c r="C162" s="359"/>
      <c r="D162" s="360"/>
      <c r="E162" s="132">
        <f>IF(ISTEXT(G158),"NO APLICA",G158*POSMMLV)</f>
        <v>441.34615384615381</v>
      </c>
      <c r="F162" s="133">
        <f>IF(E162="","",S153)</f>
        <v>14478.13</v>
      </c>
      <c r="G162" s="131" t="str">
        <f>IF(E162="","",IF(E162="NO APLICA","NO CUMPLE",IF(F162&gt;=E162,"CUMPLE", "NO CUMPLE")))</f>
        <v>CUMPLE</v>
      </c>
      <c r="H162" s="107">
        <v>3</v>
      </c>
      <c r="I162" s="65" t="e">
        <f>IF(AND(H162&lt;=M157,M157&gt;1),VLOOKUP(VALUE(E142&amp;","&amp;H162),INTEGRANTES!$B$15:$D$23,2,0),"")</f>
        <v>#N/A</v>
      </c>
      <c r="J162" s="108" t="e">
        <f>IF(I162&lt;&gt;"",VLOOKUP(VALUE(E142&amp;","&amp;H162),INTEGRANTES!$B$15:$D$23,3,0),"")</f>
        <v>#N/A</v>
      </c>
      <c r="K162" s="134" t="e">
        <f>IF($I162="","",IF($G158="N/A","",ROUND($E162*PORPOM,2)))</f>
        <v>#N/A</v>
      </c>
      <c r="L162" s="134" t="e">
        <f>IF(I162="","",SUMIF($J146:$J151,I162,$S146:$S151))</f>
        <v>#N/A</v>
      </c>
      <c r="M162" s="66" t="e">
        <f t="shared" ref="M162:M165" si="31">IF($I162="","",IF($K162&gt;L162,"NO CUMPLE","CUMPLE"))</f>
        <v>#N/A</v>
      </c>
      <c r="N162" s="66" t="e">
        <f t="shared" si="30"/>
        <v>#N/A</v>
      </c>
      <c r="O162" s="181" t="e">
        <f>IF(OR(J162="",L162=""),"",IF(AND(J162&gt;=0.25,L162&gt;=$F162*0.25),"SI","NO"))</f>
        <v>#N/A</v>
      </c>
      <c r="P162" s="66" t="e">
        <f>IF(I162="","",IF(OR(SUMIF($J146:$J151,I162,$S146:$S151)&gt;=5%*E162,AND(SUMIF($J146:$J151,J162,$S146:$S151)=0,J162&lt;=10%)),"CUMPLE","NO CUMPLE"))</f>
        <v>#N/A</v>
      </c>
      <c r="Q162" s="184" t="e">
        <f>IF(OR(I162="",P162="",P162="CUMPLE"),"",IF(AND(P162="NO CUMPLE",L162=0,J162&gt;5%),"EXP = 0 y PART &gt; 5%",IF(L162&lt;5%*E162,"EXP &lt; 5%","")))</f>
        <v>#N/A</v>
      </c>
      <c r="R162" s="170"/>
      <c r="S162" s="170"/>
      <c r="T162" s="372"/>
      <c r="U162" s="373"/>
    </row>
    <row r="163" spans="1:29" s="1" customFormat="1" ht="16.5" hidden="1" customHeight="1">
      <c r="A163" s="77" t="e">
        <f>"N"&amp;E142</f>
        <v>#N/A</v>
      </c>
      <c r="B163" s="342" t="s">
        <v>88</v>
      </c>
      <c r="C163" s="343"/>
      <c r="D163" s="343"/>
      <c r="E163" s="343"/>
      <c r="F163" s="343"/>
      <c r="G163" s="343"/>
      <c r="H163" s="107">
        <v>4</v>
      </c>
      <c r="I163" s="65" t="e">
        <f>IF(AND(H163&lt;=M157,M157&gt;1),VLOOKUP(VALUE(E142&amp;","&amp;H163),INTEGRANTES!$B$15:$D$23,2,0),"")</f>
        <v>#N/A</v>
      </c>
      <c r="J163" s="108" t="e">
        <f>IF(I163&lt;&gt;"",VLOOKUP(VALUE(E142&amp;","&amp;H163),INTEGRANTES!$B$15:$D$23,3,0),"")</f>
        <v>#N/A</v>
      </c>
      <c r="K163" s="134" t="e">
        <f>IF($I163="","",IF($G158="N/A","",ROUND($E162*PORPOM,2)))</f>
        <v>#N/A</v>
      </c>
      <c r="L163" s="134" t="e">
        <f>IF(I163="","",SUMIF($J146:$J151,I163,$S146:$S151))</f>
        <v>#N/A</v>
      </c>
      <c r="M163" s="66" t="e">
        <f t="shared" si="31"/>
        <v>#N/A</v>
      </c>
      <c r="N163" s="66" t="e">
        <f t="shared" si="30"/>
        <v>#N/A</v>
      </c>
      <c r="O163" s="181" t="e">
        <f>IF(OR(J163="",L163=""),"",IF(AND(J163&gt;=0.25,L163&gt;=$F162*0.25),"SI","NO"))</f>
        <v>#N/A</v>
      </c>
      <c r="P163" s="66" t="e">
        <f>IF(I163="","",IF(OR(SUMIF($J146:$J151,I163,$S146:$S151)&gt;=5%*E162,AND(SUMIF($J146:$J151,J163,$S146:$S151)=0,J163&lt;=10%)),"CUMPLE","NO CUMPLE"))</f>
        <v>#N/A</v>
      </c>
      <c r="Q163" s="184" t="e">
        <f>IF(OR(I163="",P163="",P163="CUMPLE"),"",IF(AND(P163="NO CUMPLE",L163=0,J163&gt;5%),"EXP = 0 y PART &gt; 5%",IF(L163&lt;5%*E162,"EXP &lt; 5%","")))</f>
        <v>#N/A</v>
      </c>
      <c r="R163" s="170"/>
      <c r="S163" s="170"/>
      <c r="T163" s="372"/>
      <c r="U163" s="373"/>
    </row>
    <row r="164" spans="1:29" s="1" customFormat="1" ht="16.5" hidden="1" customHeight="1">
      <c r="A164" s="77" t="e">
        <f>"O"&amp;E142</f>
        <v>#N/A</v>
      </c>
      <c r="B164" s="355" t="s">
        <v>89</v>
      </c>
      <c r="C164" s="356"/>
      <c r="D164" s="356"/>
      <c r="E164" s="356"/>
      <c r="F164" s="356"/>
      <c r="G164" s="243" t="s">
        <v>82</v>
      </c>
      <c r="H164" s="107">
        <v>5</v>
      </c>
      <c r="I164" s="65" t="e">
        <f>IF(AND(H164&lt;=M157,M157&gt;1),VLOOKUP(VALUE(E142&amp;","&amp;H164),INTEGRANTES!$B$15:$D$23,2,0),"")</f>
        <v>#N/A</v>
      </c>
      <c r="J164" s="108" t="e">
        <f>IF(I164&lt;&gt;"",VLOOKUP(VALUE(E142&amp;","&amp;H164),INTEGRANTES!$B$15:$D$23,3,0),"")</f>
        <v>#N/A</v>
      </c>
      <c r="K164" s="134" t="e">
        <f>IF($I164="","",IF($G158="N/A","",ROUND($E162*PORPOM,2)))</f>
        <v>#N/A</v>
      </c>
      <c r="L164" s="134" t="e">
        <f>IF(I164="","",SUMIF($J146:$J151,I164,$S146:$S151))</f>
        <v>#N/A</v>
      </c>
      <c r="M164" s="66" t="e">
        <f t="shared" si="31"/>
        <v>#N/A</v>
      </c>
      <c r="N164" s="66" t="e">
        <f t="shared" si="30"/>
        <v>#N/A</v>
      </c>
      <c r="O164" s="181" t="e">
        <f>IF(OR(J164="",L164=""),"",IF(AND(J164&gt;=0.25,L164&gt;=$F162*0.25),"SI","NO"))</f>
        <v>#N/A</v>
      </c>
      <c r="P164" s="66" t="e">
        <f>IF(I164="","",IF(OR(SUMIF($J146:$J151,I164,$S146:$S151)&gt;=5%*E162,AND(SUMIF($J146:$J151,J164,$S146:$S151)=0,J164&lt;=10%)),"CUMPLE","NO CUMPLE"))</f>
        <v>#N/A</v>
      </c>
      <c r="Q164" s="184" t="e">
        <f>IF(OR(I164="",P164="",P164="CUMPLE"),"",IF(AND(P164="NO CUMPLE",L164=0,J164&gt;5%),"EXP = 0 y PART &gt; 5%",IF(L164&lt;5%*E162,"EXP &lt; 5%","")))</f>
        <v>#N/A</v>
      </c>
      <c r="R164" s="378" t="s">
        <v>155</v>
      </c>
      <c r="S164" s="379"/>
      <c r="T164" s="372"/>
      <c r="U164" s="373"/>
    </row>
    <row r="165" spans="1:29" s="1" customFormat="1" ht="15.75" hidden="1" customHeight="1" thickBot="1">
      <c r="A165" s="77" t="e">
        <f>"P"&amp;E142</f>
        <v>#N/A</v>
      </c>
      <c r="B165" s="376"/>
      <c r="C165" s="377"/>
      <c r="D165" s="377"/>
      <c r="E165" s="377"/>
      <c r="F165" s="377"/>
      <c r="G165" s="84" t="str">
        <f>IF(COUNTIF(Y146:Y151,"")&gt;5,"NO CUMPLE",IF(COUNTIF(Y146:Y151,"CUMPLE")&gt;=1,"CUMPLE", "NO CUMPLE"))</f>
        <v>CUMPLE</v>
      </c>
      <c r="H165" s="137">
        <v>6</v>
      </c>
      <c r="I165" s="138" t="e">
        <f>IF(AND(H165&lt;=M157,M157&gt;1),VLOOKUP(VALUE(E143&amp;","&amp;H165),INTEGRANTES!$B$15:$D$23,2,0),"")</f>
        <v>#N/A</v>
      </c>
      <c r="J165" s="108" t="e">
        <f>IF(I165&lt;&gt;"",VLOOKUP(VALUE(E143&amp;","&amp;H165),INTEGRANTES!$B$15:$D$23,3,0),"")</f>
        <v>#N/A</v>
      </c>
      <c r="K165" s="134" t="e">
        <f>IF($I165="","",IF($G158="N/A","",ROUND($E162*PORPOM,2)))</f>
        <v>#N/A</v>
      </c>
      <c r="L165" s="134" t="e">
        <f>IF(I165="","",SUMIF($J146:$J151,I165,$S146:$S151))</f>
        <v>#N/A</v>
      </c>
      <c r="M165" s="139" t="e">
        <f t="shared" si="31"/>
        <v>#N/A</v>
      </c>
      <c r="N165" s="66" t="e">
        <f t="shared" si="30"/>
        <v>#N/A</v>
      </c>
      <c r="O165" s="181" t="e">
        <f>IF(OR(J165="",L165=""),"",IF(AND(J165&gt;=0.25,L165&gt;=$F162*0.25),"SI","NO"))</f>
        <v>#N/A</v>
      </c>
      <c r="P165" s="66" t="e">
        <f>IF(I165="","",IF(OR(SUMIF($J146:$J151,I165,$S146:$S151)&gt;=5%*E162,AND(SUMIF($J146:$J151,J165,$S146:$S151)=0,J165&lt;=10%)),"CUMPLE","NO CUMPLE"))</f>
        <v>#N/A</v>
      </c>
      <c r="Q165" s="185" t="e">
        <f>IF(OR(I165="",P165="",P165="CUMPLE"),"",IF(AND(P165="NO CUMPLE",L165=0,J165&gt;5%),"EXP = 0 y PART &gt; 5%",IF(L165&lt;5%*E162,"EXP &lt; 5%","")))</f>
        <v>#N/A</v>
      </c>
      <c r="R165" s="378"/>
      <c r="S165" s="379"/>
      <c r="T165" s="372"/>
      <c r="U165" s="373"/>
    </row>
    <row r="166" spans="1:29" s="1" customFormat="1" ht="39" hidden="1" customHeight="1" thickBot="1">
      <c r="A166" s="77" t="e">
        <f>"Q"&amp;E142</f>
        <v>#N/A</v>
      </c>
      <c r="B166" s="325"/>
      <c r="C166" s="326"/>
      <c r="D166" s="326"/>
      <c r="E166" s="326"/>
      <c r="F166" s="326"/>
      <c r="G166" s="327"/>
      <c r="H166" s="328" t="s">
        <v>112</v>
      </c>
      <c r="I166" s="329"/>
      <c r="J166" s="330"/>
      <c r="K166" s="328" t="s">
        <v>113</v>
      </c>
      <c r="L166" s="331"/>
      <c r="M166" s="109" t="e">
        <f>IF(OR($M157="",SUM(J160:J165)=0),"",IF(COUNTIF(M160:M165,"CUMPLE")&gt;=1,"CUMPLE","NO CUMPLE"))</f>
        <v>#N/A</v>
      </c>
      <c r="N166" s="109" t="e">
        <f>IF(OR($M157="",SUM(J160:J165)=0),"",IF(COUNTIF(N160:N165,"CUMPLE")&gt;=1,"CUMPLE","NO CUMPLE"))</f>
        <v>#N/A</v>
      </c>
      <c r="O166" s="182"/>
      <c r="P166" s="182" t="str">
        <f>IF(COUNTIF(P160:P165,"")&gt;5,"",IF(COUNTIF(P160:P165,"NO CUMPLE")&gt;0,"NO CUMPLE","CUMPLE"))</f>
        <v>CUMPLE</v>
      </c>
      <c r="Q166" s="186"/>
      <c r="R166" s="332" t="s">
        <v>179</v>
      </c>
      <c r="S166" s="333"/>
      <c r="T166" s="374"/>
      <c r="U166" s="375"/>
      <c r="X166" s="141"/>
      <c r="Y166" s="141"/>
      <c r="Z166" s="32"/>
      <c r="AA166" s="32"/>
      <c r="AB166" s="32"/>
    </row>
    <row r="167" spans="1:29" hidden="1"/>
    <row r="168" spans="1:29" hidden="1"/>
    <row r="169" spans="1:29" s="7" customFormat="1" ht="24" hidden="1" customHeight="1" thickBot="1">
      <c r="A169" s="97">
        <v>8</v>
      </c>
      <c r="B169" s="388" t="s">
        <v>1</v>
      </c>
      <c r="C169" s="388"/>
      <c r="D169" s="388"/>
      <c r="E169" s="70" t="e">
        <f>VLOOKUP(A169,PROPONENTES!$B$14:$D$21,2,FALSE)</f>
        <v>#N/A</v>
      </c>
      <c r="F169" s="71" t="e">
        <f>VLOOKUP(E169,PROPONENTES!$C$14:$D$21,2,FALSE)</f>
        <v>#N/A</v>
      </c>
      <c r="G169" s="72"/>
      <c r="H169" s="72"/>
      <c r="I169" s="72"/>
      <c r="J169" s="71"/>
      <c r="K169" s="71"/>
      <c r="L169" s="70"/>
      <c r="M169" s="72"/>
      <c r="N169" s="72"/>
      <c r="O169" s="72"/>
      <c r="P169" s="72"/>
      <c r="Q169" s="72"/>
      <c r="R169" s="72"/>
      <c r="S169" s="72"/>
      <c r="T169" s="72"/>
      <c r="U169" s="73"/>
      <c r="V169" s="74"/>
      <c r="W169" s="74"/>
      <c r="X169" s="74"/>
      <c r="Z169" s="72"/>
      <c r="AA169" s="72"/>
      <c r="AC169" s="72"/>
    </row>
    <row r="170" spans="1:29" s="83" customFormat="1" ht="18.75" hidden="1">
      <c r="A170" s="82"/>
      <c r="B170" s="389" t="s">
        <v>71</v>
      </c>
      <c r="C170" s="391" t="s">
        <v>45</v>
      </c>
      <c r="D170" s="393" t="s">
        <v>104</v>
      </c>
      <c r="E170" s="345"/>
      <c r="F170" s="393" t="s">
        <v>76</v>
      </c>
      <c r="G170" s="345"/>
      <c r="H170" s="394" t="s">
        <v>72</v>
      </c>
      <c r="I170" s="394" t="s">
        <v>85</v>
      </c>
      <c r="J170" s="394" t="s">
        <v>2</v>
      </c>
      <c r="K170" s="394" t="s">
        <v>26</v>
      </c>
      <c r="L170" s="394" t="s">
        <v>27</v>
      </c>
      <c r="M170" s="395" t="s">
        <v>28</v>
      </c>
      <c r="N170" s="394" t="s">
        <v>86</v>
      </c>
      <c r="O170" s="397" t="s">
        <v>61</v>
      </c>
      <c r="P170" s="398"/>
      <c r="Q170" s="391" t="s">
        <v>120</v>
      </c>
      <c r="R170" s="343" t="s">
        <v>3</v>
      </c>
      <c r="S170" s="343"/>
      <c r="T170" s="380" t="s">
        <v>17</v>
      </c>
      <c r="U170" s="381"/>
      <c r="V170" s="339" t="s">
        <v>84</v>
      </c>
      <c r="W170" s="142"/>
      <c r="X170" s="270" t="s">
        <v>166</v>
      </c>
      <c r="Y170" s="270" t="s">
        <v>167</v>
      </c>
    </row>
    <row r="171" spans="1:29" s="83" customFormat="1" ht="93" hidden="1" customHeight="1" thickBot="1">
      <c r="A171" s="82"/>
      <c r="B171" s="390"/>
      <c r="C171" s="392"/>
      <c r="D171" s="223" t="s">
        <v>9</v>
      </c>
      <c r="E171" s="223" t="s">
        <v>4</v>
      </c>
      <c r="F171" s="223" t="s">
        <v>14</v>
      </c>
      <c r="G171" s="224" t="s">
        <v>73</v>
      </c>
      <c r="H171" s="369"/>
      <c r="I171" s="369"/>
      <c r="J171" s="369"/>
      <c r="K171" s="369"/>
      <c r="L171" s="369"/>
      <c r="M171" s="396"/>
      <c r="N171" s="369"/>
      <c r="O171" s="225" t="s">
        <v>59</v>
      </c>
      <c r="P171" s="225" t="s">
        <v>87</v>
      </c>
      <c r="Q171" s="392"/>
      <c r="R171" s="225" t="s">
        <v>64</v>
      </c>
      <c r="S171" s="226" t="s">
        <v>60</v>
      </c>
      <c r="T171" s="382"/>
      <c r="U171" s="383"/>
      <c r="V171" s="341"/>
      <c r="W171" s="142"/>
      <c r="X171" s="281" t="s">
        <v>177</v>
      </c>
      <c r="Y171" s="269" t="s">
        <v>178</v>
      </c>
    </row>
    <row r="172" spans="1:29" s="1" customFormat="1" ht="12" hidden="1" customHeight="1" thickBot="1">
      <c r="A172" s="77"/>
      <c r="B172" s="68"/>
      <c r="C172" s="69"/>
      <c r="D172" s="69"/>
      <c r="E172" s="69"/>
      <c r="F172" s="69"/>
      <c r="G172" s="69"/>
      <c r="H172" s="69"/>
      <c r="I172" s="69"/>
      <c r="J172" s="69"/>
      <c r="K172" s="69"/>
      <c r="L172" s="69"/>
      <c r="M172" s="69"/>
      <c r="N172" s="69"/>
      <c r="O172" s="69"/>
      <c r="P172" s="69"/>
      <c r="Q172" s="100"/>
      <c r="R172" s="100"/>
      <c r="S172" s="69"/>
      <c r="T172" s="384"/>
      <c r="U172" s="385"/>
      <c r="V172" s="144"/>
      <c r="W172" s="32"/>
      <c r="X172" s="205"/>
      <c r="Y172" s="204"/>
    </row>
    <row r="173" spans="1:29" s="85" customFormat="1" ht="58.5" hidden="1" customHeight="1">
      <c r="A173" s="80" t="e">
        <f>"A"&amp;E169</f>
        <v>#N/A</v>
      </c>
      <c r="B173" s="251">
        <v>1</v>
      </c>
      <c r="C173" s="252" t="s">
        <v>201</v>
      </c>
      <c r="D173" s="252" t="s">
        <v>202</v>
      </c>
      <c r="E173" s="252" t="s">
        <v>204</v>
      </c>
      <c r="F173" s="252" t="s">
        <v>159</v>
      </c>
      <c r="G173" s="253">
        <v>1</v>
      </c>
      <c r="H173" s="253" t="s">
        <v>96</v>
      </c>
      <c r="I173" s="254" t="s">
        <v>47</v>
      </c>
      <c r="J173" s="254" t="s">
        <v>206</v>
      </c>
      <c r="K173" s="255">
        <v>42459</v>
      </c>
      <c r="L173" s="255">
        <v>43132</v>
      </c>
      <c r="M173" s="81">
        <f t="shared" ref="M173:M178" si="32">IF(OR(K173="",L173=""),"",IF(OR(K173&gt;$L$14,K173&lt;$K$14,L173&gt;$L$14,AND(K173&lt;$K$14,L173&lt;$K$14)),"FUERA DE RANGO",IF(K173&gt;=$K$14,ROUND(((L173-K173+1)/360*12),1),ROUND(((L173-$K$14+1)/360*12),1))))</f>
        <v>22.5</v>
      </c>
      <c r="N173" s="256">
        <v>100</v>
      </c>
      <c r="O173" s="254" t="s">
        <v>47</v>
      </c>
      <c r="P173" s="257" t="s">
        <v>47</v>
      </c>
      <c r="Q173" s="258">
        <v>8721.15</v>
      </c>
      <c r="R173" s="67">
        <f>IF(OR(G173="",Q173=""),"",Q173*G173)</f>
        <v>8721.15</v>
      </c>
      <c r="S173" s="168">
        <f t="shared" ref="S173:S178" si="33">IF(OR(I173="NO",I173="",R173=""),"",IF(OR(L173&lt;$K$14,L173&gt;$L$14,,L173=""),0,ROUND(R173,2)))</f>
        <v>8721.15</v>
      </c>
      <c r="T173" s="386"/>
      <c r="U173" s="387"/>
      <c r="V173" s="259"/>
      <c r="W173" s="143"/>
      <c r="X173" s="266" t="s">
        <v>33</v>
      </c>
      <c r="Y173" s="266" t="s">
        <v>33</v>
      </c>
    </row>
    <row r="174" spans="1:29" s="85" customFormat="1" ht="101.25" hidden="1">
      <c r="A174" s="80" t="e">
        <f>"B"&amp;E169</f>
        <v>#N/A</v>
      </c>
      <c r="B174" s="251">
        <v>2</v>
      </c>
      <c r="C174" s="252" t="s">
        <v>158</v>
      </c>
      <c r="D174" s="252" t="s">
        <v>203</v>
      </c>
      <c r="E174" s="252" t="s">
        <v>205</v>
      </c>
      <c r="F174" s="252" t="s">
        <v>159</v>
      </c>
      <c r="G174" s="253">
        <v>1</v>
      </c>
      <c r="H174" s="253" t="s">
        <v>96</v>
      </c>
      <c r="I174" s="254" t="s">
        <v>47</v>
      </c>
      <c r="J174" s="254" t="s">
        <v>206</v>
      </c>
      <c r="K174" s="255">
        <v>44480</v>
      </c>
      <c r="L174" s="255">
        <v>44631</v>
      </c>
      <c r="M174" s="81">
        <f t="shared" si="32"/>
        <v>5.0999999999999996</v>
      </c>
      <c r="N174" s="256">
        <v>30</v>
      </c>
      <c r="O174" s="254" t="s">
        <v>47</v>
      </c>
      <c r="P174" s="257" t="s">
        <v>47</v>
      </c>
      <c r="Q174" s="258">
        <v>1873.45</v>
      </c>
      <c r="R174" s="67">
        <f t="shared" ref="R174:R178" si="34">IF(OR(G174="",Q174=""),"",Q174*G174)</f>
        <v>1873.45</v>
      </c>
      <c r="S174" s="168">
        <f t="shared" si="33"/>
        <v>1873.45</v>
      </c>
      <c r="T174" s="386"/>
      <c r="U174" s="387"/>
      <c r="V174" s="259"/>
      <c r="W174" s="143"/>
      <c r="X174" s="267"/>
      <c r="Y174" s="267"/>
    </row>
    <row r="175" spans="1:29" s="85" customFormat="1" ht="15" hidden="1">
      <c r="A175" s="80" t="e">
        <f>"C"&amp;E169</f>
        <v>#N/A</v>
      </c>
      <c r="B175" s="251">
        <v>3</v>
      </c>
      <c r="C175" s="252"/>
      <c r="D175" s="252"/>
      <c r="E175" s="252"/>
      <c r="F175" s="252"/>
      <c r="G175" s="253"/>
      <c r="H175" s="253"/>
      <c r="I175" s="254"/>
      <c r="J175" s="254"/>
      <c r="K175" s="255"/>
      <c r="L175" s="255"/>
      <c r="M175" s="81" t="str">
        <f t="shared" si="32"/>
        <v/>
      </c>
      <c r="N175" s="256"/>
      <c r="O175" s="254"/>
      <c r="P175" s="257"/>
      <c r="Q175" s="258"/>
      <c r="R175" s="67" t="str">
        <f t="shared" si="34"/>
        <v/>
      </c>
      <c r="S175" s="168" t="str">
        <f t="shared" si="33"/>
        <v/>
      </c>
      <c r="T175" s="386"/>
      <c r="U175" s="387"/>
      <c r="V175" s="259"/>
      <c r="W175" s="143"/>
      <c r="X175" s="267"/>
      <c r="Y175" s="267"/>
    </row>
    <row r="176" spans="1:29" s="85" customFormat="1" ht="20.100000000000001" hidden="1" customHeight="1">
      <c r="A176" s="80" t="e">
        <f>"D"&amp;E169</f>
        <v>#N/A</v>
      </c>
      <c r="B176" s="251"/>
      <c r="C176" s="252"/>
      <c r="D176" s="252"/>
      <c r="E176" s="252"/>
      <c r="F176" s="252"/>
      <c r="G176" s="253"/>
      <c r="H176" s="253"/>
      <c r="I176" s="254"/>
      <c r="J176" s="254"/>
      <c r="K176" s="255"/>
      <c r="L176" s="255"/>
      <c r="M176" s="81" t="str">
        <f t="shared" si="32"/>
        <v/>
      </c>
      <c r="N176" s="256"/>
      <c r="O176" s="254"/>
      <c r="P176" s="257"/>
      <c r="Q176" s="258"/>
      <c r="R176" s="67" t="str">
        <f t="shared" si="34"/>
        <v/>
      </c>
      <c r="S176" s="168" t="str">
        <f t="shared" si="33"/>
        <v/>
      </c>
      <c r="T176" s="386"/>
      <c r="U176" s="387"/>
      <c r="V176" s="259"/>
      <c r="W176" s="143"/>
      <c r="X176" s="267"/>
      <c r="Y176" s="206" t="str">
        <f>IF(I176="SI",IF(X176*G176&gt;=Y172,"CUMPLE","NO CUMPLE"),"")</f>
        <v/>
      </c>
    </row>
    <row r="177" spans="1:29" s="85" customFormat="1" ht="20.100000000000001" hidden="1" customHeight="1">
      <c r="A177" s="80" t="e">
        <f>"E"&amp;E169</f>
        <v>#N/A</v>
      </c>
      <c r="B177" s="251"/>
      <c r="C177" s="252"/>
      <c r="D177" s="252"/>
      <c r="E177" s="252"/>
      <c r="F177" s="252"/>
      <c r="G177" s="253"/>
      <c r="H177" s="253"/>
      <c r="I177" s="254"/>
      <c r="J177" s="254"/>
      <c r="K177" s="255"/>
      <c r="L177" s="255"/>
      <c r="M177" s="81" t="str">
        <f t="shared" si="32"/>
        <v/>
      </c>
      <c r="N177" s="256"/>
      <c r="O177" s="254"/>
      <c r="P177" s="257"/>
      <c r="Q177" s="258"/>
      <c r="R177" s="67" t="str">
        <f t="shared" si="34"/>
        <v/>
      </c>
      <c r="S177" s="168" t="str">
        <f t="shared" si="33"/>
        <v/>
      </c>
      <c r="T177" s="386"/>
      <c r="U177" s="387"/>
      <c r="V177" s="259"/>
      <c r="W177" s="143"/>
      <c r="X177" s="267"/>
      <c r="Y177" s="206" t="str">
        <f>IF(I177="SI",IF(X177*G177&gt;=Y172,"CUMPLE","NO CUMPLE"),"")</f>
        <v/>
      </c>
    </row>
    <row r="178" spans="1:29" s="85" customFormat="1" ht="20.100000000000001" hidden="1" customHeight="1">
      <c r="A178" s="80" t="e">
        <f>"F"&amp;E169</f>
        <v>#N/A</v>
      </c>
      <c r="B178" s="251"/>
      <c r="C178" s="252"/>
      <c r="D178" s="252"/>
      <c r="E178" s="252"/>
      <c r="F178" s="252"/>
      <c r="G178" s="253"/>
      <c r="H178" s="253"/>
      <c r="I178" s="254"/>
      <c r="J178" s="254"/>
      <c r="K178" s="255"/>
      <c r="L178" s="255"/>
      <c r="M178" s="81" t="str">
        <f t="shared" si="32"/>
        <v/>
      </c>
      <c r="N178" s="256"/>
      <c r="O178" s="254"/>
      <c r="P178" s="257"/>
      <c r="Q178" s="258"/>
      <c r="R178" s="67" t="str">
        <f t="shared" si="34"/>
        <v/>
      </c>
      <c r="S178" s="168" t="str">
        <f t="shared" si="33"/>
        <v/>
      </c>
      <c r="T178" s="386"/>
      <c r="U178" s="387"/>
      <c r="V178" s="259"/>
      <c r="W178" s="143"/>
      <c r="X178" s="267"/>
      <c r="Y178" s="206" t="str">
        <f>IF(I178="SI",IF(X178*G178&gt;=Y172,"CUMPLE","NO CUMPLE"),"")</f>
        <v/>
      </c>
    </row>
    <row r="179" spans="1:29" s="1" customFormat="1" ht="15.75" hidden="1" customHeight="1" thickBot="1">
      <c r="A179" s="77"/>
      <c r="B179" s="261"/>
      <c r="C179" s="262"/>
      <c r="D179" s="262"/>
      <c r="E179" s="262"/>
      <c r="F179" s="262"/>
      <c r="G179" s="262"/>
      <c r="H179" s="262"/>
      <c r="I179" s="262"/>
      <c r="J179" s="262"/>
      <c r="K179" s="262"/>
      <c r="L179" s="262"/>
      <c r="M179" s="262"/>
      <c r="N179" s="262"/>
      <c r="O179" s="262"/>
      <c r="P179" s="262"/>
      <c r="Q179" s="262"/>
      <c r="R179" s="262"/>
      <c r="S179" s="262"/>
      <c r="T179" s="175"/>
      <c r="U179" s="177"/>
      <c r="V179" s="263"/>
      <c r="W179" s="140"/>
      <c r="X179" s="265"/>
      <c r="Y179" s="264"/>
      <c r="Z179" s="32"/>
    </row>
    <row r="180" spans="1:29" s="1" customFormat="1" ht="17.25" hidden="1" customHeight="1" thickBot="1">
      <c r="A180" s="78"/>
      <c r="B180" s="244"/>
      <c r="C180" s="234"/>
      <c r="D180" s="234"/>
      <c r="E180" s="234"/>
      <c r="F180" s="234"/>
      <c r="G180" s="234"/>
      <c r="H180" s="234"/>
      <c r="I180" s="234"/>
      <c r="J180" s="234"/>
      <c r="K180" s="234"/>
      <c r="L180" s="234"/>
      <c r="M180" s="234"/>
      <c r="N180" s="234"/>
      <c r="O180" s="234"/>
      <c r="P180" s="234"/>
      <c r="Q180" s="245"/>
      <c r="R180" s="245"/>
      <c r="S180" s="246">
        <f>SUM(S173:S178)</f>
        <v>10594.6</v>
      </c>
      <c r="T180" s="334"/>
      <c r="U180" s="335"/>
      <c r="V180" s="247"/>
      <c r="W180" s="32"/>
      <c r="X180" s="260"/>
      <c r="Y180" s="203" t="str">
        <f>IF(COUNTIF(Y173:Y178,"")&gt;9,"VERIFICAR",IF(COUNTIF(Y173:Y178,"CUMPLE")&gt;0,"CUMPLE","NO CUMPLE"))</f>
        <v>CUMPLE</v>
      </c>
    </row>
    <row r="181" spans="1:29" ht="17.25" hidden="1" customHeight="1">
      <c r="B181" s="112"/>
      <c r="C181" s="110"/>
      <c r="D181" s="110"/>
      <c r="E181" s="110"/>
      <c r="F181" s="110"/>
      <c r="G181" s="110"/>
      <c r="H181" s="110"/>
      <c r="I181" s="110"/>
      <c r="J181" s="110"/>
      <c r="K181" s="110"/>
      <c r="L181" s="110"/>
      <c r="M181" s="110"/>
      <c r="N181" s="110"/>
      <c r="O181" s="110"/>
      <c r="P181" s="110"/>
      <c r="Q181" s="110"/>
      <c r="R181" s="110"/>
      <c r="U181" s="111"/>
      <c r="V181" s="111"/>
      <c r="X181" s="99"/>
      <c r="Y181" s="99"/>
    </row>
    <row r="182" spans="1:29" s="1" customFormat="1" ht="16.5" hidden="1" customHeight="1" thickBot="1">
      <c r="A182" s="77"/>
      <c r="B182" s="233" t="s">
        <v>42</v>
      </c>
      <c r="C182" s="234"/>
      <c r="D182" s="234"/>
      <c r="E182" s="234"/>
      <c r="F182" s="234"/>
      <c r="G182" s="235"/>
      <c r="H182" s="235"/>
      <c r="I182" s="235"/>
      <c r="J182" s="235"/>
      <c r="K182" s="235"/>
      <c r="L182" s="235"/>
      <c r="M182" s="235"/>
      <c r="N182" s="235"/>
      <c r="O182" s="235"/>
      <c r="P182" s="235"/>
      <c r="Q182" s="235"/>
      <c r="R182" s="235"/>
      <c r="S182" s="235"/>
      <c r="T182" s="235"/>
      <c r="U182" s="248"/>
      <c r="V182" s="116"/>
      <c r="X182" s="32"/>
      <c r="Y182" s="32"/>
      <c r="Z182" s="32"/>
      <c r="AA182" s="32"/>
      <c r="AB182" s="32"/>
      <c r="AC182" s="32"/>
    </row>
    <row r="183" spans="1:29" s="1" customFormat="1" ht="15.75" hidden="1" customHeight="1" thickBot="1">
      <c r="A183" s="77" t="e">
        <f>"G"&amp;E169</f>
        <v>#N/A</v>
      </c>
      <c r="B183" s="336" t="s">
        <v>80</v>
      </c>
      <c r="C183" s="337"/>
      <c r="D183" s="337"/>
      <c r="E183" s="337"/>
      <c r="F183" s="337"/>
      <c r="G183" s="338"/>
      <c r="H183" s="236" t="s">
        <v>83</v>
      </c>
      <c r="I183" s="237"/>
      <c r="J183" s="237"/>
      <c r="K183" s="237"/>
      <c r="L183" s="237"/>
      <c r="M183" s="237"/>
      <c r="N183" s="237"/>
      <c r="O183" s="238" t="s">
        <v>118</v>
      </c>
      <c r="P183" s="239" t="s">
        <v>124</v>
      </c>
      <c r="Q183" s="339" t="s">
        <v>126</v>
      </c>
      <c r="R183" s="249"/>
      <c r="S183" s="249"/>
      <c r="T183" s="249"/>
      <c r="U183" s="250"/>
    </row>
    <row r="184" spans="1:29" s="1" customFormat="1" ht="15.75" hidden="1" customHeight="1">
      <c r="A184" s="77" t="e">
        <f>"H"&amp;E169</f>
        <v>#N/A</v>
      </c>
      <c r="B184" s="342" t="s">
        <v>106</v>
      </c>
      <c r="C184" s="343"/>
      <c r="D184" s="343"/>
      <c r="E184" s="343"/>
      <c r="F184" s="343"/>
      <c r="G184" s="344"/>
      <c r="H184" s="342" t="s">
        <v>16</v>
      </c>
      <c r="I184" s="343"/>
      <c r="J184" s="343"/>
      <c r="K184" s="343"/>
      <c r="L184" s="345"/>
      <c r="M184" s="240" t="e">
        <f>VLOOKUP(E169,PROPONENTES!$C$14:$E$21,3,0)</f>
        <v>#N/A</v>
      </c>
      <c r="N184" s="339" t="s">
        <v>161</v>
      </c>
      <c r="O184" s="346" t="s">
        <v>160</v>
      </c>
      <c r="P184" s="348" t="s">
        <v>125</v>
      </c>
      <c r="Q184" s="340"/>
      <c r="S184" s="169"/>
      <c r="T184" s="351" t="s">
        <v>121</v>
      </c>
      <c r="U184" s="352"/>
    </row>
    <row r="185" spans="1:29" s="30" customFormat="1" ht="22.5" hidden="1" customHeight="1">
      <c r="A185" s="77" t="e">
        <f>"I"&amp;E169</f>
        <v>#N/A</v>
      </c>
      <c r="B185" s="355" t="s">
        <v>105</v>
      </c>
      <c r="C185" s="356"/>
      <c r="D185" s="357"/>
      <c r="E185" s="361">
        <f>COUNTIFS(I173:I178,"SI",S173:S178,"&gt;0")</f>
        <v>2</v>
      </c>
      <c r="F185" s="363" t="s">
        <v>107</v>
      </c>
      <c r="G185" s="365">
        <f>IF(E185=0,"N/A",IF(AND(E185&gt;=1,E185&lt;=2),0.75,IF(AND(E185&gt;=3,E185&lt;=4),1.2,IF(E185=5,1.5,IF(AND(E185=6,OR(R193="MIPYME",R193="EMEM")),1.5,IF(AND(E185=7,R193="MIPYME Y EMEM"),1.5,"REVISAR"))))))</f>
        <v>0.75</v>
      </c>
      <c r="H185" s="348" t="s">
        <v>15</v>
      </c>
      <c r="I185" s="367"/>
      <c r="J185" s="369" t="s">
        <v>0</v>
      </c>
      <c r="K185" s="369" t="s">
        <v>114</v>
      </c>
      <c r="L185" s="369" t="s">
        <v>115</v>
      </c>
      <c r="M185" s="370" t="s">
        <v>116</v>
      </c>
      <c r="N185" s="340"/>
      <c r="O185" s="346"/>
      <c r="P185" s="349"/>
      <c r="Q185" s="340"/>
      <c r="R185" s="170"/>
      <c r="S185" s="170"/>
      <c r="T185" s="353"/>
      <c r="U185" s="354"/>
    </row>
    <row r="186" spans="1:29" s="30" customFormat="1" ht="15.75" hidden="1" customHeight="1" thickBot="1">
      <c r="A186" s="77" t="e">
        <f>"J"&amp;E169</f>
        <v>#N/A</v>
      </c>
      <c r="B186" s="358"/>
      <c r="C186" s="359"/>
      <c r="D186" s="360"/>
      <c r="E186" s="362"/>
      <c r="F186" s="364"/>
      <c r="G186" s="366"/>
      <c r="H186" s="350"/>
      <c r="I186" s="368"/>
      <c r="J186" s="369"/>
      <c r="K186" s="369"/>
      <c r="L186" s="369"/>
      <c r="M186" s="371"/>
      <c r="N186" s="341"/>
      <c r="O186" s="347"/>
      <c r="P186" s="350"/>
      <c r="Q186" s="341"/>
      <c r="R186" s="170"/>
      <c r="S186" s="170"/>
      <c r="T186" s="372" t="e">
        <f>E169</f>
        <v>#N/A</v>
      </c>
      <c r="U186" s="373"/>
    </row>
    <row r="187" spans="1:29" s="1" customFormat="1" ht="12.75" hidden="1">
      <c r="A187" s="80" t="e">
        <f>"K"&amp;E169</f>
        <v>#N/A</v>
      </c>
      <c r="B187" s="342" t="s">
        <v>81</v>
      </c>
      <c r="C187" s="343"/>
      <c r="D187" s="343"/>
      <c r="E187" s="343"/>
      <c r="F187" s="343"/>
      <c r="G187" s="343"/>
      <c r="H187" s="107">
        <v>1</v>
      </c>
      <c r="I187" s="65" t="e">
        <f>IF(AND(H187&lt;=M184,M184&gt;1),VLOOKUP(VALUE(E169&amp;","&amp;H187),INTEGRANTES!$B$15:$D$23,2,0),"")</f>
        <v>#N/A</v>
      </c>
      <c r="J187" s="108" t="e">
        <f>IF(I187&lt;&gt;"",VLOOKUP(VALUE(E169&amp;","&amp;H187),INTEGRANTES!$B$15:$D$23,3,0),"")</f>
        <v>#N/A</v>
      </c>
      <c r="K187" s="134" t="e">
        <f>IF($I187="","",IF($G185="N/A","",ROUND($E189*PORPOM,2)))</f>
        <v>#N/A</v>
      </c>
      <c r="L187" s="134" t="e">
        <f>IF(I187="","",SUMIF($J173:$J178,I187,$S173:$S178))</f>
        <v>#N/A</v>
      </c>
      <c r="M187" s="66" t="e">
        <f t="shared" ref="M187" si="35">IF($I187="","",IF($K187&gt;L187,"NO CUMPLE","CUMPLE"))</f>
        <v>#N/A</v>
      </c>
      <c r="N187" s="66" t="e">
        <f>IF($I187="","",IF(M187="CUMPLE","CUMPLE","NO CUMPLE"))</f>
        <v>#N/A</v>
      </c>
      <c r="O187" s="181" t="e">
        <f>IF(OR(J187="",L187=""),"",IF(AND(J187&gt;=0.25,L187&gt;=$F189*0.25),"SI","NO"))</f>
        <v>#N/A</v>
      </c>
      <c r="P187" s="66" t="e">
        <f>IF(I187="","",IF(OR(SUMIF($J173:$J178,I187,$S173:$S178)&gt;=5%*E189,AND(SUMIF($J173:$J178,I187,$S173:$S178)=0,J187&lt;=10%)),"CUMPLE","NO CUMPLE"))</f>
        <v>#N/A</v>
      </c>
      <c r="Q187" s="184" t="e">
        <f>IF(OR(I187="",P187="",P187="CUMPLE"),"",IF(AND(P187="NO CUMPLE",L187=0,J187&gt;5%),"EXP = 0 y PART &gt; 5%",IF(L187&lt;5%*E189,"EXP &lt; 5%","")))</f>
        <v>#N/A</v>
      </c>
      <c r="R187" s="170"/>
      <c r="S187" s="170"/>
      <c r="T187" s="372"/>
      <c r="U187" s="373"/>
    </row>
    <row r="188" spans="1:29" s="1" customFormat="1" ht="12.75" hidden="1">
      <c r="A188" s="80" t="e">
        <f>"L"&amp;E169</f>
        <v>#N/A</v>
      </c>
      <c r="B188" s="355" t="s">
        <v>108</v>
      </c>
      <c r="C188" s="356"/>
      <c r="D188" s="357"/>
      <c r="E188" s="241" t="s">
        <v>109</v>
      </c>
      <c r="F188" s="241" t="s">
        <v>110</v>
      </c>
      <c r="G188" s="242" t="s">
        <v>82</v>
      </c>
      <c r="H188" s="107">
        <v>2</v>
      </c>
      <c r="I188" s="65" t="e">
        <f>IF(AND(H188&lt;=M184,M184&gt;1),VLOOKUP(VALUE(E169&amp;","&amp;H188),INTEGRANTES!$B$15:$D$23,2,0),"")</f>
        <v>#N/A</v>
      </c>
      <c r="J188" s="108" t="e">
        <f>IF(I188&lt;&gt;"",VLOOKUP(VALUE(E169&amp;","&amp;H188),INTEGRANTES!$B$15:$D$23,3,0),"")</f>
        <v>#N/A</v>
      </c>
      <c r="K188" s="134" t="e">
        <f>IF($I188="","",IF($G185="N/A","",ROUND($E189*PORPOM,2)))</f>
        <v>#N/A</v>
      </c>
      <c r="L188" s="134" t="e">
        <f>IF(I188="","",SUMIF($J173:$J178,I188,$S173:$S178))</f>
        <v>#N/A</v>
      </c>
      <c r="M188" s="66" t="e">
        <f>IF($I188="","",IF($K188&gt;L188,"NO CUMPLE","CUMPLE"))</f>
        <v>#N/A</v>
      </c>
      <c r="N188" s="66" t="e">
        <f t="shared" ref="N188:N192" si="36">IF($I188="","",IF(M188="CUMPLE","CUMPLE","NO CUMPLE"))</f>
        <v>#N/A</v>
      </c>
      <c r="O188" s="181" t="e">
        <f>IF(OR(J188="",L188=""),"",IF(AND(J188&gt;=0.25,L188&gt;=$F189*0.25),"SI","NO"))</f>
        <v>#N/A</v>
      </c>
      <c r="P188" s="66" t="e">
        <f>IF(I188="","",IF(OR(SUMIF($J173:$J178,I188,$S173:$S178)&gt;=5%*E189,AND(SUMIF($J$22:J173,$J188,$S173:$S178)=0,J188&lt;=10%)),"CUMPLE","NO CUMPLE"))</f>
        <v>#N/A</v>
      </c>
      <c r="Q188" s="184" t="e">
        <f>IF(OR(I188="",P188="",P188="CUMPLE"),"",IF(AND(P188="NO CUMPLE",L188=0,J188&gt;5%),"EXP = 0 y PART &gt; 5%",IF(L188&lt;5%*E189,"EXP &lt; 5%","")))</f>
        <v>#N/A</v>
      </c>
      <c r="R188" s="170"/>
      <c r="S188" s="170"/>
      <c r="T188" s="372"/>
      <c r="U188" s="373"/>
    </row>
    <row r="189" spans="1:29" s="1" customFormat="1" ht="13.5" hidden="1" thickBot="1">
      <c r="A189" s="77" t="e">
        <f>"M"&amp;E169</f>
        <v>#N/A</v>
      </c>
      <c r="B189" s="358"/>
      <c r="C189" s="359"/>
      <c r="D189" s="360"/>
      <c r="E189" s="132">
        <f>IF(ISTEXT(G185),"NO APLICA",G185*POSMMLV)</f>
        <v>441.34615384615381</v>
      </c>
      <c r="F189" s="133">
        <f>IF(E189="","",S180)</f>
        <v>10594.6</v>
      </c>
      <c r="G189" s="131" t="str">
        <f>IF(E189="","",IF(E189="NO APLICA","NO CUMPLE",IF(F189&gt;=E189,"CUMPLE", "NO CUMPLE")))</f>
        <v>CUMPLE</v>
      </c>
      <c r="H189" s="107">
        <v>3</v>
      </c>
      <c r="I189" s="65" t="e">
        <f>IF(AND(H189&lt;=M184,M184&gt;1),VLOOKUP(VALUE(E169&amp;","&amp;H189),INTEGRANTES!$B$15:$D$23,2,0),"")</f>
        <v>#N/A</v>
      </c>
      <c r="J189" s="108" t="e">
        <f>IF(I189&lt;&gt;"",VLOOKUP(VALUE(E169&amp;","&amp;H189),INTEGRANTES!$B$15:$D$23,3,0),"")</f>
        <v>#N/A</v>
      </c>
      <c r="K189" s="134" t="e">
        <f>IF($I189="","",IF($G185="N/A","",ROUND($E189*PORPOM,2)))</f>
        <v>#N/A</v>
      </c>
      <c r="L189" s="134" t="e">
        <f>IF(I189="","",SUMIF($J173:$J178,I189,$S173:$S178))</f>
        <v>#N/A</v>
      </c>
      <c r="M189" s="66" t="e">
        <f t="shared" ref="M189:M192" si="37">IF($I189="","",IF($K189&gt;L189,"NO CUMPLE","CUMPLE"))</f>
        <v>#N/A</v>
      </c>
      <c r="N189" s="66" t="e">
        <f t="shared" si="36"/>
        <v>#N/A</v>
      </c>
      <c r="O189" s="181" t="e">
        <f>IF(OR(J189="",L189=""),"",IF(AND(J189&gt;=0.25,L189&gt;=$F189*0.25),"SI","NO"))</f>
        <v>#N/A</v>
      </c>
      <c r="P189" s="66" t="e">
        <f>IF(I189="","",IF(OR(SUMIF($J173:$J178,I189,$S173:$S178)&gt;=5%*E189,AND(SUMIF($J173:$J178,J189,$S173:$S178)=0,J189&lt;=10%)),"CUMPLE","NO CUMPLE"))</f>
        <v>#N/A</v>
      </c>
      <c r="Q189" s="184" t="e">
        <f>IF(OR(I189="",P189="",P189="CUMPLE"),"",IF(AND(P189="NO CUMPLE",L189=0,J189&gt;5%),"EXP = 0 y PART &gt; 5%",IF(L189&lt;5%*E189,"EXP &lt; 5%","")))</f>
        <v>#N/A</v>
      </c>
      <c r="R189" s="170"/>
      <c r="S189" s="170"/>
      <c r="T189" s="372"/>
      <c r="U189" s="373"/>
    </row>
    <row r="190" spans="1:29" s="1" customFormat="1" ht="16.5" hidden="1" customHeight="1">
      <c r="A190" s="77" t="e">
        <f>"N"&amp;E169</f>
        <v>#N/A</v>
      </c>
      <c r="B190" s="342" t="s">
        <v>88</v>
      </c>
      <c r="C190" s="343"/>
      <c r="D190" s="343"/>
      <c r="E190" s="343"/>
      <c r="F190" s="343"/>
      <c r="G190" s="343"/>
      <c r="H190" s="107">
        <v>4</v>
      </c>
      <c r="I190" s="65" t="e">
        <f>IF(AND(H190&lt;=M184,M184&gt;1),VLOOKUP(VALUE(E169&amp;","&amp;H190),INTEGRANTES!$B$15:$D$23,2,0),"")</f>
        <v>#N/A</v>
      </c>
      <c r="J190" s="108" t="e">
        <f>IF(I190&lt;&gt;"",VLOOKUP(VALUE(E169&amp;","&amp;H190),INTEGRANTES!$B$15:$D$23,3,0),"")</f>
        <v>#N/A</v>
      </c>
      <c r="K190" s="134" t="e">
        <f>IF($I190="","",IF($G185="N/A","",ROUND($E189*PORPOM,2)))</f>
        <v>#N/A</v>
      </c>
      <c r="L190" s="134" t="e">
        <f>IF(I190="","",SUMIF($J173:$J178,I190,$S173:$S178))</f>
        <v>#N/A</v>
      </c>
      <c r="M190" s="66" t="e">
        <f t="shared" si="37"/>
        <v>#N/A</v>
      </c>
      <c r="N190" s="66" t="e">
        <f t="shared" si="36"/>
        <v>#N/A</v>
      </c>
      <c r="O190" s="181" t="e">
        <f>IF(OR(J190="",L190=""),"",IF(AND(J190&gt;=0.25,L190&gt;=$F189*0.25),"SI","NO"))</f>
        <v>#N/A</v>
      </c>
      <c r="P190" s="66" t="e">
        <f>IF(I190="","",IF(OR(SUMIF($J173:$J178,I190,$S173:$S178)&gt;=5%*E189,AND(SUMIF($J173:$J178,J190,$S173:$S178)=0,J190&lt;=10%)),"CUMPLE","NO CUMPLE"))</f>
        <v>#N/A</v>
      </c>
      <c r="Q190" s="184" t="e">
        <f>IF(OR(I190="",P190="",P190="CUMPLE"),"",IF(AND(P190="NO CUMPLE",L190=0,J190&gt;5%),"EXP = 0 y PART &gt; 5%",IF(L190&lt;5%*E189,"EXP &lt; 5%","")))</f>
        <v>#N/A</v>
      </c>
      <c r="R190" s="170"/>
      <c r="S190" s="170"/>
      <c r="T190" s="372"/>
      <c r="U190" s="373"/>
    </row>
    <row r="191" spans="1:29" s="1" customFormat="1" ht="16.5" hidden="1" customHeight="1">
      <c r="A191" s="77" t="e">
        <f>"O"&amp;E169</f>
        <v>#N/A</v>
      </c>
      <c r="B191" s="355" t="s">
        <v>89</v>
      </c>
      <c r="C191" s="356"/>
      <c r="D191" s="356"/>
      <c r="E191" s="356"/>
      <c r="F191" s="356"/>
      <c r="G191" s="243" t="s">
        <v>82</v>
      </c>
      <c r="H191" s="107">
        <v>5</v>
      </c>
      <c r="I191" s="65" t="e">
        <f>IF(AND(H191&lt;=M184,M184&gt;1),VLOOKUP(VALUE(E169&amp;","&amp;H191),INTEGRANTES!$B$15:$D$23,2,0),"")</f>
        <v>#N/A</v>
      </c>
      <c r="J191" s="108" t="e">
        <f>IF(I191&lt;&gt;"",VLOOKUP(VALUE(E169&amp;","&amp;H191),INTEGRANTES!$B$15:$D$23,3,0),"")</f>
        <v>#N/A</v>
      </c>
      <c r="K191" s="134" t="e">
        <f>IF($I191="","",IF($G185="N/A","",ROUND($E189*PORPOM,2)))</f>
        <v>#N/A</v>
      </c>
      <c r="L191" s="134" t="e">
        <f>IF(I191="","",SUMIF($J173:$J178,I191,$S173:$S178))</f>
        <v>#N/A</v>
      </c>
      <c r="M191" s="66" t="e">
        <f t="shared" si="37"/>
        <v>#N/A</v>
      </c>
      <c r="N191" s="66" t="e">
        <f t="shared" si="36"/>
        <v>#N/A</v>
      </c>
      <c r="O191" s="181" t="e">
        <f>IF(OR(J191="",L191=""),"",IF(AND(J191&gt;=0.25,L191&gt;=$F189*0.25),"SI","NO"))</f>
        <v>#N/A</v>
      </c>
      <c r="P191" s="66" t="e">
        <f>IF(I191="","",IF(OR(SUMIF($J173:$J178,I191,$S173:$S178)&gt;=5%*E189,AND(SUMIF($J173:$J178,J191,$S173:$S178)=0,J191&lt;=10%)),"CUMPLE","NO CUMPLE"))</f>
        <v>#N/A</v>
      </c>
      <c r="Q191" s="184" t="e">
        <f>IF(OR(I191="",P191="",P191="CUMPLE"),"",IF(AND(P191="NO CUMPLE",L191=0,J191&gt;5%),"EXP = 0 y PART &gt; 5%",IF(L191&lt;5%*E189,"EXP &lt; 5%","")))</f>
        <v>#N/A</v>
      </c>
      <c r="R191" s="378" t="s">
        <v>155</v>
      </c>
      <c r="S191" s="379"/>
      <c r="T191" s="372"/>
      <c r="U191" s="373"/>
    </row>
    <row r="192" spans="1:29" s="1" customFormat="1" ht="15.75" hidden="1" customHeight="1" thickBot="1">
      <c r="A192" s="77" t="e">
        <f>"P"&amp;E169</f>
        <v>#N/A</v>
      </c>
      <c r="B192" s="376"/>
      <c r="C192" s="377"/>
      <c r="D192" s="377"/>
      <c r="E192" s="377"/>
      <c r="F192" s="377"/>
      <c r="G192" s="84" t="str">
        <f>IF(COUNTIF(Y173:Y178,"")&gt;5,"NO CUMPLE",IF(COUNTIF(Y173:Y178,"CUMPLE")&gt;=1,"CUMPLE", "NO CUMPLE"))</f>
        <v>CUMPLE</v>
      </c>
      <c r="H192" s="137">
        <v>6</v>
      </c>
      <c r="I192" s="138" t="e">
        <f>IF(AND(H192&lt;=M184,M184&gt;1),VLOOKUP(VALUE(E170&amp;","&amp;H192),INTEGRANTES!$B$15:$D$23,2,0),"")</f>
        <v>#N/A</v>
      </c>
      <c r="J192" s="108" t="e">
        <f>IF(I192&lt;&gt;"",VLOOKUP(VALUE(E170&amp;","&amp;H192),INTEGRANTES!$B$15:$D$23,3,0),"")</f>
        <v>#N/A</v>
      </c>
      <c r="K192" s="134" t="e">
        <f>IF($I192="","",IF($G185="N/A","",ROUND($E189*PORPOM,2)))</f>
        <v>#N/A</v>
      </c>
      <c r="L192" s="134" t="e">
        <f>IF(I192="","",SUMIF($J173:$J178,I192,$S173:$S178))</f>
        <v>#N/A</v>
      </c>
      <c r="M192" s="139" t="e">
        <f t="shared" si="37"/>
        <v>#N/A</v>
      </c>
      <c r="N192" s="66" t="e">
        <f t="shared" si="36"/>
        <v>#N/A</v>
      </c>
      <c r="O192" s="181" t="e">
        <f>IF(OR(J192="",L192=""),"",IF(AND(J192&gt;=0.25,L192&gt;=$F189*0.25),"SI","NO"))</f>
        <v>#N/A</v>
      </c>
      <c r="P192" s="66" t="e">
        <f>IF(I192="","",IF(OR(SUMIF($J173:$J178,I192,$S173:$S178)&gt;=5%*E189,AND(SUMIF($J173:$J178,J192,$S173:$S178)=0,J192&lt;=10%)),"CUMPLE","NO CUMPLE"))</f>
        <v>#N/A</v>
      </c>
      <c r="Q192" s="185" t="e">
        <f>IF(OR(I192="",P192="",P192="CUMPLE"),"",IF(AND(P192="NO CUMPLE",L192=0,J192&gt;5%),"EXP = 0 y PART &gt; 5%",IF(L192&lt;5%*E189,"EXP &lt; 5%","")))</f>
        <v>#N/A</v>
      </c>
      <c r="R192" s="378"/>
      <c r="S192" s="379"/>
      <c r="T192" s="372"/>
      <c r="U192" s="373"/>
    </row>
    <row r="193" spans="1:28" s="1" customFormat="1" ht="39" hidden="1" customHeight="1" thickBot="1">
      <c r="A193" s="77" t="e">
        <f>"Q"&amp;E169</f>
        <v>#N/A</v>
      </c>
      <c r="B193" s="325"/>
      <c r="C193" s="326"/>
      <c r="D193" s="326"/>
      <c r="E193" s="326"/>
      <c r="F193" s="326"/>
      <c r="G193" s="327"/>
      <c r="H193" s="328" t="s">
        <v>112</v>
      </c>
      <c r="I193" s="329"/>
      <c r="J193" s="330"/>
      <c r="K193" s="328" t="s">
        <v>113</v>
      </c>
      <c r="L193" s="331"/>
      <c r="M193" s="109" t="e">
        <f>IF(OR($M184="",SUM(J187:J192)=0),"",IF(COUNTIF(M187:M192,"CUMPLE")&gt;=1,"CUMPLE","NO CUMPLE"))</f>
        <v>#N/A</v>
      </c>
      <c r="N193" s="109" t="e">
        <f>IF(OR($M184="",SUM(J187:J192)=0),"",IF(COUNTIF(N187:N192,"CUMPLE")&gt;=1,"CUMPLE","NO CUMPLE"))</f>
        <v>#N/A</v>
      </c>
      <c r="O193" s="182"/>
      <c r="P193" s="182" t="str">
        <f>IF(COUNTIF(P187:P192,"")&gt;5,"",IF(COUNTIF(P187:P192,"NO CUMPLE")&gt;0,"NO CUMPLE","CUMPLE"))</f>
        <v>CUMPLE</v>
      </c>
      <c r="Q193" s="186"/>
      <c r="R193" s="332" t="s">
        <v>179</v>
      </c>
      <c r="S193" s="333"/>
      <c r="T193" s="374"/>
      <c r="U193" s="375"/>
      <c r="X193" s="141"/>
      <c r="Y193" s="141"/>
      <c r="Z193" s="32"/>
      <c r="AA193" s="32"/>
      <c r="AB193" s="32"/>
    </row>
    <row r="19604" spans="1:1">
      <c r="A19604" s="79" t="s">
        <v>122</v>
      </c>
    </row>
    <row r="19605" spans="1:1" ht="14.25" customHeight="1"/>
    <row r="19606" spans="1:1" ht="19.5" customHeight="1"/>
    <row r="19607" spans="1:1" ht="30" customHeight="1"/>
    <row r="19608" spans="1:1" ht="9.75" customHeight="1"/>
    <row r="19609" spans="1:1" ht="18" customHeight="1"/>
  </sheetData>
  <customSheetViews>
    <customSheetView guid="{9F94E489-9692-4C63-A554-7FBA98A324C0}" scale="75" topLeftCell="A1319">
      <selection activeCell="J1330" sqref="J1330"/>
      <rowBreaks count="145" manualBreakCount="145">
        <brk id="21" max="16383" man="1"/>
        <brk id="34" max="16383" man="1"/>
        <brk id="36" max="16383" man="1"/>
        <brk id="46" max="16383" man="1"/>
        <brk id="59" max="16383" man="1"/>
        <brk id="61" min="1" max="18" man="1"/>
        <brk id="71" max="16383" man="1"/>
        <brk id="77" max="16383" man="1"/>
        <brk id="93" max="16383" man="1"/>
        <brk id="102" max="16383" man="1"/>
        <brk id="103" min="1" max="18" man="1"/>
        <brk id="106" max="16383" man="1"/>
        <brk id="123" max="16383" man="1"/>
        <brk id="134" min="1" max="18" man="1"/>
        <brk id="144" max="16383" man="1"/>
        <brk id="155" max="16383" man="1"/>
        <brk id="156" max="16383" man="1"/>
        <brk id="163" max="16383" man="1"/>
        <brk id="169" max="16383" man="1"/>
        <brk id="185" max="16383" man="1"/>
        <brk id="186" max="16383" man="1"/>
        <brk id="190" min="1" max="18" man="1"/>
        <brk id="199" max="16383" man="1"/>
        <brk id="217" max="16383" man="1"/>
        <brk id="218" max="16383" man="1"/>
        <brk id="227" min="1" max="18" man="1"/>
        <brk id="234" max="16383" man="1"/>
        <brk id="255" max="16383" man="1"/>
        <brk id="272" max="16383" man="1"/>
        <brk id="276" max="16383" man="1"/>
        <brk id="291" max="16383" man="1"/>
        <brk id="305" max="16383" man="1"/>
        <brk id="311" max="16383" man="1"/>
        <brk id="327" max="16383" man="1"/>
        <brk id="338" max="16383" man="1"/>
        <brk id="343" max="16383" man="1"/>
        <brk id="347" max="16383" man="1"/>
        <brk id="362" max="16383" man="1"/>
        <brk id="363" max="16383" man="1"/>
        <brk id="374" max="16383" man="1"/>
        <brk id="376" max="16383" man="1"/>
        <brk id="391" max="16383" man="1"/>
        <brk id="402" max="16383" man="1"/>
        <brk id="417" max="16383" man="1"/>
        <brk id="425" max="16383" man="1"/>
        <brk id="443" max="16383" man="1"/>
        <brk id="447" max="16383" man="1"/>
        <brk id="459" max="16383" man="1"/>
        <brk id="477" max="16383" man="1"/>
        <brk id="496" max="16383" man="1"/>
        <brk id="512" max="16383" man="1"/>
        <brk id="527" max="16383" man="1"/>
        <brk id="544" max="16383" man="1"/>
        <brk id="550" max="16383" man="1"/>
        <brk id="569" max="16383" man="1"/>
        <brk id="587" max="16383" man="1"/>
        <brk id="589" max="16383" man="1"/>
        <brk id="599" max="16383" man="1"/>
        <brk id="616" max="16383" man="1"/>
        <brk id="620" max="16383" man="1"/>
        <brk id="636" max="16383" man="1"/>
        <brk id="653" max="16383" man="1"/>
        <brk id="654" max="16383" man="1"/>
        <brk id="671" max="16383" man="1"/>
        <brk id="687" max="16383" man="1"/>
        <brk id="688" max="16383" man="1"/>
        <brk id="704" max="16383" man="1"/>
        <brk id="719" max="16383" man="1"/>
        <brk id="725" max="16383" man="1"/>
        <brk id="726" max="16383" man="1"/>
        <brk id="742" max="16383" man="1"/>
        <brk id="748" max="16383" man="1"/>
        <brk id="767" max="16383" man="1"/>
        <brk id="769" max="16383" man="1"/>
        <brk id="782" max="16383" man="1"/>
        <brk id="806" max="16383" man="1"/>
        <brk id="807" max="16383" man="1"/>
        <brk id="823" max="16383" man="1"/>
        <brk id="841" max="16383" man="1"/>
        <brk id="842" max="16383" man="1"/>
        <brk id="843" max="16383" man="1"/>
        <brk id="852" max="16383" man="1"/>
        <brk id="875" max="16383" man="1"/>
        <brk id="879" max="16383" man="1"/>
        <brk id="890" max="16383" man="1"/>
        <brk id="912" max="16383" man="1"/>
        <brk id="924" max="16383" man="1"/>
        <brk id="955" max="16383" man="1"/>
        <brk id="956" max="16383" man="1"/>
        <brk id="974" max="16383" man="1"/>
        <brk id="990" max="16383" man="1"/>
        <brk id="995" max="16383" man="1"/>
        <brk id="1023" max="16383" man="1"/>
        <brk id="1048" max="16383" man="1"/>
        <brk id="1066" max="16383" man="1"/>
        <brk id="1099" max="16383" man="1"/>
        <brk id="1118" max="16383" man="1"/>
        <brk id="1137" max="16383" man="1"/>
        <brk id="1154" max="16383" man="1"/>
        <brk id="1169" max="16383" man="1"/>
        <brk id="1177" max="16383" man="1"/>
        <brk id="1194" max="16383" man="1"/>
        <brk id="1208" max="16383" man="1"/>
        <brk id="1230" max="16383" man="1"/>
        <brk id="1247" max="16383" man="1"/>
        <brk id="1262" max="16383" man="1"/>
        <brk id="1277" max="16383" man="1"/>
        <brk id="1279" max="16383" man="1"/>
        <brk id="1291" max="16383" man="1"/>
        <brk id="1317" max="16383" man="1"/>
        <brk id="1338" max="16383" man="1"/>
        <brk id="1350" max="16383" man="1"/>
        <brk id="1371" max="16383" man="1"/>
        <brk id="1391" max="16383" man="1"/>
        <brk id="1409" max="16383" man="1"/>
        <brk id="1421" max="16383" man="1"/>
        <brk id="1428" max="16383" man="1"/>
        <brk id="1444" max="16383" man="1"/>
        <brk id="1461" max="16383" man="1"/>
        <brk id="1477" max="16383" man="1"/>
        <brk id="1481" max="16383" man="1"/>
        <brk id="1484" max="16383" man="1"/>
        <brk id="1506" max="16383" man="1"/>
        <brk id="1509" max="16383" man="1"/>
        <brk id="1529" max="16383" man="1"/>
        <brk id="1535" max="16383" man="1"/>
        <brk id="1549" max="16383" man="1"/>
        <brk id="1550" max="16383" man="1"/>
        <brk id="1552" max="16383" man="1"/>
        <brk id="1565" max="16383" man="1"/>
        <brk id="1583" max="16383" man="1"/>
        <brk id="1605" max="16383" man="1"/>
        <brk id="1618" max="16383" man="1"/>
        <brk id="1638" max="16383" man="1"/>
        <brk id="1639" max="16383" man="1"/>
        <brk id="1655" max="16383" man="1"/>
        <brk id="1656" max="16383" man="1"/>
        <brk id="1658" max="16383" man="1"/>
        <brk id="1676" max="16383" man="1"/>
        <brk id="1694" max="16383" man="1"/>
        <brk id="1698" max="16383" man="1"/>
        <brk id="1727" max="16383" man="1"/>
        <brk id="1747" max="16383" man="1"/>
        <brk id="1748" max="16383" man="1"/>
        <brk id="1779" max="16383" man="1"/>
      </rowBreaks>
      <pageMargins left="0.39370078740157483" right="0.39370078740157483" top="0.19685039370078741" bottom="0.15748031496062992" header="0.15748031496062992" footer="0.15748031496062992"/>
      <printOptions horizontalCentered="1" verticalCentered="1"/>
      <pageSetup orientation="landscape" horizontalDpi="1200" verticalDpi="1200" r:id="rId1"/>
      <headerFooter alignWithMargins="0"/>
    </customSheetView>
    <customSheetView guid="{0CBEA09E-24B8-4CE5-A052-7237E9208379}" scale="75" showRuler="0" topLeftCell="H741">
      <selection activeCell="R745" sqref="R745"/>
      <pageMargins left="0.75" right="0.75" top="1" bottom="1" header="0" footer="0"/>
      <headerFooter alignWithMargins="0"/>
    </customSheetView>
    <customSheetView guid="{6E71BEFB-61B2-401E-9961-32884E4CD56C}" scale="70" showRuler="0" topLeftCell="A1384">
      <selection activeCell="C1396" sqref="C1396:F1399"/>
      <pageMargins left="0.23622047244094491" right="0.23622047244094491" top="0.74803149606299213" bottom="0.74803149606299213" header="0.31496062992125984" footer="0.31496062992125984"/>
      <printOptions horizontalCentered="1" verticalCentered="1"/>
      <pageSetup scale="41" orientation="landscape" horizontalDpi="1200" verticalDpi="1200" r:id="rId2"/>
      <headerFooter alignWithMargins="0"/>
    </customSheetView>
    <customSheetView guid="{74BDB053-C30B-49CC-8134-2CE4C1966D2C}" scale="75" showPageBreaks="1" showRuler="0" topLeftCell="A1078">
      <selection activeCell="J1089" sqref="J1089"/>
      <rowBreaks count="70" manualBreakCount="70">
        <brk id="33" min="2" max="18" man="1"/>
        <brk id="51" min="2" max="18" man="1"/>
        <brk id="59" max="16383" man="1"/>
        <brk id="61" max="18" man="1"/>
        <brk id="71" max="16383" man="1"/>
        <brk id="94" max="16383" man="1"/>
        <brk id="96" min="2" max="18" man="1"/>
        <brk id="102" max="16383" man="1"/>
        <brk id="103" max="18" man="1"/>
        <brk id="106" max="16383" man="1"/>
        <brk id="130" min="2" max="18" man="1"/>
        <brk id="134" max="18" man="1"/>
        <brk id="144" max="16383" man="1"/>
        <brk id="163" max="16383" man="1"/>
        <brk id="185" max="16383" man="1"/>
        <brk id="186" min="2" max="18" man="1"/>
        <brk id="190" max="18" man="1"/>
        <brk id="199" max="16383" man="1"/>
        <brk id="222" min="2" max="18" man="1"/>
        <brk id="227" max="18" man="1"/>
        <brk id="234" max="16383" man="1"/>
        <brk id="254" min="2" max="18" man="1"/>
        <brk id="272" min="2" max="18" man="1"/>
        <brk id="294" min="2" max="18" man="1"/>
        <brk id="299" min="2" max="18" man="1"/>
        <brk id="326" min="2" max="18" man="1"/>
        <brk id="327" min="2" max="18" man="1"/>
        <brk id="351" min="2" max="18" man="1"/>
        <brk id="355" min="2" max="18" man="1"/>
        <brk id="380" min="2" max="18" man="1"/>
        <brk id="381" min="2" max="18" man="1"/>
        <brk id="412" min="2" max="18" man="1"/>
        <brk id="430" min="2" max="18" man="1"/>
        <brk id="457" min="2" max="18" man="1"/>
        <brk id="484" min="2" max="18" man="1"/>
        <brk id="507" min="2" max="18" man="1"/>
        <brk id="526" min="2" max="18" man="1"/>
        <brk id="527" min="2" max="18" man="1"/>
        <brk id="555" min="2" max="18" man="1"/>
        <brk id="560" min="2" max="18" man="1"/>
        <brk id="588" min="2" max="18" man="1"/>
        <brk id="591" min="2" max="18" man="1"/>
        <brk id="618" min="2" max="18" man="1"/>
        <brk id="622" min="2" max="18" man="1"/>
        <brk id="653" min="2" max="18" man="1"/>
        <brk id="654" min="2" max="18" man="1"/>
        <brk id="688" max="16383" man="1"/>
        <brk id="689" min="2" max="18" man="1"/>
        <brk id="723" min="2" max="18" man="1"/>
        <brk id="724" min="2" max="18" man="1"/>
        <brk id="757" min="2" max="18" man="1"/>
        <brk id="758" min="2" max="18" man="1"/>
        <brk id="788" min="2" max="18" man="1"/>
        <brk id="791" min="2" max="18" man="1"/>
        <brk id="829" min="2" max="18" man="1"/>
        <brk id="859" max="16383" man="1"/>
        <brk id="860" max="16383" man="1"/>
        <brk id="865" max="16383" man="1"/>
        <brk id="869" min="2" max="18" man="1"/>
        <brk id="905" min="2" max="18" man="1"/>
        <brk id="940" min="2" max="18" man="1"/>
        <brk id="974" min="2" max="18" man="1"/>
        <brk id="1005" max="16383" man="1"/>
        <brk id="1011" min="2" max="18" man="1"/>
        <brk id="1045" min="2" max="18" man="1"/>
        <brk id="1081" min="2" max="18" man="1"/>
        <brk id="1115" min="2" max="18" man="1"/>
        <brk id="1149" min="2" max="18" man="1"/>
        <brk id="1181" min="2" max="18" man="1"/>
        <brk id="1182" min="2" max="18" man="1"/>
      </rowBreaks>
      <pageMargins left="0.23622047244094491" right="0.23622047244094491" top="0.74803149606299213" bottom="0.74803149606299213" header="0.31496062992125984" footer="0.31496062992125984"/>
      <printOptions horizontalCentered="1" verticalCentered="1"/>
      <pageSetup scale="41" orientation="landscape" horizontalDpi="1200" verticalDpi="1200" r:id="rId3"/>
      <headerFooter alignWithMargins="0"/>
    </customSheetView>
    <customSheetView guid="{40B815EE-4446-47D1-839D-2EFF5F5EF0E5}" showRuler="0" topLeftCell="B43">
      <selection activeCell="B50" sqref="B50:G50"/>
      <rowBreaks count="42" manualBreakCount="42">
        <brk id="33" max="16383" man="1"/>
        <brk id="58" max="16383" man="1"/>
        <brk id="68" max="16383" man="1"/>
        <brk id="100" max="16383" man="1"/>
        <brk id="103" max="16383" man="1"/>
        <brk id="131" max="16383" man="1"/>
        <brk id="141" max="16383" man="1"/>
        <brk id="160" max="16383" man="1"/>
        <brk id="187" max="16383" man="1"/>
        <brk id="196" max="16383" man="1"/>
        <brk id="225" max="16383" man="1"/>
        <brk id="231" max="16383" man="1"/>
        <brk id="255" max="16383" man="1"/>
        <brk id="281" max="16383" man="1"/>
        <brk id="317" max="16383" man="1"/>
        <brk id="348" max="16383" man="1"/>
        <brk id="378" max="16383" man="1"/>
        <brk id="419" max="16383" man="1"/>
        <brk id="455" max="16383" man="1"/>
        <brk id="484" max="16383" man="1"/>
        <brk id="509" max="16383" man="1"/>
        <brk id="546" max="16383" man="1"/>
        <brk id="581" max="16383" man="1"/>
        <brk id="618" max="16383" man="1"/>
        <brk id="654" max="16383" man="1"/>
        <brk id="698" max="16383" man="1"/>
        <brk id="699" max="16383" man="1"/>
        <brk id="737" max="16383" man="1"/>
        <brk id="793" max="16383" man="1"/>
        <brk id="842" max="16383" man="1"/>
        <brk id="843" max="16383" man="1"/>
        <brk id="888" max="16383" man="1"/>
        <brk id="908" max="16383" man="1"/>
        <brk id="911" max="16383" man="1"/>
        <brk id="951" max="16383" man="1"/>
        <brk id="957" max="16383" man="1"/>
        <brk id="1009" max="16383" man="1"/>
        <brk id="1059" max="16383" man="1"/>
        <brk id="1102" max="16383" man="1"/>
        <brk id="1114" max="16383" man="1"/>
        <brk id="1115" max="16383" man="1"/>
        <brk id="1160" max="16383" man="1"/>
      </rowBreaks>
      <pageMargins left="0.39370078740157483" right="0.39370078740157483" top="0.19685039370078741" bottom="0.15748031496062992" header="0.15748031496062992" footer="0.15748031496062992"/>
      <printOptions horizontalCentered="1" verticalCentered="1"/>
      <pageSetup scale="49" orientation="landscape" horizontalDpi="1200" verticalDpi="1200" r:id="rId4"/>
      <headerFooter alignWithMargins="0"/>
    </customSheetView>
    <customSheetView guid="{52F59514-34F3-4352-A05C-5BB41CEA0827}" scale="85" showRuler="0" topLeftCell="A1394">
      <selection activeCell="A170" sqref="A170:IV170"/>
      <rowBreaks count="41" manualBreakCount="41">
        <brk id="33" max="16383" man="1"/>
        <brk id="58" max="16383" man="1"/>
        <brk id="68" max="16383" man="1"/>
        <brk id="100" max="16383" man="1"/>
        <brk id="103" max="16383" man="1"/>
        <brk id="131" max="16383" man="1"/>
        <brk id="141" max="16383" man="1"/>
        <brk id="160" max="16383" man="1"/>
        <brk id="187" max="16383" man="1"/>
        <brk id="196" max="16383" man="1"/>
        <brk id="225" max="16383" man="1"/>
        <brk id="231" max="16383" man="1"/>
        <brk id="255" max="16383" man="1"/>
        <brk id="281" max="16383" man="1"/>
        <brk id="317" max="16383" man="1"/>
        <brk id="348" max="16383" man="1"/>
        <brk id="378" max="16383" man="1"/>
        <brk id="419" max="16383" man="1"/>
        <brk id="455" max="16383" man="1"/>
        <brk id="484" max="16383" man="1"/>
        <brk id="509" max="16383" man="1"/>
        <brk id="538" max="16383" man="1"/>
        <brk id="546" max="16383" man="1"/>
        <brk id="581" max="16383" man="1"/>
        <brk id="618" max="16383" man="1"/>
        <brk id="654" max="16383" man="1"/>
        <brk id="698" max="16383" man="1"/>
        <brk id="699" max="16383" man="1"/>
        <brk id="737" max="16383" man="1"/>
        <brk id="777" max="16383" man="1"/>
        <brk id="793" max="16383" man="1"/>
        <brk id="842" max="16383" man="1"/>
        <brk id="843" max="16383" man="1"/>
        <brk id="908" max="16383" man="1"/>
        <brk id="911" max="16383" man="1"/>
        <brk id="957" max="16383" man="1"/>
        <brk id="1009" max="16383" man="1"/>
        <brk id="1059" max="16383" man="1"/>
        <brk id="1114" max="16383" man="1"/>
        <brk id="1115" max="16383" man="1"/>
        <brk id="1160" max="16383" man="1"/>
      </rowBreaks>
      <pageMargins left="0.39370078740157483" right="0.39370078740157483" top="0.19685039370078741" bottom="0.15748031496062992" header="0.15748031496062992" footer="0.15748031496062992"/>
      <printOptions horizontalCentered="1" verticalCentered="1"/>
      <pageSetup scale="49" orientation="landscape" horizontalDpi="1200" verticalDpi="1200" r:id="rId5"/>
      <headerFooter alignWithMargins="0"/>
    </customSheetView>
  </customSheetViews>
  <mergeCells count="361">
    <mergeCell ref="B59:G59"/>
    <mergeCell ref="H59:J59"/>
    <mergeCell ref="K59:L59"/>
    <mergeCell ref="R59:S59"/>
    <mergeCell ref="T50:U51"/>
    <mergeCell ref="B51:D52"/>
    <mergeCell ref="E51:E52"/>
    <mergeCell ref="F51:F52"/>
    <mergeCell ref="G51:G52"/>
    <mergeCell ref="H51:I52"/>
    <mergeCell ref="J51:J52"/>
    <mergeCell ref="K51:K52"/>
    <mergeCell ref="L51:L52"/>
    <mergeCell ref="M51:M52"/>
    <mergeCell ref="T52:U59"/>
    <mergeCell ref="B53:G53"/>
    <mergeCell ref="B54:D55"/>
    <mergeCell ref="B56:G56"/>
    <mergeCell ref="B57:F58"/>
    <mergeCell ref="R57:S58"/>
    <mergeCell ref="B49:G49"/>
    <mergeCell ref="Q49:Q52"/>
    <mergeCell ref="B50:G50"/>
    <mergeCell ref="H50:L50"/>
    <mergeCell ref="N50:N52"/>
    <mergeCell ref="O50:O52"/>
    <mergeCell ref="P50:P52"/>
    <mergeCell ref="T46:U46"/>
    <mergeCell ref="T40:U41"/>
    <mergeCell ref="H40:H41"/>
    <mergeCell ref="I40:I41"/>
    <mergeCell ref="J40:J41"/>
    <mergeCell ref="K40:K41"/>
    <mergeCell ref="L40:L41"/>
    <mergeCell ref="V40:V41"/>
    <mergeCell ref="T42:U42"/>
    <mergeCell ref="T43:U43"/>
    <mergeCell ref="T44:U44"/>
    <mergeCell ref="M40:M41"/>
    <mergeCell ref="N40:N41"/>
    <mergeCell ref="O40:P40"/>
    <mergeCell ref="Q40:Q41"/>
    <mergeCell ref="R40:S40"/>
    <mergeCell ref="B39:D39"/>
    <mergeCell ref="B40:B41"/>
    <mergeCell ref="C40:C41"/>
    <mergeCell ref="D40:E40"/>
    <mergeCell ref="F40:G40"/>
    <mergeCell ref="N27:N29"/>
    <mergeCell ref="O27:O29"/>
    <mergeCell ref="P27:P29"/>
    <mergeCell ref="Q26:Q29"/>
    <mergeCell ref="B33:G33"/>
    <mergeCell ref="B34:F35"/>
    <mergeCell ref="K36:L36"/>
    <mergeCell ref="H27:L27"/>
    <mergeCell ref="T19:U19"/>
    <mergeCell ref="T20:U20"/>
    <mergeCell ref="T21:U21"/>
    <mergeCell ref="T23:U23"/>
    <mergeCell ref="B26:G26"/>
    <mergeCell ref="C17:C18"/>
    <mergeCell ref="B27:G27"/>
    <mergeCell ref="K28:K29"/>
    <mergeCell ref="L28:L29"/>
    <mergeCell ref="B28:D29"/>
    <mergeCell ref="J28:J29"/>
    <mergeCell ref="M28:M29"/>
    <mergeCell ref="T27:U28"/>
    <mergeCell ref="T29:U36"/>
    <mergeCell ref="B36:G36"/>
    <mergeCell ref="E28:E29"/>
    <mergeCell ref="F28:F29"/>
    <mergeCell ref="G28:G29"/>
    <mergeCell ref="H36:J36"/>
    <mergeCell ref="B31:D32"/>
    <mergeCell ref="B30:G30"/>
    <mergeCell ref="H28:I29"/>
    <mergeCell ref="R36:S36"/>
    <mergeCell ref="R34:S35"/>
    <mergeCell ref="B1:V1"/>
    <mergeCell ref="B2:V2"/>
    <mergeCell ref="B3:V3"/>
    <mergeCell ref="B4:V4"/>
    <mergeCell ref="B5:V5"/>
    <mergeCell ref="B8:V8"/>
    <mergeCell ref="B16:D16"/>
    <mergeCell ref="M17:M18"/>
    <mergeCell ref="K17:K18"/>
    <mergeCell ref="H17:H18"/>
    <mergeCell ref="F17:G17"/>
    <mergeCell ref="D17:E17"/>
    <mergeCell ref="L17:L18"/>
    <mergeCell ref="B9:V9"/>
    <mergeCell ref="B6:V6"/>
    <mergeCell ref="R17:S17"/>
    <mergeCell ref="B17:B18"/>
    <mergeCell ref="J17:J18"/>
    <mergeCell ref="I17:I18"/>
    <mergeCell ref="Q17:Q18"/>
    <mergeCell ref="V17:V18"/>
    <mergeCell ref="N17:N18"/>
    <mergeCell ref="O17:P17"/>
    <mergeCell ref="T17:U18"/>
    <mergeCell ref="B62:D62"/>
    <mergeCell ref="B63:B64"/>
    <mergeCell ref="C63:C64"/>
    <mergeCell ref="D63:E63"/>
    <mergeCell ref="F63:G63"/>
    <mergeCell ref="H63:H64"/>
    <mergeCell ref="I63:I64"/>
    <mergeCell ref="J63:J64"/>
    <mergeCell ref="K63:K64"/>
    <mergeCell ref="L63:L64"/>
    <mergeCell ref="M63:M64"/>
    <mergeCell ref="N63:N64"/>
    <mergeCell ref="O63:P63"/>
    <mergeCell ref="Q63:Q64"/>
    <mergeCell ref="R63:S63"/>
    <mergeCell ref="T63:U64"/>
    <mergeCell ref="V63:V64"/>
    <mergeCell ref="T65:U65"/>
    <mergeCell ref="T66:U66"/>
    <mergeCell ref="T67:U67"/>
    <mergeCell ref="T68:U68"/>
    <mergeCell ref="T70:U70"/>
    <mergeCell ref="B73:G73"/>
    <mergeCell ref="Q73:Q76"/>
    <mergeCell ref="B74:G74"/>
    <mergeCell ref="H74:L74"/>
    <mergeCell ref="N74:N76"/>
    <mergeCell ref="O74:O76"/>
    <mergeCell ref="P74:P76"/>
    <mergeCell ref="T74:U75"/>
    <mergeCell ref="B75:D76"/>
    <mergeCell ref="E75:E76"/>
    <mergeCell ref="F75:F76"/>
    <mergeCell ref="G75:G76"/>
    <mergeCell ref="H75:I76"/>
    <mergeCell ref="J75:J76"/>
    <mergeCell ref="K75:K76"/>
    <mergeCell ref="L75:L76"/>
    <mergeCell ref="M75:M76"/>
    <mergeCell ref="T76:U83"/>
    <mergeCell ref="B77:G77"/>
    <mergeCell ref="B78:D79"/>
    <mergeCell ref="B80:G80"/>
    <mergeCell ref="B81:F82"/>
    <mergeCell ref="R81:S82"/>
    <mergeCell ref="B83:G83"/>
    <mergeCell ref="H83:J83"/>
    <mergeCell ref="K83:L83"/>
    <mergeCell ref="R83:S83"/>
    <mergeCell ref="B88:D88"/>
    <mergeCell ref="B89:B90"/>
    <mergeCell ref="C89:C90"/>
    <mergeCell ref="D89:E89"/>
    <mergeCell ref="F89:G89"/>
    <mergeCell ref="H89:H90"/>
    <mergeCell ref="I89:I90"/>
    <mergeCell ref="J89:J90"/>
    <mergeCell ref="K89:K90"/>
    <mergeCell ref="L89:L90"/>
    <mergeCell ref="M89:M90"/>
    <mergeCell ref="N89:N90"/>
    <mergeCell ref="O89:P89"/>
    <mergeCell ref="Q89:Q90"/>
    <mergeCell ref="R89:S89"/>
    <mergeCell ref="T89:U90"/>
    <mergeCell ref="V89:V90"/>
    <mergeCell ref="T91:U91"/>
    <mergeCell ref="T92:U92"/>
    <mergeCell ref="T93:U93"/>
    <mergeCell ref="T94:U94"/>
    <mergeCell ref="T95:U95"/>
    <mergeCell ref="T96:U96"/>
    <mergeCell ref="T97:U97"/>
    <mergeCell ref="T99:U99"/>
    <mergeCell ref="B102:G102"/>
    <mergeCell ref="Q102:Q105"/>
    <mergeCell ref="B103:G103"/>
    <mergeCell ref="H103:L103"/>
    <mergeCell ref="N103:N105"/>
    <mergeCell ref="O103:O105"/>
    <mergeCell ref="P103:P105"/>
    <mergeCell ref="T103:U104"/>
    <mergeCell ref="B104:D105"/>
    <mergeCell ref="E104:E105"/>
    <mergeCell ref="F104:F105"/>
    <mergeCell ref="G104:G105"/>
    <mergeCell ref="H104:I105"/>
    <mergeCell ref="J104:J105"/>
    <mergeCell ref="K104:K105"/>
    <mergeCell ref="L104:L105"/>
    <mergeCell ref="M104:M105"/>
    <mergeCell ref="T105:U112"/>
    <mergeCell ref="B106:G106"/>
    <mergeCell ref="B107:D108"/>
    <mergeCell ref="B109:G109"/>
    <mergeCell ref="B110:F111"/>
    <mergeCell ref="R110:S111"/>
    <mergeCell ref="B112:G112"/>
    <mergeCell ref="H112:J112"/>
    <mergeCell ref="K112:L112"/>
    <mergeCell ref="R112:S112"/>
    <mergeCell ref="B115:D115"/>
    <mergeCell ref="B116:B117"/>
    <mergeCell ref="C116:C117"/>
    <mergeCell ref="D116:E116"/>
    <mergeCell ref="F116:G116"/>
    <mergeCell ref="H116:H117"/>
    <mergeCell ref="I116:I117"/>
    <mergeCell ref="J116:J117"/>
    <mergeCell ref="K116:K117"/>
    <mergeCell ref="L116:L117"/>
    <mergeCell ref="M116:M117"/>
    <mergeCell ref="N116:N117"/>
    <mergeCell ref="O116:P116"/>
    <mergeCell ref="Q116:Q117"/>
    <mergeCell ref="R116:S116"/>
    <mergeCell ref="T116:U117"/>
    <mergeCell ref="V116:V117"/>
    <mergeCell ref="T118:U118"/>
    <mergeCell ref="T119:U119"/>
    <mergeCell ref="T120:U120"/>
    <mergeCell ref="T121:U121"/>
    <mergeCell ref="T122:U122"/>
    <mergeCell ref="T123:U123"/>
    <mergeCell ref="T124:U124"/>
    <mergeCell ref="T126:U126"/>
    <mergeCell ref="B129:G129"/>
    <mergeCell ref="Q129:Q132"/>
    <mergeCell ref="B130:G130"/>
    <mergeCell ref="H130:L130"/>
    <mergeCell ref="N130:N132"/>
    <mergeCell ref="O130:O132"/>
    <mergeCell ref="P130:P132"/>
    <mergeCell ref="T130:U131"/>
    <mergeCell ref="B131:D132"/>
    <mergeCell ref="E131:E132"/>
    <mergeCell ref="F131:F132"/>
    <mergeCell ref="G131:G132"/>
    <mergeCell ref="H131:I132"/>
    <mergeCell ref="J131:J132"/>
    <mergeCell ref="K131:K132"/>
    <mergeCell ref="L131:L132"/>
    <mergeCell ref="M131:M132"/>
    <mergeCell ref="T132:U139"/>
    <mergeCell ref="B133:G133"/>
    <mergeCell ref="B134:D135"/>
    <mergeCell ref="B136:G136"/>
    <mergeCell ref="B137:F138"/>
    <mergeCell ref="R137:S138"/>
    <mergeCell ref="B139:G139"/>
    <mergeCell ref="H139:J139"/>
    <mergeCell ref="K139:L139"/>
    <mergeCell ref="R139:S139"/>
    <mergeCell ref="B142:D142"/>
    <mergeCell ref="B143:B144"/>
    <mergeCell ref="C143:C144"/>
    <mergeCell ref="D143:E143"/>
    <mergeCell ref="F143:G143"/>
    <mergeCell ref="H143:H144"/>
    <mergeCell ref="I143:I144"/>
    <mergeCell ref="J143:J144"/>
    <mergeCell ref="K143:K144"/>
    <mergeCell ref="L143:L144"/>
    <mergeCell ref="M143:M144"/>
    <mergeCell ref="N143:N144"/>
    <mergeCell ref="O143:P143"/>
    <mergeCell ref="Q143:Q144"/>
    <mergeCell ref="R143:S143"/>
    <mergeCell ref="T143:U144"/>
    <mergeCell ref="V143:V144"/>
    <mergeCell ref="T145:U145"/>
    <mergeCell ref="T146:U146"/>
    <mergeCell ref="T147:U147"/>
    <mergeCell ref="T148:U148"/>
    <mergeCell ref="T149:U149"/>
    <mergeCell ref="T150:U150"/>
    <mergeCell ref="T151:U151"/>
    <mergeCell ref="T153:U153"/>
    <mergeCell ref="B156:G156"/>
    <mergeCell ref="Q156:Q159"/>
    <mergeCell ref="B157:G157"/>
    <mergeCell ref="H157:L157"/>
    <mergeCell ref="N157:N159"/>
    <mergeCell ref="O157:O159"/>
    <mergeCell ref="P157:P159"/>
    <mergeCell ref="T157:U158"/>
    <mergeCell ref="B158:D159"/>
    <mergeCell ref="E158:E159"/>
    <mergeCell ref="F158:F159"/>
    <mergeCell ref="G158:G159"/>
    <mergeCell ref="H158:I159"/>
    <mergeCell ref="J158:J159"/>
    <mergeCell ref="K158:K159"/>
    <mergeCell ref="L158:L159"/>
    <mergeCell ref="M158:M159"/>
    <mergeCell ref="T159:U166"/>
    <mergeCell ref="B160:G160"/>
    <mergeCell ref="B161:D162"/>
    <mergeCell ref="B163:G163"/>
    <mergeCell ref="B164:F165"/>
    <mergeCell ref="R164:S165"/>
    <mergeCell ref="B166:G166"/>
    <mergeCell ref="H166:J166"/>
    <mergeCell ref="K166:L166"/>
    <mergeCell ref="R166:S166"/>
    <mergeCell ref="B169:D169"/>
    <mergeCell ref="B170:B171"/>
    <mergeCell ref="C170:C171"/>
    <mergeCell ref="D170:E170"/>
    <mergeCell ref="F170:G170"/>
    <mergeCell ref="H170:H171"/>
    <mergeCell ref="I170:I171"/>
    <mergeCell ref="J170:J171"/>
    <mergeCell ref="K170:K171"/>
    <mergeCell ref="L170:L171"/>
    <mergeCell ref="M170:M171"/>
    <mergeCell ref="N170:N171"/>
    <mergeCell ref="O170:P170"/>
    <mergeCell ref="Q170:Q171"/>
    <mergeCell ref="R170:S170"/>
    <mergeCell ref="B188:D189"/>
    <mergeCell ref="B190:G190"/>
    <mergeCell ref="B191:F192"/>
    <mergeCell ref="R191:S192"/>
    <mergeCell ref="T170:U171"/>
    <mergeCell ref="V170:V171"/>
    <mergeCell ref="T172:U172"/>
    <mergeCell ref="T173:U173"/>
    <mergeCell ref="T174:U174"/>
    <mergeCell ref="T175:U175"/>
    <mergeCell ref="T176:U176"/>
    <mergeCell ref="T177:U177"/>
    <mergeCell ref="T178:U178"/>
    <mergeCell ref="B193:G193"/>
    <mergeCell ref="H193:J193"/>
    <mergeCell ref="K193:L193"/>
    <mergeCell ref="R193:S193"/>
    <mergeCell ref="T180:U180"/>
    <mergeCell ref="B183:G183"/>
    <mergeCell ref="Q183:Q186"/>
    <mergeCell ref="B184:G184"/>
    <mergeCell ref="H184:L184"/>
    <mergeCell ref="N184:N186"/>
    <mergeCell ref="O184:O186"/>
    <mergeCell ref="P184:P186"/>
    <mergeCell ref="T184:U185"/>
    <mergeCell ref="B185:D186"/>
    <mergeCell ref="E185:E186"/>
    <mergeCell ref="F185:F186"/>
    <mergeCell ref="G185:G186"/>
    <mergeCell ref="H185:I186"/>
    <mergeCell ref="J185:J186"/>
    <mergeCell ref="K185:K186"/>
    <mergeCell ref="L185:L186"/>
    <mergeCell ref="M185:M186"/>
    <mergeCell ref="T186:U193"/>
    <mergeCell ref="B187:G187"/>
  </mergeCells>
  <phoneticPr fontId="6" type="noConversion"/>
  <conditionalFormatting sqref="M20:N21 P20:Q21">
    <cfRule type="cellIs" dxfId="678" priority="407468" stopIfTrue="1" operator="lessThan">
      <formula>0</formula>
    </cfRule>
  </conditionalFormatting>
  <conditionalFormatting sqref="B20:B21 D20:N21 P20:Q21 S20:T21">
    <cfRule type="cellIs" dxfId="677" priority="383650" stopIfTrue="1" operator="greaterThan">
      <formula>0</formula>
    </cfRule>
  </conditionalFormatting>
  <conditionalFormatting sqref="Q21">
    <cfRule type="cellIs" dxfId="676" priority="431506" stopIfTrue="1" operator="lessThan">
      <formula>0</formula>
    </cfRule>
  </conditionalFormatting>
  <conditionalFormatting sqref="O20:O21">
    <cfRule type="cellIs" dxfId="675" priority="432703" stopIfTrue="1" operator="greaterThan">
      <formula>0</formula>
    </cfRule>
  </conditionalFormatting>
  <conditionalFormatting sqref="R20:R21">
    <cfRule type="cellIs" dxfId="674" priority="432693" stopIfTrue="1" operator="greaterThan">
      <formula>0</formula>
    </cfRule>
  </conditionalFormatting>
  <conditionalFormatting sqref="R20:R21">
    <cfRule type="cellIs" dxfId="673" priority="432692" stopIfTrue="1" operator="lessThan">
      <formula>0</formula>
    </cfRule>
  </conditionalFormatting>
  <conditionalFormatting sqref="B26 X36:Y36">
    <cfRule type="cellIs" dxfId="672" priority="432689" stopIfTrue="1" operator="equal">
      <formula>"cumple"</formula>
    </cfRule>
    <cfRule type="containsText" dxfId="671" priority="432690" stopIfTrue="1" operator="containsText" text="NO CUMPLE">
      <formula>NOT(ISERROR(SEARCH("NO CUMPLE",B26)))</formula>
    </cfRule>
  </conditionalFormatting>
  <conditionalFormatting sqref="B27">
    <cfRule type="cellIs" dxfId="670" priority="432687" stopIfTrue="1" operator="equal">
      <formula>"cumple"</formula>
    </cfRule>
    <cfRule type="containsText" dxfId="669" priority="432688" stopIfTrue="1" operator="containsText" text="NO CUMPLE">
      <formula>NOT(ISERROR(SEARCH("NO CUMPLE",B27)))</formula>
    </cfRule>
  </conditionalFormatting>
  <conditionalFormatting sqref="B28">
    <cfRule type="cellIs" dxfId="668" priority="432685" stopIfTrue="1" operator="equal">
      <formula>"cumple"</formula>
    </cfRule>
    <cfRule type="containsText" dxfId="667" priority="432686" stopIfTrue="1" operator="containsText" text="NO CUMPLE">
      <formula>NOT(ISERROR(SEARCH("NO CUMPLE",B28)))</formula>
    </cfRule>
  </conditionalFormatting>
  <conditionalFormatting sqref="B30">
    <cfRule type="cellIs" dxfId="666" priority="432683" stopIfTrue="1" operator="equal">
      <formula>"cumple"</formula>
    </cfRule>
    <cfRule type="containsText" dxfId="665" priority="432684" stopIfTrue="1" operator="containsText" text="NO CUMPLE">
      <formula>NOT(ISERROR(SEARCH("NO CUMPLE",B30)))</formula>
    </cfRule>
  </conditionalFormatting>
  <conditionalFormatting sqref="B31">
    <cfRule type="cellIs" dxfId="664" priority="432681" stopIfTrue="1" operator="equal">
      <formula>"cumple"</formula>
    </cfRule>
    <cfRule type="containsText" dxfId="663" priority="432682" stopIfTrue="1" operator="containsText" text="NO CUMPLE">
      <formula>NOT(ISERROR(SEARCH("NO CUMPLE",B31)))</formula>
    </cfRule>
  </conditionalFormatting>
  <conditionalFormatting sqref="F28">
    <cfRule type="cellIs" dxfId="662" priority="432679" stopIfTrue="1" operator="equal">
      <formula>"cumple"</formula>
    </cfRule>
    <cfRule type="containsText" dxfId="661" priority="432680" stopIfTrue="1" operator="containsText" text="NO CUMPLE">
      <formula>NOT(ISERROR(SEARCH("NO CUMPLE",F28)))</formula>
    </cfRule>
  </conditionalFormatting>
  <conditionalFormatting sqref="E31:F31">
    <cfRule type="cellIs" dxfId="660" priority="432677" stopIfTrue="1" operator="equal">
      <formula>"cumple"</formula>
    </cfRule>
    <cfRule type="containsText" dxfId="659" priority="432678" stopIfTrue="1" operator="containsText" text="NO CUMPLE">
      <formula>NOT(ISERROR(SEARCH("NO CUMPLE",E31)))</formula>
    </cfRule>
  </conditionalFormatting>
  <conditionalFormatting sqref="G31">
    <cfRule type="cellIs" dxfId="658" priority="432675" stopIfTrue="1" operator="equal">
      <formula>"cumple"</formula>
    </cfRule>
    <cfRule type="containsText" dxfId="657" priority="432676" stopIfTrue="1" operator="containsText" text="NO CUMPLE">
      <formula>NOT(ISERROR(SEARCH("NO CUMPLE",G31)))</formula>
    </cfRule>
  </conditionalFormatting>
  <conditionalFormatting sqref="G32">
    <cfRule type="cellIs" dxfId="656" priority="432671" stopIfTrue="1" operator="equal">
      <formula>"cumple"</formula>
    </cfRule>
    <cfRule type="containsText" dxfId="655" priority="432672" stopIfTrue="1" operator="containsText" text="NO CUMPLE">
      <formula>NOT(ISERROR(SEARCH("NO CUMPLE",G32)))</formula>
    </cfRule>
  </conditionalFormatting>
  <conditionalFormatting sqref="H26">
    <cfRule type="cellIs" dxfId="654" priority="432669" stopIfTrue="1" operator="equal">
      <formula>"cumple"</formula>
    </cfRule>
    <cfRule type="containsText" dxfId="653" priority="432670" stopIfTrue="1" operator="containsText" text="NO CUMPLE">
      <formula>NOT(ISERROR(SEARCH("NO CUMPLE",H26)))</formula>
    </cfRule>
  </conditionalFormatting>
  <conditionalFormatting sqref="M27">
    <cfRule type="cellIs" dxfId="652" priority="432667" stopIfTrue="1" operator="equal">
      <formula>"cumple"</formula>
    </cfRule>
    <cfRule type="containsText" dxfId="651" priority="432668" stopIfTrue="1" operator="containsText" text="NO CUMPLE">
      <formula>NOT(ISERROR(SEARCH("NO CUMPLE",M27)))</formula>
    </cfRule>
  </conditionalFormatting>
  <conditionalFormatting sqref="J28:J29">
    <cfRule type="cellIs" dxfId="650" priority="432661" stopIfTrue="1" operator="equal">
      <formula>"cumple"</formula>
    </cfRule>
    <cfRule type="containsText" dxfId="649" priority="432662" stopIfTrue="1" operator="containsText" text="NO CUMPLE">
      <formula>NOT(ISERROR(SEARCH("NO CUMPLE",J28)))</formula>
    </cfRule>
  </conditionalFormatting>
  <conditionalFormatting sqref="K28:K29">
    <cfRule type="cellIs" dxfId="648" priority="432659" stopIfTrue="1" operator="equal">
      <formula>"cumple"</formula>
    </cfRule>
    <cfRule type="containsText" dxfId="647" priority="432660" stopIfTrue="1" operator="containsText" text="NO CUMPLE">
      <formula>NOT(ISERROR(SEARCH("NO CUMPLE",K28)))</formula>
    </cfRule>
  </conditionalFormatting>
  <conditionalFormatting sqref="L28:L29">
    <cfRule type="cellIs" dxfId="646" priority="432657" stopIfTrue="1" operator="equal">
      <formula>"cumple"</formula>
    </cfRule>
    <cfRule type="containsText" dxfId="645" priority="432658" stopIfTrue="1" operator="containsText" text="NO CUMPLE">
      <formula>NOT(ISERROR(SEARCH("NO CUMPLE",L28)))</formula>
    </cfRule>
  </conditionalFormatting>
  <conditionalFormatting sqref="L30:L35">
    <cfRule type="cellIs" dxfId="644" priority="432655" stopIfTrue="1" operator="equal">
      <formula>"cumple"</formula>
    </cfRule>
    <cfRule type="containsText" dxfId="643" priority="432656" stopIfTrue="1" operator="containsText" text="NO CUMPLE">
      <formula>NOT(ISERROR(SEARCH("NO CUMPLE",L30)))</formula>
    </cfRule>
  </conditionalFormatting>
  <conditionalFormatting sqref="M30">
    <cfRule type="cellIs" dxfId="642" priority="432653" stopIfTrue="1" operator="equal">
      <formula>"cumple"</formula>
    </cfRule>
    <cfRule type="containsText" dxfId="641" priority="432654" stopIfTrue="1" operator="containsText" text="NO CUMPLE">
      <formula>NOT(ISERROR(SEARCH("NO CUMPLE",M30)))</formula>
    </cfRule>
  </conditionalFormatting>
  <conditionalFormatting sqref="M31:M35 M38">
    <cfRule type="cellIs" dxfId="640" priority="432651" stopIfTrue="1" operator="equal">
      <formula>"cumple"</formula>
    </cfRule>
    <cfRule type="containsText" dxfId="639" priority="432652" stopIfTrue="1" operator="containsText" text="NO CUMPLE">
      <formula>NOT(ISERROR(SEARCH("NO CUMPLE",M31)))</formula>
    </cfRule>
  </conditionalFormatting>
  <conditionalFormatting sqref="M36">
    <cfRule type="cellIs" dxfId="638" priority="432647" stopIfTrue="1" operator="equal">
      <formula>"cumple"</formula>
    </cfRule>
    <cfRule type="containsText" dxfId="637" priority="432648" stopIfTrue="1" operator="containsText" text="NO CUMPLE">
      <formula>NOT(ISERROR(SEARCH("NO CUMPLE",M36)))</formula>
    </cfRule>
  </conditionalFormatting>
  <conditionalFormatting sqref="H36">
    <cfRule type="cellIs" dxfId="636" priority="432629" stopIfTrue="1" operator="equal">
      <formula>"cumple"</formula>
    </cfRule>
    <cfRule type="containsText" dxfId="635" priority="432630" stopIfTrue="1" operator="containsText" text="NO CUMPLE">
      <formula>NOT(ISERROR(SEARCH("NO CUMPLE",H36)))</formula>
    </cfRule>
  </conditionalFormatting>
  <conditionalFormatting sqref="V20:V21">
    <cfRule type="cellIs" dxfId="634" priority="424193" stopIfTrue="1" operator="greaterThan">
      <formula>0</formula>
    </cfRule>
  </conditionalFormatting>
  <conditionalFormatting sqref="W20:W21">
    <cfRule type="cellIs" dxfId="633" priority="368254" stopIfTrue="1" operator="equal">
      <formula>"NO"</formula>
    </cfRule>
    <cfRule type="cellIs" dxfId="632" priority="368255" stopIfTrue="1" operator="equal">
      <formula>"SI"</formula>
    </cfRule>
  </conditionalFormatting>
  <conditionalFormatting sqref="B33">
    <cfRule type="cellIs" dxfId="631" priority="368252" stopIfTrue="1" operator="equal">
      <formula>"cumple"</formula>
    </cfRule>
    <cfRule type="containsText" dxfId="630" priority="368253" stopIfTrue="1" operator="containsText" text="NO CUMPLE">
      <formula>NOT(ISERROR(SEARCH("NO CUMPLE",B33)))</formula>
    </cfRule>
  </conditionalFormatting>
  <conditionalFormatting sqref="B34">
    <cfRule type="cellIs" dxfId="629" priority="368250" stopIfTrue="1" operator="equal">
      <formula>"cumple"</formula>
    </cfRule>
    <cfRule type="containsText" dxfId="628" priority="368251" stopIfTrue="1" operator="containsText" text="NO CUMPLE">
      <formula>NOT(ISERROR(SEARCH("NO CUMPLE",B34)))</formula>
    </cfRule>
  </conditionalFormatting>
  <conditionalFormatting sqref="G34">
    <cfRule type="cellIs" dxfId="627" priority="368248" stopIfTrue="1" operator="equal">
      <formula>"cumple"</formula>
    </cfRule>
    <cfRule type="containsText" dxfId="626" priority="368249" stopIfTrue="1" operator="containsText" text="NO CUMPLE">
      <formula>NOT(ISERROR(SEARCH("NO CUMPLE",G34)))</formula>
    </cfRule>
  </conditionalFormatting>
  <conditionalFormatting sqref="G35">
    <cfRule type="cellIs" dxfId="625" priority="368246" stopIfTrue="1" operator="equal">
      <formula>"cumple"</formula>
    </cfRule>
    <cfRule type="containsText" dxfId="624" priority="368247" stopIfTrue="1" operator="containsText" text="NO CUMPLE">
      <formula>NOT(ISERROR(SEARCH("NO CUMPLE",G35)))</formula>
    </cfRule>
  </conditionalFormatting>
  <conditionalFormatting sqref="E28:E29">
    <cfRule type="cellIs" dxfId="623" priority="201856" operator="greaterThan">
      <formula>0</formula>
    </cfRule>
    <cfRule type="cellIs" dxfId="622" priority="201867" operator="equal">
      <formula>0</formula>
    </cfRule>
  </conditionalFormatting>
  <conditionalFormatting sqref="G28">
    <cfRule type="cellIs" dxfId="621" priority="201866" stopIfTrue="1" operator="notBetween">
      <formula>"N/A"</formula>
      <formula>"REVISAR"</formula>
    </cfRule>
  </conditionalFormatting>
  <conditionalFormatting sqref="G28:G29">
    <cfRule type="cellIs" dxfId="620" priority="201865" operator="equal">
      <formula>"REVISAR"</formula>
    </cfRule>
  </conditionalFormatting>
  <conditionalFormatting sqref="E32">
    <cfRule type="cellIs" dxfId="619" priority="201863" operator="equal">
      <formula>"NO APLICA"</formula>
    </cfRule>
  </conditionalFormatting>
  <conditionalFormatting sqref="N27">
    <cfRule type="cellIs" dxfId="618" priority="201861" stopIfTrue="1" operator="equal">
      <formula>"cumple"</formula>
    </cfRule>
    <cfRule type="containsText" dxfId="617" priority="201862" stopIfTrue="1" operator="containsText" text="NO CUMPLE">
      <formula>NOT(ISERROR(SEARCH("NO CUMPLE",N27)))</formula>
    </cfRule>
  </conditionalFormatting>
  <conditionalFormatting sqref="N30:N35">
    <cfRule type="cellIs" dxfId="616" priority="201859" stopIfTrue="1" operator="equal">
      <formula>"cumple"</formula>
    </cfRule>
    <cfRule type="containsText" dxfId="615" priority="201860" stopIfTrue="1" operator="containsText" text="NO CUMPLE">
      <formula>NOT(ISERROR(SEARCH("NO CUMPLE",N30)))</formula>
    </cfRule>
  </conditionalFormatting>
  <conditionalFormatting sqref="N36">
    <cfRule type="cellIs" dxfId="614" priority="201857" stopIfTrue="1" operator="equal">
      <formula>"cumple"</formula>
    </cfRule>
    <cfRule type="containsText" dxfId="613" priority="201858" stopIfTrue="1" operator="containsText" text="NO CUMPLE">
      <formula>NOT(ISERROR(SEARCH("NO CUMPLE",N36)))</formula>
    </cfRule>
  </conditionalFormatting>
  <conditionalFormatting sqref="O27">
    <cfRule type="cellIs" dxfId="612" priority="128911" stopIfTrue="1" operator="equal">
      <formula>"cumple"</formula>
    </cfRule>
    <cfRule type="containsText" dxfId="611" priority="128912" stopIfTrue="1" operator="containsText" text="NO CUMPLE">
      <formula>NOT(ISERROR(SEARCH("NO CUMPLE",O27)))</formula>
    </cfRule>
  </conditionalFormatting>
  <conditionalFormatting sqref="O30:O35">
    <cfRule type="cellIs" dxfId="610" priority="128909" stopIfTrue="1" operator="equal">
      <formula>"cumple"</formula>
    </cfRule>
    <cfRule type="containsText" dxfId="609" priority="128910" stopIfTrue="1" operator="containsText" text="NO CUMPLE">
      <formula>NOT(ISERROR(SEARCH("NO CUMPLE",O30)))</formula>
    </cfRule>
  </conditionalFormatting>
  <conditionalFormatting sqref="O36">
    <cfRule type="cellIs" dxfId="608" priority="128907" stopIfTrue="1" operator="equal">
      <formula>"cumple"</formula>
    </cfRule>
    <cfRule type="containsText" dxfId="607" priority="128908" stopIfTrue="1" operator="containsText" text="NO CUMPLE">
      <formula>NOT(ISERROR(SEARCH("NO CUMPLE",O36)))</formula>
    </cfRule>
  </conditionalFormatting>
  <conditionalFormatting sqref="P36">
    <cfRule type="cellIs" dxfId="606" priority="853" stopIfTrue="1" operator="equal">
      <formula>"cumple"</formula>
    </cfRule>
    <cfRule type="containsText" dxfId="605" priority="854" stopIfTrue="1" operator="containsText" text="NO CUMPLE">
      <formula>NOT(ISERROR(SEARCH("NO CUMPLE",P36)))</formula>
    </cfRule>
  </conditionalFormatting>
  <conditionalFormatting sqref="P30:P35">
    <cfRule type="cellIs" dxfId="604" priority="838" stopIfTrue="1" operator="equal">
      <formula>"cumple"</formula>
    </cfRule>
    <cfRule type="containsText" dxfId="603" priority="839" stopIfTrue="1" operator="containsText" text="NO CUMPLE">
      <formula>NOT(ISERROR(SEARCH("NO CUMPLE",P30)))</formula>
    </cfRule>
  </conditionalFormatting>
  <conditionalFormatting sqref="X20:Y21">
    <cfRule type="cellIs" dxfId="602" priority="822" stopIfTrue="1" operator="greaterThan">
      <formula>0</formula>
    </cfRule>
  </conditionalFormatting>
  <conditionalFormatting sqref="X20:Y21">
    <cfRule type="cellIs" dxfId="601" priority="820" operator="equal">
      <formula>"NO CUMPLE"</formula>
    </cfRule>
    <cfRule type="cellIs" dxfId="600" priority="821" operator="equal">
      <formula>"CUMPLE"</formula>
    </cfRule>
  </conditionalFormatting>
  <conditionalFormatting sqref="X23">
    <cfRule type="cellIs" dxfId="599" priority="796" stopIfTrue="1" operator="equal">
      <formula>"VERIFICAR"</formula>
    </cfRule>
    <cfRule type="cellIs" dxfId="598" priority="797" stopIfTrue="1" operator="equal">
      <formula>"NO CUMPLE"</formula>
    </cfRule>
    <cfRule type="cellIs" dxfId="597" priority="798" stopIfTrue="1" operator="equal">
      <formula>"CUMPLE"</formula>
    </cfRule>
  </conditionalFormatting>
  <conditionalFormatting sqref="Y23">
    <cfRule type="cellIs" dxfId="596" priority="793" stopIfTrue="1" operator="equal">
      <formula>"VERIFICAR"</formula>
    </cfRule>
    <cfRule type="cellIs" dxfId="595" priority="794" stopIfTrue="1" operator="equal">
      <formula>"NO CUMPLE"</formula>
    </cfRule>
    <cfRule type="cellIs" dxfId="594" priority="795" stopIfTrue="1" operator="equal">
      <formula>"CUMPLE"</formula>
    </cfRule>
  </conditionalFormatting>
  <conditionalFormatting sqref="M43:N44 P43:Q44">
    <cfRule type="cellIs" dxfId="593" priority="792" stopIfTrue="1" operator="lessThan">
      <formula>0</formula>
    </cfRule>
  </conditionalFormatting>
  <conditionalFormatting sqref="S43:T44 B43:C44 F43:H44 J43:N44 P43:Q44">
    <cfRule type="cellIs" dxfId="592" priority="791" stopIfTrue="1" operator="greaterThan">
      <formula>0</formula>
    </cfRule>
  </conditionalFormatting>
  <conditionalFormatting sqref="Q44">
    <cfRule type="cellIs" dxfId="591" priority="790" stopIfTrue="1" operator="lessThan">
      <formula>0</formula>
    </cfRule>
  </conditionalFormatting>
  <conditionalFormatting sqref="O43:O44">
    <cfRule type="cellIs" dxfId="590" priority="789" stopIfTrue="1" operator="greaterThan">
      <formula>0</formula>
    </cfRule>
  </conditionalFormatting>
  <conditionalFormatting sqref="R44">
    <cfRule type="cellIs" dxfId="589" priority="784" stopIfTrue="1" operator="lessThan">
      <formula>0</formula>
    </cfRule>
  </conditionalFormatting>
  <conditionalFormatting sqref="R43:R44">
    <cfRule type="cellIs" dxfId="588" priority="783" stopIfTrue="1" operator="greaterThan">
      <formula>0</formula>
    </cfRule>
  </conditionalFormatting>
  <conditionalFormatting sqref="R43:R44">
    <cfRule type="cellIs" dxfId="587" priority="782" stopIfTrue="1" operator="lessThan">
      <formula>0</formula>
    </cfRule>
  </conditionalFormatting>
  <conditionalFormatting sqref="B49 X59:Y59">
    <cfRule type="cellIs" dxfId="586" priority="780" stopIfTrue="1" operator="equal">
      <formula>"cumple"</formula>
    </cfRule>
    <cfRule type="containsText" dxfId="585" priority="781" stopIfTrue="1" operator="containsText" text="NO CUMPLE">
      <formula>NOT(ISERROR(SEARCH("NO CUMPLE",B49)))</formula>
    </cfRule>
  </conditionalFormatting>
  <conditionalFormatting sqref="B50">
    <cfRule type="cellIs" dxfId="584" priority="778" stopIfTrue="1" operator="equal">
      <formula>"cumple"</formula>
    </cfRule>
    <cfRule type="containsText" dxfId="583" priority="779" stopIfTrue="1" operator="containsText" text="NO CUMPLE">
      <formula>NOT(ISERROR(SEARCH("NO CUMPLE",B50)))</formula>
    </cfRule>
  </conditionalFormatting>
  <conditionalFormatting sqref="B51">
    <cfRule type="cellIs" dxfId="582" priority="776" stopIfTrue="1" operator="equal">
      <formula>"cumple"</formula>
    </cfRule>
    <cfRule type="containsText" dxfId="581" priority="777" stopIfTrue="1" operator="containsText" text="NO CUMPLE">
      <formula>NOT(ISERROR(SEARCH("NO CUMPLE",B51)))</formula>
    </cfRule>
  </conditionalFormatting>
  <conditionalFormatting sqref="B53">
    <cfRule type="cellIs" dxfId="580" priority="774" stopIfTrue="1" operator="equal">
      <formula>"cumple"</formula>
    </cfRule>
    <cfRule type="containsText" dxfId="579" priority="775" stopIfTrue="1" operator="containsText" text="NO CUMPLE">
      <formula>NOT(ISERROR(SEARCH("NO CUMPLE",B53)))</formula>
    </cfRule>
  </conditionalFormatting>
  <conditionalFormatting sqref="B54">
    <cfRule type="cellIs" dxfId="578" priority="772" stopIfTrue="1" operator="equal">
      <formula>"cumple"</formula>
    </cfRule>
    <cfRule type="containsText" dxfId="577" priority="773" stopIfTrue="1" operator="containsText" text="NO CUMPLE">
      <formula>NOT(ISERROR(SEARCH("NO CUMPLE",B54)))</formula>
    </cfRule>
  </conditionalFormatting>
  <conditionalFormatting sqref="F51">
    <cfRule type="cellIs" dxfId="576" priority="770" stopIfTrue="1" operator="equal">
      <formula>"cumple"</formula>
    </cfRule>
    <cfRule type="containsText" dxfId="575" priority="771" stopIfTrue="1" operator="containsText" text="NO CUMPLE">
      <formula>NOT(ISERROR(SEARCH("NO CUMPLE",F51)))</formula>
    </cfRule>
  </conditionalFormatting>
  <conditionalFormatting sqref="E54:F54">
    <cfRule type="cellIs" dxfId="574" priority="768" stopIfTrue="1" operator="equal">
      <formula>"cumple"</formula>
    </cfRule>
    <cfRule type="containsText" dxfId="573" priority="769" stopIfTrue="1" operator="containsText" text="NO CUMPLE">
      <formula>NOT(ISERROR(SEARCH("NO CUMPLE",E54)))</formula>
    </cfRule>
  </conditionalFormatting>
  <conditionalFormatting sqref="G54">
    <cfRule type="cellIs" dxfId="572" priority="766" stopIfTrue="1" operator="equal">
      <formula>"cumple"</formula>
    </cfRule>
    <cfRule type="containsText" dxfId="571" priority="767" stopIfTrue="1" operator="containsText" text="NO CUMPLE">
      <formula>NOT(ISERROR(SEARCH("NO CUMPLE",G54)))</formula>
    </cfRule>
  </conditionalFormatting>
  <conditionalFormatting sqref="G55">
    <cfRule type="cellIs" dxfId="570" priority="764" stopIfTrue="1" operator="equal">
      <formula>"cumple"</formula>
    </cfRule>
    <cfRule type="containsText" dxfId="569" priority="765" stopIfTrue="1" operator="containsText" text="NO CUMPLE">
      <formula>NOT(ISERROR(SEARCH("NO CUMPLE",G55)))</formula>
    </cfRule>
  </conditionalFormatting>
  <conditionalFormatting sqref="H49">
    <cfRule type="cellIs" dxfId="568" priority="762" stopIfTrue="1" operator="equal">
      <formula>"cumple"</formula>
    </cfRule>
    <cfRule type="containsText" dxfId="567" priority="763" stopIfTrue="1" operator="containsText" text="NO CUMPLE">
      <formula>NOT(ISERROR(SEARCH("NO CUMPLE",H49)))</formula>
    </cfRule>
  </conditionalFormatting>
  <conditionalFormatting sqref="M50">
    <cfRule type="cellIs" dxfId="566" priority="760" stopIfTrue="1" operator="equal">
      <formula>"cumple"</formula>
    </cfRule>
    <cfRule type="containsText" dxfId="565" priority="761" stopIfTrue="1" operator="containsText" text="NO CUMPLE">
      <formula>NOT(ISERROR(SEARCH("NO CUMPLE",M50)))</formula>
    </cfRule>
  </conditionalFormatting>
  <conditionalFormatting sqref="J51:J52">
    <cfRule type="cellIs" dxfId="564" priority="758" stopIfTrue="1" operator="equal">
      <formula>"cumple"</formula>
    </cfRule>
    <cfRule type="containsText" dxfId="563" priority="759" stopIfTrue="1" operator="containsText" text="NO CUMPLE">
      <formula>NOT(ISERROR(SEARCH("NO CUMPLE",J51)))</formula>
    </cfRule>
  </conditionalFormatting>
  <conditionalFormatting sqref="K51:K52">
    <cfRule type="cellIs" dxfId="562" priority="756" stopIfTrue="1" operator="equal">
      <formula>"cumple"</formula>
    </cfRule>
    <cfRule type="containsText" dxfId="561" priority="757" stopIfTrue="1" operator="containsText" text="NO CUMPLE">
      <formula>NOT(ISERROR(SEARCH("NO CUMPLE",K51)))</formula>
    </cfRule>
  </conditionalFormatting>
  <conditionalFormatting sqref="L51:L52">
    <cfRule type="cellIs" dxfId="560" priority="754" stopIfTrue="1" operator="equal">
      <formula>"cumple"</formula>
    </cfRule>
    <cfRule type="containsText" dxfId="559" priority="755" stopIfTrue="1" operator="containsText" text="NO CUMPLE">
      <formula>NOT(ISERROR(SEARCH("NO CUMPLE",L51)))</formula>
    </cfRule>
  </conditionalFormatting>
  <conditionalFormatting sqref="L53:L58">
    <cfRule type="cellIs" dxfId="558" priority="752" stopIfTrue="1" operator="equal">
      <formula>"cumple"</formula>
    </cfRule>
    <cfRule type="containsText" dxfId="557" priority="753" stopIfTrue="1" operator="containsText" text="NO CUMPLE">
      <formula>NOT(ISERROR(SEARCH("NO CUMPLE",L53)))</formula>
    </cfRule>
  </conditionalFormatting>
  <conditionalFormatting sqref="M53">
    <cfRule type="cellIs" dxfId="556" priority="750" stopIfTrue="1" operator="equal">
      <formula>"cumple"</formula>
    </cfRule>
    <cfRule type="containsText" dxfId="555" priority="751" stopIfTrue="1" operator="containsText" text="NO CUMPLE">
      <formula>NOT(ISERROR(SEARCH("NO CUMPLE",M53)))</formula>
    </cfRule>
  </conditionalFormatting>
  <conditionalFormatting sqref="M54:M58">
    <cfRule type="cellIs" dxfId="554" priority="748" stopIfTrue="1" operator="equal">
      <formula>"cumple"</formula>
    </cfRule>
    <cfRule type="containsText" dxfId="553" priority="749" stopIfTrue="1" operator="containsText" text="NO CUMPLE">
      <formula>NOT(ISERROR(SEARCH("NO CUMPLE",M54)))</formula>
    </cfRule>
  </conditionalFormatting>
  <conditionalFormatting sqref="M59">
    <cfRule type="cellIs" dxfId="552" priority="746" stopIfTrue="1" operator="equal">
      <formula>"cumple"</formula>
    </cfRule>
    <cfRule type="containsText" dxfId="551" priority="747" stopIfTrue="1" operator="containsText" text="NO CUMPLE">
      <formula>NOT(ISERROR(SEARCH("NO CUMPLE",M59)))</formula>
    </cfRule>
  </conditionalFormatting>
  <conditionalFormatting sqref="H59">
    <cfRule type="cellIs" dxfId="550" priority="744" stopIfTrue="1" operator="equal">
      <formula>"cumple"</formula>
    </cfRule>
    <cfRule type="containsText" dxfId="549" priority="745" stopIfTrue="1" operator="containsText" text="NO CUMPLE">
      <formula>NOT(ISERROR(SEARCH("NO CUMPLE",H59)))</formula>
    </cfRule>
  </conditionalFormatting>
  <conditionalFormatting sqref="V43:V44">
    <cfRule type="cellIs" dxfId="548" priority="743" stopIfTrue="1" operator="greaterThan">
      <formula>0</formula>
    </cfRule>
  </conditionalFormatting>
  <conditionalFormatting sqref="W43:W44">
    <cfRule type="cellIs" dxfId="547" priority="737" stopIfTrue="1" operator="equal">
      <formula>"NO"</formula>
    </cfRule>
    <cfRule type="cellIs" dxfId="546" priority="738" stopIfTrue="1" operator="equal">
      <formula>"SI"</formula>
    </cfRule>
  </conditionalFormatting>
  <conditionalFormatting sqref="B56">
    <cfRule type="cellIs" dxfId="545" priority="735" stopIfTrue="1" operator="equal">
      <formula>"cumple"</formula>
    </cfRule>
    <cfRule type="containsText" dxfId="544" priority="736" stopIfTrue="1" operator="containsText" text="NO CUMPLE">
      <formula>NOT(ISERROR(SEARCH("NO CUMPLE",B56)))</formula>
    </cfRule>
  </conditionalFormatting>
  <conditionalFormatting sqref="B57">
    <cfRule type="cellIs" dxfId="543" priority="733" stopIfTrue="1" operator="equal">
      <formula>"cumple"</formula>
    </cfRule>
    <cfRule type="containsText" dxfId="542" priority="734" stopIfTrue="1" operator="containsText" text="NO CUMPLE">
      <formula>NOT(ISERROR(SEARCH("NO CUMPLE",B57)))</formula>
    </cfRule>
  </conditionalFormatting>
  <conditionalFormatting sqref="G57">
    <cfRule type="cellIs" dxfId="541" priority="731" stopIfTrue="1" operator="equal">
      <formula>"cumple"</formula>
    </cfRule>
    <cfRule type="containsText" dxfId="540" priority="732" stopIfTrue="1" operator="containsText" text="NO CUMPLE">
      <formula>NOT(ISERROR(SEARCH("NO CUMPLE",G57)))</formula>
    </cfRule>
  </conditionalFormatting>
  <conditionalFormatting sqref="G58">
    <cfRule type="cellIs" dxfId="539" priority="729" stopIfTrue="1" operator="equal">
      <formula>"cumple"</formula>
    </cfRule>
    <cfRule type="containsText" dxfId="538" priority="730" stopIfTrue="1" operator="containsText" text="NO CUMPLE">
      <formula>NOT(ISERROR(SEARCH("NO CUMPLE",G58)))</formula>
    </cfRule>
  </conditionalFormatting>
  <conditionalFormatting sqref="E51:E52">
    <cfRule type="cellIs" dxfId="537" priority="727" operator="greaterThan">
      <formula>0</formula>
    </cfRule>
    <cfRule type="cellIs" dxfId="536" priority="728" operator="equal">
      <formula>0</formula>
    </cfRule>
  </conditionalFormatting>
  <conditionalFormatting sqref="E55">
    <cfRule type="cellIs" dxfId="535" priority="724" operator="equal">
      <formula>"NO APLICA"</formula>
    </cfRule>
  </conditionalFormatting>
  <conditionalFormatting sqref="N50">
    <cfRule type="cellIs" dxfId="534" priority="722" stopIfTrue="1" operator="equal">
      <formula>"cumple"</formula>
    </cfRule>
    <cfRule type="containsText" dxfId="533" priority="723" stopIfTrue="1" operator="containsText" text="NO CUMPLE">
      <formula>NOT(ISERROR(SEARCH("NO CUMPLE",N50)))</formula>
    </cfRule>
  </conditionalFormatting>
  <conditionalFormatting sqref="N53:N58">
    <cfRule type="cellIs" dxfId="532" priority="720" stopIfTrue="1" operator="equal">
      <formula>"cumple"</formula>
    </cfRule>
    <cfRule type="containsText" dxfId="531" priority="721" stopIfTrue="1" operator="containsText" text="NO CUMPLE">
      <formula>NOT(ISERROR(SEARCH("NO CUMPLE",N53)))</formula>
    </cfRule>
  </conditionalFormatting>
  <conditionalFormatting sqref="N59">
    <cfRule type="cellIs" dxfId="530" priority="718" stopIfTrue="1" operator="equal">
      <formula>"cumple"</formula>
    </cfRule>
    <cfRule type="containsText" dxfId="529" priority="719" stopIfTrue="1" operator="containsText" text="NO CUMPLE">
      <formula>NOT(ISERROR(SEARCH("NO CUMPLE",N59)))</formula>
    </cfRule>
  </conditionalFormatting>
  <conditionalFormatting sqref="O50">
    <cfRule type="cellIs" dxfId="528" priority="716" stopIfTrue="1" operator="equal">
      <formula>"cumple"</formula>
    </cfRule>
    <cfRule type="containsText" dxfId="527" priority="717" stopIfTrue="1" operator="containsText" text="NO CUMPLE">
      <formula>NOT(ISERROR(SEARCH("NO CUMPLE",O50)))</formula>
    </cfRule>
  </conditionalFormatting>
  <conditionalFormatting sqref="O53:O58">
    <cfRule type="cellIs" dxfId="526" priority="714" stopIfTrue="1" operator="equal">
      <formula>"cumple"</formula>
    </cfRule>
    <cfRule type="containsText" dxfId="525" priority="715" stopIfTrue="1" operator="containsText" text="NO CUMPLE">
      <formula>NOT(ISERROR(SEARCH("NO CUMPLE",O53)))</formula>
    </cfRule>
  </conditionalFormatting>
  <conditionalFormatting sqref="O59">
    <cfRule type="cellIs" dxfId="524" priority="712" stopIfTrue="1" operator="equal">
      <formula>"cumple"</formula>
    </cfRule>
    <cfRule type="containsText" dxfId="523" priority="713" stopIfTrue="1" operator="containsText" text="NO CUMPLE">
      <formula>NOT(ISERROR(SEARCH("NO CUMPLE",O59)))</formula>
    </cfRule>
  </conditionalFormatting>
  <conditionalFormatting sqref="P59">
    <cfRule type="cellIs" dxfId="522" priority="710" stopIfTrue="1" operator="equal">
      <formula>"cumple"</formula>
    </cfRule>
    <cfRule type="containsText" dxfId="521" priority="711" stopIfTrue="1" operator="containsText" text="NO CUMPLE">
      <formula>NOT(ISERROR(SEARCH("NO CUMPLE",P59)))</formula>
    </cfRule>
  </conditionalFormatting>
  <conditionalFormatting sqref="P53:P58">
    <cfRule type="cellIs" dxfId="520" priority="708" stopIfTrue="1" operator="equal">
      <formula>"cumple"</formula>
    </cfRule>
    <cfRule type="containsText" dxfId="519" priority="709" stopIfTrue="1" operator="containsText" text="NO CUMPLE">
      <formula>NOT(ISERROR(SEARCH("NO CUMPLE",P53)))</formula>
    </cfRule>
  </conditionalFormatting>
  <conditionalFormatting sqref="X43:Y44">
    <cfRule type="cellIs" dxfId="518" priority="707" stopIfTrue="1" operator="greaterThan">
      <formula>0</formula>
    </cfRule>
  </conditionalFormatting>
  <conditionalFormatting sqref="X43:Y44">
    <cfRule type="cellIs" dxfId="517" priority="705" operator="equal">
      <formula>"NO CUMPLE"</formula>
    </cfRule>
    <cfRule type="cellIs" dxfId="516" priority="706" operator="equal">
      <formula>"CUMPLE"</formula>
    </cfRule>
  </conditionalFormatting>
  <conditionalFormatting sqref="X46">
    <cfRule type="cellIs" dxfId="515" priority="702" stopIfTrue="1" operator="equal">
      <formula>"VERIFICAR"</formula>
    </cfRule>
    <cfRule type="cellIs" dxfId="514" priority="703" stopIfTrue="1" operator="equal">
      <formula>"NO CUMPLE"</formula>
    </cfRule>
    <cfRule type="cellIs" dxfId="513" priority="704" stopIfTrue="1" operator="equal">
      <formula>"CUMPLE"</formula>
    </cfRule>
  </conditionalFormatting>
  <conditionalFormatting sqref="Y46">
    <cfRule type="cellIs" dxfId="512" priority="699" stopIfTrue="1" operator="equal">
      <formula>"VERIFICAR"</formula>
    </cfRule>
    <cfRule type="cellIs" dxfId="511" priority="700" stopIfTrue="1" operator="equal">
      <formula>"NO CUMPLE"</formula>
    </cfRule>
    <cfRule type="cellIs" dxfId="510" priority="701" stopIfTrue="1" operator="equal">
      <formula>"CUMPLE"</formula>
    </cfRule>
  </conditionalFormatting>
  <conditionalFormatting sqref="G51">
    <cfRule type="cellIs" dxfId="509" priority="602" stopIfTrue="1" operator="notBetween">
      <formula>"N/A"</formula>
      <formula>"REVISAR"</formula>
    </cfRule>
  </conditionalFormatting>
  <conditionalFormatting sqref="G51:G52">
    <cfRule type="cellIs" dxfId="508" priority="601" operator="equal">
      <formula>"REVISAR"</formula>
    </cfRule>
  </conditionalFormatting>
  <conditionalFormatting sqref="C20:C21">
    <cfRule type="cellIs" dxfId="507" priority="599" stopIfTrue="1" operator="greaterThan">
      <formula>0</formula>
    </cfRule>
  </conditionalFormatting>
  <conditionalFormatting sqref="D43:D44">
    <cfRule type="cellIs" dxfId="506" priority="598" stopIfTrue="1" operator="greaterThan">
      <formula>0</formula>
    </cfRule>
  </conditionalFormatting>
  <conditionalFormatting sqref="E43:E44">
    <cfRule type="cellIs" dxfId="505" priority="597" stopIfTrue="1" operator="greaterThan">
      <formula>0</formula>
    </cfRule>
  </conditionalFormatting>
  <conditionalFormatting sqref="M66:N68 P66:Q68">
    <cfRule type="cellIs" dxfId="504" priority="584" stopIfTrue="1" operator="lessThan">
      <formula>0</formula>
    </cfRule>
  </conditionalFormatting>
  <conditionalFormatting sqref="S67:S68 S66:T66 B66:C68 T67 F66:N68 P66:Q68">
    <cfRule type="cellIs" dxfId="503" priority="583" stopIfTrue="1" operator="greaterThan">
      <formula>0</formula>
    </cfRule>
  </conditionalFormatting>
  <conditionalFormatting sqref="Q67:Q68">
    <cfRule type="cellIs" dxfId="502" priority="582" stopIfTrue="1" operator="lessThan">
      <formula>0</formula>
    </cfRule>
  </conditionalFormatting>
  <conditionalFormatting sqref="O66:O68">
    <cfRule type="cellIs" dxfId="501" priority="581" stopIfTrue="1" operator="greaterThan">
      <formula>0</formula>
    </cfRule>
  </conditionalFormatting>
  <conditionalFormatting sqref="T68">
    <cfRule type="cellIs" dxfId="500" priority="580" stopIfTrue="1" operator="greaterThan">
      <formula>0</formula>
    </cfRule>
  </conditionalFormatting>
  <conditionalFormatting sqref="R67:R68">
    <cfRule type="cellIs" dxfId="499" priority="576" stopIfTrue="1" operator="lessThan">
      <formula>0</formula>
    </cfRule>
  </conditionalFormatting>
  <conditionalFormatting sqref="R66:R68">
    <cfRule type="cellIs" dxfId="498" priority="575" stopIfTrue="1" operator="greaterThan">
      <formula>0</formula>
    </cfRule>
  </conditionalFormatting>
  <conditionalFormatting sqref="R66:R68">
    <cfRule type="cellIs" dxfId="497" priority="574" stopIfTrue="1" operator="lessThan">
      <formula>0</formula>
    </cfRule>
  </conditionalFormatting>
  <conditionalFormatting sqref="B73 X83:Y83">
    <cfRule type="cellIs" dxfId="496" priority="572" stopIfTrue="1" operator="equal">
      <formula>"cumple"</formula>
    </cfRule>
    <cfRule type="containsText" dxfId="495" priority="573" stopIfTrue="1" operator="containsText" text="NO CUMPLE">
      <formula>NOT(ISERROR(SEARCH("NO CUMPLE",B73)))</formula>
    </cfRule>
  </conditionalFormatting>
  <conditionalFormatting sqref="B74">
    <cfRule type="cellIs" dxfId="494" priority="570" stopIfTrue="1" operator="equal">
      <formula>"cumple"</formula>
    </cfRule>
    <cfRule type="containsText" dxfId="493" priority="571" stopIfTrue="1" operator="containsText" text="NO CUMPLE">
      <formula>NOT(ISERROR(SEARCH("NO CUMPLE",B74)))</formula>
    </cfRule>
  </conditionalFormatting>
  <conditionalFormatting sqref="B75">
    <cfRule type="cellIs" dxfId="492" priority="568" stopIfTrue="1" operator="equal">
      <formula>"cumple"</formula>
    </cfRule>
    <cfRule type="containsText" dxfId="491" priority="569" stopIfTrue="1" operator="containsText" text="NO CUMPLE">
      <formula>NOT(ISERROR(SEARCH("NO CUMPLE",B75)))</formula>
    </cfRule>
  </conditionalFormatting>
  <conditionalFormatting sqref="B77">
    <cfRule type="cellIs" dxfId="490" priority="566" stopIfTrue="1" operator="equal">
      <formula>"cumple"</formula>
    </cfRule>
    <cfRule type="containsText" dxfId="489" priority="567" stopIfTrue="1" operator="containsText" text="NO CUMPLE">
      <formula>NOT(ISERROR(SEARCH("NO CUMPLE",B77)))</formula>
    </cfRule>
  </conditionalFormatting>
  <conditionalFormatting sqref="B78">
    <cfRule type="cellIs" dxfId="488" priority="564" stopIfTrue="1" operator="equal">
      <formula>"cumple"</formula>
    </cfRule>
    <cfRule type="containsText" dxfId="487" priority="565" stopIfTrue="1" operator="containsText" text="NO CUMPLE">
      <formula>NOT(ISERROR(SEARCH("NO CUMPLE",B78)))</formula>
    </cfRule>
  </conditionalFormatting>
  <conditionalFormatting sqref="F75">
    <cfRule type="cellIs" dxfId="486" priority="562" stopIfTrue="1" operator="equal">
      <formula>"cumple"</formula>
    </cfRule>
    <cfRule type="containsText" dxfId="485" priority="563" stopIfTrue="1" operator="containsText" text="NO CUMPLE">
      <formula>NOT(ISERROR(SEARCH("NO CUMPLE",F75)))</formula>
    </cfRule>
  </conditionalFormatting>
  <conditionalFormatting sqref="E78:F78">
    <cfRule type="cellIs" dxfId="484" priority="560" stopIfTrue="1" operator="equal">
      <formula>"cumple"</formula>
    </cfRule>
    <cfRule type="containsText" dxfId="483" priority="561" stopIfTrue="1" operator="containsText" text="NO CUMPLE">
      <formula>NOT(ISERROR(SEARCH("NO CUMPLE",E78)))</formula>
    </cfRule>
  </conditionalFormatting>
  <conditionalFormatting sqref="G78">
    <cfRule type="cellIs" dxfId="482" priority="558" stopIfTrue="1" operator="equal">
      <formula>"cumple"</formula>
    </cfRule>
    <cfRule type="containsText" dxfId="481" priority="559" stopIfTrue="1" operator="containsText" text="NO CUMPLE">
      <formula>NOT(ISERROR(SEARCH("NO CUMPLE",G78)))</formula>
    </cfRule>
  </conditionalFormatting>
  <conditionalFormatting sqref="G79">
    <cfRule type="cellIs" dxfId="480" priority="556" stopIfTrue="1" operator="equal">
      <formula>"cumple"</formula>
    </cfRule>
    <cfRule type="containsText" dxfId="479" priority="557" stopIfTrue="1" operator="containsText" text="NO CUMPLE">
      <formula>NOT(ISERROR(SEARCH("NO CUMPLE",G79)))</formula>
    </cfRule>
  </conditionalFormatting>
  <conditionalFormatting sqref="H73">
    <cfRule type="cellIs" dxfId="478" priority="554" stopIfTrue="1" operator="equal">
      <formula>"cumple"</formula>
    </cfRule>
    <cfRule type="containsText" dxfId="477" priority="555" stopIfTrue="1" operator="containsText" text="NO CUMPLE">
      <formula>NOT(ISERROR(SEARCH("NO CUMPLE",H73)))</formula>
    </cfRule>
  </conditionalFormatting>
  <conditionalFormatting sqref="M74">
    <cfRule type="cellIs" dxfId="476" priority="552" stopIfTrue="1" operator="equal">
      <formula>"cumple"</formula>
    </cfRule>
    <cfRule type="containsText" dxfId="475" priority="553" stopIfTrue="1" operator="containsText" text="NO CUMPLE">
      <formula>NOT(ISERROR(SEARCH("NO CUMPLE",M74)))</formula>
    </cfRule>
  </conditionalFormatting>
  <conditionalFormatting sqref="J75:J76">
    <cfRule type="cellIs" dxfId="474" priority="550" stopIfTrue="1" operator="equal">
      <formula>"cumple"</formula>
    </cfRule>
    <cfRule type="containsText" dxfId="473" priority="551" stopIfTrue="1" operator="containsText" text="NO CUMPLE">
      <formula>NOT(ISERROR(SEARCH("NO CUMPLE",J75)))</formula>
    </cfRule>
  </conditionalFormatting>
  <conditionalFormatting sqref="K75:K76">
    <cfRule type="cellIs" dxfId="472" priority="548" stopIfTrue="1" operator="equal">
      <formula>"cumple"</formula>
    </cfRule>
    <cfRule type="containsText" dxfId="471" priority="549" stopIfTrue="1" operator="containsText" text="NO CUMPLE">
      <formula>NOT(ISERROR(SEARCH("NO CUMPLE",K75)))</formula>
    </cfRule>
  </conditionalFormatting>
  <conditionalFormatting sqref="L75:L76">
    <cfRule type="cellIs" dxfId="470" priority="546" stopIfTrue="1" operator="equal">
      <formula>"cumple"</formula>
    </cfRule>
    <cfRule type="containsText" dxfId="469" priority="547" stopIfTrue="1" operator="containsText" text="NO CUMPLE">
      <formula>NOT(ISERROR(SEARCH("NO CUMPLE",L75)))</formula>
    </cfRule>
  </conditionalFormatting>
  <conditionalFormatting sqref="L77:L82">
    <cfRule type="cellIs" dxfId="468" priority="544" stopIfTrue="1" operator="equal">
      <formula>"cumple"</formula>
    </cfRule>
    <cfRule type="containsText" dxfId="467" priority="545" stopIfTrue="1" operator="containsText" text="NO CUMPLE">
      <formula>NOT(ISERROR(SEARCH("NO CUMPLE",L77)))</formula>
    </cfRule>
  </conditionalFormatting>
  <conditionalFormatting sqref="M77">
    <cfRule type="cellIs" dxfId="466" priority="542" stopIfTrue="1" operator="equal">
      <formula>"cumple"</formula>
    </cfRule>
    <cfRule type="containsText" dxfId="465" priority="543" stopIfTrue="1" operator="containsText" text="NO CUMPLE">
      <formula>NOT(ISERROR(SEARCH("NO CUMPLE",M77)))</formula>
    </cfRule>
  </conditionalFormatting>
  <conditionalFormatting sqref="M78:M82">
    <cfRule type="cellIs" dxfId="464" priority="540" stopIfTrue="1" operator="equal">
      <formula>"cumple"</formula>
    </cfRule>
    <cfRule type="containsText" dxfId="463" priority="541" stopIfTrue="1" operator="containsText" text="NO CUMPLE">
      <formula>NOT(ISERROR(SEARCH("NO CUMPLE",M78)))</formula>
    </cfRule>
  </conditionalFormatting>
  <conditionalFormatting sqref="M83">
    <cfRule type="cellIs" dxfId="462" priority="538" stopIfTrue="1" operator="equal">
      <formula>"cumple"</formula>
    </cfRule>
    <cfRule type="containsText" dxfId="461" priority="539" stopIfTrue="1" operator="containsText" text="NO CUMPLE">
      <formula>NOT(ISERROR(SEARCH("NO CUMPLE",M83)))</formula>
    </cfRule>
  </conditionalFormatting>
  <conditionalFormatting sqref="H83">
    <cfRule type="cellIs" dxfId="460" priority="536" stopIfTrue="1" operator="equal">
      <formula>"cumple"</formula>
    </cfRule>
    <cfRule type="containsText" dxfId="459" priority="537" stopIfTrue="1" operator="containsText" text="NO CUMPLE">
      <formula>NOT(ISERROR(SEARCH("NO CUMPLE",H83)))</formula>
    </cfRule>
  </conditionalFormatting>
  <conditionalFormatting sqref="V66:V67">
    <cfRule type="cellIs" dxfId="458" priority="535" stopIfTrue="1" operator="greaterThan">
      <formula>0</formula>
    </cfRule>
  </conditionalFormatting>
  <conditionalFormatting sqref="V68">
    <cfRule type="cellIs" dxfId="457" priority="534" stopIfTrue="1" operator="greaterThan">
      <formula>0</formula>
    </cfRule>
  </conditionalFormatting>
  <conditionalFormatting sqref="W66:W68">
    <cfRule type="cellIs" dxfId="456" priority="529" stopIfTrue="1" operator="equal">
      <formula>"NO"</formula>
    </cfRule>
    <cfRule type="cellIs" dxfId="455" priority="530" stopIfTrue="1" operator="equal">
      <formula>"SI"</formula>
    </cfRule>
  </conditionalFormatting>
  <conditionalFormatting sqref="B80">
    <cfRule type="cellIs" dxfId="454" priority="527" stopIfTrue="1" operator="equal">
      <formula>"cumple"</formula>
    </cfRule>
    <cfRule type="containsText" dxfId="453" priority="528" stopIfTrue="1" operator="containsText" text="NO CUMPLE">
      <formula>NOT(ISERROR(SEARCH("NO CUMPLE",B80)))</formula>
    </cfRule>
  </conditionalFormatting>
  <conditionalFormatting sqref="B81">
    <cfRule type="cellIs" dxfId="452" priority="525" stopIfTrue="1" operator="equal">
      <formula>"cumple"</formula>
    </cfRule>
    <cfRule type="containsText" dxfId="451" priority="526" stopIfTrue="1" operator="containsText" text="NO CUMPLE">
      <formula>NOT(ISERROR(SEARCH("NO CUMPLE",B81)))</formula>
    </cfRule>
  </conditionalFormatting>
  <conditionalFormatting sqref="G81">
    <cfRule type="cellIs" dxfId="450" priority="523" stopIfTrue="1" operator="equal">
      <formula>"cumple"</formula>
    </cfRule>
    <cfRule type="containsText" dxfId="449" priority="524" stopIfTrue="1" operator="containsText" text="NO CUMPLE">
      <formula>NOT(ISERROR(SEARCH("NO CUMPLE",G81)))</formula>
    </cfRule>
  </conditionalFormatting>
  <conditionalFormatting sqref="G82">
    <cfRule type="cellIs" dxfId="448" priority="521" stopIfTrue="1" operator="equal">
      <formula>"cumple"</formula>
    </cfRule>
    <cfRule type="containsText" dxfId="447" priority="522" stopIfTrue="1" operator="containsText" text="NO CUMPLE">
      <formula>NOT(ISERROR(SEARCH("NO CUMPLE",G82)))</formula>
    </cfRule>
  </conditionalFormatting>
  <conditionalFormatting sqref="E75:E76">
    <cfRule type="cellIs" dxfId="446" priority="519" operator="greaterThan">
      <formula>0</formula>
    </cfRule>
    <cfRule type="cellIs" dxfId="445" priority="520" operator="equal">
      <formula>0</formula>
    </cfRule>
  </conditionalFormatting>
  <conditionalFormatting sqref="E79">
    <cfRule type="cellIs" dxfId="444" priority="518" operator="equal">
      <formula>"NO APLICA"</formula>
    </cfRule>
  </conditionalFormatting>
  <conditionalFormatting sqref="N74">
    <cfRule type="cellIs" dxfId="443" priority="516" stopIfTrue="1" operator="equal">
      <formula>"cumple"</formula>
    </cfRule>
    <cfRule type="containsText" dxfId="442" priority="517" stopIfTrue="1" operator="containsText" text="NO CUMPLE">
      <formula>NOT(ISERROR(SEARCH("NO CUMPLE",N74)))</formula>
    </cfRule>
  </conditionalFormatting>
  <conditionalFormatting sqref="N77:N82">
    <cfRule type="cellIs" dxfId="441" priority="514" stopIfTrue="1" operator="equal">
      <formula>"cumple"</formula>
    </cfRule>
    <cfRule type="containsText" dxfId="440" priority="515" stopIfTrue="1" operator="containsText" text="NO CUMPLE">
      <formula>NOT(ISERROR(SEARCH("NO CUMPLE",N77)))</formula>
    </cfRule>
  </conditionalFormatting>
  <conditionalFormatting sqref="N83">
    <cfRule type="cellIs" dxfId="439" priority="512" stopIfTrue="1" operator="equal">
      <formula>"cumple"</formula>
    </cfRule>
    <cfRule type="containsText" dxfId="438" priority="513" stopIfTrue="1" operator="containsText" text="NO CUMPLE">
      <formula>NOT(ISERROR(SEARCH("NO CUMPLE",N83)))</formula>
    </cfRule>
  </conditionalFormatting>
  <conditionalFormatting sqref="O74">
    <cfRule type="cellIs" dxfId="437" priority="510" stopIfTrue="1" operator="equal">
      <formula>"cumple"</formula>
    </cfRule>
    <cfRule type="containsText" dxfId="436" priority="511" stopIfTrue="1" operator="containsText" text="NO CUMPLE">
      <formula>NOT(ISERROR(SEARCH("NO CUMPLE",O74)))</formula>
    </cfRule>
  </conditionalFormatting>
  <conditionalFormatting sqref="O77:O82">
    <cfRule type="cellIs" dxfId="435" priority="508" stopIfTrue="1" operator="equal">
      <formula>"cumple"</formula>
    </cfRule>
    <cfRule type="containsText" dxfId="434" priority="509" stopIfTrue="1" operator="containsText" text="NO CUMPLE">
      <formula>NOT(ISERROR(SEARCH("NO CUMPLE",O77)))</formula>
    </cfRule>
  </conditionalFormatting>
  <conditionalFormatting sqref="O83">
    <cfRule type="cellIs" dxfId="433" priority="506" stopIfTrue="1" operator="equal">
      <formula>"cumple"</formula>
    </cfRule>
    <cfRule type="containsText" dxfId="432" priority="507" stopIfTrue="1" operator="containsText" text="NO CUMPLE">
      <formula>NOT(ISERROR(SEARCH("NO CUMPLE",O83)))</formula>
    </cfRule>
  </conditionalFormatting>
  <conditionalFormatting sqref="P83">
    <cfRule type="cellIs" dxfId="431" priority="504" stopIfTrue="1" operator="equal">
      <formula>"cumple"</formula>
    </cfRule>
    <cfRule type="containsText" dxfId="430" priority="505" stopIfTrue="1" operator="containsText" text="NO CUMPLE">
      <formula>NOT(ISERROR(SEARCH("NO CUMPLE",P83)))</formula>
    </cfRule>
  </conditionalFormatting>
  <conditionalFormatting sqref="P77:P82">
    <cfRule type="cellIs" dxfId="429" priority="502" stopIfTrue="1" operator="equal">
      <formula>"cumple"</formula>
    </cfRule>
    <cfRule type="containsText" dxfId="428" priority="503" stopIfTrue="1" operator="containsText" text="NO CUMPLE">
      <formula>NOT(ISERROR(SEARCH("NO CUMPLE",P77)))</formula>
    </cfRule>
  </conditionalFormatting>
  <conditionalFormatting sqref="X66:Y68">
    <cfRule type="cellIs" dxfId="427" priority="501" stopIfTrue="1" operator="greaterThan">
      <formula>0</formula>
    </cfRule>
  </conditionalFormatting>
  <conditionalFormatting sqref="X66:Y68">
    <cfRule type="cellIs" dxfId="426" priority="499" operator="equal">
      <formula>"NO CUMPLE"</formula>
    </cfRule>
    <cfRule type="cellIs" dxfId="425" priority="500" operator="equal">
      <formula>"CUMPLE"</formula>
    </cfRule>
  </conditionalFormatting>
  <conditionalFormatting sqref="X70">
    <cfRule type="cellIs" dxfId="424" priority="496" stopIfTrue="1" operator="equal">
      <formula>"VERIFICAR"</formula>
    </cfRule>
    <cfRule type="cellIs" dxfId="423" priority="497" stopIfTrue="1" operator="equal">
      <formula>"NO CUMPLE"</formula>
    </cfRule>
    <cfRule type="cellIs" dxfId="422" priority="498" stopIfTrue="1" operator="equal">
      <formula>"CUMPLE"</formula>
    </cfRule>
  </conditionalFormatting>
  <conditionalFormatting sqref="Y70">
    <cfRule type="cellIs" dxfId="421" priority="493" stopIfTrue="1" operator="equal">
      <formula>"VERIFICAR"</formula>
    </cfRule>
    <cfRule type="cellIs" dxfId="420" priority="494" stopIfTrue="1" operator="equal">
      <formula>"NO CUMPLE"</formula>
    </cfRule>
    <cfRule type="cellIs" dxfId="419" priority="495" stopIfTrue="1" operator="equal">
      <formula>"CUMPLE"</formula>
    </cfRule>
  </conditionalFormatting>
  <conditionalFormatting sqref="G75">
    <cfRule type="cellIs" dxfId="418" priority="492" stopIfTrue="1" operator="notBetween">
      <formula>"N/A"</formula>
      <formula>"REVISAR"</formula>
    </cfRule>
  </conditionalFormatting>
  <conditionalFormatting sqref="G75:G76">
    <cfRule type="cellIs" dxfId="417" priority="491" operator="equal">
      <formula>"REVISAR"</formula>
    </cfRule>
  </conditionalFormatting>
  <conditionalFormatting sqref="D66:D68">
    <cfRule type="cellIs" dxfId="416" priority="489" stopIfTrue="1" operator="greaterThan">
      <formula>0</formula>
    </cfRule>
  </conditionalFormatting>
  <conditionalFormatting sqref="E66:E68">
    <cfRule type="cellIs" dxfId="415" priority="488" stopIfTrue="1" operator="greaterThan">
      <formula>0</formula>
    </cfRule>
  </conditionalFormatting>
  <conditionalFormatting sqref="I43:I44">
    <cfRule type="cellIs" dxfId="414" priority="487" stopIfTrue="1" operator="greaterThan">
      <formula>0</formula>
    </cfRule>
  </conditionalFormatting>
  <conditionalFormatting sqref="M92:N97 P92:Q97">
    <cfRule type="cellIs" dxfId="413" priority="388" stopIfTrue="1" operator="lessThan">
      <formula>0</formula>
    </cfRule>
  </conditionalFormatting>
  <conditionalFormatting sqref="T93 S93:S97 S92:T92 F92:N92 B92:C94 B97:G97 B95:F96 F93:F94 G93:G96 H93:N97 P92:Q97">
    <cfRule type="cellIs" dxfId="412" priority="387" stopIfTrue="1" operator="greaterThan">
      <formula>0</formula>
    </cfRule>
  </conditionalFormatting>
  <conditionalFormatting sqref="Q93:Q97">
    <cfRule type="cellIs" dxfId="411" priority="386" stopIfTrue="1" operator="lessThan">
      <formula>0</formula>
    </cfRule>
  </conditionalFormatting>
  <conditionalFormatting sqref="O92:O97">
    <cfRule type="cellIs" dxfId="410" priority="385" stopIfTrue="1" operator="greaterThan">
      <formula>0</formula>
    </cfRule>
  </conditionalFormatting>
  <conditionalFormatting sqref="T94">
    <cfRule type="cellIs" dxfId="409" priority="384" stopIfTrue="1" operator="greaterThan">
      <formula>0</formula>
    </cfRule>
  </conditionalFormatting>
  <conditionalFormatting sqref="T95">
    <cfRule type="cellIs" dxfId="408" priority="383" stopIfTrue="1" operator="greaterThan">
      <formula>0</formula>
    </cfRule>
  </conditionalFormatting>
  <conditionalFormatting sqref="T96">
    <cfRule type="cellIs" dxfId="407" priority="382" stopIfTrue="1" operator="greaterThan">
      <formula>0</formula>
    </cfRule>
  </conditionalFormatting>
  <conditionalFormatting sqref="T97">
    <cfRule type="cellIs" dxfId="406" priority="381" stopIfTrue="1" operator="greaterThan">
      <formula>0</formula>
    </cfRule>
  </conditionalFormatting>
  <conditionalFormatting sqref="R93:R97">
    <cfRule type="cellIs" dxfId="405" priority="380" stopIfTrue="1" operator="lessThan">
      <formula>0</formula>
    </cfRule>
  </conditionalFormatting>
  <conditionalFormatting sqref="R92:R97">
    <cfRule type="cellIs" dxfId="404" priority="379" stopIfTrue="1" operator="greaterThan">
      <formula>0</formula>
    </cfRule>
  </conditionalFormatting>
  <conditionalFormatting sqref="R92:R97">
    <cfRule type="cellIs" dxfId="403" priority="378" stopIfTrue="1" operator="lessThan">
      <formula>0</formula>
    </cfRule>
  </conditionalFormatting>
  <conditionalFormatting sqref="B102 X112:Y112">
    <cfRule type="cellIs" dxfId="402" priority="376" stopIfTrue="1" operator="equal">
      <formula>"cumple"</formula>
    </cfRule>
    <cfRule type="containsText" dxfId="401" priority="377" stopIfTrue="1" operator="containsText" text="NO CUMPLE">
      <formula>NOT(ISERROR(SEARCH("NO CUMPLE",B102)))</formula>
    </cfRule>
  </conditionalFormatting>
  <conditionalFormatting sqref="B103">
    <cfRule type="cellIs" dxfId="400" priority="374" stopIfTrue="1" operator="equal">
      <formula>"cumple"</formula>
    </cfRule>
    <cfRule type="containsText" dxfId="399" priority="375" stopIfTrue="1" operator="containsText" text="NO CUMPLE">
      <formula>NOT(ISERROR(SEARCH("NO CUMPLE",B103)))</formula>
    </cfRule>
  </conditionalFormatting>
  <conditionalFormatting sqref="B104">
    <cfRule type="cellIs" dxfId="398" priority="372" stopIfTrue="1" operator="equal">
      <formula>"cumple"</formula>
    </cfRule>
    <cfRule type="containsText" dxfId="397" priority="373" stopIfTrue="1" operator="containsText" text="NO CUMPLE">
      <formula>NOT(ISERROR(SEARCH("NO CUMPLE",B104)))</formula>
    </cfRule>
  </conditionalFormatting>
  <conditionalFormatting sqref="B106">
    <cfRule type="cellIs" dxfId="396" priority="370" stopIfTrue="1" operator="equal">
      <formula>"cumple"</formula>
    </cfRule>
    <cfRule type="containsText" dxfId="395" priority="371" stopIfTrue="1" operator="containsText" text="NO CUMPLE">
      <formula>NOT(ISERROR(SEARCH("NO CUMPLE",B106)))</formula>
    </cfRule>
  </conditionalFormatting>
  <conditionalFormatting sqref="B107">
    <cfRule type="cellIs" dxfId="394" priority="368" stopIfTrue="1" operator="equal">
      <formula>"cumple"</formula>
    </cfRule>
    <cfRule type="containsText" dxfId="393" priority="369" stopIfTrue="1" operator="containsText" text="NO CUMPLE">
      <formula>NOT(ISERROR(SEARCH("NO CUMPLE",B107)))</formula>
    </cfRule>
  </conditionalFormatting>
  <conditionalFormatting sqref="F104">
    <cfRule type="cellIs" dxfId="392" priority="366" stopIfTrue="1" operator="equal">
      <formula>"cumple"</formula>
    </cfRule>
    <cfRule type="containsText" dxfId="391" priority="367" stopIfTrue="1" operator="containsText" text="NO CUMPLE">
      <formula>NOT(ISERROR(SEARCH("NO CUMPLE",F104)))</formula>
    </cfRule>
  </conditionalFormatting>
  <conditionalFormatting sqref="E107:F107">
    <cfRule type="cellIs" dxfId="390" priority="364" stopIfTrue="1" operator="equal">
      <formula>"cumple"</formula>
    </cfRule>
    <cfRule type="containsText" dxfId="389" priority="365" stopIfTrue="1" operator="containsText" text="NO CUMPLE">
      <formula>NOT(ISERROR(SEARCH("NO CUMPLE",E107)))</formula>
    </cfRule>
  </conditionalFormatting>
  <conditionalFormatting sqref="G107">
    <cfRule type="cellIs" dxfId="388" priority="362" stopIfTrue="1" operator="equal">
      <formula>"cumple"</formula>
    </cfRule>
    <cfRule type="containsText" dxfId="387" priority="363" stopIfTrue="1" operator="containsText" text="NO CUMPLE">
      <formula>NOT(ISERROR(SEARCH("NO CUMPLE",G107)))</formula>
    </cfRule>
  </conditionalFormatting>
  <conditionalFormatting sqref="G108">
    <cfRule type="cellIs" dxfId="386" priority="360" stopIfTrue="1" operator="equal">
      <formula>"cumple"</formula>
    </cfRule>
    <cfRule type="containsText" dxfId="385" priority="361" stopIfTrue="1" operator="containsText" text="NO CUMPLE">
      <formula>NOT(ISERROR(SEARCH("NO CUMPLE",G108)))</formula>
    </cfRule>
  </conditionalFormatting>
  <conditionalFormatting sqref="H102">
    <cfRule type="cellIs" dxfId="384" priority="358" stopIfTrue="1" operator="equal">
      <formula>"cumple"</formula>
    </cfRule>
    <cfRule type="containsText" dxfId="383" priority="359" stopIfTrue="1" operator="containsText" text="NO CUMPLE">
      <formula>NOT(ISERROR(SEARCH("NO CUMPLE",H102)))</formula>
    </cfRule>
  </conditionalFormatting>
  <conditionalFormatting sqref="M103">
    <cfRule type="cellIs" dxfId="382" priority="356" stopIfTrue="1" operator="equal">
      <formula>"cumple"</formula>
    </cfRule>
    <cfRule type="containsText" dxfId="381" priority="357" stopIfTrue="1" operator="containsText" text="NO CUMPLE">
      <formula>NOT(ISERROR(SEARCH("NO CUMPLE",M103)))</formula>
    </cfRule>
  </conditionalFormatting>
  <conditionalFormatting sqref="J104:J105">
    <cfRule type="cellIs" dxfId="380" priority="354" stopIfTrue="1" operator="equal">
      <formula>"cumple"</formula>
    </cfRule>
    <cfRule type="containsText" dxfId="379" priority="355" stopIfTrue="1" operator="containsText" text="NO CUMPLE">
      <formula>NOT(ISERROR(SEARCH("NO CUMPLE",J104)))</formula>
    </cfRule>
  </conditionalFormatting>
  <conditionalFormatting sqref="K104:K105">
    <cfRule type="cellIs" dxfId="378" priority="352" stopIfTrue="1" operator="equal">
      <formula>"cumple"</formula>
    </cfRule>
    <cfRule type="containsText" dxfId="377" priority="353" stopIfTrue="1" operator="containsText" text="NO CUMPLE">
      <formula>NOT(ISERROR(SEARCH("NO CUMPLE",K104)))</formula>
    </cfRule>
  </conditionalFormatting>
  <conditionalFormatting sqref="L104:L105">
    <cfRule type="cellIs" dxfId="376" priority="350" stopIfTrue="1" operator="equal">
      <formula>"cumple"</formula>
    </cfRule>
    <cfRule type="containsText" dxfId="375" priority="351" stopIfTrue="1" operator="containsText" text="NO CUMPLE">
      <formula>NOT(ISERROR(SEARCH("NO CUMPLE",L104)))</formula>
    </cfRule>
  </conditionalFormatting>
  <conditionalFormatting sqref="L106:L111">
    <cfRule type="cellIs" dxfId="374" priority="348" stopIfTrue="1" operator="equal">
      <formula>"cumple"</formula>
    </cfRule>
    <cfRule type="containsText" dxfId="373" priority="349" stopIfTrue="1" operator="containsText" text="NO CUMPLE">
      <formula>NOT(ISERROR(SEARCH("NO CUMPLE",L106)))</formula>
    </cfRule>
  </conditionalFormatting>
  <conditionalFormatting sqref="M106">
    <cfRule type="cellIs" dxfId="372" priority="346" stopIfTrue="1" operator="equal">
      <formula>"cumple"</formula>
    </cfRule>
    <cfRule type="containsText" dxfId="371" priority="347" stopIfTrue="1" operator="containsText" text="NO CUMPLE">
      <formula>NOT(ISERROR(SEARCH("NO CUMPLE",M106)))</formula>
    </cfRule>
  </conditionalFormatting>
  <conditionalFormatting sqref="M107:M111">
    <cfRule type="cellIs" dxfId="370" priority="344" stopIfTrue="1" operator="equal">
      <formula>"cumple"</formula>
    </cfRule>
    <cfRule type="containsText" dxfId="369" priority="345" stopIfTrue="1" operator="containsText" text="NO CUMPLE">
      <formula>NOT(ISERROR(SEARCH("NO CUMPLE",M107)))</formula>
    </cfRule>
  </conditionalFormatting>
  <conditionalFormatting sqref="M112">
    <cfRule type="cellIs" dxfId="368" priority="342" stopIfTrue="1" operator="equal">
      <formula>"cumple"</formula>
    </cfRule>
    <cfRule type="containsText" dxfId="367" priority="343" stopIfTrue="1" operator="containsText" text="NO CUMPLE">
      <formula>NOT(ISERROR(SEARCH("NO CUMPLE",M112)))</formula>
    </cfRule>
  </conditionalFormatting>
  <conditionalFormatting sqref="H112">
    <cfRule type="cellIs" dxfId="366" priority="340" stopIfTrue="1" operator="equal">
      <formula>"cumple"</formula>
    </cfRule>
    <cfRule type="containsText" dxfId="365" priority="341" stopIfTrue="1" operator="containsText" text="NO CUMPLE">
      <formula>NOT(ISERROR(SEARCH("NO CUMPLE",H112)))</formula>
    </cfRule>
  </conditionalFormatting>
  <conditionalFormatting sqref="V92:V93">
    <cfRule type="cellIs" dxfId="364" priority="339" stopIfTrue="1" operator="greaterThan">
      <formula>0</formula>
    </cfRule>
  </conditionalFormatting>
  <conditionalFormatting sqref="V94">
    <cfRule type="cellIs" dxfId="363" priority="338" stopIfTrue="1" operator="greaterThan">
      <formula>0</formula>
    </cfRule>
  </conditionalFormatting>
  <conditionalFormatting sqref="V95">
    <cfRule type="cellIs" dxfId="362" priority="337" stopIfTrue="1" operator="greaterThan">
      <formula>0</formula>
    </cfRule>
  </conditionalFormatting>
  <conditionalFormatting sqref="V96">
    <cfRule type="cellIs" dxfId="361" priority="336" stopIfTrue="1" operator="greaterThan">
      <formula>0</formula>
    </cfRule>
  </conditionalFormatting>
  <conditionalFormatting sqref="V97">
    <cfRule type="cellIs" dxfId="360" priority="335" stopIfTrue="1" operator="greaterThan">
      <formula>0</formula>
    </cfRule>
  </conditionalFormatting>
  <conditionalFormatting sqref="W92:W97">
    <cfRule type="cellIs" dxfId="359" priority="333" stopIfTrue="1" operator="equal">
      <formula>"NO"</formula>
    </cfRule>
    <cfRule type="cellIs" dxfId="358" priority="334" stopIfTrue="1" operator="equal">
      <formula>"SI"</formula>
    </cfRule>
  </conditionalFormatting>
  <conditionalFormatting sqref="B109">
    <cfRule type="cellIs" dxfId="357" priority="331" stopIfTrue="1" operator="equal">
      <formula>"cumple"</formula>
    </cfRule>
    <cfRule type="containsText" dxfId="356" priority="332" stopIfTrue="1" operator="containsText" text="NO CUMPLE">
      <formula>NOT(ISERROR(SEARCH("NO CUMPLE",B109)))</formula>
    </cfRule>
  </conditionalFormatting>
  <conditionalFormatting sqref="B110">
    <cfRule type="cellIs" dxfId="355" priority="329" stopIfTrue="1" operator="equal">
      <formula>"cumple"</formula>
    </cfRule>
    <cfRule type="containsText" dxfId="354" priority="330" stopIfTrue="1" operator="containsText" text="NO CUMPLE">
      <formula>NOT(ISERROR(SEARCH("NO CUMPLE",B110)))</formula>
    </cfRule>
  </conditionalFormatting>
  <conditionalFormatting sqref="G110">
    <cfRule type="cellIs" dxfId="353" priority="327" stopIfTrue="1" operator="equal">
      <formula>"cumple"</formula>
    </cfRule>
    <cfRule type="containsText" dxfId="352" priority="328" stopIfTrue="1" operator="containsText" text="NO CUMPLE">
      <formula>NOT(ISERROR(SEARCH("NO CUMPLE",G110)))</formula>
    </cfRule>
  </conditionalFormatting>
  <conditionalFormatting sqref="G111">
    <cfRule type="cellIs" dxfId="351" priority="325" stopIfTrue="1" operator="equal">
      <formula>"cumple"</formula>
    </cfRule>
    <cfRule type="containsText" dxfId="350" priority="326" stopIfTrue="1" operator="containsText" text="NO CUMPLE">
      <formula>NOT(ISERROR(SEARCH("NO CUMPLE",G111)))</formula>
    </cfRule>
  </conditionalFormatting>
  <conditionalFormatting sqref="E104:E105">
    <cfRule type="cellIs" dxfId="349" priority="323" operator="greaterThan">
      <formula>0</formula>
    </cfRule>
    <cfRule type="cellIs" dxfId="348" priority="324" operator="equal">
      <formula>0</formula>
    </cfRule>
  </conditionalFormatting>
  <conditionalFormatting sqref="E108">
    <cfRule type="cellIs" dxfId="347" priority="322" operator="equal">
      <formula>"NO APLICA"</formula>
    </cfRule>
  </conditionalFormatting>
  <conditionalFormatting sqref="N103">
    <cfRule type="cellIs" dxfId="346" priority="320" stopIfTrue="1" operator="equal">
      <formula>"cumple"</formula>
    </cfRule>
    <cfRule type="containsText" dxfId="345" priority="321" stopIfTrue="1" operator="containsText" text="NO CUMPLE">
      <formula>NOT(ISERROR(SEARCH("NO CUMPLE",N103)))</formula>
    </cfRule>
  </conditionalFormatting>
  <conditionalFormatting sqref="N106:N111">
    <cfRule type="cellIs" dxfId="344" priority="318" stopIfTrue="1" operator="equal">
      <formula>"cumple"</formula>
    </cfRule>
    <cfRule type="containsText" dxfId="343" priority="319" stopIfTrue="1" operator="containsText" text="NO CUMPLE">
      <formula>NOT(ISERROR(SEARCH("NO CUMPLE",N106)))</formula>
    </cfRule>
  </conditionalFormatting>
  <conditionalFormatting sqref="N112">
    <cfRule type="cellIs" dxfId="342" priority="316" stopIfTrue="1" operator="equal">
      <formula>"cumple"</formula>
    </cfRule>
    <cfRule type="containsText" dxfId="341" priority="317" stopIfTrue="1" operator="containsText" text="NO CUMPLE">
      <formula>NOT(ISERROR(SEARCH("NO CUMPLE",N112)))</formula>
    </cfRule>
  </conditionalFormatting>
  <conditionalFormatting sqref="O103">
    <cfRule type="cellIs" dxfId="340" priority="314" stopIfTrue="1" operator="equal">
      <formula>"cumple"</formula>
    </cfRule>
    <cfRule type="containsText" dxfId="339" priority="315" stopIfTrue="1" operator="containsText" text="NO CUMPLE">
      <formula>NOT(ISERROR(SEARCH("NO CUMPLE",O103)))</formula>
    </cfRule>
  </conditionalFormatting>
  <conditionalFormatting sqref="O106:O111">
    <cfRule type="cellIs" dxfId="338" priority="312" stopIfTrue="1" operator="equal">
      <formula>"cumple"</formula>
    </cfRule>
    <cfRule type="containsText" dxfId="337" priority="313" stopIfTrue="1" operator="containsText" text="NO CUMPLE">
      <formula>NOT(ISERROR(SEARCH("NO CUMPLE",O106)))</formula>
    </cfRule>
  </conditionalFormatting>
  <conditionalFormatting sqref="O112">
    <cfRule type="cellIs" dxfId="336" priority="310" stopIfTrue="1" operator="equal">
      <formula>"cumple"</formula>
    </cfRule>
    <cfRule type="containsText" dxfId="335" priority="311" stopIfTrue="1" operator="containsText" text="NO CUMPLE">
      <formula>NOT(ISERROR(SEARCH("NO CUMPLE",O112)))</formula>
    </cfRule>
  </conditionalFormatting>
  <conditionalFormatting sqref="P112">
    <cfRule type="cellIs" dxfId="334" priority="308" stopIfTrue="1" operator="equal">
      <formula>"cumple"</formula>
    </cfRule>
    <cfRule type="containsText" dxfId="333" priority="309" stopIfTrue="1" operator="containsText" text="NO CUMPLE">
      <formula>NOT(ISERROR(SEARCH("NO CUMPLE",P112)))</formula>
    </cfRule>
  </conditionalFormatting>
  <conditionalFormatting sqref="P106:P111">
    <cfRule type="cellIs" dxfId="332" priority="306" stopIfTrue="1" operator="equal">
      <formula>"cumple"</formula>
    </cfRule>
    <cfRule type="containsText" dxfId="331" priority="307" stopIfTrue="1" operator="containsText" text="NO CUMPLE">
      <formula>NOT(ISERROR(SEARCH("NO CUMPLE",P106)))</formula>
    </cfRule>
  </conditionalFormatting>
  <conditionalFormatting sqref="X92:Y97">
    <cfRule type="cellIs" dxfId="330" priority="305" stopIfTrue="1" operator="greaterThan">
      <formula>0</formula>
    </cfRule>
  </conditionalFormatting>
  <conditionalFormatting sqref="X92:Y97">
    <cfRule type="cellIs" dxfId="329" priority="303" operator="equal">
      <formula>"NO CUMPLE"</formula>
    </cfRule>
    <cfRule type="cellIs" dxfId="328" priority="304" operator="equal">
      <formula>"CUMPLE"</formula>
    </cfRule>
  </conditionalFormatting>
  <conditionalFormatting sqref="X99">
    <cfRule type="cellIs" dxfId="327" priority="300" stopIfTrue="1" operator="equal">
      <formula>"VERIFICAR"</formula>
    </cfRule>
    <cfRule type="cellIs" dxfId="326" priority="301" stopIfTrue="1" operator="equal">
      <formula>"NO CUMPLE"</formula>
    </cfRule>
    <cfRule type="cellIs" dxfId="325" priority="302" stopIfTrue="1" operator="equal">
      <formula>"CUMPLE"</formula>
    </cfRule>
  </conditionalFormatting>
  <conditionalFormatting sqref="Y99">
    <cfRule type="cellIs" dxfId="324" priority="297" stopIfTrue="1" operator="equal">
      <formula>"VERIFICAR"</formula>
    </cfRule>
    <cfRule type="cellIs" dxfId="323" priority="298" stopIfTrue="1" operator="equal">
      <formula>"NO CUMPLE"</formula>
    </cfRule>
    <cfRule type="cellIs" dxfId="322" priority="299" stopIfTrue="1" operator="equal">
      <formula>"CUMPLE"</formula>
    </cfRule>
  </conditionalFormatting>
  <conditionalFormatting sqref="G104">
    <cfRule type="cellIs" dxfId="321" priority="296" stopIfTrue="1" operator="notBetween">
      <formula>"N/A"</formula>
      <formula>"REVISAR"</formula>
    </cfRule>
  </conditionalFormatting>
  <conditionalFormatting sqref="G104:G105">
    <cfRule type="cellIs" dxfId="320" priority="295" operator="equal">
      <formula>"REVISAR"</formula>
    </cfRule>
  </conditionalFormatting>
  <conditionalFormatting sqref="D92:D94">
    <cfRule type="cellIs" dxfId="319" priority="293" stopIfTrue="1" operator="greaterThan">
      <formula>0</formula>
    </cfRule>
  </conditionalFormatting>
  <conditionalFormatting sqref="E92:E94">
    <cfRule type="cellIs" dxfId="318" priority="292" stopIfTrue="1" operator="greaterThan">
      <formula>0</formula>
    </cfRule>
  </conditionalFormatting>
  <conditionalFormatting sqref="M119:N124 P119:Q124">
    <cfRule type="cellIs" dxfId="317" priority="291" stopIfTrue="1" operator="lessThan">
      <formula>0</formula>
    </cfRule>
  </conditionalFormatting>
  <conditionalFormatting sqref="T120 S120:S124 B122:N124 S119:T119 P119:Q124 B119:C121 F119:N121">
    <cfRule type="cellIs" dxfId="316" priority="290" stopIfTrue="1" operator="greaterThan">
      <formula>0</formula>
    </cfRule>
  </conditionalFormatting>
  <conditionalFormatting sqref="Q120:Q124">
    <cfRule type="cellIs" dxfId="315" priority="289" stopIfTrue="1" operator="lessThan">
      <formula>0</formula>
    </cfRule>
  </conditionalFormatting>
  <conditionalFormatting sqref="O119:O124">
    <cfRule type="cellIs" dxfId="314" priority="288" stopIfTrue="1" operator="greaterThan">
      <formula>0</formula>
    </cfRule>
  </conditionalFormatting>
  <conditionalFormatting sqref="T121">
    <cfRule type="cellIs" dxfId="313" priority="287" stopIfTrue="1" operator="greaterThan">
      <formula>0</formula>
    </cfRule>
  </conditionalFormatting>
  <conditionalFormatting sqref="T122">
    <cfRule type="cellIs" dxfId="312" priority="286" stopIfTrue="1" operator="greaterThan">
      <formula>0</formula>
    </cfRule>
  </conditionalFormatting>
  <conditionalFormatting sqref="T123">
    <cfRule type="cellIs" dxfId="311" priority="285" stopIfTrue="1" operator="greaterThan">
      <formula>0</formula>
    </cfRule>
  </conditionalFormatting>
  <conditionalFormatting sqref="T124">
    <cfRule type="cellIs" dxfId="310" priority="284" stopIfTrue="1" operator="greaterThan">
      <formula>0</formula>
    </cfRule>
  </conditionalFormatting>
  <conditionalFormatting sqref="R120:R124">
    <cfRule type="cellIs" dxfId="309" priority="283" stopIfTrue="1" operator="lessThan">
      <formula>0</formula>
    </cfRule>
  </conditionalFormatting>
  <conditionalFormatting sqref="R119:R124">
    <cfRule type="cellIs" dxfId="308" priority="282" stopIfTrue="1" operator="greaterThan">
      <formula>0</formula>
    </cfRule>
  </conditionalFormatting>
  <conditionalFormatting sqref="R119:R124">
    <cfRule type="cellIs" dxfId="307" priority="281" stopIfTrue="1" operator="lessThan">
      <formula>0</formula>
    </cfRule>
  </conditionalFormatting>
  <conditionalFormatting sqref="B129 X139:Y139">
    <cfRule type="cellIs" dxfId="306" priority="279" stopIfTrue="1" operator="equal">
      <formula>"cumple"</formula>
    </cfRule>
    <cfRule type="containsText" dxfId="305" priority="280" stopIfTrue="1" operator="containsText" text="NO CUMPLE">
      <formula>NOT(ISERROR(SEARCH("NO CUMPLE",B129)))</formula>
    </cfRule>
  </conditionalFormatting>
  <conditionalFormatting sqref="B130">
    <cfRule type="cellIs" dxfId="304" priority="277" stopIfTrue="1" operator="equal">
      <formula>"cumple"</formula>
    </cfRule>
    <cfRule type="containsText" dxfId="303" priority="278" stopIfTrue="1" operator="containsText" text="NO CUMPLE">
      <formula>NOT(ISERROR(SEARCH("NO CUMPLE",B130)))</formula>
    </cfRule>
  </conditionalFormatting>
  <conditionalFormatting sqref="B131">
    <cfRule type="cellIs" dxfId="302" priority="275" stopIfTrue="1" operator="equal">
      <formula>"cumple"</formula>
    </cfRule>
    <cfRule type="containsText" dxfId="301" priority="276" stopIfTrue="1" operator="containsText" text="NO CUMPLE">
      <formula>NOT(ISERROR(SEARCH("NO CUMPLE",B131)))</formula>
    </cfRule>
  </conditionalFormatting>
  <conditionalFormatting sqref="B133">
    <cfRule type="cellIs" dxfId="300" priority="273" stopIfTrue="1" operator="equal">
      <formula>"cumple"</formula>
    </cfRule>
    <cfRule type="containsText" dxfId="299" priority="274" stopIfTrue="1" operator="containsText" text="NO CUMPLE">
      <formula>NOT(ISERROR(SEARCH("NO CUMPLE",B133)))</formula>
    </cfRule>
  </conditionalFormatting>
  <conditionalFormatting sqref="B134">
    <cfRule type="cellIs" dxfId="298" priority="271" stopIfTrue="1" operator="equal">
      <formula>"cumple"</formula>
    </cfRule>
    <cfRule type="containsText" dxfId="297" priority="272" stopIfTrue="1" operator="containsText" text="NO CUMPLE">
      <formula>NOT(ISERROR(SEARCH("NO CUMPLE",B134)))</formula>
    </cfRule>
  </conditionalFormatting>
  <conditionalFormatting sqref="F131">
    <cfRule type="cellIs" dxfId="296" priority="269" stopIfTrue="1" operator="equal">
      <formula>"cumple"</formula>
    </cfRule>
    <cfRule type="containsText" dxfId="295" priority="270" stopIfTrue="1" operator="containsText" text="NO CUMPLE">
      <formula>NOT(ISERROR(SEARCH("NO CUMPLE",F131)))</formula>
    </cfRule>
  </conditionalFormatting>
  <conditionalFormatting sqref="E134:F134">
    <cfRule type="cellIs" dxfId="294" priority="267" stopIfTrue="1" operator="equal">
      <formula>"cumple"</formula>
    </cfRule>
    <cfRule type="containsText" dxfId="293" priority="268" stopIfTrue="1" operator="containsText" text="NO CUMPLE">
      <formula>NOT(ISERROR(SEARCH("NO CUMPLE",E134)))</formula>
    </cfRule>
  </conditionalFormatting>
  <conditionalFormatting sqref="G134">
    <cfRule type="cellIs" dxfId="292" priority="265" stopIfTrue="1" operator="equal">
      <formula>"cumple"</formula>
    </cfRule>
    <cfRule type="containsText" dxfId="291" priority="266" stopIfTrue="1" operator="containsText" text="NO CUMPLE">
      <formula>NOT(ISERROR(SEARCH("NO CUMPLE",G134)))</formula>
    </cfRule>
  </conditionalFormatting>
  <conditionalFormatting sqref="G135">
    <cfRule type="cellIs" dxfId="290" priority="263" stopIfTrue="1" operator="equal">
      <formula>"cumple"</formula>
    </cfRule>
    <cfRule type="containsText" dxfId="289" priority="264" stopIfTrue="1" operator="containsText" text="NO CUMPLE">
      <formula>NOT(ISERROR(SEARCH("NO CUMPLE",G135)))</formula>
    </cfRule>
  </conditionalFormatting>
  <conditionalFormatting sqref="H129">
    <cfRule type="cellIs" dxfId="288" priority="261" stopIfTrue="1" operator="equal">
      <formula>"cumple"</formula>
    </cfRule>
    <cfRule type="containsText" dxfId="287" priority="262" stopIfTrue="1" operator="containsText" text="NO CUMPLE">
      <formula>NOT(ISERROR(SEARCH("NO CUMPLE",H129)))</formula>
    </cfRule>
  </conditionalFormatting>
  <conditionalFormatting sqref="M130">
    <cfRule type="cellIs" dxfId="286" priority="259" stopIfTrue="1" operator="equal">
      <formula>"cumple"</formula>
    </cfRule>
    <cfRule type="containsText" dxfId="285" priority="260" stopIfTrue="1" operator="containsText" text="NO CUMPLE">
      <formula>NOT(ISERROR(SEARCH("NO CUMPLE",M130)))</formula>
    </cfRule>
  </conditionalFormatting>
  <conditionalFormatting sqref="J131:J132">
    <cfRule type="cellIs" dxfId="284" priority="257" stopIfTrue="1" operator="equal">
      <formula>"cumple"</formula>
    </cfRule>
    <cfRule type="containsText" dxfId="283" priority="258" stopIfTrue="1" operator="containsText" text="NO CUMPLE">
      <formula>NOT(ISERROR(SEARCH("NO CUMPLE",J131)))</formula>
    </cfRule>
  </conditionalFormatting>
  <conditionalFormatting sqref="K131:K132">
    <cfRule type="cellIs" dxfId="282" priority="255" stopIfTrue="1" operator="equal">
      <formula>"cumple"</formula>
    </cfRule>
    <cfRule type="containsText" dxfId="281" priority="256" stopIfTrue="1" operator="containsText" text="NO CUMPLE">
      <formula>NOT(ISERROR(SEARCH("NO CUMPLE",K131)))</formula>
    </cfRule>
  </conditionalFormatting>
  <conditionalFormatting sqref="L131:L132">
    <cfRule type="cellIs" dxfId="280" priority="253" stopIfTrue="1" operator="equal">
      <formula>"cumple"</formula>
    </cfRule>
    <cfRule type="containsText" dxfId="279" priority="254" stopIfTrue="1" operator="containsText" text="NO CUMPLE">
      <formula>NOT(ISERROR(SEARCH("NO CUMPLE",L131)))</formula>
    </cfRule>
  </conditionalFormatting>
  <conditionalFormatting sqref="L133:L138">
    <cfRule type="cellIs" dxfId="278" priority="251" stopIfTrue="1" operator="equal">
      <formula>"cumple"</formula>
    </cfRule>
    <cfRule type="containsText" dxfId="277" priority="252" stopIfTrue="1" operator="containsText" text="NO CUMPLE">
      <formula>NOT(ISERROR(SEARCH("NO CUMPLE",L133)))</formula>
    </cfRule>
  </conditionalFormatting>
  <conditionalFormatting sqref="M133">
    <cfRule type="cellIs" dxfId="276" priority="249" stopIfTrue="1" operator="equal">
      <formula>"cumple"</formula>
    </cfRule>
    <cfRule type="containsText" dxfId="275" priority="250" stopIfTrue="1" operator="containsText" text="NO CUMPLE">
      <formula>NOT(ISERROR(SEARCH("NO CUMPLE",M133)))</formula>
    </cfRule>
  </conditionalFormatting>
  <conditionalFormatting sqref="M134:M138">
    <cfRule type="cellIs" dxfId="274" priority="247" stopIfTrue="1" operator="equal">
      <formula>"cumple"</formula>
    </cfRule>
    <cfRule type="containsText" dxfId="273" priority="248" stopIfTrue="1" operator="containsText" text="NO CUMPLE">
      <formula>NOT(ISERROR(SEARCH("NO CUMPLE",M134)))</formula>
    </cfRule>
  </conditionalFormatting>
  <conditionalFormatting sqref="M139">
    <cfRule type="cellIs" dxfId="272" priority="245" stopIfTrue="1" operator="equal">
      <formula>"cumple"</formula>
    </cfRule>
    <cfRule type="containsText" dxfId="271" priority="246" stopIfTrue="1" operator="containsText" text="NO CUMPLE">
      <formula>NOT(ISERROR(SEARCH("NO CUMPLE",M139)))</formula>
    </cfRule>
  </conditionalFormatting>
  <conditionalFormatting sqref="H139">
    <cfRule type="cellIs" dxfId="270" priority="243" stopIfTrue="1" operator="equal">
      <formula>"cumple"</formula>
    </cfRule>
    <cfRule type="containsText" dxfId="269" priority="244" stopIfTrue="1" operator="containsText" text="NO CUMPLE">
      <formula>NOT(ISERROR(SEARCH("NO CUMPLE",H139)))</formula>
    </cfRule>
  </conditionalFormatting>
  <conditionalFormatting sqref="V119:V120">
    <cfRule type="cellIs" dxfId="268" priority="242" stopIfTrue="1" operator="greaterThan">
      <formula>0</formula>
    </cfRule>
  </conditionalFormatting>
  <conditionalFormatting sqref="V121">
    <cfRule type="cellIs" dxfId="267" priority="241" stopIfTrue="1" operator="greaterThan">
      <formula>0</formula>
    </cfRule>
  </conditionalFormatting>
  <conditionalFormatting sqref="V122">
    <cfRule type="cellIs" dxfId="266" priority="240" stopIfTrue="1" operator="greaterThan">
      <formula>0</formula>
    </cfRule>
  </conditionalFormatting>
  <conditionalFormatting sqref="V123">
    <cfRule type="cellIs" dxfId="265" priority="239" stopIfTrue="1" operator="greaterThan">
      <formula>0</formula>
    </cfRule>
  </conditionalFormatting>
  <conditionalFormatting sqref="V124">
    <cfRule type="cellIs" dxfId="264" priority="238" stopIfTrue="1" operator="greaterThan">
      <formula>0</formula>
    </cfRule>
  </conditionalFormatting>
  <conditionalFormatting sqref="W119:W124">
    <cfRule type="cellIs" dxfId="263" priority="236" stopIfTrue="1" operator="equal">
      <formula>"NO"</formula>
    </cfRule>
    <cfRule type="cellIs" dxfId="262" priority="237" stopIfTrue="1" operator="equal">
      <formula>"SI"</formula>
    </cfRule>
  </conditionalFormatting>
  <conditionalFormatting sqref="B136">
    <cfRule type="cellIs" dxfId="261" priority="234" stopIfTrue="1" operator="equal">
      <formula>"cumple"</formula>
    </cfRule>
    <cfRule type="containsText" dxfId="260" priority="235" stopIfTrue="1" operator="containsText" text="NO CUMPLE">
      <formula>NOT(ISERROR(SEARCH("NO CUMPLE",B136)))</formula>
    </cfRule>
  </conditionalFormatting>
  <conditionalFormatting sqref="B137">
    <cfRule type="cellIs" dxfId="259" priority="232" stopIfTrue="1" operator="equal">
      <formula>"cumple"</formula>
    </cfRule>
    <cfRule type="containsText" dxfId="258" priority="233" stopIfTrue="1" operator="containsText" text="NO CUMPLE">
      <formula>NOT(ISERROR(SEARCH("NO CUMPLE",B137)))</formula>
    </cfRule>
  </conditionalFormatting>
  <conditionalFormatting sqref="G137">
    <cfRule type="cellIs" dxfId="257" priority="230" stopIfTrue="1" operator="equal">
      <formula>"cumple"</formula>
    </cfRule>
    <cfRule type="containsText" dxfId="256" priority="231" stopIfTrue="1" operator="containsText" text="NO CUMPLE">
      <formula>NOT(ISERROR(SEARCH("NO CUMPLE",G137)))</formula>
    </cfRule>
  </conditionalFormatting>
  <conditionalFormatting sqref="G138">
    <cfRule type="cellIs" dxfId="255" priority="228" stopIfTrue="1" operator="equal">
      <formula>"cumple"</formula>
    </cfRule>
    <cfRule type="containsText" dxfId="254" priority="229" stopIfTrue="1" operator="containsText" text="NO CUMPLE">
      <formula>NOT(ISERROR(SEARCH("NO CUMPLE",G138)))</formula>
    </cfRule>
  </conditionalFormatting>
  <conditionalFormatting sqref="E131:E132">
    <cfRule type="cellIs" dxfId="253" priority="226" operator="greaterThan">
      <formula>0</formula>
    </cfRule>
    <cfRule type="cellIs" dxfId="252" priority="227" operator="equal">
      <formula>0</formula>
    </cfRule>
  </conditionalFormatting>
  <conditionalFormatting sqref="E135">
    <cfRule type="cellIs" dxfId="251" priority="225" operator="equal">
      <formula>"NO APLICA"</formula>
    </cfRule>
  </conditionalFormatting>
  <conditionalFormatting sqref="N130">
    <cfRule type="cellIs" dxfId="250" priority="223" stopIfTrue="1" operator="equal">
      <formula>"cumple"</formula>
    </cfRule>
    <cfRule type="containsText" dxfId="249" priority="224" stopIfTrue="1" operator="containsText" text="NO CUMPLE">
      <formula>NOT(ISERROR(SEARCH("NO CUMPLE",N130)))</formula>
    </cfRule>
  </conditionalFormatting>
  <conditionalFormatting sqref="N133:N138">
    <cfRule type="cellIs" dxfId="248" priority="221" stopIfTrue="1" operator="equal">
      <formula>"cumple"</formula>
    </cfRule>
    <cfRule type="containsText" dxfId="247" priority="222" stopIfTrue="1" operator="containsText" text="NO CUMPLE">
      <formula>NOT(ISERROR(SEARCH("NO CUMPLE",N133)))</formula>
    </cfRule>
  </conditionalFormatting>
  <conditionalFormatting sqref="N139">
    <cfRule type="cellIs" dxfId="246" priority="219" stopIfTrue="1" operator="equal">
      <formula>"cumple"</formula>
    </cfRule>
    <cfRule type="containsText" dxfId="245" priority="220" stopIfTrue="1" operator="containsText" text="NO CUMPLE">
      <formula>NOT(ISERROR(SEARCH("NO CUMPLE",N139)))</formula>
    </cfRule>
  </conditionalFormatting>
  <conditionalFormatting sqref="O130">
    <cfRule type="cellIs" dxfId="244" priority="217" stopIfTrue="1" operator="equal">
      <formula>"cumple"</formula>
    </cfRule>
    <cfRule type="containsText" dxfId="243" priority="218" stopIfTrue="1" operator="containsText" text="NO CUMPLE">
      <formula>NOT(ISERROR(SEARCH("NO CUMPLE",O130)))</formula>
    </cfRule>
  </conditionalFormatting>
  <conditionalFormatting sqref="O133:O138">
    <cfRule type="cellIs" dxfId="242" priority="215" stopIfTrue="1" operator="equal">
      <formula>"cumple"</formula>
    </cfRule>
    <cfRule type="containsText" dxfId="241" priority="216" stopIfTrue="1" operator="containsText" text="NO CUMPLE">
      <formula>NOT(ISERROR(SEARCH("NO CUMPLE",O133)))</formula>
    </cfRule>
  </conditionalFormatting>
  <conditionalFormatting sqref="O139">
    <cfRule type="cellIs" dxfId="240" priority="213" stopIfTrue="1" operator="equal">
      <formula>"cumple"</formula>
    </cfRule>
    <cfRule type="containsText" dxfId="239" priority="214" stopIfTrue="1" operator="containsText" text="NO CUMPLE">
      <formula>NOT(ISERROR(SEARCH("NO CUMPLE",O139)))</formula>
    </cfRule>
  </conditionalFormatting>
  <conditionalFormatting sqref="P139">
    <cfRule type="cellIs" dxfId="238" priority="211" stopIfTrue="1" operator="equal">
      <formula>"cumple"</formula>
    </cfRule>
    <cfRule type="containsText" dxfId="237" priority="212" stopIfTrue="1" operator="containsText" text="NO CUMPLE">
      <formula>NOT(ISERROR(SEARCH("NO CUMPLE",P139)))</formula>
    </cfRule>
  </conditionalFormatting>
  <conditionalFormatting sqref="P133:P138">
    <cfRule type="cellIs" dxfId="236" priority="209" stopIfTrue="1" operator="equal">
      <formula>"cumple"</formula>
    </cfRule>
    <cfRule type="containsText" dxfId="235" priority="210" stopIfTrue="1" operator="containsText" text="NO CUMPLE">
      <formula>NOT(ISERROR(SEARCH("NO CUMPLE",P133)))</formula>
    </cfRule>
  </conditionalFormatting>
  <conditionalFormatting sqref="X119:Y124">
    <cfRule type="cellIs" dxfId="234" priority="208" stopIfTrue="1" operator="greaterThan">
      <formula>0</formula>
    </cfRule>
  </conditionalFormatting>
  <conditionalFormatting sqref="X119:Y124">
    <cfRule type="cellIs" dxfId="233" priority="206" operator="equal">
      <formula>"NO CUMPLE"</formula>
    </cfRule>
    <cfRule type="cellIs" dxfId="232" priority="207" operator="equal">
      <formula>"CUMPLE"</formula>
    </cfRule>
  </conditionalFormatting>
  <conditionalFormatting sqref="X126">
    <cfRule type="cellIs" dxfId="231" priority="203" stopIfTrue="1" operator="equal">
      <formula>"VERIFICAR"</formula>
    </cfRule>
    <cfRule type="cellIs" dxfId="230" priority="204" stopIfTrue="1" operator="equal">
      <formula>"NO CUMPLE"</formula>
    </cfRule>
    <cfRule type="cellIs" dxfId="229" priority="205" stopIfTrue="1" operator="equal">
      <formula>"CUMPLE"</formula>
    </cfRule>
  </conditionalFormatting>
  <conditionalFormatting sqref="Y126">
    <cfRule type="cellIs" dxfId="228" priority="200" stopIfTrue="1" operator="equal">
      <formula>"VERIFICAR"</formula>
    </cfRule>
    <cfRule type="cellIs" dxfId="227" priority="201" stopIfTrue="1" operator="equal">
      <formula>"NO CUMPLE"</formula>
    </cfRule>
    <cfRule type="cellIs" dxfId="226" priority="202" stopIfTrue="1" operator="equal">
      <formula>"CUMPLE"</formula>
    </cfRule>
  </conditionalFormatting>
  <conditionalFormatting sqref="G131">
    <cfRule type="cellIs" dxfId="225" priority="199" stopIfTrue="1" operator="notBetween">
      <formula>"N/A"</formula>
      <formula>"REVISAR"</formula>
    </cfRule>
  </conditionalFormatting>
  <conditionalFormatting sqref="G131:G132">
    <cfRule type="cellIs" dxfId="224" priority="198" operator="equal">
      <formula>"REVISAR"</formula>
    </cfRule>
  </conditionalFormatting>
  <conditionalFormatting sqref="D119:D121">
    <cfRule type="cellIs" dxfId="223" priority="196" stopIfTrue="1" operator="greaterThan">
      <formula>0</formula>
    </cfRule>
  </conditionalFormatting>
  <conditionalFormatting sqref="E119:E121">
    <cfRule type="cellIs" dxfId="222" priority="195" stopIfTrue="1" operator="greaterThan">
      <formula>0</formula>
    </cfRule>
  </conditionalFormatting>
  <conditionalFormatting sqref="M146:N151 P146:Q151">
    <cfRule type="cellIs" dxfId="221" priority="194" stopIfTrue="1" operator="lessThan">
      <formula>0</formula>
    </cfRule>
  </conditionalFormatting>
  <conditionalFormatting sqref="T147 S147:S151 B149:N151 S146:T146 P146:Q151 B146:C148 F146:N148">
    <cfRule type="cellIs" dxfId="220" priority="193" stopIfTrue="1" operator="greaterThan">
      <formula>0</formula>
    </cfRule>
  </conditionalFormatting>
  <conditionalFormatting sqref="Q147:Q151">
    <cfRule type="cellIs" dxfId="219" priority="192" stopIfTrue="1" operator="lessThan">
      <formula>0</formula>
    </cfRule>
  </conditionalFormatting>
  <conditionalFormatting sqref="O146:O151">
    <cfRule type="cellIs" dxfId="218" priority="191" stopIfTrue="1" operator="greaterThan">
      <formula>0</formula>
    </cfRule>
  </conditionalFormatting>
  <conditionalFormatting sqref="T148">
    <cfRule type="cellIs" dxfId="217" priority="190" stopIfTrue="1" operator="greaterThan">
      <formula>0</formula>
    </cfRule>
  </conditionalFormatting>
  <conditionalFormatting sqref="T149">
    <cfRule type="cellIs" dxfId="216" priority="189" stopIfTrue="1" operator="greaterThan">
      <formula>0</formula>
    </cfRule>
  </conditionalFormatting>
  <conditionalFormatting sqref="T150">
    <cfRule type="cellIs" dxfId="215" priority="188" stopIfTrue="1" operator="greaterThan">
      <formula>0</formula>
    </cfRule>
  </conditionalFormatting>
  <conditionalFormatting sqref="T151">
    <cfRule type="cellIs" dxfId="214" priority="187" stopIfTrue="1" operator="greaterThan">
      <formula>0</formula>
    </cfRule>
  </conditionalFormatting>
  <conditionalFormatting sqref="R147:R151">
    <cfRule type="cellIs" dxfId="213" priority="186" stopIfTrue="1" operator="lessThan">
      <formula>0</formula>
    </cfRule>
  </conditionalFormatting>
  <conditionalFormatting sqref="R146:R151">
    <cfRule type="cellIs" dxfId="212" priority="185" stopIfTrue="1" operator="greaterThan">
      <formula>0</formula>
    </cfRule>
  </conditionalFormatting>
  <conditionalFormatting sqref="R146:R151">
    <cfRule type="cellIs" dxfId="211" priority="184" stopIfTrue="1" operator="lessThan">
      <formula>0</formula>
    </cfRule>
  </conditionalFormatting>
  <conditionalFormatting sqref="B156 X166:Y166">
    <cfRule type="cellIs" dxfId="210" priority="182" stopIfTrue="1" operator="equal">
      <formula>"cumple"</formula>
    </cfRule>
    <cfRule type="containsText" dxfId="209" priority="183" stopIfTrue="1" operator="containsText" text="NO CUMPLE">
      <formula>NOT(ISERROR(SEARCH("NO CUMPLE",B156)))</formula>
    </cfRule>
  </conditionalFormatting>
  <conditionalFormatting sqref="B157">
    <cfRule type="cellIs" dxfId="208" priority="180" stopIfTrue="1" operator="equal">
      <formula>"cumple"</formula>
    </cfRule>
    <cfRule type="containsText" dxfId="207" priority="181" stopIfTrue="1" operator="containsText" text="NO CUMPLE">
      <formula>NOT(ISERROR(SEARCH("NO CUMPLE",B157)))</formula>
    </cfRule>
  </conditionalFormatting>
  <conditionalFormatting sqref="B158">
    <cfRule type="cellIs" dxfId="206" priority="178" stopIfTrue="1" operator="equal">
      <formula>"cumple"</formula>
    </cfRule>
    <cfRule type="containsText" dxfId="205" priority="179" stopIfTrue="1" operator="containsText" text="NO CUMPLE">
      <formula>NOT(ISERROR(SEARCH("NO CUMPLE",B158)))</formula>
    </cfRule>
  </conditionalFormatting>
  <conditionalFormatting sqref="B160">
    <cfRule type="cellIs" dxfId="204" priority="176" stopIfTrue="1" operator="equal">
      <formula>"cumple"</formula>
    </cfRule>
    <cfRule type="containsText" dxfId="203" priority="177" stopIfTrue="1" operator="containsText" text="NO CUMPLE">
      <formula>NOT(ISERROR(SEARCH("NO CUMPLE",B160)))</formula>
    </cfRule>
  </conditionalFormatting>
  <conditionalFormatting sqref="B161">
    <cfRule type="cellIs" dxfId="202" priority="174" stopIfTrue="1" operator="equal">
      <formula>"cumple"</formula>
    </cfRule>
    <cfRule type="containsText" dxfId="201" priority="175" stopIfTrue="1" operator="containsText" text="NO CUMPLE">
      <formula>NOT(ISERROR(SEARCH("NO CUMPLE",B161)))</formula>
    </cfRule>
  </conditionalFormatting>
  <conditionalFormatting sqref="F158">
    <cfRule type="cellIs" dxfId="200" priority="172" stopIfTrue="1" operator="equal">
      <formula>"cumple"</formula>
    </cfRule>
    <cfRule type="containsText" dxfId="199" priority="173" stopIfTrue="1" operator="containsText" text="NO CUMPLE">
      <formula>NOT(ISERROR(SEARCH("NO CUMPLE",F158)))</formula>
    </cfRule>
  </conditionalFormatting>
  <conditionalFormatting sqref="E161:F161">
    <cfRule type="cellIs" dxfId="198" priority="170" stopIfTrue="1" operator="equal">
      <formula>"cumple"</formula>
    </cfRule>
    <cfRule type="containsText" dxfId="197" priority="171" stopIfTrue="1" operator="containsText" text="NO CUMPLE">
      <formula>NOT(ISERROR(SEARCH("NO CUMPLE",E161)))</formula>
    </cfRule>
  </conditionalFormatting>
  <conditionalFormatting sqref="G161">
    <cfRule type="cellIs" dxfId="196" priority="168" stopIfTrue="1" operator="equal">
      <formula>"cumple"</formula>
    </cfRule>
    <cfRule type="containsText" dxfId="195" priority="169" stopIfTrue="1" operator="containsText" text="NO CUMPLE">
      <formula>NOT(ISERROR(SEARCH("NO CUMPLE",G161)))</formula>
    </cfRule>
  </conditionalFormatting>
  <conditionalFormatting sqref="G162">
    <cfRule type="cellIs" dxfId="194" priority="166" stopIfTrue="1" operator="equal">
      <formula>"cumple"</formula>
    </cfRule>
    <cfRule type="containsText" dxfId="193" priority="167" stopIfTrue="1" operator="containsText" text="NO CUMPLE">
      <formula>NOT(ISERROR(SEARCH("NO CUMPLE",G162)))</formula>
    </cfRule>
  </conditionalFormatting>
  <conditionalFormatting sqref="H156">
    <cfRule type="cellIs" dxfId="192" priority="164" stopIfTrue="1" operator="equal">
      <formula>"cumple"</formula>
    </cfRule>
    <cfRule type="containsText" dxfId="191" priority="165" stopIfTrue="1" operator="containsText" text="NO CUMPLE">
      <formula>NOT(ISERROR(SEARCH("NO CUMPLE",H156)))</formula>
    </cfRule>
  </conditionalFormatting>
  <conditionalFormatting sqref="M157">
    <cfRule type="cellIs" dxfId="190" priority="162" stopIfTrue="1" operator="equal">
      <formula>"cumple"</formula>
    </cfRule>
    <cfRule type="containsText" dxfId="189" priority="163" stopIfTrue="1" operator="containsText" text="NO CUMPLE">
      <formula>NOT(ISERROR(SEARCH("NO CUMPLE",M157)))</formula>
    </cfRule>
  </conditionalFormatting>
  <conditionalFormatting sqref="J158:J159">
    <cfRule type="cellIs" dxfId="188" priority="160" stopIfTrue="1" operator="equal">
      <formula>"cumple"</formula>
    </cfRule>
    <cfRule type="containsText" dxfId="187" priority="161" stopIfTrue="1" operator="containsText" text="NO CUMPLE">
      <formula>NOT(ISERROR(SEARCH("NO CUMPLE",J158)))</formula>
    </cfRule>
  </conditionalFormatting>
  <conditionalFormatting sqref="K158:K159">
    <cfRule type="cellIs" dxfId="186" priority="158" stopIfTrue="1" operator="equal">
      <formula>"cumple"</formula>
    </cfRule>
    <cfRule type="containsText" dxfId="185" priority="159" stopIfTrue="1" operator="containsText" text="NO CUMPLE">
      <formula>NOT(ISERROR(SEARCH("NO CUMPLE",K158)))</formula>
    </cfRule>
  </conditionalFormatting>
  <conditionalFormatting sqref="L158:L159">
    <cfRule type="cellIs" dxfId="184" priority="156" stopIfTrue="1" operator="equal">
      <formula>"cumple"</formula>
    </cfRule>
    <cfRule type="containsText" dxfId="183" priority="157" stopIfTrue="1" operator="containsText" text="NO CUMPLE">
      <formula>NOT(ISERROR(SEARCH("NO CUMPLE",L158)))</formula>
    </cfRule>
  </conditionalFormatting>
  <conditionalFormatting sqref="L160:L165">
    <cfRule type="cellIs" dxfId="182" priority="154" stopIfTrue="1" operator="equal">
      <formula>"cumple"</formula>
    </cfRule>
    <cfRule type="containsText" dxfId="181" priority="155" stopIfTrue="1" operator="containsText" text="NO CUMPLE">
      <formula>NOT(ISERROR(SEARCH("NO CUMPLE",L160)))</formula>
    </cfRule>
  </conditionalFormatting>
  <conditionalFormatting sqref="M160">
    <cfRule type="cellIs" dxfId="180" priority="152" stopIfTrue="1" operator="equal">
      <formula>"cumple"</formula>
    </cfRule>
    <cfRule type="containsText" dxfId="179" priority="153" stopIfTrue="1" operator="containsText" text="NO CUMPLE">
      <formula>NOT(ISERROR(SEARCH("NO CUMPLE",M160)))</formula>
    </cfRule>
  </conditionalFormatting>
  <conditionalFormatting sqref="M161:M165">
    <cfRule type="cellIs" dxfId="178" priority="150" stopIfTrue="1" operator="equal">
      <formula>"cumple"</formula>
    </cfRule>
    <cfRule type="containsText" dxfId="177" priority="151" stopIfTrue="1" operator="containsText" text="NO CUMPLE">
      <formula>NOT(ISERROR(SEARCH("NO CUMPLE",M161)))</formula>
    </cfRule>
  </conditionalFormatting>
  <conditionalFormatting sqref="M166">
    <cfRule type="cellIs" dxfId="176" priority="148" stopIfTrue="1" operator="equal">
      <formula>"cumple"</formula>
    </cfRule>
    <cfRule type="containsText" dxfId="175" priority="149" stopIfTrue="1" operator="containsText" text="NO CUMPLE">
      <formula>NOT(ISERROR(SEARCH("NO CUMPLE",M166)))</formula>
    </cfRule>
  </conditionalFormatting>
  <conditionalFormatting sqref="H166">
    <cfRule type="cellIs" dxfId="174" priority="146" stopIfTrue="1" operator="equal">
      <formula>"cumple"</formula>
    </cfRule>
    <cfRule type="containsText" dxfId="173" priority="147" stopIfTrue="1" operator="containsText" text="NO CUMPLE">
      <formula>NOT(ISERROR(SEARCH("NO CUMPLE",H166)))</formula>
    </cfRule>
  </conditionalFormatting>
  <conditionalFormatting sqref="V146:V147">
    <cfRule type="cellIs" dxfId="172" priority="145" stopIfTrue="1" operator="greaterThan">
      <formula>0</formula>
    </cfRule>
  </conditionalFormatting>
  <conditionalFormatting sqref="V148">
    <cfRule type="cellIs" dxfId="171" priority="144" stopIfTrue="1" operator="greaterThan">
      <formula>0</formula>
    </cfRule>
  </conditionalFormatting>
  <conditionalFormatting sqref="V149">
    <cfRule type="cellIs" dxfId="170" priority="143" stopIfTrue="1" operator="greaterThan">
      <formula>0</formula>
    </cfRule>
  </conditionalFormatting>
  <conditionalFormatting sqref="V150">
    <cfRule type="cellIs" dxfId="169" priority="142" stopIfTrue="1" operator="greaterThan">
      <formula>0</formula>
    </cfRule>
  </conditionalFormatting>
  <conditionalFormatting sqref="V151">
    <cfRule type="cellIs" dxfId="168" priority="141" stopIfTrue="1" operator="greaterThan">
      <formula>0</formula>
    </cfRule>
  </conditionalFormatting>
  <conditionalFormatting sqref="W146:W151">
    <cfRule type="cellIs" dxfId="167" priority="139" stopIfTrue="1" operator="equal">
      <formula>"NO"</formula>
    </cfRule>
    <cfRule type="cellIs" dxfId="166" priority="140" stopIfTrue="1" operator="equal">
      <formula>"SI"</formula>
    </cfRule>
  </conditionalFormatting>
  <conditionalFormatting sqref="B163">
    <cfRule type="cellIs" dxfId="165" priority="137" stopIfTrue="1" operator="equal">
      <formula>"cumple"</formula>
    </cfRule>
    <cfRule type="containsText" dxfId="164" priority="138" stopIfTrue="1" operator="containsText" text="NO CUMPLE">
      <formula>NOT(ISERROR(SEARCH("NO CUMPLE",B163)))</formula>
    </cfRule>
  </conditionalFormatting>
  <conditionalFormatting sqref="B164">
    <cfRule type="cellIs" dxfId="163" priority="135" stopIfTrue="1" operator="equal">
      <formula>"cumple"</formula>
    </cfRule>
    <cfRule type="containsText" dxfId="162" priority="136" stopIfTrue="1" operator="containsText" text="NO CUMPLE">
      <formula>NOT(ISERROR(SEARCH("NO CUMPLE",B164)))</formula>
    </cfRule>
  </conditionalFormatting>
  <conditionalFormatting sqref="G164">
    <cfRule type="cellIs" dxfId="161" priority="133" stopIfTrue="1" operator="equal">
      <formula>"cumple"</formula>
    </cfRule>
    <cfRule type="containsText" dxfId="160" priority="134" stopIfTrue="1" operator="containsText" text="NO CUMPLE">
      <formula>NOT(ISERROR(SEARCH("NO CUMPLE",G164)))</formula>
    </cfRule>
  </conditionalFormatting>
  <conditionalFormatting sqref="G165">
    <cfRule type="cellIs" dxfId="159" priority="131" stopIfTrue="1" operator="equal">
      <formula>"cumple"</formula>
    </cfRule>
    <cfRule type="containsText" dxfId="158" priority="132" stopIfTrue="1" operator="containsText" text="NO CUMPLE">
      <formula>NOT(ISERROR(SEARCH("NO CUMPLE",G165)))</formula>
    </cfRule>
  </conditionalFormatting>
  <conditionalFormatting sqref="E158:E159">
    <cfRule type="cellIs" dxfId="157" priority="129" operator="greaterThan">
      <formula>0</formula>
    </cfRule>
    <cfRule type="cellIs" dxfId="156" priority="130" operator="equal">
      <formula>0</formula>
    </cfRule>
  </conditionalFormatting>
  <conditionalFormatting sqref="E162">
    <cfRule type="cellIs" dxfId="155" priority="128" operator="equal">
      <formula>"NO APLICA"</formula>
    </cfRule>
  </conditionalFormatting>
  <conditionalFormatting sqref="N157">
    <cfRule type="cellIs" dxfId="154" priority="126" stopIfTrue="1" operator="equal">
      <formula>"cumple"</formula>
    </cfRule>
    <cfRule type="containsText" dxfId="153" priority="127" stopIfTrue="1" operator="containsText" text="NO CUMPLE">
      <formula>NOT(ISERROR(SEARCH("NO CUMPLE",N157)))</formula>
    </cfRule>
  </conditionalFormatting>
  <conditionalFormatting sqref="N160:N165">
    <cfRule type="cellIs" dxfId="152" priority="124" stopIfTrue="1" operator="equal">
      <formula>"cumple"</formula>
    </cfRule>
    <cfRule type="containsText" dxfId="151" priority="125" stopIfTrue="1" operator="containsText" text="NO CUMPLE">
      <formula>NOT(ISERROR(SEARCH("NO CUMPLE",N160)))</formula>
    </cfRule>
  </conditionalFormatting>
  <conditionalFormatting sqref="N166">
    <cfRule type="cellIs" dxfId="150" priority="122" stopIfTrue="1" operator="equal">
      <formula>"cumple"</formula>
    </cfRule>
    <cfRule type="containsText" dxfId="149" priority="123" stopIfTrue="1" operator="containsText" text="NO CUMPLE">
      <formula>NOT(ISERROR(SEARCH("NO CUMPLE",N166)))</formula>
    </cfRule>
  </conditionalFormatting>
  <conditionalFormatting sqref="O157">
    <cfRule type="cellIs" dxfId="148" priority="120" stopIfTrue="1" operator="equal">
      <formula>"cumple"</formula>
    </cfRule>
    <cfRule type="containsText" dxfId="147" priority="121" stopIfTrue="1" operator="containsText" text="NO CUMPLE">
      <formula>NOT(ISERROR(SEARCH("NO CUMPLE",O157)))</formula>
    </cfRule>
  </conditionalFormatting>
  <conditionalFormatting sqref="O160:O165">
    <cfRule type="cellIs" dxfId="146" priority="118" stopIfTrue="1" operator="equal">
      <formula>"cumple"</formula>
    </cfRule>
    <cfRule type="containsText" dxfId="145" priority="119" stopIfTrue="1" operator="containsText" text="NO CUMPLE">
      <formula>NOT(ISERROR(SEARCH("NO CUMPLE",O160)))</formula>
    </cfRule>
  </conditionalFormatting>
  <conditionalFormatting sqref="O166">
    <cfRule type="cellIs" dxfId="144" priority="116" stopIfTrue="1" operator="equal">
      <formula>"cumple"</formula>
    </cfRule>
    <cfRule type="containsText" dxfId="143" priority="117" stopIfTrue="1" operator="containsText" text="NO CUMPLE">
      <formula>NOT(ISERROR(SEARCH("NO CUMPLE",O166)))</formula>
    </cfRule>
  </conditionalFormatting>
  <conditionalFormatting sqref="P166">
    <cfRule type="cellIs" dxfId="142" priority="114" stopIfTrue="1" operator="equal">
      <formula>"cumple"</formula>
    </cfRule>
    <cfRule type="containsText" dxfId="141" priority="115" stopIfTrue="1" operator="containsText" text="NO CUMPLE">
      <formula>NOT(ISERROR(SEARCH("NO CUMPLE",P166)))</formula>
    </cfRule>
  </conditionalFormatting>
  <conditionalFormatting sqref="P160:P165">
    <cfRule type="cellIs" dxfId="140" priority="112" stopIfTrue="1" operator="equal">
      <formula>"cumple"</formula>
    </cfRule>
    <cfRule type="containsText" dxfId="139" priority="113" stopIfTrue="1" operator="containsText" text="NO CUMPLE">
      <formula>NOT(ISERROR(SEARCH("NO CUMPLE",P160)))</formula>
    </cfRule>
  </conditionalFormatting>
  <conditionalFormatting sqref="X146:Y151">
    <cfRule type="cellIs" dxfId="138" priority="111" stopIfTrue="1" operator="greaterThan">
      <formula>0</formula>
    </cfRule>
  </conditionalFormatting>
  <conditionalFormatting sqref="X146:Y151">
    <cfRule type="cellIs" dxfId="137" priority="109" operator="equal">
      <formula>"NO CUMPLE"</formula>
    </cfRule>
    <cfRule type="cellIs" dxfId="136" priority="110" operator="equal">
      <formula>"CUMPLE"</formula>
    </cfRule>
  </conditionalFormatting>
  <conditionalFormatting sqref="X153">
    <cfRule type="cellIs" dxfId="135" priority="106" stopIfTrue="1" operator="equal">
      <formula>"VERIFICAR"</formula>
    </cfRule>
    <cfRule type="cellIs" dxfId="134" priority="107" stopIfTrue="1" operator="equal">
      <formula>"NO CUMPLE"</formula>
    </cfRule>
    <cfRule type="cellIs" dxfId="133" priority="108" stopIfTrue="1" operator="equal">
      <formula>"CUMPLE"</formula>
    </cfRule>
  </conditionalFormatting>
  <conditionalFormatting sqref="Y153">
    <cfRule type="cellIs" dxfId="132" priority="103" stopIfTrue="1" operator="equal">
      <formula>"VERIFICAR"</formula>
    </cfRule>
    <cfRule type="cellIs" dxfId="131" priority="104" stopIfTrue="1" operator="equal">
      <formula>"NO CUMPLE"</formula>
    </cfRule>
    <cfRule type="cellIs" dxfId="130" priority="105" stopIfTrue="1" operator="equal">
      <formula>"CUMPLE"</formula>
    </cfRule>
  </conditionalFormatting>
  <conditionalFormatting sqref="G158">
    <cfRule type="cellIs" dxfId="129" priority="102" stopIfTrue="1" operator="notBetween">
      <formula>"N/A"</formula>
      <formula>"REVISAR"</formula>
    </cfRule>
  </conditionalFormatting>
  <conditionalFormatting sqref="G158:G159">
    <cfRule type="cellIs" dxfId="128" priority="101" operator="equal">
      <formula>"REVISAR"</formula>
    </cfRule>
  </conditionalFormatting>
  <conditionalFormatting sqref="D146:D148">
    <cfRule type="cellIs" dxfId="127" priority="99" stopIfTrue="1" operator="greaterThan">
      <formula>0</formula>
    </cfRule>
  </conditionalFormatting>
  <conditionalFormatting sqref="E146:E148">
    <cfRule type="cellIs" dxfId="126" priority="98" stopIfTrue="1" operator="greaterThan">
      <formula>0</formula>
    </cfRule>
  </conditionalFormatting>
  <conditionalFormatting sqref="M173:N178 P173:Q178">
    <cfRule type="cellIs" dxfId="125" priority="97" stopIfTrue="1" operator="lessThan">
      <formula>0</formula>
    </cfRule>
  </conditionalFormatting>
  <conditionalFormatting sqref="T174 S174:S178 B176:N178 S173:T173 B173:C175 F173:N175 P173:Q178">
    <cfRule type="cellIs" dxfId="124" priority="96" stopIfTrue="1" operator="greaterThan">
      <formula>0</formula>
    </cfRule>
  </conditionalFormatting>
  <conditionalFormatting sqref="Q174:Q178">
    <cfRule type="cellIs" dxfId="123" priority="95" stopIfTrue="1" operator="lessThan">
      <formula>0</formula>
    </cfRule>
  </conditionalFormatting>
  <conditionalFormatting sqref="O173:O178">
    <cfRule type="cellIs" dxfId="122" priority="94" stopIfTrue="1" operator="greaterThan">
      <formula>0</formula>
    </cfRule>
  </conditionalFormatting>
  <conditionalFormatting sqref="T175">
    <cfRule type="cellIs" dxfId="121" priority="93" stopIfTrue="1" operator="greaterThan">
      <formula>0</formula>
    </cfRule>
  </conditionalFormatting>
  <conditionalFormatting sqref="T176">
    <cfRule type="cellIs" dxfId="120" priority="92" stopIfTrue="1" operator="greaterThan">
      <formula>0</formula>
    </cfRule>
  </conditionalFormatting>
  <conditionalFormatting sqref="T177">
    <cfRule type="cellIs" dxfId="119" priority="91" stopIfTrue="1" operator="greaterThan">
      <formula>0</formula>
    </cfRule>
  </conditionalFormatting>
  <conditionalFormatting sqref="T178">
    <cfRule type="cellIs" dxfId="118" priority="90" stopIfTrue="1" operator="greaterThan">
      <formula>0</formula>
    </cfRule>
  </conditionalFormatting>
  <conditionalFormatting sqref="R174:R178">
    <cfRule type="cellIs" dxfId="117" priority="89" stopIfTrue="1" operator="lessThan">
      <formula>0</formula>
    </cfRule>
  </conditionalFormatting>
  <conditionalFormatting sqref="R173:R178">
    <cfRule type="cellIs" dxfId="116" priority="88" stopIfTrue="1" operator="greaterThan">
      <formula>0</formula>
    </cfRule>
  </conditionalFormatting>
  <conditionalFormatting sqref="R173:R178">
    <cfRule type="cellIs" dxfId="115" priority="87" stopIfTrue="1" operator="lessThan">
      <formula>0</formula>
    </cfRule>
  </conditionalFormatting>
  <conditionalFormatting sqref="B183 X193:Y193">
    <cfRule type="cellIs" dxfId="114" priority="85" stopIfTrue="1" operator="equal">
      <formula>"cumple"</formula>
    </cfRule>
    <cfRule type="containsText" dxfId="113" priority="86" stopIfTrue="1" operator="containsText" text="NO CUMPLE">
      <formula>NOT(ISERROR(SEARCH("NO CUMPLE",B183)))</formula>
    </cfRule>
  </conditionalFormatting>
  <conditionalFormatting sqref="B184">
    <cfRule type="cellIs" dxfId="112" priority="83" stopIfTrue="1" operator="equal">
      <formula>"cumple"</formula>
    </cfRule>
    <cfRule type="containsText" dxfId="111" priority="84" stopIfTrue="1" operator="containsText" text="NO CUMPLE">
      <formula>NOT(ISERROR(SEARCH("NO CUMPLE",B184)))</formula>
    </cfRule>
  </conditionalFormatting>
  <conditionalFormatting sqref="B185">
    <cfRule type="cellIs" dxfId="110" priority="81" stopIfTrue="1" operator="equal">
      <formula>"cumple"</formula>
    </cfRule>
    <cfRule type="containsText" dxfId="109" priority="82" stopIfTrue="1" operator="containsText" text="NO CUMPLE">
      <formula>NOT(ISERROR(SEARCH("NO CUMPLE",B185)))</formula>
    </cfRule>
  </conditionalFormatting>
  <conditionalFormatting sqref="B187">
    <cfRule type="cellIs" dxfId="108" priority="79" stopIfTrue="1" operator="equal">
      <formula>"cumple"</formula>
    </cfRule>
    <cfRule type="containsText" dxfId="107" priority="80" stopIfTrue="1" operator="containsText" text="NO CUMPLE">
      <formula>NOT(ISERROR(SEARCH("NO CUMPLE",B187)))</formula>
    </cfRule>
  </conditionalFormatting>
  <conditionalFormatting sqref="B188">
    <cfRule type="cellIs" dxfId="106" priority="77" stopIfTrue="1" operator="equal">
      <formula>"cumple"</formula>
    </cfRule>
    <cfRule type="containsText" dxfId="105" priority="78" stopIfTrue="1" operator="containsText" text="NO CUMPLE">
      <formula>NOT(ISERROR(SEARCH("NO CUMPLE",B188)))</formula>
    </cfRule>
  </conditionalFormatting>
  <conditionalFormatting sqref="F185">
    <cfRule type="cellIs" dxfId="104" priority="75" stopIfTrue="1" operator="equal">
      <formula>"cumple"</formula>
    </cfRule>
    <cfRule type="containsText" dxfId="103" priority="76" stopIfTrue="1" operator="containsText" text="NO CUMPLE">
      <formula>NOT(ISERROR(SEARCH("NO CUMPLE",F185)))</formula>
    </cfRule>
  </conditionalFormatting>
  <conditionalFormatting sqref="E188:F188">
    <cfRule type="cellIs" dxfId="102" priority="73" stopIfTrue="1" operator="equal">
      <formula>"cumple"</formula>
    </cfRule>
    <cfRule type="containsText" dxfId="101" priority="74" stopIfTrue="1" operator="containsText" text="NO CUMPLE">
      <formula>NOT(ISERROR(SEARCH("NO CUMPLE",E188)))</formula>
    </cfRule>
  </conditionalFormatting>
  <conditionalFormatting sqref="G188">
    <cfRule type="cellIs" dxfId="100" priority="71" stopIfTrue="1" operator="equal">
      <formula>"cumple"</formula>
    </cfRule>
    <cfRule type="containsText" dxfId="99" priority="72" stopIfTrue="1" operator="containsText" text="NO CUMPLE">
      <formula>NOT(ISERROR(SEARCH("NO CUMPLE",G188)))</formula>
    </cfRule>
  </conditionalFormatting>
  <conditionalFormatting sqref="G189">
    <cfRule type="cellIs" dxfId="98" priority="69" stopIfTrue="1" operator="equal">
      <formula>"cumple"</formula>
    </cfRule>
    <cfRule type="containsText" dxfId="97" priority="70" stopIfTrue="1" operator="containsText" text="NO CUMPLE">
      <formula>NOT(ISERROR(SEARCH("NO CUMPLE",G189)))</formula>
    </cfRule>
  </conditionalFormatting>
  <conditionalFormatting sqref="H183">
    <cfRule type="cellIs" dxfId="96" priority="67" stopIfTrue="1" operator="equal">
      <formula>"cumple"</formula>
    </cfRule>
    <cfRule type="containsText" dxfId="95" priority="68" stopIfTrue="1" operator="containsText" text="NO CUMPLE">
      <formula>NOT(ISERROR(SEARCH("NO CUMPLE",H183)))</formula>
    </cfRule>
  </conditionalFormatting>
  <conditionalFormatting sqref="M184">
    <cfRule type="cellIs" dxfId="94" priority="65" stopIfTrue="1" operator="equal">
      <formula>"cumple"</formula>
    </cfRule>
    <cfRule type="containsText" dxfId="93" priority="66" stopIfTrue="1" operator="containsText" text="NO CUMPLE">
      <formula>NOT(ISERROR(SEARCH("NO CUMPLE",M184)))</formula>
    </cfRule>
  </conditionalFormatting>
  <conditionalFormatting sqref="J185:J186">
    <cfRule type="cellIs" dxfId="92" priority="63" stopIfTrue="1" operator="equal">
      <formula>"cumple"</formula>
    </cfRule>
    <cfRule type="containsText" dxfId="91" priority="64" stopIfTrue="1" operator="containsText" text="NO CUMPLE">
      <formula>NOT(ISERROR(SEARCH("NO CUMPLE",J185)))</formula>
    </cfRule>
  </conditionalFormatting>
  <conditionalFormatting sqref="K185:K186">
    <cfRule type="cellIs" dxfId="90" priority="61" stopIfTrue="1" operator="equal">
      <formula>"cumple"</formula>
    </cfRule>
    <cfRule type="containsText" dxfId="89" priority="62" stopIfTrue="1" operator="containsText" text="NO CUMPLE">
      <formula>NOT(ISERROR(SEARCH("NO CUMPLE",K185)))</formula>
    </cfRule>
  </conditionalFormatting>
  <conditionalFormatting sqref="L185:L186">
    <cfRule type="cellIs" dxfId="88" priority="59" stopIfTrue="1" operator="equal">
      <formula>"cumple"</formula>
    </cfRule>
    <cfRule type="containsText" dxfId="87" priority="60" stopIfTrue="1" operator="containsText" text="NO CUMPLE">
      <formula>NOT(ISERROR(SEARCH("NO CUMPLE",L185)))</formula>
    </cfRule>
  </conditionalFormatting>
  <conditionalFormatting sqref="L187:L192">
    <cfRule type="cellIs" dxfId="86" priority="57" stopIfTrue="1" operator="equal">
      <formula>"cumple"</formula>
    </cfRule>
    <cfRule type="containsText" dxfId="85" priority="58" stopIfTrue="1" operator="containsText" text="NO CUMPLE">
      <formula>NOT(ISERROR(SEARCH("NO CUMPLE",L187)))</formula>
    </cfRule>
  </conditionalFormatting>
  <conditionalFormatting sqref="M187">
    <cfRule type="cellIs" dxfId="84" priority="55" stopIfTrue="1" operator="equal">
      <formula>"cumple"</formula>
    </cfRule>
    <cfRule type="containsText" dxfId="83" priority="56" stopIfTrue="1" operator="containsText" text="NO CUMPLE">
      <formula>NOT(ISERROR(SEARCH("NO CUMPLE",M187)))</formula>
    </cfRule>
  </conditionalFormatting>
  <conditionalFormatting sqref="M188:M192">
    <cfRule type="cellIs" dxfId="82" priority="53" stopIfTrue="1" operator="equal">
      <formula>"cumple"</formula>
    </cfRule>
    <cfRule type="containsText" dxfId="81" priority="54" stopIfTrue="1" operator="containsText" text="NO CUMPLE">
      <formula>NOT(ISERROR(SEARCH("NO CUMPLE",M188)))</formula>
    </cfRule>
  </conditionalFormatting>
  <conditionalFormatting sqref="M193">
    <cfRule type="cellIs" dxfId="80" priority="51" stopIfTrue="1" operator="equal">
      <formula>"cumple"</formula>
    </cfRule>
    <cfRule type="containsText" dxfId="79" priority="52" stopIfTrue="1" operator="containsText" text="NO CUMPLE">
      <formula>NOT(ISERROR(SEARCH("NO CUMPLE",M193)))</formula>
    </cfRule>
  </conditionalFormatting>
  <conditionalFormatting sqref="H193">
    <cfRule type="cellIs" dxfId="78" priority="49" stopIfTrue="1" operator="equal">
      <formula>"cumple"</formula>
    </cfRule>
    <cfRule type="containsText" dxfId="77" priority="50" stopIfTrue="1" operator="containsText" text="NO CUMPLE">
      <formula>NOT(ISERROR(SEARCH("NO CUMPLE",H193)))</formula>
    </cfRule>
  </conditionalFormatting>
  <conditionalFormatting sqref="V173:V174">
    <cfRule type="cellIs" dxfId="76" priority="48" stopIfTrue="1" operator="greaterThan">
      <formula>0</formula>
    </cfRule>
  </conditionalFormatting>
  <conditionalFormatting sqref="V175">
    <cfRule type="cellIs" dxfId="75" priority="47" stopIfTrue="1" operator="greaterThan">
      <formula>0</formula>
    </cfRule>
  </conditionalFormatting>
  <conditionalFormatting sqref="V176">
    <cfRule type="cellIs" dxfId="74" priority="46" stopIfTrue="1" operator="greaterThan">
      <formula>0</formula>
    </cfRule>
  </conditionalFormatting>
  <conditionalFormatting sqref="V177">
    <cfRule type="cellIs" dxfId="73" priority="45" stopIfTrue="1" operator="greaterThan">
      <formula>0</formula>
    </cfRule>
  </conditionalFormatting>
  <conditionalFormatting sqref="V178">
    <cfRule type="cellIs" dxfId="72" priority="44" stopIfTrue="1" operator="greaterThan">
      <formula>0</formula>
    </cfRule>
  </conditionalFormatting>
  <conditionalFormatting sqref="W173:W178">
    <cfRule type="cellIs" dxfId="71" priority="42" stopIfTrue="1" operator="equal">
      <formula>"NO"</formula>
    </cfRule>
    <cfRule type="cellIs" dxfId="70" priority="43" stopIfTrue="1" operator="equal">
      <formula>"SI"</formula>
    </cfRule>
  </conditionalFormatting>
  <conditionalFormatting sqref="B190">
    <cfRule type="cellIs" dxfId="69" priority="40" stopIfTrue="1" operator="equal">
      <formula>"cumple"</formula>
    </cfRule>
    <cfRule type="containsText" dxfId="68" priority="41" stopIfTrue="1" operator="containsText" text="NO CUMPLE">
      <formula>NOT(ISERROR(SEARCH("NO CUMPLE",B190)))</formula>
    </cfRule>
  </conditionalFormatting>
  <conditionalFormatting sqref="B191">
    <cfRule type="cellIs" dxfId="67" priority="38" stopIfTrue="1" operator="equal">
      <formula>"cumple"</formula>
    </cfRule>
    <cfRule type="containsText" dxfId="66" priority="39" stopIfTrue="1" operator="containsText" text="NO CUMPLE">
      <formula>NOT(ISERROR(SEARCH("NO CUMPLE",B191)))</formula>
    </cfRule>
  </conditionalFormatting>
  <conditionalFormatting sqref="G191">
    <cfRule type="cellIs" dxfId="65" priority="36" stopIfTrue="1" operator="equal">
      <formula>"cumple"</formula>
    </cfRule>
    <cfRule type="containsText" dxfId="64" priority="37" stopIfTrue="1" operator="containsText" text="NO CUMPLE">
      <formula>NOT(ISERROR(SEARCH("NO CUMPLE",G191)))</formula>
    </cfRule>
  </conditionalFormatting>
  <conditionalFormatting sqref="G192">
    <cfRule type="cellIs" dxfId="63" priority="34" stopIfTrue="1" operator="equal">
      <formula>"cumple"</formula>
    </cfRule>
    <cfRule type="containsText" dxfId="62" priority="35" stopIfTrue="1" operator="containsText" text="NO CUMPLE">
      <formula>NOT(ISERROR(SEARCH("NO CUMPLE",G192)))</formula>
    </cfRule>
  </conditionalFormatting>
  <conditionalFormatting sqref="E185:E186">
    <cfRule type="cellIs" dxfId="61" priority="32" operator="greaterThan">
      <formula>0</formula>
    </cfRule>
    <cfRule type="cellIs" dxfId="60" priority="33" operator="equal">
      <formula>0</formula>
    </cfRule>
  </conditionalFormatting>
  <conditionalFormatting sqref="E189">
    <cfRule type="cellIs" dxfId="59" priority="31" operator="equal">
      <formula>"NO APLICA"</formula>
    </cfRule>
  </conditionalFormatting>
  <conditionalFormatting sqref="N184">
    <cfRule type="cellIs" dxfId="58" priority="29" stopIfTrue="1" operator="equal">
      <formula>"cumple"</formula>
    </cfRule>
    <cfRule type="containsText" dxfId="57" priority="30" stopIfTrue="1" operator="containsText" text="NO CUMPLE">
      <formula>NOT(ISERROR(SEARCH("NO CUMPLE",N184)))</formula>
    </cfRule>
  </conditionalFormatting>
  <conditionalFormatting sqref="N187:N192">
    <cfRule type="cellIs" dxfId="56" priority="27" stopIfTrue="1" operator="equal">
      <formula>"cumple"</formula>
    </cfRule>
    <cfRule type="containsText" dxfId="55" priority="28" stopIfTrue="1" operator="containsText" text="NO CUMPLE">
      <formula>NOT(ISERROR(SEARCH("NO CUMPLE",N187)))</formula>
    </cfRule>
  </conditionalFormatting>
  <conditionalFormatting sqref="N193">
    <cfRule type="cellIs" dxfId="54" priority="25" stopIfTrue="1" operator="equal">
      <formula>"cumple"</formula>
    </cfRule>
    <cfRule type="containsText" dxfId="53" priority="26" stopIfTrue="1" operator="containsText" text="NO CUMPLE">
      <formula>NOT(ISERROR(SEARCH("NO CUMPLE",N193)))</formula>
    </cfRule>
  </conditionalFormatting>
  <conditionalFormatting sqref="O184">
    <cfRule type="cellIs" dxfId="52" priority="23" stopIfTrue="1" operator="equal">
      <formula>"cumple"</formula>
    </cfRule>
    <cfRule type="containsText" dxfId="51" priority="24" stopIfTrue="1" operator="containsText" text="NO CUMPLE">
      <formula>NOT(ISERROR(SEARCH("NO CUMPLE",O184)))</formula>
    </cfRule>
  </conditionalFormatting>
  <conditionalFormatting sqref="O187:O192">
    <cfRule type="cellIs" dxfId="50" priority="21" stopIfTrue="1" operator="equal">
      <formula>"cumple"</formula>
    </cfRule>
    <cfRule type="containsText" dxfId="49" priority="22" stopIfTrue="1" operator="containsText" text="NO CUMPLE">
      <formula>NOT(ISERROR(SEARCH("NO CUMPLE",O187)))</formula>
    </cfRule>
  </conditionalFormatting>
  <conditionalFormatting sqref="O193">
    <cfRule type="cellIs" dxfId="48" priority="19" stopIfTrue="1" operator="equal">
      <formula>"cumple"</formula>
    </cfRule>
    <cfRule type="containsText" dxfId="47" priority="20" stopIfTrue="1" operator="containsText" text="NO CUMPLE">
      <formula>NOT(ISERROR(SEARCH("NO CUMPLE",O193)))</formula>
    </cfRule>
  </conditionalFormatting>
  <conditionalFormatting sqref="P193">
    <cfRule type="cellIs" dxfId="46" priority="17" stopIfTrue="1" operator="equal">
      <formula>"cumple"</formula>
    </cfRule>
    <cfRule type="containsText" dxfId="45" priority="18" stopIfTrue="1" operator="containsText" text="NO CUMPLE">
      <formula>NOT(ISERROR(SEARCH("NO CUMPLE",P193)))</formula>
    </cfRule>
  </conditionalFormatting>
  <conditionalFormatting sqref="P187:P192">
    <cfRule type="cellIs" dxfId="44" priority="15" stopIfTrue="1" operator="equal">
      <formula>"cumple"</formula>
    </cfRule>
    <cfRule type="containsText" dxfId="43" priority="16" stopIfTrue="1" operator="containsText" text="NO CUMPLE">
      <formula>NOT(ISERROR(SEARCH("NO CUMPLE",P187)))</formula>
    </cfRule>
  </conditionalFormatting>
  <conditionalFormatting sqref="X173:Y178">
    <cfRule type="cellIs" dxfId="42" priority="14" stopIfTrue="1" operator="greaterThan">
      <formula>0</formula>
    </cfRule>
  </conditionalFormatting>
  <conditionalFormatting sqref="X173:Y178">
    <cfRule type="cellIs" dxfId="41" priority="12" operator="equal">
      <formula>"NO CUMPLE"</formula>
    </cfRule>
    <cfRule type="cellIs" dxfId="40" priority="13" operator="equal">
      <formula>"CUMPLE"</formula>
    </cfRule>
  </conditionalFormatting>
  <conditionalFormatting sqref="X180">
    <cfRule type="cellIs" dxfId="39" priority="9" stopIfTrue="1" operator="equal">
      <formula>"VERIFICAR"</formula>
    </cfRule>
    <cfRule type="cellIs" dxfId="38" priority="10" stopIfTrue="1" operator="equal">
      <formula>"NO CUMPLE"</formula>
    </cfRule>
    <cfRule type="cellIs" dxfId="37" priority="11" stopIfTrue="1" operator="equal">
      <formula>"CUMPLE"</formula>
    </cfRule>
  </conditionalFormatting>
  <conditionalFormatting sqref="Y180">
    <cfRule type="cellIs" dxfId="36" priority="6" stopIfTrue="1" operator="equal">
      <formula>"VERIFICAR"</formula>
    </cfRule>
    <cfRule type="cellIs" dxfId="35" priority="7" stopIfTrue="1" operator="equal">
      <formula>"NO CUMPLE"</formula>
    </cfRule>
    <cfRule type="cellIs" dxfId="34" priority="8" stopIfTrue="1" operator="equal">
      <formula>"CUMPLE"</formula>
    </cfRule>
  </conditionalFormatting>
  <conditionalFormatting sqref="G185">
    <cfRule type="cellIs" dxfId="33" priority="5" stopIfTrue="1" operator="notBetween">
      <formula>"N/A"</formula>
      <formula>"REVISAR"</formula>
    </cfRule>
  </conditionalFormatting>
  <conditionalFormatting sqref="G185:G186">
    <cfRule type="cellIs" dxfId="32" priority="4" operator="equal">
      <formula>"REVISAR"</formula>
    </cfRule>
  </conditionalFormatting>
  <conditionalFormatting sqref="D173:D175">
    <cfRule type="cellIs" dxfId="31" priority="2" stopIfTrue="1" operator="greaterThan">
      <formula>0</formula>
    </cfRule>
  </conditionalFormatting>
  <conditionalFormatting sqref="E173:E175">
    <cfRule type="cellIs" dxfId="30" priority="1" stopIfTrue="1" operator="greaterThan">
      <formula>0</formula>
    </cfRule>
  </conditionalFormatting>
  <dataValidations count="13">
    <dataValidation operator="greaterThan" allowBlank="1" showInputMessage="1" showErrorMessage="1" sqref="K66:K68 K43:K44 K20:K21 K92:K97 K119:K124 K146:K151 K173:K178" xr:uid="{00000000-0002-0000-0300-000000000000}"/>
    <dataValidation type="list" allowBlank="1" showInputMessage="1" showErrorMessage="1" sqref="U26 U49 U73 U102 U129 U156 U183" xr:uid="{00000000-0002-0000-0300-000001000000}">
      <formula1>Estado</formula1>
    </dataValidation>
    <dataValidation type="list" allowBlank="1" showInputMessage="1" showErrorMessage="1" sqref="H43:H44 H20:H21 H173:H178 H92:H97 H119:H124 H146:H151 H66:H68" xr:uid="{00000000-0002-0000-0300-000002000000}">
      <formula1>PEJECUCION</formula1>
    </dataValidation>
    <dataValidation type="list" allowBlank="1" showInputMessage="1" showErrorMessage="1" promptTitle="INSCRIPCIÓN EN EL RUP" prompt="En caso que se trate de PERSONAS NATURALES O JURÍDICAS EXTRANJERAS SIN DOMICILIO O SUCURSAL EN COLOMBIA, indicar N.A." sqref="O66 O43:O44 O173:O174 O92:O97 O119 O146 O20:O21 O68" xr:uid="{00000000-0002-0000-0300-000003000000}">
      <formula1>SINO</formula1>
    </dataValidation>
    <dataValidation type="list" allowBlank="1" showErrorMessage="1" sqref="P43:P44 P20:P21 P173:P178 P92:P97 P119:P124 P146:P151 P66:P68" xr:uid="{00000000-0002-0000-0300-000004000000}">
      <formula1>EXPERACEPTABLE</formula1>
    </dataValidation>
    <dataValidation allowBlank="1" showInputMessage="1" showErrorMessage="1" promptTitle="ADVERTENCIA!" prompt="Si el NOMBRE DEL INTEGRANTE este cuadro no coincide exactamente al NOMBRE DEL INTEGRANTE QUE APORTA LA EXPERIENCIA en el cuadro de arriba, el valor aportado no se calculara correctamente." sqref="L30 L53 L77 L106 L133 L160 L187" xr:uid="{00000000-0002-0000-0300-000007000000}"/>
    <dataValidation type="decimal" allowBlank="1" showInputMessage="1" showErrorMessage="1" sqref="T29 T52 T76 T105 T132 T159 T186" xr:uid="{EF16E313-6B52-4E1E-BFDB-F8DBF5718F5C}">
      <formula1>-0.0000007</formula1>
      <formula2>-0.0000007</formula2>
    </dataValidation>
    <dataValidation type="list" allowBlank="1" showInputMessage="1" showErrorMessage="1" promptTitle="INSCRIPCIÓN EN EL RUP" sqref="O120:O124 O175:O178 O147:O151 O67" xr:uid="{AAA52828-E0B1-4BF0-99F5-859590C47979}">
      <formula1>SINO</formula1>
    </dataValidation>
    <dataValidation type="decimal" allowBlank="1" showInputMessage="1" showErrorMessage="1" errorTitle="CELDA FORMULADA" error="ESTA CELDA ESTA FORMULADA" sqref="H30:K30 Y23 I36:P36 J35:K35 Y65 E32:G32 H31:H36 I31:L34 M30:O34 Y19 H53:K53 Y46 I59:P59 J58:K58 R43:S44 M43:M44 E55:G55 H54:H59 I54:L57 M53:O57 Y42 M187:O191 H77:K77 Y70 I83:P83 J82:K82 R66:S68 M66:M68 E79:G79 H78:H83 I78:L81 M77:O81 M20:M21 I188:L191 Y91 H106:K106 Y99 I112:P112 J111:K111 R92:S97 M92:M97 E108:G108 H107:H112 I107:L110 M106:O110 Y118 Y122:Y124 H133:K133 Y126 I139:P139 J138:K138 R119:S124 M119:M124 E135:G135 H134:H139 I134:L137 M133:O137 Y145 Y149:Y151 H160:K160 Y153 I166:P166 J165:K165 R146:S151 M146:M151 E162:G162 H161:H166 I161:L164 M160:O164 Y172 Y176:Y178 H187:K187 Y180 I193:P193 J192:K192 R173:S178 M173:M178 E189:G189 H188:H193 R20:S21" xr:uid="{DDE4B936-47A0-473D-8824-1E9C349EC16E}">
      <formula1>-0.0000007</formula1>
      <formula2>0.0000007</formula2>
    </dataValidation>
    <dataValidation type="decimal" errorStyle="warning" allowBlank="1" showInputMessage="1" showErrorMessage="1" sqref="X17:Y17 X143:Y143 X40:Y40 X63:Y63 X89:Y89 X116:Y116 X170:Y170" xr:uid="{DECBD8F5-EA13-4DD5-B095-C98168BBB50C}">
      <formula1>-0.0000007</formula1>
      <formula2>0.0000007</formula2>
    </dataValidation>
    <dataValidation type="decimal" errorStyle="warning" allowBlank="1" showInputMessage="1" showErrorMessage="1" errorTitle="CELDA FORMULADA" error="ESTA CELDA ESTA FORMULADA" sqref="G35 E28:E29 G28:G29 G75:G76 G58 E51:E52 G51:G52 E185:E186 G82 E75:E76 G104:G105 G111 E104:E105 G131:G132 G138 E131:E132 G158:G159 G165 E158:E159 G185:G186 G192" xr:uid="{4F58CCC3-8434-4E9B-AF22-D29457F6C349}">
      <formula1>-0.0000007</formula1>
      <formula2>0.0000007</formula2>
    </dataValidation>
    <dataValidation type="list" allowBlank="1" showInputMessage="1" showErrorMessage="1" sqref="R36:S36 R59:S59 R83:S83 R112:S112 R139:S139 R166:S166 R193:S193" xr:uid="{3832D634-3B95-4CAE-A13D-01283EE0DF9D}">
      <formula1>"MIPYME, EMEM,MIPYME Y EMEM"</formula1>
    </dataValidation>
    <dataValidation type="list" allowBlank="1" showInputMessage="1" showErrorMessage="1" sqref="X20:Y21 X173:X178 X66:Y68 X92:Y97 Y119:Y121 X119:X124 Y146:Y148 X146:X151 Y173:Y175 X43:Y44" xr:uid="{0FAD05EB-4D2C-4D19-9197-3908B26E356E}">
      <formula1>"CUMPLE,NO CUMPLE,VERIFICAR"</formula1>
    </dataValidation>
  </dataValidations>
  <printOptions horizontalCentered="1"/>
  <pageMargins left="0.39370078740157483" right="0.39370078740157483" top="0.59055118110236227" bottom="0.19685039370078741" header="0.15748031496062992" footer="0.19685039370078741"/>
  <pageSetup paperSize="14" scale="27" fitToHeight="0" orientation="landscape" horizontalDpi="1200" verticalDpi="1200" r:id="rId6"/>
  <headerFooter alignWithMargins="0"/>
  <drawing r:id="rId7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201864" stopIfTrue="1" operator="containsText" id="{A60DE95C-230B-49FF-9919-608B69040B10}">
            <xm:f>NOT(ISERROR(SEARCH("N/A",G28)))</xm:f>
            <xm:f>"N/A"</xm:f>
            <x14:dxf>
              <font>
                <b/>
                <i val="0"/>
                <color rgb="FFB80000"/>
              </font>
              <fill>
                <patternFill>
                  <bgColor rgb="FFFFD5D5"/>
                </patternFill>
              </fill>
            </x14:dxf>
          </x14:cfRule>
          <xm:sqref>G28</xm:sqref>
        </x14:conditionalFormatting>
        <x14:conditionalFormatting xmlns:xm="http://schemas.microsoft.com/office/excel/2006/main">
          <x14:cfRule type="containsText" priority="600" stopIfTrue="1" operator="containsText" id="{5897FC16-F578-4B61-AA06-2B58ED9EA836}">
            <xm:f>NOT(ISERROR(SEARCH("N/A",G51)))</xm:f>
            <xm:f>"N/A"</xm:f>
            <x14:dxf>
              <font>
                <b/>
                <i val="0"/>
                <color rgb="FFB80000"/>
              </font>
              <fill>
                <patternFill>
                  <bgColor rgb="FFFFD5D5"/>
                </patternFill>
              </fill>
            </x14:dxf>
          </x14:cfRule>
          <xm:sqref>G51</xm:sqref>
        </x14:conditionalFormatting>
        <x14:conditionalFormatting xmlns:xm="http://schemas.microsoft.com/office/excel/2006/main">
          <x14:cfRule type="containsText" priority="490" stopIfTrue="1" operator="containsText" id="{4F76F38E-9308-4311-84C0-8F213AB3CC0E}">
            <xm:f>NOT(ISERROR(SEARCH("N/A",G75)))</xm:f>
            <xm:f>"N/A"</xm:f>
            <x14:dxf>
              <font>
                <b/>
                <i val="0"/>
                <color rgb="FFB80000"/>
              </font>
              <fill>
                <patternFill>
                  <bgColor rgb="FFFFD5D5"/>
                </patternFill>
              </fill>
            </x14:dxf>
          </x14:cfRule>
          <xm:sqref>G75</xm:sqref>
        </x14:conditionalFormatting>
        <x14:conditionalFormatting xmlns:xm="http://schemas.microsoft.com/office/excel/2006/main">
          <x14:cfRule type="containsText" priority="294" stopIfTrue="1" operator="containsText" id="{5FF67B93-6FE8-4E62-8D08-10981ADF9C9E}">
            <xm:f>NOT(ISERROR(SEARCH("N/A",G104)))</xm:f>
            <xm:f>"N/A"</xm:f>
            <x14:dxf>
              <font>
                <b/>
                <i val="0"/>
                <color rgb="FFB80000"/>
              </font>
              <fill>
                <patternFill>
                  <bgColor rgb="FFFFD5D5"/>
                </patternFill>
              </fill>
            </x14:dxf>
          </x14:cfRule>
          <xm:sqref>G104</xm:sqref>
        </x14:conditionalFormatting>
        <x14:conditionalFormatting xmlns:xm="http://schemas.microsoft.com/office/excel/2006/main">
          <x14:cfRule type="containsText" priority="197" stopIfTrue="1" operator="containsText" id="{FB88D755-7E7E-4912-AD47-7BF4039BC0EA}">
            <xm:f>NOT(ISERROR(SEARCH("N/A",G131)))</xm:f>
            <xm:f>"N/A"</xm:f>
            <x14:dxf>
              <font>
                <b/>
                <i val="0"/>
                <color rgb="FFB80000"/>
              </font>
              <fill>
                <patternFill>
                  <bgColor rgb="FFFFD5D5"/>
                </patternFill>
              </fill>
            </x14:dxf>
          </x14:cfRule>
          <xm:sqref>G131</xm:sqref>
        </x14:conditionalFormatting>
        <x14:conditionalFormatting xmlns:xm="http://schemas.microsoft.com/office/excel/2006/main">
          <x14:cfRule type="containsText" priority="100" stopIfTrue="1" operator="containsText" id="{7E9ED69B-65F1-428A-89FD-BFFBCBA3A12F}">
            <xm:f>NOT(ISERROR(SEARCH("N/A",G158)))</xm:f>
            <xm:f>"N/A"</xm:f>
            <x14:dxf>
              <font>
                <b/>
                <i val="0"/>
                <color rgb="FFB80000"/>
              </font>
              <fill>
                <patternFill>
                  <bgColor rgb="FFFFD5D5"/>
                </patternFill>
              </fill>
            </x14:dxf>
          </x14:cfRule>
          <xm:sqref>G158</xm:sqref>
        </x14:conditionalFormatting>
        <x14:conditionalFormatting xmlns:xm="http://schemas.microsoft.com/office/excel/2006/main">
          <x14:cfRule type="containsText" priority="3" stopIfTrue="1" operator="containsText" id="{6803756F-596E-4972-8791-6A1332FF7B8D}">
            <xm:f>NOT(ISERROR(SEARCH("N/A",G185)))</xm:f>
            <xm:f>"N/A"</xm:f>
            <x14:dxf>
              <font>
                <b/>
                <i val="0"/>
                <color rgb="FFB80000"/>
              </font>
              <fill>
                <patternFill>
                  <bgColor rgb="FFFFD5D5"/>
                </patternFill>
              </fill>
            </x14:dxf>
          </x14:cfRule>
          <xm:sqref>G185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Hoja12">
    <tabColor rgb="FFFFFF00"/>
    <pageSetUpPr fitToPage="1"/>
  </sheetPr>
  <dimension ref="A1:K20"/>
  <sheetViews>
    <sheetView showGridLines="0" workbookViewId="0">
      <selection activeCell="G16" sqref="G16"/>
    </sheetView>
  </sheetViews>
  <sheetFormatPr baseColWidth="10" defaultColWidth="11" defaultRowHeight="12.75"/>
  <cols>
    <col min="1" max="1" width="1.125" style="9" customWidth="1"/>
    <col min="2" max="2" width="10.125" style="9" customWidth="1"/>
    <col min="3" max="3" width="23.125" style="9" customWidth="1"/>
    <col min="4" max="4" width="12.375" style="9" customWidth="1"/>
    <col min="5" max="5" width="18.25" style="9" customWidth="1"/>
    <col min="6" max="6" width="18.375" style="9" customWidth="1"/>
    <col min="7" max="7" width="12.375" style="9" bestFit="1" customWidth="1"/>
    <col min="8" max="8" width="58.5" style="9" customWidth="1"/>
    <col min="9" max="16384" width="11" style="9"/>
  </cols>
  <sheetData>
    <row r="1" spans="1:11" s="1" customFormat="1" ht="15.75">
      <c r="A1" s="35"/>
      <c r="B1" s="401" t="str">
        <f>PRESUPUESTOS!B1</f>
        <v>INSTITUTO NACIONAL DE VÍAS</v>
      </c>
      <c r="C1" s="401"/>
      <c r="D1" s="401"/>
      <c r="E1" s="401"/>
      <c r="F1" s="401"/>
      <c r="G1" s="401"/>
      <c r="H1" s="401"/>
    </row>
    <row r="2" spans="1:11" s="1" customFormat="1" ht="15.75">
      <c r="A2" s="35"/>
      <c r="B2" s="401" t="str">
        <f>PRESUPUESTOS!B2</f>
        <v>DIRECCIÓN GENERAL</v>
      </c>
      <c r="C2" s="401"/>
      <c r="D2" s="401"/>
      <c r="E2" s="401"/>
      <c r="F2" s="401"/>
      <c r="G2" s="401"/>
      <c r="H2" s="401"/>
    </row>
    <row r="3" spans="1:11" s="1" customFormat="1" ht="15.75">
      <c r="A3" s="35"/>
      <c r="B3" s="401" t="str">
        <f>PRESUPUESTOS!B3</f>
        <v>DIRECCION TERRITORIAL VALLE</v>
      </c>
      <c r="C3" s="401"/>
      <c r="D3" s="401"/>
      <c r="E3" s="401"/>
      <c r="F3" s="401"/>
      <c r="G3" s="401"/>
      <c r="H3" s="401"/>
    </row>
    <row r="4" spans="1:11" s="1" customFormat="1" ht="15.75">
      <c r="A4" s="35"/>
      <c r="B4" s="401" t="str">
        <f>PRESUPUESTOS!B4</f>
        <v>DIRECCION DE OPERACIÓN Y EJECUCION</v>
      </c>
      <c r="C4" s="401"/>
      <c r="D4" s="401"/>
      <c r="E4" s="401"/>
      <c r="F4" s="401"/>
      <c r="G4" s="401"/>
      <c r="H4" s="401"/>
    </row>
    <row r="5" spans="1:11" s="1" customFormat="1" ht="15.75">
      <c r="A5" s="35"/>
      <c r="B5" s="401" t="str">
        <f>PRESUPUESTOS!B5</f>
        <v>SA-MC-DT-VAL-005-2024</v>
      </c>
      <c r="C5" s="401"/>
      <c r="D5" s="401"/>
      <c r="E5" s="401"/>
      <c r="F5" s="401"/>
      <c r="G5" s="401"/>
      <c r="H5" s="401"/>
    </row>
    <row r="6" spans="1:11" s="1" customFormat="1" ht="31.5" customHeight="1">
      <c r="A6" s="35"/>
      <c r="B6" s="401" t="str">
        <f>PRESUPUESTOS!B6</f>
        <v>OBJETO: ATENCIÓN SITIOS CRÍTICOS DE LA RED TERCIARIA A CARGO DEL INVIAS A TRAVÉS DEL SISTEMA DE MONTO AGOTABLE EN VÍAS A CARGO DE LA DIRECCIÓN TERRITORIAL VALLE DEL CAUCA</v>
      </c>
      <c r="C6" s="401"/>
      <c r="D6" s="401"/>
      <c r="E6" s="401"/>
      <c r="F6" s="401"/>
      <c r="G6" s="401"/>
      <c r="H6" s="401"/>
    </row>
    <row r="7" spans="1:11">
      <c r="B7" s="10"/>
      <c r="C7" s="11"/>
      <c r="D7" s="11"/>
      <c r="E7" s="11"/>
      <c r="F7" s="11"/>
      <c r="G7" s="12"/>
      <c r="H7" s="13"/>
    </row>
    <row r="8" spans="1:11">
      <c r="B8" s="402" t="str">
        <f>"CUADRO No. 4"</f>
        <v>CUADRO No. 4</v>
      </c>
      <c r="C8" s="402"/>
      <c r="D8" s="402"/>
      <c r="E8" s="402"/>
      <c r="F8" s="402"/>
      <c r="G8" s="402"/>
      <c r="H8" s="402"/>
    </row>
    <row r="9" spans="1:11" ht="18">
      <c r="B9" s="403">
        <v>1</v>
      </c>
      <c r="C9" s="403"/>
      <c r="D9" s="403"/>
      <c r="E9" s="403"/>
      <c r="F9" s="403"/>
      <c r="G9" s="403"/>
      <c r="H9" s="403"/>
    </row>
    <row r="10" spans="1:11" ht="13.5" thickBot="1">
      <c r="B10" s="13"/>
      <c r="C10" s="14"/>
      <c r="D10" s="14"/>
      <c r="E10" s="14"/>
      <c r="F10" s="14"/>
      <c r="G10" s="14"/>
    </row>
    <row r="11" spans="1:11" ht="35.25" customHeight="1">
      <c r="B11" s="407" t="s">
        <v>21</v>
      </c>
      <c r="C11" s="409" t="s">
        <v>10</v>
      </c>
      <c r="D11" s="406"/>
      <c r="E11" s="406"/>
      <c r="F11" s="406"/>
      <c r="G11" s="406"/>
      <c r="H11" s="404" t="s">
        <v>22</v>
      </c>
    </row>
    <row r="12" spans="1:11" ht="71.25" customHeight="1" thickBot="1">
      <c r="B12" s="408"/>
      <c r="C12" s="410"/>
      <c r="D12" s="289" t="s">
        <v>171</v>
      </c>
      <c r="E12" s="289" t="s">
        <v>169</v>
      </c>
      <c r="F12" s="289" t="s">
        <v>170</v>
      </c>
      <c r="G12" s="289" t="s">
        <v>43</v>
      </c>
      <c r="H12" s="405"/>
      <c r="K12" s="187"/>
    </row>
    <row r="13" spans="1:11" ht="3" customHeight="1">
      <c r="B13" s="158"/>
      <c r="C13" s="76"/>
      <c r="D13" s="76"/>
      <c r="E13" s="76"/>
      <c r="F13" s="76"/>
      <c r="G13" s="76"/>
      <c r="H13" s="159"/>
    </row>
    <row r="14" spans="1:11" ht="21.6" customHeight="1">
      <c r="B14" s="290">
        <f>PROPONENTES!C14</f>
        <v>1</v>
      </c>
      <c r="C14" s="291" t="str">
        <f>VLOOKUP(B14,PROPONENTES!$C$14:$D$21,2,FALSE)</f>
        <v>TULCAN L J EIVAR</v>
      </c>
      <c r="D14" s="292" t="str">
        <f>IF(VLOOKUP("G"&amp;B14,EXPERIENCIA!$A$17:$V$5948,21,0)="RECHAZO","RECHAZO",IF(VLOOKUP("H"&amp;B14,EXPERIENCIA!$A$17:$V$5948,13,0)=1,IF(VLOOKUP("M"&amp;B14,EXPERIENCIA!$A$17:$V$5948,7,0)="CUMPLE","HÁBIL","NO HÁBIL"),IF(AND(VLOOKUP("M"&amp;B14,EXPERIENCIA!$A$17:$V$5948,7,0)="CUMPLE",VLOOKUP("Q"&amp;B14,EXPERIENCIA!$A$17:$V$5948,13,0)="CUMPLE"),"HÁBIL","NO HÁBIL")))</f>
        <v>HÁBIL</v>
      </c>
      <c r="E14" s="292" t="str">
        <f>IF(VLOOKUP("G"&amp;B14,EXPERIENCIA!$A$17:$V$61,21,0)="RECHAZO","RECHAZO",IF(VLOOKUP("H"&amp;B14,EXPERIENCIA!$A$17:$V$61,13,0)=1,"NO APLICA",IF(VLOOKUP("Q"&amp;B14,EXPERIENCIA!$A$17:$V$5948,14,0)="CUMPLE","HÁBIL","NO HÁBIL")))</f>
        <v>NO APLICA</v>
      </c>
      <c r="F14" s="292" t="str">
        <f>IF(VLOOKUP("G"&amp;B14,EXPERIENCIA!$A$17:$AC$5948,21,0)="RECHAZO","RECHAZO",IF(VLOOKUP("P"&amp;B14,EXPERIENCIA!$A$17:$AC$5948,7,0)="CUMPLE","HÁBIL","NO HÁBIL"))</f>
        <v>HÁBIL</v>
      </c>
      <c r="G14" s="293" t="str">
        <f>IF(COUNTIF(D14:F14,"")=3,"",IF(COUNTIF(D14:F14,"RECHAZO")&gt;0,"RECHAZO",IF(COUNTIF(D14:F14,"NO HÁBIL")&gt;0,"NO HÁBIL","HÁBIL")))</f>
        <v>HÁBIL</v>
      </c>
      <c r="H14" s="259"/>
    </row>
    <row r="15" spans="1:11" ht="21.6" customHeight="1">
      <c r="B15" s="290">
        <f>PROPONENTES!C15</f>
        <v>2</v>
      </c>
      <c r="C15" s="291" t="str">
        <f>VLOOKUP(B15,PROPONENTES!$C$14:$D$21,2,FALSE)</f>
        <v>CESAR ANTONIO PADRON TORRES</v>
      </c>
      <c r="D15" s="292" t="str">
        <f>IF(VLOOKUP("G"&amp;B15,EXPERIENCIA!$A$17:$V$5948,21,0)="RECHAZO","RECHAZO",IF(VLOOKUP("H"&amp;B15,EXPERIENCIA!$A$17:$V$5948,13,0)=1,IF(VLOOKUP("M"&amp;B15,EXPERIENCIA!$A$17:$V$5948,7,0)="CUMPLE","HÁBIL","NO HÁBIL"),IF(AND(VLOOKUP("M"&amp;B15,EXPERIENCIA!$A$17:$V$5948,7,0)="CUMPLE",VLOOKUP("Q"&amp;B15,EXPERIENCIA!$A$17:$V$5948,13,0)="CUMPLE"),"HÁBIL","NO HÁBIL")))</f>
        <v>HÁBIL</v>
      </c>
      <c r="E15" s="292" t="str">
        <f>IF(VLOOKUP("G"&amp;B15,EXPERIENCIA!$A$17:$V$61,21,0)="RECHAZO","RECHAZO",IF(VLOOKUP("H"&amp;B15,EXPERIENCIA!$A$17:$V$61,13,0)=1,"NO APLICA",IF(VLOOKUP("Q"&amp;B15,EXPERIENCIA!$A$17:$V$5948,14,0)="CUMPLE","HÁBIL","NO HÁBIL")))</f>
        <v>NO APLICA</v>
      </c>
      <c r="F15" s="292" t="str">
        <f>IF(VLOOKUP("G"&amp;B15,EXPERIENCIA!$A$17:$AC$5948,21,0)="RECHAZO","RECHAZO",IF(VLOOKUP("P"&amp;B15,EXPERIENCIA!$A$17:$AC$5948,7,0)="CUMPLE","HÁBIL","NO HÁBIL"))</f>
        <v>HÁBIL</v>
      </c>
      <c r="G15" s="293" t="str">
        <f>IF(COUNTIF(D15:F15,"")=3,"",IF(COUNTIF(D15:F15,"RECHAZO")&gt;0,"RECHAZO",IF(COUNTIF(D15:F15,"NO HÁBIL")&gt;0,"NO HÁBIL","HÁBIL")))</f>
        <v>HÁBIL</v>
      </c>
      <c r="H15" s="259"/>
    </row>
    <row r="16" spans="1:11" ht="37.15" customHeight="1">
      <c r="B16" s="290">
        <f>PROPONENTES!C16</f>
        <v>3</v>
      </c>
      <c r="C16" s="291" t="str">
        <f>VLOOKUP(B16,PROPONENTES!$C$14:$D$21,2,FALSE)</f>
        <v>CONSORCIO LANDA</v>
      </c>
      <c r="D16" s="292" t="str">
        <f>IF(VLOOKUP("G"&amp;B16,EXPERIENCIA!$A$17:$V$5948,21,0)="RECHAZO","RECHAZO",IF(VLOOKUP("H"&amp;B16,EXPERIENCIA!$A$17:$V$5948,13,0)=1,IF(VLOOKUP("M"&amp;B16,EXPERIENCIA!$A$17:$V$5948,7,0)="CUMPLE","HÁBIL","NO HÁBIL"),IF(AND(VLOOKUP("M"&amp;B16,EXPERIENCIA!$A$17:$V$5948,7,0)="CUMPLE",VLOOKUP("Q"&amp;B16,EXPERIENCIA!$A$17:$V$5948,13,0)="CUMPLE"),"HÁBIL","NO HÁBIL")))</f>
        <v>HÁBIL</v>
      </c>
      <c r="E16" s="292" t="str">
        <f>IF(VLOOKUP("G"&amp;B16,EXPERIENCIA!$A$17:$V$5948,21,0)="RECHAZO","RECHAZO",IF(VLOOKUP("H"&amp;B16,EXPERIENCIA!$A$17:$V$5948,13,0)=1,"NO APLICA",IF(VLOOKUP("Q"&amp;B16,EXPERIENCIA!$A$17:$V$5948,14,0)="CUMPLE","HÁBIL","NO HÁBIL")))</f>
        <v>HÁBIL</v>
      </c>
      <c r="F16" s="292" t="str">
        <f>IF(VLOOKUP("G"&amp;B16,EXPERIENCIA!$A$17:$AC$5948,21,0)="RECHAZO","RECHAZO",IF(VLOOKUP("P"&amp;B16,EXPERIENCIA!$A$17:$AC$5948,7,0)="CUMPLE","HÁBIL","NO HÁBIL"))</f>
        <v>NO HÁBIL</v>
      </c>
      <c r="G16" s="293" t="str">
        <f>IF(COUNTIF(D16:F16,"")=3,"",IF(COUNTIF(D16:F16,"RECHAZO")&gt;0,"RECHAZO",IF(COUNTIF(D16:F16,"NO HÁBIL")&gt;0,"NO HÁBIL","HÁBIL")))</f>
        <v>NO HÁBIL</v>
      </c>
      <c r="H16" s="259"/>
    </row>
    <row r="17" spans="2:8" ht="37.15" hidden="1" customHeight="1">
      <c r="B17" s="290">
        <f>PROPONENTES!C17</f>
        <v>0</v>
      </c>
      <c r="C17" s="291" t="e">
        <f>VLOOKUP(B17,PROPONENTES!$C$14:$D$21,2,FALSE)</f>
        <v>#N/A</v>
      </c>
      <c r="D17" s="292" t="e">
        <f>IF(VLOOKUP("G"&amp;B17,EXPERIENCIA!$A$17:$V$5948,21,0)="RECHAZO","RECHAZO",IF(VLOOKUP("H"&amp;B17,EXPERIENCIA!$A$17:$V$5948,13,0)=1,IF(VLOOKUP("M"&amp;B17,EXPERIENCIA!$A$17:$V$5948,7,0)="CUMPLE","HÁBIL","NO HÁBIL"),IF(AND(VLOOKUP("M"&amp;B17,EXPERIENCIA!$A$17:$V$5948,7,0)="CUMPLE",VLOOKUP("Q"&amp;B17,EXPERIENCIA!$A$17:$V$5948,13,0)="CUMPLE"),"HÁBIL","NO HÁBIL")))</f>
        <v>#N/A</v>
      </c>
      <c r="E17" s="292" t="e">
        <f>IF(VLOOKUP("G"&amp;B17,EXPERIENCIA!$A$17:$V$5948,21,0)="RECHAZO","RECHAZO",IF(VLOOKUP("H"&amp;B17,EXPERIENCIA!$A$17:$V$5948,13,0)=1,"NO APLICA",IF(VLOOKUP("Q"&amp;B17,EXPERIENCIA!$A$17:$V$5948,14,0)="CUMPLE","HÁBIL","NO HÁBIL")))</f>
        <v>#N/A</v>
      </c>
      <c r="F17" s="292" t="e">
        <f>IF(VLOOKUP("G"&amp;B17,EXPERIENCIA!$A$17:$AC$5948,21,0)="RECHAZO","RECHAZO",IF(VLOOKUP("P"&amp;B17,EXPERIENCIA!$A$17:$AC$5948,7,0)="CUMPLE","HÁBIL","NO HÁBIL"))</f>
        <v>#N/A</v>
      </c>
      <c r="G17" s="293" t="str">
        <f>IF(COUNTIF(D17:F17,"")=3,"",IF(COUNTIF(D17:F17,"RECHAZO")&gt;0,"RECHAZO",IF(COUNTIF(D17:F17,"NO HÁBIL")&gt;0,"NO HÁBIL","HÁBIL")))</f>
        <v>HÁBIL</v>
      </c>
      <c r="H17" s="161"/>
    </row>
    <row r="18" spans="2:8" ht="37.15" hidden="1" customHeight="1">
      <c r="B18" s="290">
        <f>PROPONENTES!C18</f>
        <v>0</v>
      </c>
      <c r="C18" s="291" t="e">
        <f>VLOOKUP(B18,PROPONENTES!$C$14:$D$21,2,FALSE)</f>
        <v>#N/A</v>
      </c>
      <c r="D18" s="292" t="e">
        <f>IF(VLOOKUP("G"&amp;B18,EXPERIENCIA!$A$17:$V$5948,21,0)="RECHAZO","RECHAZO",IF(VLOOKUP("H"&amp;B18,EXPERIENCIA!$A$17:$V$5948,13,0)=1,IF(VLOOKUP("M"&amp;B18,EXPERIENCIA!$A$17:$V$5948,7,0)="CUMPLE","HÁBIL","NO HÁBIL"),IF(AND(VLOOKUP("M"&amp;B18,EXPERIENCIA!$A$17:$V$5948,7,0)="CUMPLE",VLOOKUP("Q"&amp;B18,EXPERIENCIA!$A$17:$V$5948,13,0)="CUMPLE"),"HÁBIL","NO HÁBIL")))</f>
        <v>#N/A</v>
      </c>
      <c r="E18" s="292" t="e">
        <f>IF(VLOOKUP("G"&amp;B18,EXPERIENCIA!$A$17:$V$5948,21,0)="RECHAZO","RECHAZO",IF(VLOOKUP("H"&amp;B18,EXPERIENCIA!$A$17:$V$5948,13,0)=1,"NO APLICA",IF(VLOOKUP("Q"&amp;B18,EXPERIENCIA!$A$17:$V$5948,14,0)="CUMPLE","HÁBIL","NO HÁBIL")))</f>
        <v>#N/A</v>
      </c>
      <c r="F18" s="292" t="e">
        <f>IF(VLOOKUP("G"&amp;B18,EXPERIENCIA!$A$17:$AC$5948,21,0)="RECHAZO","RECHAZO",IF(VLOOKUP("P"&amp;B18,EXPERIENCIA!$A$17:$AC$5948,7,0)="CUMPLE","HÁBIL","NO HÁBIL"))</f>
        <v>#N/A</v>
      </c>
      <c r="G18" s="293" t="str">
        <f t="shared" ref="G18:G20" si="0">IF(COUNTIF(D18:F18,"")=3,"",IF(COUNTIF(D18:F18,"RECHAZO")&gt;0,"RECHAZO",IF(COUNTIF(D18:F18,"NO HÁBIL")&gt;0,"NO HÁBIL","HÁBIL")))</f>
        <v>HÁBIL</v>
      </c>
      <c r="H18" s="259"/>
    </row>
    <row r="19" spans="2:8" ht="37.15" hidden="1" customHeight="1">
      <c r="B19" s="290">
        <f>PROPONENTES!C19</f>
        <v>0</v>
      </c>
      <c r="C19" s="291" t="e">
        <f>VLOOKUP(B19,PROPONENTES!$C$14:$D$21,2,FALSE)</f>
        <v>#N/A</v>
      </c>
      <c r="D19" s="292" t="e">
        <f>IF(VLOOKUP("G"&amp;B19,EXPERIENCIA!$A$17:$V$5948,21,0)="RECHAZO","RECHAZO",IF(VLOOKUP("H"&amp;B19,EXPERIENCIA!$A$17:$V$5948,13,0)=1,IF(VLOOKUP("M"&amp;B19,EXPERIENCIA!$A$17:$V$5948,7,0)="CUMPLE","HÁBIL","NO HÁBIL"),IF(AND(VLOOKUP("M"&amp;B19,EXPERIENCIA!$A$17:$V$5948,7,0)="CUMPLE",VLOOKUP("Q"&amp;B19,EXPERIENCIA!$A$17:$V$5948,13,0)="CUMPLE"),"HÁBIL","NO HÁBIL")))</f>
        <v>#N/A</v>
      </c>
      <c r="E19" s="292" t="e">
        <f>IF(VLOOKUP("G"&amp;B19,EXPERIENCIA!$A$17:$V$5948,21,0)="RECHAZO","RECHAZO",IF(VLOOKUP("H"&amp;B19,EXPERIENCIA!$A$17:$V$5948,13,0)=1,"NO APLICA",IF(VLOOKUP("Q"&amp;B19,EXPERIENCIA!$A$17:$V$5948,14,0)="CUMPLE","HÁBIL","NO HÁBIL")))</f>
        <v>#N/A</v>
      </c>
      <c r="F19" s="292" t="e">
        <f>IF(VLOOKUP("G"&amp;B19,EXPERIENCIA!$A$17:$AC$5948,21,0)="RECHAZO","RECHAZO",IF(VLOOKUP("P"&amp;B19,EXPERIENCIA!$A$17:$AC$5948,7,0)="CUMPLE","HÁBIL","NO HÁBIL"))</f>
        <v>#N/A</v>
      </c>
      <c r="G19" s="293" t="str">
        <f t="shared" si="0"/>
        <v>HÁBIL</v>
      </c>
      <c r="H19" s="161"/>
    </row>
    <row r="20" spans="2:8" ht="37.15" hidden="1" customHeight="1">
      <c r="B20" s="290">
        <f>PROPONENTES!C20</f>
        <v>0</v>
      </c>
      <c r="C20" s="291" t="e">
        <f>VLOOKUP(B20,PROPONENTES!$C$14:$D$21,2,FALSE)</f>
        <v>#N/A</v>
      </c>
      <c r="D20" s="292" t="e">
        <f>IF(VLOOKUP("G"&amp;B20,EXPERIENCIA!$A$17:$V$5948,21,0)="RECHAZO","RECHAZO",IF(VLOOKUP("H"&amp;B20,EXPERIENCIA!$A$17:$V$5948,13,0)=1,IF(VLOOKUP("M"&amp;B20,EXPERIENCIA!$A$17:$V$5948,7,0)="CUMPLE","HÁBIL","NO HÁBIL"),IF(AND(VLOOKUP("M"&amp;B20,EXPERIENCIA!$A$17:$V$5948,7,0)="CUMPLE",VLOOKUP("Q"&amp;B20,EXPERIENCIA!$A$17:$V$5948,13,0)="CUMPLE"),"HÁBIL","NO HÁBIL")))</f>
        <v>#N/A</v>
      </c>
      <c r="E20" s="292" t="e">
        <f>IF(VLOOKUP("G"&amp;B20,EXPERIENCIA!$A$17:$V$5948,21,0)="RECHAZO","RECHAZO",IF(VLOOKUP("H"&amp;B20,EXPERIENCIA!$A$17:$V$5948,13,0)=1,"NO APLICA",IF(VLOOKUP("Q"&amp;B20,EXPERIENCIA!$A$17:$V$5948,14,0)="CUMPLE","HÁBIL","NO HÁBIL")))</f>
        <v>#N/A</v>
      </c>
      <c r="F20" s="292" t="e">
        <f>IF(VLOOKUP("G"&amp;B20,EXPERIENCIA!$A$17:$AC$5948,21,0)="RECHAZO","RECHAZO",IF(VLOOKUP("P"&amp;B20,EXPERIENCIA!$A$17:$AC$5948,7,0)="CUMPLE","HÁBIL","NO HÁBIL"))</f>
        <v>#N/A</v>
      </c>
      <c r="G20" s="293" t="str">
        <f t="shared" si="0"/>
        <v>HÁBIL</v>
      </c>
      <c r="H20" s="161"/>
    </row>
  </sheetData>
  <sheetProtection insertRows="0" deleteRows="0" selectLockedCells="1"/>
  <mergeCells count="12">
    <mergeCell ref="B8:H8"/>
    <mergeCell ref="B9:H9"/>
    <mergeCell ref="H11:H12"/>
    <mergeCell ref="D11:G11"/>
    <mergeCell ref="B11:B12"/>
    <mergeCell ref="C11:C12"/>
    <mergeCell ref="B6:H6"/>
    <mergeCell ref="B1:H1"/>
    <mergeCell ref="B2:H2"/>
    <mergeCell ref="B3:H3"/>
    <mergeCell ref="B4:H4"/>
    <mergeCell ref="B5:H5"/>
  </mergeCells>
  <conditionalFormatting sqref="C16:G16 B14:G15 B16:B20">
    <cfRule type="expression" dxfId="22" priority="32">
      <formula>MOD(ROW(),2)</formula>
    </cfRule>
  </conditionalFormatting>
  <conditionalFormatting sqref="D14:G16">
    <cfRule type="cellIs" dxfId="21" priority="28" operator="equal">
      <formula>"NO APLICA"</formula>
    </cfRule>
    <cfRule type="cellIs" dxfId="20" priority="29" operator="equal">
      <formula>"HÁBIL"</formula>
    </cfRule>
    <cfRule type="cellIs" dxfId="19" priority="30" operator="equal">
      <formula>"NO HÁBIL"</formula>
    </cfRule>
    <cfRule type="cellIs" dxfId="18" priority="31" operator="equal">
      <formula>"RECHAZO"</formula>
    </cfRule>
  </conditionalFormatting>
  <conditionalFormatting sqref="C17:H17">
    <cfRule type="expression" dxfId="17" priority="12">
      <formula>MOD(ROW(),2)</formula>
    </cfRule>
  </conditionalFormatting>
  <conditionalFormatting sqref="D17:G17">
    <cfRule type="cellIs" dxfId="16" priority="8" operator="equal">
      <formula>"NO APLICA"</formula>
    </cfRule>
    <cfRule type="cellIs" dxfId="15" priority="9" operator="equal">
      <formula>"HÁBIL"</formula>
    </cfRule>
    <cfRule type="cellIs" dxfId="14" priority="10" operator="equal">
      <formula>"NO HÁBIL"</formula>
    </cfRule>
    <cfRule type="cellIs" dxfId="13" priority="11" operator="equal">
      <formula>"RECHAZO"</formula>
    </cfRule>
  </conditionalFormatting>
  <conditionalFormatting sqref="C19:H20 C18:G18">
    <cfRule type="expression" dxfId="12" priority="7">
      <formula>MOD(ROW(),2)</formula>
    </cfRule>
  </conditionalFormatting>
  <conditionalFormatting sqref="D18:G20">
    <cfRule type="cellIs" dxfId="11" priority="3" operator="equal">
      <formula>"NO APLICA"</formula>
    </cfRule>
    <cfRule type="cellIs" dxfId="10" priority="4" operator="equal">
      <formula>"HÁBIL"</formula>
    </cfRule>
    <cfRule type="cellIs" dxfId="9" priority="5" operator="equal">
      <formula>"NO HÁBIL"</formula>
    </cfRule>
    <cfRule type="cellIs" dxfId="8" priority="6" operator="equal">
      <formula>"RECHAZO"</formula>
    </cfRule>
  </conditionalFormatting>
  <conditionalFormatting sqref="H14:H16">
    <cfRule type="cellIs" dxfId="7" priority="2" stopIfTrue="1" operator="greaterThan">
      <formula>0</formula>
    </cfRule>
  </conditionalFormatting>
  <conditionalFormatting sqref="H18">
    <cfRule type="cellIs" dxfId="6" priority="1" stopIfTrue="1" operator="greaterThan">
      <formula>0</formula>
    </cfRule>
  </conditionalFormatting>
  <printOptions horizontalCentered="1"/>
  <pageMargins left="0.39370078740157483" right="0.39370078740157483" top="0.39370078740157483" bottom="1.5748031496062993" header="0" footer="0"/>
  <pageSetup scale="56" fitToHeight="0" orientation="portrait" horizontalDpi="1200" verticalDpi="12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286AF7-F85D-4E2E-B8F6-2EA7BFE7F030}">
  <sheetPr codeName="Hoja19">
    <tabColor theme="4" tint="0.59999389629810485"/>
    <pageSetUpPr fitToPage="1"/>
  </sheetPr>
  <dimension ref="A1:N22"/>
  <sheetViews>
    <sheetView showGridLines="0" tabSelected="1" zoomScaleNormal="100" zoomScaleSheetLayoutView="90" workbookViewId="0">
      <selection activeCell="H26" sqref="H26"/>
    </sheetView>
  </sheetViews>
  <sheetFormatPr baseColWidth="10" defaultColWidth="0" defaultRowHeight="12.75"/>
  <cols>
    <col min="1" max="1" width="1.125" style="9" customWidth="1"/>
    <col min="2" max="2" width="6.875" style="9" customWidth="1"/>
    <col min="3" max="3" width="10.625" style="9" customWidth="1"/>
    <col min="4" max="4" width="17.875" style="9" customWidth="1"/>
    <col min="5" max="5" width="9" style="9" customWidth="1"/>
    <col min="6" max="6" width="11.25" style="9" customWidth="1"/>
    <col min="7" max="7" width="10.75" style="9" customWidth="1"/>
    <col min="8" max="8" width="10.375" style="9" customWidth="1"/>
    <col min="9" max="9" width="10.5" style="9" customWidth="1"/>
    <col min="10" max="10" width="10" style="9" customWidth="1"/>
    <col min="11" max="11" width="10" style="191" hidden="1" customWidth="1"/>
    <col min="12" max="13" width="10" style="9" customWidth="1"/>
    <col min="14" max="14" width="0" style="9" hidden="1" customWidth="1"/>
    <col min="15" max="16384" width="10" style="9" hidden="1"/>
  </cols>
  <sheetData>
    <row r="1" spans="1:11" s="1" customFormat="1" ht="18">
      <c r="A1" s="35"/>
      <c r="B1" s="427" t="str">
        <f>PROPONENTES!B1</f>
        <v>INSTITUTO NACIONAL DE VÍAS</v>
      </c>
      <c r="C1" s="427"/>
      <c r="D1" s="427"/>
      <c r="E1" s="427"/>
      <c r="F1" s="427"/>
      <c r="G1" s="427"/>
      <c r="H1" s="427"/>
      <c r="I1" s="427"/>
      <c r="K1" s="188"/>
    </row>
    <row r="2" spans="1:11" s="1" customFormat="1" ht="18">
      <c r="A2" s="35"/>
      <c r="B2" s="427" t="str">
        <f>PROPONENTES!B2</f>
        <v>DIRECCIÓN GENERAL</v>
      </c>
      <c r="C2" s="427"/>
      <c r="D2" s="427"/>
      <c r="E2" s="427"/>
      <c r="F2" s="427"/>
      <c r="G2" s="427"/>
      <c r="H2" s="427"/>
      <c r="I2" s="427"/>
      <c r="K2" s="188"/>
    </row>
    <row r="3" spans="1:11" s="1" customFormat="1" ht="15.75">
      <c r="A3" s="35"/>
      <c r="B3" s="426" t="str">
        <f>PROPONENTES!B3</f>
        <v>DIRECCION TERRITORIAL VALLE</v>
      </c>
      <c r="C3" s="426"/>
      <c r="D3" s="426"/>
      <c r="E3" s="426"/>
      <c r="F3" s="426"/>
      <c r="G3" s="426"/>
      <c r="H3" s="426"/>
      <c r="I3" s="426"/>
      <c r="K3" s="188"/>
    </row>
    <row r="4" spans="1:11" s="1" customFormat="1" ht="15.75">
      <c r="A4" s="35"/>
      <c r="B4" s="426" t="str">
        <f>PROPONENTES!B4</f>
        <v>DIRECCION DE OPERACIÓN Y EJECUCION</v>
      </c>
      <c r="C4" s="426"/>
      <c r="D4" s="426"/>
      <c r="E4" s="426"/>
      <c r="F4" s="426"/>
      <c r="G4" s="426"/>
      <c r="H4" s="426"/>
      <c r="I4" s="426"/>
      <c r="K4" s="188"/>
    </row>
    <row r="5" spans="1:11" s="1" customFormat="1" ht="15.75">
      <c r="A5" s="35"/>
      <c r="B5" s="426" t="str">
        <f>PROPONENTES!B5</f>
        <v>SA-MC-DT-VAL-005-2024</v>
      </c>
      <c r="C5" s="426"/>
      <c r="D5" s="426"/>
      <c r="E5" s="426"/>
      <c r="F5" s="426"/>
      <c r="G5" s="426"/>
      <c r="H5" s="426"/>
      <c r="I5" s="426"/>
      <c r="K5" s="188"/>
    </row>
    <row r="6" spans="1:11" s="1" customFormat="1" ht="15.75">
      <c r="A6" s="35"/>
      <c r="B6" s="426" t="str">
        <f>+PROPONENTES!B6</f>
        <v>OBJETO: ATENCIÓN SITIOS CRÍTICOS DE LA RED TERCIARIA A CARGO DEL INVIAS A TRAVÉS DEL SISTEMA DE MONTO AGOTABLE EN VÍAS A CARGO DE LA DIRECCIÓN TERRITORIAL VALLE DEL CAUCA</v>
      </c>
      <c r="C6" s="426"/>
      <c r="D6" s="426"/>
      <c r="E6" s="426"/>
      <c r="F6" s="426"/>
      <c r="G6" s="426"/>
      <c r="H6" s="426"/>
      <c r="I6" s="426"/>
      <c r="K6" s="188"/>
    </row>
    <row r="7" spans="1:11" ht="15.75">
      <c r="B7" s="189"/>
      <c r="C7" s="190"/>
      <c r="D7" s="11"/>
      <c r="E7" s="11"/>
      <c r="F7" s="11"/>
      <c r="G7" s="11"/>
    </row>
    <row r="8" spans="1:11" ht="15.75">
      <c r="B8" s="413" t="str">
        <f>"CUADRO No. 5"</f>
        <v>CUADRO No. 5</v>
      </c>
      <c r="C8" s="413"/>
      <c r="D8" s="413"/>
      <c r="E8" s="413"/>
      <c r="F8" s="413"/>
      <c r="G8" s="413"/>
      <c r="H8" s="413"/>
      <c r="I8" s="413"/>
    </row>
    <row r="9" spans="1:11" ht="18">
      <c r="B9" s="414">
        <v>1</v>
      </c>
      <c r="C9" s="414"/>
      <c r="D9" s="414"/>
      <c r="E9" s="414"/>
      <c r="F9" s="414"/>
      <c r="G9" s="414"/>
      <c r="H9" s="414"/>
      <c r="I9" s="414"/>
    </row>
    <row r="10" spans="1:11" ht="24" thickBot="1">
      <c r="B10" s="13" t="s">
        <v>127</v>
      </c>
      <c r="C10" s="13"/>
      <c r="D10" s="192"/>
      <c r="E10" s="193"/>
      <c r="F10" s="193"/>
      <c r="G10" s="193"/>
    </row>
    <row r="11" spans="1:11" ht="24" customHeight="1" thickBot="1">
      <c r="B11" s="415" t="s">
        <v>128</v>
      </c>
      <c r="C11" s="416"/>
      <c r="D11" s="416"/>
      <c r="E11" s="416"/>
      <c r="F11" s="416"/>
      <c r="G11" s="416"/>
      <c r="H11" s="416"/>
      <c r="I11" s="417"/>
    </row>
    <row r="12" spans="1:11" ht="15" customHeight="1">
      <c r="B12" s="418" t="s">
        <v>41</v>
      </c>
      <c r="C12" s="420" t="s">
        <v>174</v>
      </c>
      <c r="D12" s="422" t="s">
        <v>10</v>
      </c>
      <c r="E12" s="424" t="s">
        <v>129</v>
      </c>
      <c r="F12" s="425" t="s">
        <v>173</v>
      </c>
      <c r="G12" s="424" t="s">
        <v>172</v>
      </c>
      <c r="H12" s="411" t="s">
        <v>130</v>
      </c>
      <c r="I12" s="411" t="s">
        <v>131</v>
      </c>
    </row>
    <row r="13" spans="1:11" ht="18.75" customHeight="1">
      <c r="B13" s="418"/>
      <c r="C13" s="420"/>
      <c r="D13" s="422"/>
      <c r="E13" s="422"/>
      <c r="F13" s="420"/>
      <c r="G13" s="422"/>
      <c r="H13" s="412"/>
      <c r="I13" s="412"/>
    </row>
    <row r="14" spans="1:11" ht="23.25" customHeight="1" thickBot="1">
      <c r="B14" s="419"/>
      <c r="C14" s="421"/>
      <c r="D14" s="423"/>
      <c r="E14" s="423"/>
      <c r="F14" s="421"/>
      <c r="G14" s="423"/>
      <c r="H14" s="288" t="s">
        <v>132</v>
      </c>
      <c r="I14" s="288" t="s">
        <v>132</v>
      </c>
    </row>
    <row r="15" spans="1:11" ht="3" customHeight="1">
      <c r="B15" s="194"/>
      <c r="C15" s="195"/>
      <c r="D15" s="76"/>
      <c r="E15" s="196"/>
      <c r="F15" s="197"/>
      <c r="G15" s="197"/>
      <c r="H15" s="198"/>
      <c r="I15" s="198"/>
    </row>
    <row r="16" spans="1:11" ht="28.5" customHeight="1">
      <c r="B16" s="160">
        <v>1</v>
      </c>
      <c r="C16" s="199">
        <f>IF(VLOOKUP(B16,PROPONENTES!$B$14:$E$26,2,0)="","",VLOOKUP(B16,PROPONENTES!$B$14:$E$26,2,0))</f>
        <v>1</v>
      </c>
      <c r="D16" s="200" t="str">
        <f>IF(VLOOKUP(B16,PROPONENTES!$B$14:$E$25,3,0)="","",VLOOKUP(B16,PROPONENTES!$B$14:$E$25,3,0))</f>
        <v>TULCAN L J EIVAR</v>
      </c>
      <c r="E16" s="201" t="s">
        <v>133</v>
      </c>
      <c r="F16" s="201" t="s">
        <v>133</v>
      </c>
      <c r="G16" s="201" t="s">
        <v>133</v>
      </c>
      <c r="H16" s="202" t="str">
        <f>IF(C16&lt;&gt;"",VLOOKUP(C16,RESUMEN!$B$14:$G$20,6,0),"")</f>
        <v>HÁBIL</v>
      </c>
      <c r="I16" s="202" t="str">
        <f>IF(OR(COUNTIF(E16:H16,"")=4,COUNTIF(E16:H16,"")&gt;0),"",IF(COUNTIF(E16:H16,"RECHAZO")&gt;0,"RECHAZO",IF(COUNTIF(E16:H16,"NO HÁBIL")=0,"HÁBIL","NO HÁBIL")))</f>
        <v>HÁBIL</v>
      </c>
      <c r="K16" s="191" t="str">
        <f t="shared" ref="K16:K17" si="0">IF(OR(COUNTIF(E16:G16,"")=3,COUNTIF(E16:G16,"")&gt;0),"",IF(COUNTIF(E16:G16,"RECHAZO")&gt;0,"RECHAZO",IF(COUNTIF(E16:G16,"NO HÁBIL")&gt;0,"NO HÁBIL","HÁBIL")))</f>
        <v>HÁBIL</v>
      </c>
    </row>
    <row r="17" spans="2:11" ht="24" customHeight="1">
      <c r="B17" s="160">
        <v>2</v>
      </c>
      <c r="C17" s="199">
        <f>IF(VLOOKUP(B17,PROPONENTES!$B$14:$E$26,2,0)="","",VLOOKUP(B17,PROPONENTES!$B$14:$E$26,2,0))</f>
        <v>2</v>
      </c>
      <c r="D17" s="200" t="str">
        <f>IF(VLOOKUP(B17,PROPONENTES!$B$14:$E$25,3,0)="","",VLOOKUP(B17,PROPONENTES!$B$14:$E$25,3,0))</f>
        <v>CESAR ANTONIO PADRON TORRES</v>
      </c>
      <c r="E17" s="201" t="s">
        <v>133</v>
      </c>
      <c r="F17" s="201" t="s">
        <v>133</v>
      </c>
      <c r="G17" s="201" t="s">
        <v>133</v>
      </c>
      <c r="H17" s="202" t="str">
        <f>IF(C17&lt;&gt;"",VLOOKUP(C17,RESUMEN!$B$14:$G$20,6,0),"")</f>
        <v>HÁBIL</v>
      </c>
      <c r="I17" s="202" t="str">
        <f t="shared" ref="I17" si="1">IF(OR(COUNTIF(E17:H17,"")=5,COUNTIF(E17:H17,"")&gt;0),"",IF(COUNTIF(E17:H17,"RECHAZO")&gt;0,"RECHAZO",IF(COUNTIF(E17:H17,"NO HÁBIL")=0,"HÁBIL","NO HÁBIL")))</f>
        <v>HÁBIL</v>
      </c>
      <c r="K17" s="191" t="str">
        <f t="shared" si="0"/>
        <v>HÁBIL</v>
      </c>
    </row>
    <row r="18" spans="2:11" ht="29.25" customHeight="1">
      <c r="B18" s="160">
        <v>3</v>
      </c>
      <c r="C18" s="199">
        <f>IF(VLOOKUP(B18,PROPONENTES!$B$14:$E$26,2,0)="","",VLOOKUP(B18,PROPONENTES!$B$14:$E$26,2,0))</f>
        <v>3</v>
      </c>
      <c r="D18" s="200" t="str">
        <f>IF(VLOOKUP(B18,PROPONENTES!$B$14:$E$25,3,0)="","",VLOOKUP(B18,PROPONENTES!$B$14:$E$25,3,0))</f>
        <v>CONSORCIO LANDA</v>
      </c>
      <c r="E18" s="201" t="s">
        <v>97</v>
      </c>
      <c r="F18" s="201" t="s">
        <v>97</v>
      </c>
      <c r="G18" s="201" t="s">
        <v>97</v>
      </c>
      <c r="H18" s="202" t="str">
        <f>IF(C18&lt;&gt;"",VLOOKUP(C18,RESUMEN!$B$14:$G$20,6,0),"")</f>
        <v>NO HÁBIL</v>
      </c>
      <c r="I18" s="202" t="str">
        <f>IF(OR(COUNTIF(E18:H18,"")=5,COUNTIF(E18:H18,"")&gt;0),"",IF(COUNTIF(E18:H18,"RECHAZO")&gt;0,"RECHAZO",IF(COUNTIF(E18:H18,"NO HÁBIL")=0,"HÁBIL","NO HÁBIL")))</f>
        <v>RECHAZO</v>
      </c>
    </row>
    <row r="19" spans="2:11" ht="29.25" hidden="1" customHeight="1">
      <c r="B19" s="160">
        <v>5</v>
      </c>
      <c r="C19" s="199">
        <v>5</v>
      </c>
      <c r="D19" s="200" t="e">
        <f>IF(VLOOKUP(B19,PROPONENTES!$B$14:$E$25,3,0)="","",VLOOKUP(B19,PROPONENTES!$B$14:$E$25,3,0))</f>
        <v>#N/A</v>
      </c>
      <c r="E19" s="201" t="s">
        <v>133</v>
      </c>
      <c r="F19" s="201" t="s">
        <v>133</v>
      </c>
      <c r="G19" s="201" t="s">
        <v>133</v>
      </c>
      <c r="H19" s="202" t="e">
        <f>IF(C19&lt;&gt;"",VLOOKUP(C19,RESUMEN!$B$14:$G$20,6,0),"")</f>
        <v>#N/A</v>
      </c>
      <c r="I19" s="202" t="str">
        <f t="shared" ref="I19:I22" si="2">IF(OR(COUNTIF(E19:H19,"")=5,COUNTIF(E19:H19,"")&gt;0),"",IF(COUNTIF(E19:H19,"RECHAZO")&gt;0,"RECHAZO",IF(COUNTIF(E19:H19,"NO HÁBIL")=0,"HÁBIL","NO HÁBIL")))</f>
        <v>HÁBIL</v>
      </c>
    </row>
    <row r="20" spans="2:11" ht="29.25" hidden="1" customHeight="1">
      <c r="B20" s="160">
        <v>6</v>
      </c>
      <c r="C20" s="199">
        <v>6</v>
      </c>
      <c r="D20" s="200" t="e">
        <f>IF(VLOOKUP(B20,PROPONENTES!$B$14:$E$25,3,0)="","",VLOOKUP(B20,PROPONENTES!$B$14:$E$25,3,0))</f>
        <v>#N/A</v>
      </c>
      <c r="E20" s="201" t="s">
        <v>133</v>
      </c>
      <c r="F20" s="201" t="s">
        <v>133</v>
      </c>
      <c r="G20" s="201" t="s">
        <v>133</v>
      </c>
      <c r="H20" s="202" t="e">
        <f>IF(C20&lt;&gt;"",VLOOKUP(C20,RESUMEN!$B$14:$G$20,6,0),"")</f>
        <v>#N/A</v>
      </c>
      <c r="I20" s="202" t="str">
        <f t="shared" si="2"/>
        <v>HÁBIL</v>
      </c>
    </row>
    <row r="21" spans="2:11" ht="29.25" hidden="1" customHeight="1">
      <c r="B21" s="160">
        <v>7</v>
      </c>
      <c r="C21" s="199">
        <v>7</v>
      </c>
      <c r="D21" s="200" t="e">
        <f>IF(VLOOKUP(B21,PROPONENTES!$B$14:$E$25,3,0)="","",VLOOKUP(B21,PROPONENTES!$B$14:$E$25,3,0))</f>
        <v>#N/A</v>
      </c>
      <c r="E21" s="201" t="s">
        <v>133</v>
      </c>
      <c r="F21" s="201" t="s">
        <v>133</v>
      </c>
      <c r="G21" s="201" t="s">
        <v>133</v>
      </c>
      <c r="H21" s="202" t="e">
        <f>IF(C21&lt;&gt;"",VLOOKUP(C21,RESUMEN!$B$14:$G$20,6,0),"")</f>
        <v>#N/A</v>
      </c>
      <c r="I21" s="202" t="str">
        <f t="shared" si="2"/>
        <v>HÁBIL</v>
      </c>
    </row>
    <row r="22" spans="2:11" ht="29.25" hidden="1" customHeight="1">
      <c r="B22" s="160">
        <v>8</v>
      </c>
      <c r="C22" s="199">
        <v>8</v>
      </c>
      <c r="D22" s="200" t="e">
        <f>IF(VLOOKUP(B22,PROPONENTES!$B$14:$E$25,3,0)="","",VLOOKUP(B22,PROPONENTES!$B$14:$E$25,3,0))</f>
        <v>#N/A</v>
      </c>
      <c r="E22" s="201" t="s">
        <v>133</v>
      </c>
      <c r="F22" s="201" t="s">
        <v>133</v>
      </c>
      <c r="G22" s="201" t="s">
        <v>133</v>
      </c>
      <c r="H22" s="202" t="e">
        <f>IF(C22&lt;&gt;"",VLOOKUP(C22,RESUMEN!$B$14:$G$20,6,0),"")</f>
        <v>#N/A</v>
      </c>
      <c r="I22" s="202" t="str">
        <f t="shared" si="2"/>
        <v>HÁBIL</v>
      </c>
    </row>
  </sheetData>
  <sheetProtection insertRows="0" deleteRows="0" selectLockedCells="1"/>
  <mergeCells count="17">
    <mergeCell ref="B6:I6"/>
    <mergeCell ref="B1:I1"/>
    <mergeCell ref="B2:I2"/>
    <mergeCell ref="B3:I3"/>
    <mergeCell ref="B4:I4"/>
    <mergeCell ref="B5:I5"/>
    <mergeCell ref="I12:I13"/>
    <mergeCell ref="B8:I8"/>
    <mergeCell ref="B9:I9"/>
    <mergeCell ref="B11:I11"/>
    <mergeCell ref="B12:B14"/>
    <mergeCell ref="C12:C14"/>
    <mergeCell ref="D12:D14"/>
    <mergeCell ref="E12:E14"/>
    <mergeCell ref="F12:F14"/>
    <mergeCell ref="G12:G14"/>
    <mergeCell ref="H12:H13"/>
  </mergeCells>
  <conditionalFormatting sqref="B16:D22">
    <cfRule type="expression" dxfId="5" priority="119" stopIfTrue="1">
      <formula>MOD(ROW(),2)</formula>
    </cfRule>
  </conditionalFormatting>
  <conditionalFormatting sqref="E16:I22">
    <cfRule type="cellIs" dxfId="4" priority="113" stopIfTrue="1" operator="equal">
      <formula>"RECHAZO"</formula>
    </cfRule>
    <cfRule type="cellIs" dxfId="3" priority="114" stopIfTrue="1" operator="equal">
      <formula>"CUMPLE"</formula>
    </cfRule>
    <cfRule type="cellIs" dxfId="2" priority="115" stopIfTrue="1" operator="equal">
      <formula>"NO HÁBIL"</formula>
    </cfRule>
    <cfRule type="cellIs" dxfId="1" priority="116" stopIfTrue="1" operator="equal">
      <formula>"HÁBIL"</formula>
    </cfRule>
    <cfRule type="cellIs" dxfId="0" priority="118" stopIfTrue="1" operator="equal">
      <formula>"NO APLICA"</formula>
    </cfRule>
  </conditionalFormatting>
  <dataValidations count="1">
    <dataValidation type="list" allowBlank="1" showInputMessage="1" showErrorMessage="1" sqref="E16:G22" xr:uid="{5B5325CB-539C-4F54-B89A-68A62A33DBFD}">
      <formula1>HABILIDAD</formula1>
    </dataValidation>
  </dataValidations>
  <printOptions horizontalCentered="1"/>
  <pageMargins left="0.39370078740157483" right="0.39370078740157483" top="0.39370078740157483" bottom="1.5748031496062993" header="0" footer="0"/>
  <pageSetup scale="75" fitToHeight="0" orientation="portrait" horizontalDpi="1200" verticalDpi="12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Hoja41"/>
  <dimension ref="A1:K37"/>
  <sheetViews>
    <sheetView workbookViewId="0">
      <selection activeCell="C19" sqref="C19"/>
    </sheetView>
  </sheetViews>
  <sheetFormatPr baseColWidth="10" defaultColWidth="11" defaultRowHeight="15"/>
  <cols>
    <col min="1" max="1" width="3.25" style="102" bestFit="1" customWidth="1"/>
    <col min="2" max="2" width="75" style="102" customWidth="1"/>
    <col min="3" max="3" width="19.375" style="102" customWidth="1"/>
    <col min="4" max="5" width="11" style="102"/>
    <col min="6" max="6" width="15.75" style="102" bestFit="1" customWidth="1"/>
    <col min="7" max="7" width="20" style="102" bestFit="1" customWidth="1"/>
    <col min="8" max="8" width="18.5" style="102" bestFit="1" customWidth="1"/>
    <col min="9" max="11" width="16.625" style="102" customWidth="1"/>
    <col min="12" max="16384" width="11" style="102"/>
  </cols>
  <sheetData>
    <row r="1" spans="1:11" ht="15.75" thickTop="1">
      <c r="A1" s="39" t="s">
        <v>20</v>
      </c>
      <c r="B1" s="40" t="s">
        <v>13</v>
      </c>
      <c r="C1" s="105" t="s">
        <v>32</v>
      </c>
      <c r="D1" s="105" t="s">
        <v>44</v>
      </c>
      <c r="E1" s="105" t="s">
        <v>46</v>
      </c>
      <c r="F1" s="105" t="s">
        <v>74</v>
      </c>
      <c r="G1" s="105" t="s">
        <v>75</v>
      </c>
      <c r="H1" s="105" t="s">
        <v>77</v>
      </c>
      <c r="I1" s="105" t="s">
        <v>79</v>
      </c>
      <c r="J1" s="105" t="s">
        <v>98</v>
      </c>
      <c r="K1" s="105" t="s">
        <v>134</v>
      </c>
    </row>
    <row r="2" spans="1:11">
      <c r="A2" s="41">
        <v>1</v>
      </c>
      <c r="B2" s="50" t="s">
        <v>140</v>
      </c>
      <c r="C2" s="106" t="s">
        <v>33</v>
      </c>
      <c r="D2" s="135" t="s">
        <v>97</v>
      </c>
      <c r="E2" s="106" t="s">
        <v>47</v>
      </c>
      <c r="F2" s="106" t="s">
        <v>96</v>
      </c>
      <c r="G2" s="106" t="s">
        <v>47</v>
      </c>
      <c r="H2" s="106" t="s">
        <v>90</v>
      </c>
      <c r="I2" s="106" t="s">
        <v>47</v>
      </c>
      <c r="J2" s="106" t="s">
        <v>99</v>
      </c>
      <c r="K2" s="207" t="s">
        <v>133</v>
      </c>
    </row>
    <row r="3" spans="1:11">
      <c r="A3" s="42">
        <v>2</v>
      </c>
      <c r="B3" s="50" t="s">
        <v>12</v>
      </c>
      <c r="C3" s="106" t="s">
        <v>34</v>
      </c>
      <c r="D3" s="103"/>
      <c r="E3" s="106" t="s">
        <v>48</v>
      </c>
      <c r="F3" s="106" t="s">
        <v>95</v>
      </c>
      <c r="G3" s="106" t="s">
        <v>48</v>
      </c>
      <c r="H3" s="106" t="s">
        <v>91</v>
      </c>
      <c r="I3" s="106" t="s">
        <v>48</v>
      </c>
      <c r="J3" s="106" t="s">
        <v>100</v>
      </c>
      <c r="K3" s="207" t="s">
        <v>135</v>
      </c>
    </row>
    <row r="4" spans="1:11">
      <c r="A4" s="42">
        <v>3</v>
      </c>
      <c r="B4" s="50" t="s">
        <v>139</v>
      </c>
      <c r="C4" s="106" t="s">
        <v>62</v>
      </c>
      <c r="D4" s="103"/>
      <c r="E4" s="106" t="s">
        <v>49</v>
      </c>
      <c r="H4" s="106" t="s">
        <v>92</v>
      </c>
      <c r="I4" s="106" t="s">
        <v>78</v>
      </c>
      <c r="J4" s="106" t="s">
        <v>101</v>
      </c>
      <c r="K4" s="207" t="s">
        <v>97</v>
      </c>
    </row>
    <row r="5" spans="1:11">
      <c r="A5" s="42">
        <v>4</v>
      </c>
      <c r="B5" s="50" t="s">
        <v>141</v>
      </c>
      <c r="C5" s="106" t="s">
        <v>63</v>
      </c>
      <c r="D5" s="103"/>
      <c r="E5" s="106"/>
      <c r="H5" s="106" t="s">
        <v>93</v>
      </c>
      <c r="J5" s="106" t="s">
        <v>63</v>
      </c>
    </row>
    <row r="6" spans="1:11">
      <c r="A6" s="42">
        <v>5</v>
      </c>
      <c r="B6" s="50" t="s">
        <v>142</v>
      </c>
      <c r="H6" s="106" t="s">
        <v>95</v>
      </c>
    </row>
    <row r="7" spans="1:11">
      <c r="A7" s="42">
        <v>6</v>
      </c>
      <c r="B7" s="50" t="s">
        <v>143</v>
      </c>
      <c r="H7" s="106" t="s">
        <v>94</v>
      </c>
    </row>
    <row r="8" spans="1:11">
      <c r="A8" s="42">
        <v>7</v>
      </c>
      <c r="B8" s="50" t="s">
        <v>144</v>
      </c>
    </row>
    <row r="9" spans="1:11">
      <c r="A9" s="42">
        <v>8</v>
      </c>
      <c r="B9" s="50" t="s">
        <v>145</v>
      </c>
    </row>
    <row r="10" spans="1:11">
      <c r="A10" s="42">
        <v>9</v>
      </c>
      <c r="B10" s="50" t="s">
        <v>146</v>
      </c>
    </row>
    <row r="11" spans="1:11">
      <c r="A11" s="42">
        <v>10</v>
      </c>
      <c r="B11" s="50" t="s">
        <v>147</v>
      </c>
      <c r="E11" s="104"/>
    </row>
    <row r="12" spans="1:11">
      <c r="A12" s="42">
        <v>11</v>
      </c>
      <c r="B12" s="50" t="s">
        <v>148</v>
      </c>
    </row>
    <row r="13" spans="1:11">
      <c r="A13" s="42">
        <v>12</v>
      </c>
      <c r="B13" s="50" t="s">
        <v>149</v>
      </c>
    </row>
    <row r="14" spans="1:11">
      <c r="A14" s="42">
        <v>13</v>
      </c>
      <c r="B14" s="50" t="s">
        <v>150</v>
      </c>
    </row>
    <row r="15" spans="1:11">
      <c r="A15" s="42">
        <v>14</v>
      </c>
      <c r="B15" s="50" t="s">
        <v>151</v>
      </c>
    </row>
    <row r="16" spans="1:11">
      <c r="A16" s="42">
        <v>15</v>
      </c>
      <c r="B16" s="268" t="s">
        <v>136</v>
      </c>
    </row>
    <row r="17" spans="1:2">
      <c r="A17" s="42">
        <v>16</v>
      </c>
      <c r="B17" s="268" t="s">
        <v>137</v>
      </c>
    </row>
    <row r="18" spans="1:2">
      <c r="A18" s="42">
        <v>17</v>
      </c>
      <c r="B18" s="268" t="s">
        <v>138</v>
      </c>
    </row>
    <row r="19" spans="1:2">
      <c r="A19" s="42">
        <v>18</v>
      </c>
      <c r="B19" s="50" t="s">
        <v>152</v>
      </c>
    </row>
    <row r="20" spans="1:2">
      <c r="A20" s="42">
        <v>19</v>
      </c>
      <c r="B20" s="50" t="s">
        <v>57</v>
      </c>
    </row>
    <row r="21" spans="1:2">
      <c r="A21" s="42">
        <v>20</v>
      </c>
      <c r="B21" s="50" t="s">
        <v>153</v>
      </c>
    </row>
    <row r="22" spans="1:2">
      <c r="A22" s="42">
        <v>21</v>
      </c>
      <c r="B22" s="50" t="s">
        <v>154</v>
      </c>
    </row>
    <row r="23" spans="1:2">
      <c r="A23" s="42">
        <v>22</v>
      </c>
      <c r="B23" s="50"/>
    </row>
    <row r="24" spans="1:2">
      <c r="A24" s="42">
        <v>23</v>
      </c>
      <c r="B24" s="50"/>
    </row>
    <row r="25" spans="1:2">
      <c r="A25" s="42">
        <v>24</v>
      </c>
      <c r="B25" s="50"/>
    </row>
    <row r="26" spans="1:2">
      <c r="B26" s="37"/>
    </row>
    <row r="27" spans="1:2">
      <c r="B27" s="37"/>
    </row>
    <row r="28" spans="1:2">
      <c r="B28" s="37"/>
    </row>
    <row r="29" spans="1:2">
      <c r="B29" s="37"/>
    </row>
    <row r="30" spans="1:2">
      <c r="B30" s="37"/>
    </row>
    <row r="31" spans="1:2">
      <c r="B31" s="37"/>
    </row>
    <row r="32" spans="1:2">
      <c r="B32" s="37"/>
    </row>
    <row r="33" spans="2:2">
      <c r="B33" s="37"/>
    </row>
    <row r="34" spans="2:2">
      <c r="B34" s="37"/>
    </row>
    <row r="35" spans="2:2">
      <c r="B35" s="37"/>
    </row>
    <row r="36" spans="2:2" ht="15.75" thickBot="1">
      <c r="B36" s="38"/>
    </row>
    <row r="37" spans="2:2" ht="15.75" thickTop="1"/>
  </sheetData>
  <pageMargins left="0.7" right="0.7" top="0.75" bottom="0.75" header="0.3" footer="0.3"/>
  <pageSetup scale="78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Hoja16"/>
  <dimension ref="A1:HH506"/>
  <sheetViews>
    <sheetView topLeftCell="A25" workbookViewId="0">
      <selection activeCell="H42" sqref="H42"/>
    </sheetView>
  </sheetViews>
  <sheetFormatPr baseColWidth="10" defaultColWidth="11" defaultRowHeight="12.75"/>
  <cols>
    <col min="1" max="1" width="11" style="118"/>
    <col min="2" max="2" width="1.625" style="118" customWidth="1"/>
    <col min="3" max="3" width="12.375" style="118" bestFit="1" customWidth="1"/>
    <col min="4" max="4" width="8.875" style="118" customWidth="1"/>
    <col min="5" max="5" width="11.5" style="128" bestFit="1" customWidth="1"/>
    <col min="6" max="6" width="11" style="119"/>
    <col min="7" max="7" width="11" style="126"/>
    <col min="8" max="8" width="74.75" style="123" bestFit="1" customWidth="1"/>
    <col min="9" max="16384" width="11" style="123"/>
  </cols>
  <sheetData>
    <row r="1" spans="1:8">
      <c r="A1" s="428" t="s">
        <v>5</v>
      </c>
      <c r="B1" s="428"/>
      <c r="C1" s="428"/>
      <c r="D1" s="117" t="s">
        <v>6</v>
      </c>
      <c r="E1" s="128" t="s">
        <v>37</v>
      </c>
      <c r="G1" s="123"/>
    </row>
    <row r="2" spans="1:8">
      <c r="A2" s="120">
        <v>29222</v>
      </c>
      <c r="B2" s="121"/>
      <c r="C2" s="121">
        <v>29587</v>
      </c>
      <c r="D2" s="122">
        <v>4500</v>
      </c>
      <c r="E2" s="129"/>
      <c r="G2" s="123"/>
    </row>
    <row r="3" spans="1:8">
      <c r="A3" s="121">
        <v>29588</v>
      </c>
      <c r="B3" s="121"/>
      <c r="C3" s="121">
        <v>29952</v>
      </c>
      <c r="D3" s="122">
        <v>5700</v>
      </c>
      <c r="E3" s="130">
        <f>+D3/D2-1</f>
        <v>0.26666666666666661</v>
      </c>
      <c r="G3" s="123"/>
    </row>
    <row r="4" spans="1:8">
      <c r="A4" s="121">
        <v>29953</v>
      </c>
      <c r="B4" s="121"/>
      <c r="C4" s="121">
        <v>30317</v>
      </c>
      <c r="D4" s="122">
        <v>7410</v>
      </c>
      <c r="E4" s="130">
        <f t="shared" ref="E4:E28" si="0">+D4/D3-1</f>
        <v>0.30000000000000004</v>
      </c>
      <c r="G4" s="123"/>
    </row>
    <row r="5" spans="1:8">
      <c r="A5" s="121">
        <v>30318</v>
      </c>
      <c r="B5" s="121"/>
      <c r="C5" s="121">
        <v>30682</v>
      </c>
      <c r="D5" s="122">
        <v>9261</v>
      </c>
      <c r="E5" s="130">
        <f t="shared" si="0"/>
        <v>0.24979757085020249</v>
      </c>
      <c r="G5" s="123"/>
    </row>
    <row r="6" spans="1:8">
      <c r="A6" s="121">
        <v>30683</v>
      </c>
      <c r="B6" s="121"/>
      <c r="C6" s="121">
        <v>31048</v>
      </c>
      <c r="D6" s="122">
        <v>11298</v>
      </c>
      <c r="E6" s="130">
        <f t="shared" si="0"/>
        <v>0.21995464852607705</v>
      </c>
      <c r="G6" s="123"/>
    </row>
    <row r="7" spans="1:8">
      <c r="A7" s="120">
        <v>31049</v>
      </c>
      <c r="B7" s="121"/>
      <c r="C7" s="121">
        <v>31413</v>
      </c>
      <c r="D7" s="122">
        <v>13557.6</v>
      </c>
      <c r="E7" s="130">
        <f t="shared" si="0"/>
        <v>0.19999999999999996</v>
      </c>
      <c r="G7" s="123"/>
    </row>
    <row r="8" spans="1:8">
      <c r="A8" s="121">
        <v>31414</v>
      </c>
      <c r="B8" s="121"/>
      <c r="C8" s="121">
        <v>31778</v>
      </c>
      <c r="D8" s="122">
        <v>16611.400000000001</v>
      </c>
      <c r="E8" s="130">
        <f t="shared" si="0"/>
        <v>0.22524635628724865</v>
      </c>
      <c r="G8" s="123"/>
    </row>
    <row r="9" spans="1:8">
      <c r="A9" s="121">
        <v>31779</v>
      </c>
      <c r="B9" s="121"/>
      <c r="C9" s="121">
        <v>32143</v>
      </c>
      <c r="D9" s="122">
        <v>20509.8</v>
      </c>
      <c r="E9" s="130">
        <f t="shared" si="0"/>
        <v>0.23468220619574498</v>
      </c>
      <c r="G9" s="123"/>
    </row>
    <row r="10" spans="1:8">
      <c r="A10" s="121">
        <v>32144</v>
      </c>
      <c r="B10" s="121"/>
      <c r="C10" s="121">
        <v>32508</v>
      </c>
      <c r="D10" s="122">
        <v>25637.4</v>
      </c>
      <c r="E10" s="130">
        <f t="shared" si="0"/>
        <v>0.25000731357692429</v>
      </c>
      <c r="G10" s="123"/>
    </row>
    <row r="11" spans="1:8">
      <c r="A11" s="121">
        <v>32509</v>
      </c>
      <c r="B11" s="121"/>
      <c r="C11" s="121">
        <v>32873</v>
      </c>
      <c r="D11" s="122">
        <v>32559.599999999999</v>
      </c>
      <c r="E11" s="130">
        <f t="shared" si="0"/>
        <v>0.27000397856256853</v>
      </c>
      <c r="G11" s="123"/>
    </row>
    <row r="12" spans="1:8" ht="13.5" thickBot="1">
      <c r="A12" s="120">
        <v>32874</v>
      </c>
      <c r="B12" s="121"/>
      <c r="C12" s="121">
        <v>33238</v>
      </c>
      <c r="D12" s="122">
        <v>41025</v>
      </c>
      <c r="E12" s="130">
        <f t="shared" si="0"/>
        <v>0.25999705156083008</v>
      </c>
      <c r="G12" s="124"/>
      <c r="H12" s="125"/>
    </row>
    <row r="13" spans="1:8" ht="13.5" thickTop="1">
      <c r="A13" s="121">
        <v>33239</v>
      </c>
      <c r="B13" s="121"/>
      <c r="C13" s="121">
        <v>33603</v>
      </c>
      <c r="D13" s="122">
        <v>51720</v>
      </c>
      <c r="E13" s="130">
        <f t="shared" si="0"/>
        <v>0.26069469835466186</v>
      </c>
      <c r="G13" s="46" t="s">
        <v>24</v>
      </c>
      <c r="H13" s="47" t="s">
        <v>25</v>
      </c>
    </row>
    <row r="14" spans="1:8" ht="13.5" thickBot="1">
      <c r="A14" s="121">
        <v>33604</v>
      </c>
      <c r="B14" s="121"/>
      <c r="C14" s="121">
        <v>33969</v>
      </c>
      <c r="D14" s="122">
        <v>65190</v>
      </c>
      <c r="E14" s="130">
        <f t="shared" si="0"/>
        <v>0.26044083526682127</v>
      </c>
      <c r="G14" s="48">
        <f ca="1">TODAY()</f>
        <v>45502</v>
      </c>
      <c r="H14" s="49">
        <f ca="1">LOOKUP(G14,A2:A104,D2:D104)</f>
        <v>1050000</v>
      </c>
    </row>
    <row r="15" spans="1:8" ht="14.25" thickTop="1" thickBot="1">
      <c r="A15" s="121">
        <v>33970</v>
      </c>
      <c r="B15" s="121"/>
      <c r="C15" s="121">
        <v>34334</v>
      </c>
      <c r="D15" s="122">
        <v>81510</v>
      </c>
      <c r="E15" s="130">
        <f t="shared" si="0"/>
        <v>0.25034514496088356</v>
      </c>
    </row>
    <row r="16" spans="1:8" ht="15.75" thickTop="1">
      <c r="A16" s="121">
        <v>34335</v>
      </c>
      <c r="B16" s="121"/>
      <c r="C16" s="121">
        <v>34699</v>
      </c>
      <c r="D16" s="122">
        <v>98700</v>
      </c>
      <c r="E16" s="130">
        <f t="shared" si="0"/>
        <v>0.21089436878910561</v>
      </c>
      <c r="G16" s="51" t="s">
        <v>31</v>
      </c>
    </row>
    <row r="17" spans="1:7" ht="15">
      <c r="A17" s="120">
        <v>34700</v>
      </c>
      <c r="B17" s="121"/>
      <c r="C17" s="121">
        <v>35064</v>
      </c>
      <c r="D17" s="122">
        <v>118933.5</v>
      </c>
      <c r="E17" s="130">
        <f t="shared" si="0"/>
        <v>0.20500000000000007</v>
      </c>
      <c r="G17" s="52" t="s">
        <v>29</v>
      </c>
    </row>
    <row r="18" spans="1:7" ht="15.75" thickBot="1">
      <c r="A18" s="121">
        <v>35065</v>
      </c>
      <c r="B18" s="121"/>
      <c r="C18" s="121">
        <v>35430</v>
      </c>
      <c r="D18" s="122">
        <v>142125</v>
      </c>
      <c r="E18" s="130">
        <f t="shared" si="0"/>
        <v>0.19499552270806797</v>
      </c>
      <c r="G18" s="53" t="s">
        <v>30</v>
      </c>
    </row>
    <row r="19" spans="1:7" ht="13.5" thickTop="1">
      <c r="A19" s="121">
        <v>35431</v>
      </c>
      <c r="B19" s="121"/>
      <c r="C19" s="121">
        <v>35795</v>
      </c>
      <c r="D19" s="122">
        <v>172005</v>
      </c>
      <c r="E19" s="130">
        <f t="shared" si="0"/>
        <v>0.21023746701846968</v>
      </c>
    </row>
    <row r="20" spans="1:7">
      <c r="A20" s="121">
        <v>35796</v>
      </c>
      <c r="B20" s="121"/>
      <c r="C20" s="121">
        <v>36160</v>
      </c>
      <c r="D20" s="122">
        <v>203826</v>
      </c>
      <c r="E20" s="130">
        <f t="shared" si="0"/>
        <v>0.1850004360338362</v>
      </c>
    </row>
    <row r="21" spans="1:7">
      <c r="A21" s="121">
        <v>36161</v>
      </c>
      <c r="B21" s="121"/>
      <c r="C21" s="121">
        <v>36525</v>
      </c>
      <c r="D21" s="122">
        <v>236460</v>
      </c>
      <c r="E21" s="130">
        <f t="shared" si="0"/>
        <v>0.16010715021636091</v>
      </c>
    </row>
    <row r="22" spans="1:7">
      <c r="A22" s="120">
        <v>36526</v>
      </c>
      <c r="B22" s="121"/>
      <c r="C22" s="121">
        <v>36891</v>
      </c>
      <c r="D22" s="122">
        <v>260100</v>
      </c>
      <c r="E22" s="130">
        <f t="shared" si="0"/>
        <v>9.9974625729510214E-2</v>
      </c>
    </row>
    <row r="23" spans="1:7">
      <c r="A23" s="121">
        <v>36892</v>
      </c>
      <c r="B23" s="121"/>
      <c r="C23" s="121">
        <v>37256</v>
      </c>
      <c r="D23" s="122">
        <v>286000</v>
      </c>
      <c r="E23" s="130">
        <f t="shared" si="0"/>
        <v>9.9577085736255233E-2</v>
      </c>
    </row>
    <row r="24" spans="1:7">
      <c r="A24" s="121">
        <v>37257</v>
      </c>
      <c r="B24" s="121"/>
      <c r="C24" s="121">
        <v>37621</v>
      </c>
      <c r="D24" s="122">
        <v>309000</v>
      </c>
      <c r="E24" s="130">
        <f t="shared" si="0"/>
        <v>8.0419580419580416E-2</v>
      </c>
    </row>
    <row r="25" spans="1:7">
      <c r="A25" s="121">
        <v>37622</v>
      </c>
      <c r="B25" s="121"/>
      <c r="C25" s="121">
        <v>37986</v>
      </c>
      <c r="D25" s="122">
        <v>332000</v>
      </c>
      <c r="E25" s="130">
        <f t="shared" si="0"/>
        <v>7.4433656957928696E-2</v>
      </c>
    </row>
    <row r="26" spans="1:7">
      <c r="A26" s="121">
        <v>37987</v>
      </c>
      <c r="B26" s="121"/>
      <c r="C26" s="121">
        <v>38352</v>
      </c>
      <c r="D26" s="122">
        <v>358000</v>
      </c>
      <c r="E26" s="130">
        <f t="shared" si="0"/>
        <v>7.8313253012048278E-2</v>
      </c>
    </row>
    <row r="27" spans="1:7">
      <c r="A27" s="120">
        <v>38353</v>
      </c>
      <c r="B27" s="121"/>
      <c r="C27" s="121">
        <v>38717</v>
      </c>
      <c r="D27" s="122">
        <v>381500</v>
      </c>
      <c r="E27" s="130">
        <f t="shared" si="0"/>
        <v>6.5642458100558576E-2</v>
      </c>
    </row>
    <row r="28" spans="1:7">
      <c r="A28" s="121">
        <v>38718</v>
      </c>
      <c r="B28" s="121"/>
      <c r="C28" s="121">
        <v>39082</v>
      </c>
      <c r="D28" s="122">
        <v>408000</v>
      </c>
      <c r="E28" s="130">
        <f t="shared" si="0"/>
        <v>6.9462647444298753E-2</v>
      </c>
    </row>
    <row r="29" spans="1:7">
      <c r="A29" s="121">
        <v>39083</v>
      </c>
      <c r="B29" s="121"/>
      <c r="C29" s="121">
        <v>39447</v>
      </c>
      <c r="D29" s="122">
        <v>433700</v>
      </c>
      <c r="E29" s="130">
        <f t="shared" ref="E29:E36" si="1">+D29/D28-1</f>
        <v>6.2990196078431371E-2</v>
      </c>
    </row>
    <row r="30" spans="1:7">
      <c r="A30" s="121">
        <v>39448</v>
      </c>
      <c r="C30" s="121">
        <v>39813</v>
      </c>
      <c r="D30" s="122">
        <v>461500</v>
      </c>
      <c r="E30" s="130">
        <f t="shared" si="1"/>
        <v>6.4099608023979737E-2</v>
      </c>
    </row>
    <row r="31" spans="1:7">
      <c r="A31" s="121">
        <v>39814</v>
      </c>
      <c r="C31" s="121">
        <v>40178</v>
      </c>
      <c r="D31" s="122">
        <v>496900</v>
      </c>
      <c r="E31" s="130">
        <f t="shared" si="1"/>
        <v>7.6706392199350049E-2</v>
      </c>
    </row>
    <row r="32" spans="1:7">
      <c r="A32" s="120">
        <v>40179</v>
      </c>
      <c r="C32" s="121">
        <v>40543</v>
      </c>
      <c r="D32" s="122">
        <v>515000</v>
      </c>
      <c r="E32" s="130">
        <f t="shared" si="1"/>
        <v>3.6425840209297622E-2</v>
      </c>
    </row>
    <row r="33" spans="1:5">
      <c r="A33" s="121">
        <v>40544</v>
      </c>
      <c r="C33" s="121">
        <v>40908</v>
      </c>
      <c r="D33" s="122">
        <v>535600</v>
      </c>
      <c r="E33" s="130">
        <f t="shared" si="1"/>
        <v>4.0000000000000036E-2</v>
      </c>
    </row>
    <row r="34" spans="1:5">
      <c r="A34" s="121">
        <v>40909</v>
      </c>
      <c r="C34" s="121">
        <v>41274</v>
      </c>
      <c r="D34" s="122">
        <v>566700</v>
      </c>
      <c r="E34" s="130">
        <f t="shared" si="1"/>
        <v>5.8065720687079825E-2</v>
      </c>
    </row>
    <row r="35" spans="1:5">
      <c r="A35" s="121">
        <v>41275</v>
      </c>
      <c r="C35" s="121">
        <v>41639</v>
      </c>
      <c r="D35" s="122">
        <v>589500</v>
      </c>
      <c r="E35" s="130">
        <f t="shared" si="1"/>
        <v>4.0232927474854518E-2</v>
      </c>
    </row>
    <row r="36" spans="1:5">
      <c r="A36" s="121">
        <v>41640</v>
      </c>
      <c r="C36" s="121">
        <v>42004</v>
      </c>
      <c r="D36" s="122">
        <v>616000</v>
      </c>
      <c r="E36" s="130">
        <f t="shared" si="1"/>
        <v>4.495335029686176E-2</v>
      </c>
    </row>
    <row r="37" spans="1:5">
      <c r="A37" s="121">
        <v>42005</v>
      </c>
      <c r="C37" s="121">
        <v>42369</v>
      </c>
      <c r="D37" s="122">
        <v>644350</v>
      </c>
      <c r="E37" s="130">
        <f>IF(D37="","",D37/D36-1)</f>
        <v>4.6022727272727382E-2</v>
      </c>
    </row>
    <row r="38" spans="1:5">
      <c r="A38" s="121">
        <v>42370</v>
      </c>
      <c r="C38" s="121">
        <v>42735</v>
      </c>
      <c r="D38" s="122">
        <v>689454</v>
      </c>
      <c r="E38" s="130">
        <f t="shared" ref="E38:E105" si="2">IF(D38="","",D38/D37-1)</f>
        <v>6.9999224024210438E-2</v>
      </c>
    </row>
    <row r="39" spans="1:5">
      <c r="A39" s="121">
        <v>42736</v>
      </c>
      <c r="C39" s="121">
        <v>43100</v>
      </c>
      <c r="D39" s="122">
        <v>737717</v>
      </c>
      <c r="E39" s="130">
        <f t="shared" si="2"/>
        <v>7.0001769516167878E-2</v>
      </c>
    </row>
    <row r="40" spans="1:5">
      <c r="A40" s="121">
        <v>43101</v>
      </c>
      <c r="C40" s="121">
        <v>43465</v>
      </c>
      <c r="D40" s="122">
        <v>781242</v>
      </c>
      <c r="E40" s="130">
        <f t="shared" si="2"/>
        <v>5.8999589273393438E-2</v>
      </c>
    </row>
    <row r="41" spans="1:5">
      <c r="A41" s="121">
        <v>43466</v>
      </c>
      <c r="C41" s="121">
        <v>43830</v>
      </c>
      <c r="D41" s="122">
        <v>828116</v>
      </c>
      <c r="E41" s="130">
        <f t="shared" si="2"/>
        <v>5.9999334393184167E-2</v>
      </c>
    </row>
    <row r="42" spans="1:5">
      <c r="A42" s="121">
        <v>43831</v>
      </c>
      <c r="C42" s="121">
        <v>44196</v>
      </c>
      <c r="D42" s="122">
        <v>877803</v>
      </c>
      <c r="E42" s="130">
        <f t="shared" ref="E42:E43" si="3">IF(D42="","",D42/D41-1)</f>
        <v>6.0000048302411679E-2</v>
      </c>
    </row>
    <row r="43" spans="1:5">
      <c r="A43" s="121">
        <v>44197</v>
      </c>
      <c r="C43" s="121">
        <v>44561</v>
      </c>
      <c r="D43" s="122">
        <v>908526</v>
      </c>
      <c r="E43" s="130">
        <f t="shared" si="3"/>
        <v>3.4999880383183912E-2</v>
      </c>
    </row>
    <row r="44" spans="1:5">
      <c r="A44" s="121">
        <v>44562</v>
      </c>
      <c r="C44" s="121">
        <v>44926</v>
      </c>
      <c r="D44" s="122">
        <v>1000000</v>
      </c>
      <c r="E44" s="130">
        <f t="shared" ref="E44:E45" si="4">IF(D44="","",D44/D43-1)</f>
        <v>0.10068396501586085</v>
      </c>
    </row>
    <row r="45" spans="1:5">
      <c r="A45" s="121">
        <v>44927</v>
      </c>
      <c r="C45" s="121">
        <v>45291</v>
      </c>
      <c r="D45" s="122">
        <v>1050000</v>
      </c>
      <c r="E45" s="130">
        <f t="shared" si="4"/>
        <v>5.0000000000000044E-2</v>
      </c>
    </row>
    <row r="46" spans="1:5">
      <c r="E46" s="130" t="str">
        <f>IF(D46="","",D46/D43-1)</f>
        <v/>
      </c>
    </row>
    <row r="47" spans="1:5">
      <c r="E47" s="130" t="str">
        <f t="shared" si="2"/>
        <v/>
      </c>
    </row>
    <row r="48" spans="1:5">
      <c r="E48" s="130" t="str">
        <f t="shared" si="2"/>
        <v/>
      </c>
    </row>
    <row r="49" spans="5:5">
      <c r="E49" s="130" t="str">
        <f t="shared" si="2"/>
        <v/>
      </c>
    </row>
    <row r="50" spans="5:5">
      <c r="E50" s="130" t="str">
        <f t="shared" si="2"/>
        <v/>
      </c>
    </row>
    <row r="51" spans="5:5">
      <c r="E51" s="130" t="str">
        <f t="shared" si="2"/>
        <v/>
      </c>
    </row>
    <row r="52" spans="5:5">
      <c r="E52" s="130" t="str">
        <f t="shared" si="2"/>
        <v/>
      </c>
    </row>
    <row r="53" spans="5:5">
      <c r="E53" s="130" t="str">
        <f t="shared" si="2"/>
        <v/>
      </c>
    </row>
    <row r="54" spans="5:5">
      <c r="E54" s="130" t="str">
        <f t="shared" si="2"/>
        <v/>
      </c>
    </row>
    <row r="55" spans="5:5">
      <c r="E55" s="130" t="str">
        <f t="shared" si="2"/>
        <v/>
      </c>
    </row>
    <row r="56" spans="5:5">
      <c r="E56" s="130" t="str">
        <f t="shared" si="2"/>
        <v/>
      </c>
    </row>
    <row r="57" spans="5:5">
      <c r="E57" s="130" t="str">
        <f t="shared" si="2"/>
        <v/>
      </c>
    </row>
    <row r="58" spans="5:5">
      <c r="E58" s="130" t="str">
        <f t="shared" si="2"/>
        <v/>
      </c>
    </row>
    <row r="59" spans="5:5">
      <c r="E59" s="130" t="str">
        <f t="shared" si="2"/>
        <v/>
      </c>
    </row>
    <row r="60" spans="5:5">
      <c r="E60" s="130" t="str">
        <f t="shared" si="2"/>
        <v/>
      </c>
    </row>
    <row r="61" spans="5:5">
      <c r="E61" s="130" t="str">
        <f t="shared" si="2"/>
        <v/>
      </c>
    </row>
    <row r="62" spans="5:5">
      <c r="E62" s="130" t="str">
        <f t="shared" si="2"/>
        <v/>
      </c>
    </row>
    <row r="63" spans="5:5">
      <c r="E63" s="130" t="str">
        <f t="shared" si="2"/>
        <v/>
      </c>
    </row>
    <row r="64" spans="5:5">
      <c r="E64" s="130" t="str">
        <f t="shared" si="2"/>
        <v/>
      </c>
    </row>
    <row r="65" spans="5:5">
      <c r="E65" s="130" t="str">
        <f t="shared" si="2"/>
        <v/>
      </c>
    </row>
    <row r="66" spans="5:5">
      <c r="E66" s="130" t="str">
        <f t="shared" si="2"/>
        <v/>
      </c>
    </row>
    <row r="67" spans="5:5">
      <c r="E67" s="130" t="str">
        <f t="shared" si="2"/>
        <v/>
      </c>
    </row>
    <row r="68" spans="5:5">
      <c r="E68" s="130" t="str">
        <f t="shared" si="2"/>
        <v/>
      </c>
    </row>
    <row r="69" spans="5:5">
      <c r="E69" s="130" t="str">
        <f t="shared" si="2"/>
        <v/>
      </c>
    </row>
    <row r="70" spans="5:5">
      <c r="E70" s="130" t="str">
        <f t="shared" si="2"/>
        <v/>
      </c>
    </row>
    <row r="71" spans="5:5">
      <c r="E71" s="130" t="str">
        <f t="shared" si="2"/>
        <v/>
      </c>
    </row>
    <row r="72" spans="5:5">
      <c r="E72" s="130" t="str">
        <f t="shared" si="2"/>
        <v/>
      </c>
    </row>
    <row r="73" spans="5:5">
      <c r="E73" s="130" t="str">
        <f t="shared" si="2"/>
        <v/>
      </c>
    </row>
    <row r="74" spans="5:5">
      <c r="E74" s="130" t="str">
        <f t="shared" si="2"/>
        <v/>
      </c>
    </row>
    <row r="75" spans="5:5">
      <c r="E75" s="130" t="str">
        <f t="shared" si="2"/>
        <v/>
      </c>
    </row>
    <row r="76" spans="5:5">
      <c r="E76" s="130" t="str">
        <f t="shared" si="2"/>
        <v/>
      </c>
    </row>
    <row r="77" spans="5:5">
      <c r="E77" s="130" t="str">
        <f t="shared" si="2"/>
        <v/>
      </c>
    </row>
    <row r="78" spans="5:5">
      <c r="E78" s="130" t="str">
        <f t="shared" si="2"/>
        <v/>
      </c>
    </row>
    <row r="79" spans="5:5">
      <c r="E79" s="130" t="str">
        <f t="shared" si="2"/>
        <v/>
      </c>
    </row>
    <row r="80" spans="5:5">
      <c r="E80" s="130" t="str">
        <f t="shared" si="2"/>
        <v/>
      </c>
    </row>
    <row r="81" spans="5:5">
      <c r="E81" s="130" t="str">
        <f t="shared" si="2"/>
        <v/>
      </c>
    </row>
    <row r="82" spans="5:5">
      <c r="E82" s="130" t="str">
        <f t="shared" si="2"/>
        <v/>
      </c>
    </row>
    <row r="83" spans="5:5">
      <c r="E83" s="130" t="str">
        <f t="shared" si="2"/>
        <v/>
      </c>
    </row>
    <row r="84" spans="5:5">
      <c r="E84" s="130" t="str">
        <f t="shared" si="2"/>
        <v/>
      </c>
    </row>
    <row r="85" spans="5:5">
      <c r="E85" s="130" t="str">
        <f t="shared" si="2"/>
        <v/>
      </c>
    </row>
    <row r="86" spans="5:5">
      <c r="E86" s="130" t="str">
        <f t="shared" si="2"/>
        <v/>
      </c>
    </row>
    <row r="87" spans="5:5">
      <c r="E87" s="130" t="str">
        <f t="shared" si="2"/>
        <v/>
      </c>
    </row>
    <row r="88" spans="5:5">
      <c r="E88" s="130" t="str">
        <f t="shared" si="2"/>
        <v/>
      </c>
    </row>
    <row r="89" spans="5:5">
      <c r="E89" s="130" t="str">
        <f t="shared" si="2"/>
        <v/>
      </c>
    </row>
    <row r="90" spans="5:5">
      <c r="E90" s="130" t="str">
        <f t="shared" si="2"/>
        <v/>
      </c>
    </row>
    <row r="91" spans="5:5">
      <c r="E91" s="130" t="str">
        <f t="shared" si="2"/>
        <v/>
      </c>
    </row>
    <row r="92" spans="5:5">
      <c r="E92" s="130" t="str">
        <f t="shared" si="2"/>
        <v/>
      </c>
    </row>
    <row r="93" spans="5:5">
      <c r="E93" s="130" t="str">
        <f t="shared" si="2"/>
        <v/>
      </c>
    </row>
    <row r="94" spans="5:5">
      <c r="E94" s="130" t="str">
        <f t="shared" si="2"/>
        <v/>
      </c>
    </row>
    <row r="95" spans="5:5">
      <c r="E95" s="130" t="str">
        <f t="shared" si="2"/>
        <v/>
      </c>
    </row>
    <row r="96" spans="5:5">
      <c r="E96" s="130" t="str">
        <f t="shared" si="2"/>
        <v/>
      </c>
    </row>
    <row r="97" spans="5:5">
      <c r="E97" s="130" t="str">
        <f t="shared" si="2"/>
        <v/>
      </c>
    </row>
    <row r="98" spans="5:5">
      <c r="E98" s="130" t="str">
        <f t="shared" si="2"/>
        <v/>
      </c>
    </row>
    <row r="99" spans="5:5">
      <c r="E99" s="130" t="str">
        <f t="shared" si="2"/>
        <v/>
      </c>
    </row>
    <row r="100" spans="5:5">
      <c r="E100" s="130" t="str">
        <f t="shared" si="2"/>
        <v/>
      </c>
    </row>
    <row r="101" spans="5:5">
      <c r="E101" s="130" t="str">
        <f t="shared" si="2"/>
        <v/>
      </c>
    </row>
    <row r="102" spans="5:5">
      <c r="E102" s="130" t="str">
        <f t="shared" si="2"/>
        <v/>
      </c>
    </row>
    <row r="103" spans="5:5">
      <c r="E103" s="130" t="str">
        <f t="shared" si="2"/>
        <v/>
      </c>
    </row>
    <row r="104" spans="5:5">
      <c r="E104" s="130" t="str">
        <f t="shared" si="2"/>
        <v/>
      </c>
    </row>
    <row r="105" spans="5:5">
      <c r="E105" s="130" t="str">
        <f t="shared" si="2"/>
        <v/>
      </c>
    </row>
    <row r="106" spans="5:5">
      <c r="E106" s="130" t="str">
        <f t="shared" ref="E106:E169" si="5">IF(D106="","",D106/D105-1)</f>
        <v/>
      </c>
    </row>
    <row r="107" spans="5:5">
      <c r="E107" s="130" t="str">
        <f t="shared" si="5"/>
        <v/>
      </c>
    </row>
    <row r="108" spans="5:5">
      <c r="E108" s="130" t="str">
        <f t="shared" si="5"/>
        <v/>
      </c>
    </row>
    <row r="109" spans="5:5">
      <c r="E109" s="130" t="str">
        <f t="shared" si="5"/>
        <v/>
      </c>
    </row>
    <row r="110" spans="5:5">
      <c r="E110" s="130" t="str">
        <f t="shared" si="5"/>
        <v/>
      </c>
    </row>
    <row r="111" spans="5:5">
      <c r="E111" s="130" t="str">
        <f t="shared" si="5"/>
        <v/>
      </c>
    </row>
    <row r="112" spans="5:5">
      <c r="E112" s="130" t="str">
        <f t="shared" si="5"/>
        <v/>
      </c>
    </row>
    <row r="113" spans="5:5">
      <c r="E113" s="130" t="str">
        <f t="shared" si="5"/>
        <v/>
      </c>
    </row>
    <row r="114" spans="5:5">
      <c r="E114" s="130" t="str">
        <f t="shared" si="5"/>
        <v/>
      </c>
    </row>
    <row r="115" spans="5:5">
      <c r="E115" s="130" t="str">
        <f t="shared" si="5"/>
        <v/>
      </c>
    </row>
    <row r="116" spans="5:5">
      <c r="E116" s="130" t="str">
        <f t="shared" si="5"/>
        <v/>
      </c>
    </row>
    <row r="117" spans="5:5">
      <c r="E117" s="130" t="str">
        <f t="shared" si="5"/>
        <v/>
      </c>
    </row>
    <row r="118" spans="5:5">
      <c r="E118" s="130" t="str">
        <f t="shared" si="5"/>
        <v/>
      </c>
    </row>
    <row r="119" spans="5:5">
      <c r="E119" s="130" t="str">
        <f t="shared" si="5"/>
        <v/>
      </c>
    </row>
    <row r="120" spans="5:5">
      <c r="E120" s="130" t="str">
        <f t="shared" si="5"/>
        <v/>
      </c>
    </row>
    <row r="121" spans="5:5">
      <c r="E121" s="130" t="str">
        <f t="shared" si="5"/>
        <v/>
      </c>
    </row>
    <row r="122" spans="5:5">
      <c r="E122" s="130" t="str">
        <f t="shared" si="5"/>
        <v/>
      </c>
    </row>
    <row r="123" spans="5:5">
      <c r="E123" s="130" t="str">
        <f t="shared" si="5"/>
        <v/>
      </c>
    </row>
    <row r="124" spans="5:5">
      <c r="E124" s="130" t="str">
        <f t="shared" si="5"/>
        <v/>
      </c>
    </row>
    <row r="125" spans="5:5">
      <c r="E125" s="130" t="str">
        <f t="shared" si="5"/>
        <v/>
      </c>
    </row>
    <row r="126" spans="5:5">
      <c r="E126" s="130" t="str">
        <f t="shared" si="5"/>
        <v/>
      </c>
    </row>
    <row r="127" spans="5:5">
      <c r="E127" s="130" t="str">
        <f t="shared" si="5"/>
        <v/>
      </c>
    </row>
    <row r="128" spans="5:5">
      <c r="E128" s="130" t="str">
        <f t="shared" si="5"/>
        <v/>
      </c>
    </row>
    <row r="129" spans="5:5">
      <c r="E129" s="130" t="str">
        <f t="shared" si="5"/>
        <v/>
      </c>
    </row>
    <row r="130" spans="5:5">
      <c r="E130" s="130" t="str">
        <f t="shared" si="5"/>
        <v/>
      </c>
    </row>
    <row r="131" spans="5:5">
      <c r="E131" s="130" t="str">
        <f t="shared" si="5"/>
        <v/>
      </c>
    </row>
    <row r="132" spans="5:5">
      <c r="E132" s="130" t="str">
        <f t="shared" si="5"/>
        <v/>
      </c>
    </row>
    <row r="133" spans="5:5">
      <c r="E133" s="130" t="str">
        <f t="shared" si="5"/>
        <v/>
      </c>
    </row>
    <row r="134" spans="5:5">
      <c r="E134" s="130" t="str">
        <f t="shared" si="5"/>
        <v/>
      </c>
    </row>
    <row r="135" spans="5:5">
      <c r="E135" s="130" t="str">
        <f t="shared" si="5"/>
        <v/>
      </c>
    </row>
    <row r="136" spans="5:5">
      <c r="E136" s="130" t="str">
        <f t="shared" si="5"/>
        <v/>
      </c>
    </row>
    <row r="137" spans="5:5">
      <c r="E137" s="130" t="str">
        <f t="shared" si="5"/>
        <v/>
      </c>
    </row>
    <row r="138" spans="5:5">
      <c r="E138" s="130" t="str">
        <f t="shared" si="5"/>
        <v/>
      </c>
    </row>
    <row r="139" spans="5:5">
      <c r="E139" s="130" t="str">
        <f t="shared" si="5"/>
        <v/>
      </c>
    </row>
    <row r="140" spans="5:5">
      <c r="E140" s="130" t="str">
        <f t="shared" si="5"/>
        <v/>
      </c>
    </row>
    <row r="141" spans="5:5">
      <c r="E141" s="130" t="str">
        <f t="shared" si="5"/>
        <v/>
      </c>
    </row>
    <row r="142" spans="5:5">
      <c r="E142" s="130" t="str">
        <f t="shared" si="5"/>
        <v/>
      </c>
    </row>
    <row r="143" spans="5:5">
      <c r="E143" s="130" t="str">
        <f t="shared" si="5"/>
        <v/>
      </c>
    </row>
    <row r="144" spans="5:5">
      <c r="E144" s="130" t="str">
        <f t="shared" si="5"/>
        <v/>
      </c>
    </row>
    <row r="145" spans="5:5">
      <c r="E145" s="130" t="str">
        <f t="shared" si="5"/>
        <v/>
      </c>
    </row>
    <row r="146" spans="5:5">
      <c r="E146" s="130" t="str">
        <f t="shared" si="5"/>
        <v/>
      </c>
    </row>
    <row r="147" spans="5:5">
      <c r="E147" s="130" t="str">
        <f t="shared" si="5"/>
        <v/>
      </c>
    </row>
    <row r="148" spans="5:5">
      <c r="E148" s="130" t="str">
        <f t="shared" si="5"/>
        <v/>
      </c>
    </row>
    <row r="149" spans="5:5">
      <c r="E149" s="130" t="str">
        <f t="shared" si="5"/>
        <v/>
      </c>
    </row>
    <row r="150" spans="5:5">
      <c r="E150" s="130" t="str">
        <f t="shared" si="5"/>
        <v/>
      </c>
    </row>
    <row r="151" spans="5:5">
      <c r="E151" s="130" t="str">
        <f t="shared" si="5"/>
        <v/>
      </c>
    </row>
    <row r="152" spans="5:5">
      <c r="E152" s="130" t="str">
        <f t="shared" si="5"/>
        <v/>
      </c>
    </row>
    <row r="153" spans="5:5">
      <c r="E153" s="130" t="str">
        <f t="shared" si="5"/>
        <v/>
      </c>
    </row>
    <row r="154" spans="5:5">
      <c r="E154" s="130" t="str">
        <f t="shared" si="5"/>
        <v/>
      </c>
    </row>
    <row r="155" spans="5:5">
      <c r="E155" s="130" t="str">
        <f t="shared" si="5"/>
        <v/>
      </c>
    </row>
    <row r="156" spans="5:5">
      <c r="E156" s="130" t="str">
        <f t="shared" si="5"/>
        <v/>
      </c>
    </row>
    <row r="157" spans="5:5">
      <c r="E157" s="130" t="str">
        <f t="shared" si="5"/>
        <v/>
      </c>
    </row>
    <row r="158" spans="5:5">
      <c r="E158" s="130" t="str">
        <f t="shared" si="5"/>
        <v/>
      </c>
    </row>
    <row r="159" spans="5:5">
      <c r="E159" s="130" t="str">
        <f t="shared" si="5"/>
        <v/>
      </c>
    </row>
    <row r="160" spans="5:5">
      <c r="E160" s="130" t="str">
        <f t="shared" si="5"/>
        <v/>
      </c>
    </row>
    <row r="161" spans="5:5">
      <c r="E161" s="130" t="str">
        <f t="shared" si="5"/>
        <v/>
      </c>
    </row>
    <row r="162" spans="5:5">
      <c r="E162" s="130" t="str">
        <f t="shared" si="5"/>
        <v/>
      </c>
    </row>
    <row r="163" spans="5:5">
      <c r="E163" s="130" t="str">
        <f t="shared" si="5"/>
        <v/>
      </c>
    </row>
    <row r="164" spans="5:5">
      <c r="E164" s="130" t="str">
        <f t="shared" si="5"/>
        <v/>
      </c>
    </row>
    <row r="165" spans="5:5">
      <c r="E165" s="130" t="str">
        <f t="shared" si="5"/>
        <v/>
      </c>
    </row>
    <row r="166" spans="5:5">
      <c r="E166" s="130" t="str">
        <f t="shared" si="5"/>
        <v/>
      </c>
    </row>
    <row r="167" spans="5:5">
      <c r="E167" s="130" t="str">
        <f t="shared" si="5"/>
        <v/>
      </c>
    </row>
    <row r="168" spans="5:5">
      <c r="E168" s="130" t="str">
        <f t="shared" si="5"/>
        <v/>
      </c>
    </row>
    <row r="169" spans="5:5">
      <c r="E169" s="130" t="str">
        <f t="shared" si="5"/>
        <v/>
      </c>
    </row>
    <row r="170" spans="5:5">
      <c r="E170" s="130" t="str">
        <f t="shared" ref="E170:E233" si="6">IF(D170="","",D170/D169-1)</f>
        <v/>
      </c>
    </row>
    <row r="171" spans="5:5">
      <c r="E171" s="130" t="str">
        <f t="shared" si="6"/>
        <v/>
      </c>
    </row>
    <row r="172" spans="5:5">
      <c r="E172" s="130" t="str">
        <f t="shared" si="6"/>
        <v/>
      </c>
    </row>
    <row r="173" spans="5:5">
      <c r="E173" s="130" t="str">
        <f t="shared" si="6"/>
        <v/>
      </c>
    </row>
    <row r="174" spans="5:5">
      <c r="E174" s="130" t="str">
        <f t="shared" si="6"/>
        <v/>
      </c>
    </row>
    <row r="175" spans="5:5">
      <c r="E175" s="130" t="str">
        <f t="shared" si="6"/>
        <v/>
      </c>
    </row>
    <row r="176" spans="5:5">
      <c r="E176" s="130" t="str">
        <f t="shared" si="6"/>
        <v/>
      </c>
    </row>
    <row r="177" spans="5:5">
      <c r="E177" s="130" t="str">
        <f t="shared" si="6"/>
        <v/>
      </c>
    </row>
    <row r="178" spans="5:5">
      <c r="E178" s="130" t="str">
        <f t="shared" si="6"/>
        <v/>
      </c>
    </row>
    <row r="179" spans="5:5">
      <c r="E179" s="130" t="str">
        <f t="shared" si="6"/>
        <v/>
      </c>
    </row>
    <row r="180" spans="5:5">
      <c r="E180" s="130" t="str">
        <f t="shared" si="6"/>
        <v/>
      </c>
    </row>
    <row r="181" spans="5:5">
      <c r="E181" s="130" t="str">
        <f t="shared" si="6"/>
        <v/>
      </c>
    </row>
    <row r="182" spans="5:5">
      <c r="E182" s="130" t="str">
        <f t="shared" si="6"/>
        <v/>
      </c>
    </row>
    <row r="183" spans="5:5">
      <c r="E183" s="130" t="str">
        <f t="shared" si="6"/>
        <v/>
      </c>
    </row>
    <row r="184" spans="5:5">
      <c r="E184" s="130" t="str">
        <f t="shared" si="6"/>
        <v/>
      </c>
    </row>
    <row r="185" spans="5:5">
      <c r="E185" s="130" t="str">
        <f t="shared" si="6"/>
        <v/>
      </c>
    </row>
    <row r="186" spans="5:5">
      <c r="E186" s="130" t="str">
        <f t="shared" si="6"/>
        <v/>
      </c>
    </row>
    <row r="187" spans="5:5">
      <c r="E187" s="130" t="str">
        <f t="shared" si="6"/>
        <v/>
      </c>
    </row>
    <row r="188" spans="5:5">
      <c r="E188" s="130" t="str">
        <f t="shared" si="6"/>
        <v/>
      </c>
    </row>
    <row r="189" spans="5:5">
      <c r="E189" s="130" t="str">
        <f t="shared" si="6"/>
        <v/>
      </c>
    </row>
    <row r="190" spans="5:5">
      <c r="E190" s="130" t="str">
        <f t="shared" si="6"/>
        <v/>
      </c>
    </row>
    <row r="191" spans="5:5">
      <c r="E191" s="130" t="str">
        <f t="shared" si="6"/>
        <v/>
      </c>
    </row>
    <row r="192" spans="5:5">
      <c r="E192" s="130" t="str">
        <f t="shared" si="6"/>
        <v/>
      </c>
    </row>
    <row r="193" spans="5:5">
      <c r="E193" s="130" t="str">
        <f t="shared" si="6"/>
        <v/>
      </c>
    </row>
    <row r="194" spans="5:5">
      <c r="E194" s="130" t="str">
        <f t="shared" si="6"/>
        <v/>
      </c>
    </row>
    <row r="195" spans="5:5">
      <c r="E195" s="130" t="str">
        <f t="shared" si="6"/>
        <v/>
      </c>
    </row>
    <row r="196" spans="5:5">
      <c r="E196" s="130" t="str">
        <f t="shared" si="6"/>
        <v/>
      </c>
    </row>
    <row r="197" spans="5:5">
      <c r="E197" s="130" t="str">
        <f t="shared" si="6"/>
        <v/>
      </c>
    </row>
    <row r="198" spans="5:5">
      <c r="E198" s="130" t="str">
        <f t="shared" si="6"/>
        <v/>
      </c>
    </row>
    <row r="199" spans="5:5">
      <c r="E199" s="130" t="str">
        <f t="shared" si="6"/>
        <v/>
      </c>
    </row>
    <row r="200" spans="5:5">
      <c r="E200" s="130" t="str">
        <f t="shared" si="6"/>
        <v/>
      </c>
    </row>
    <row r="201" spans="5:5">
      <c r="E201" s="130" t="str">
        <f t="shared" si="6"/>
        <v/>
      </c>
    </row>
    <row r="202" spans="5:5">
      <c r="E202" s="130" t="str">
        <f t="shared" si="6"/>
        <v/>
      </c>
    </row>
    <row r="203" spans="5:5">
      <c r="E203" s="130" t="str">
        <f t="shared" si="6"/>
        <v/>
      </c>
    </row>
    <row r="204" spans="5:5">
      <c r="E204" s="130" t="str">
        <f t="shared" si="6"/>
        <v/>
      </c>
    </row>
    <row r="205" spans="5:5">
      <c r="E205" s="130" t="str">
        <f t="shared" si="6"/>
        <v/>
      </c>
    </row>
    <row r="206" spans="5:5">
      <c r="E206" s="130" t="str">
        <f t="shared" si="6"/>
        <v/>
      </c>
    </row>
    <row r="207" spans="5:5">
      <c r="E207" s="130" t="str">
        <f t="shared" si="6"/>
        <v/>
      </c>
    </row>
    <row r="208" spans="5:5">
      <c r="E208" s="130" t="str">
        <f t="shared" si="6"/>
        <v/>
      </c>
    </row>
    <row r="209" spans="5:5">
      <c r="E209" s="130" t="str">
        <f t="shared" si="6"/>
        <v/>
      </c>
    </row>
    <row r="210" spans="5:5">
      <c r="E210" s="130" t="str">
        <f t="shared" si="6"/>
        <v/>
      </c>
    </row>
    <row r="211" spans="5:5">
      <c r="E211" s="130" t="str">
        <f t="shared" si="6"/>
        <v/>
      </c>
    </row>
    <row r="212" spans="5:5">
      <c r="E212" s="130" t="str">
        <f t="shared" si="6"/>
        <v/>
      </c>
    </row>
    <row r="213" spans="5:5">
      <c r="E213" s="130" t="str">
        <f t="shared" si="6"/>
        <v/>
      </c>
    </row>
    <row r="214" spans="5:5">
      <c r="E214" s="130" t="str">
        <f t="shared" si="6"/>
        <v/>
      </c>
    </row>
    <row r="215" spans="5:5">
      <c r="E215" s="130" t="str">
        <f t="shared" si="6"/>
        <v/>
      </c>
    </row>
    <row r="216" spans="5:5">
      <c r="E216" s="130" t="str">
        <f t="shared" si="6"/>
        <v/>
      </c>
    </row>
    <row r="217" spans="5:5">
      <c r="E217" s="130" t="str">
        <f t="shared" si="6"/>
        <v/>
      </c>
    </row>
    <row r="218" spans="5:5">
      <c r="E218" s="130" t="str">
        <f t="shared" si="6"/>
        <v/>
      </c>
    </row>
    <row r="219" spans="5:5">
      <c r="E219" s="130" t="str">
        <f t="shared" si="6"/>
        <v/>
      </c>
    </row>
    <row r="220" spans="5:5">
      <c r="E220" s="130" t="str">
        <f t="shared" si="6"/>
        <v/>
      </c>
    </row>
    <row r="221" spans="5:5">
      <c r="E221" s="130" t="str">
        <f t="shared" si="6"/>
        <v/>
      </c>
    </row>
    <row r="222" spans="5:5">
      <c r="E222" s="130" t="str">
        <f t="shared" si="6"/>
        <v/>
      </c>
    </row>
    <row r="223" spans="5:5">
      <c r="E223" s="130" t="str">
        <f t="shared" si="6"/>
        <v/>
      </c>
    </row>
    <row r="224" spans="5:5">
      <c r="E224" s="130" t="str">
        <f t="shared" si="6"/>
        <v/>
      </c>
    </row>
    <row r="225" spans="5:5">
      <c r="E225" s="130" t="str">
        <f t="shared" si="6"/>
        <v/>
      </c>
    </row>
    <row r="226" spans="5:5">
      <c r="E226" s="130" t="str">
        <f t="shared" si="6"/>
        <v/>
      </c>
    </row>
    <row r="227" spans="5:5">
      <c r="E227" s="130" t="str">
        <f t="shared" si="6"/>
        <v/>
      </c>
    </row>
    <row r="228" spans="5:5">
      <c r="E228" s="130" t="str">
        <f t="shared" si="6"/>
        <v/>
      </c>
    </row>
    <row r="229" spans="5:5">
      <c r="E229" s="130" t="str">
        <f t="shared" si="6"/>
        <v/>
      </c>
    </row>
    <row r="230" spans="5:5">
      <c r="E230" s="130" t="str">
        <f t="shared" si="6"/>
        <v/>
      </c>
    </row>
    <row r="231" spans="5:5">
      <c r="E231" s="130" t="str">
        <f t="shared" si="6"/>
        <v/>
      </c>
    </row>
    <row r="232" spans="5:5">
      <c r="E232" s="130" t="str">
        <f t="shared" si="6"/>
        <v/>
      </c>
    </row>
    <row r="233" spans="5:5">
      <c r="E233" s="130" t="str">
        <f t="shared" si="6"/>
        <v/>
      </c>
    </row>
    <row r="234" spans="5:5">
      <c r="E234" s="130" t="str">
        <f t="shared" ref="E234:E297" si="7">IF(D234="","",D234/D233-1)</f>
        <v/>
      </c>
    </row>
    <row r="235" spans="5:5">
      <c r="E235" s="130" t="str">
        <f t="shared" si="7"/>
        <v/>
      </c>
    </row>
    <row r="236" spans="5:5">
      <c r="E236" s="130" t="str">
        <f t="shared" si="7"/>
        <v/>
      </c>
    </row>
    <row r="237" spans="5:5">
      <c r="E237" s="130" t="str">
        <f t="shared" si="7"/>
        <v/>
      </c>
    </row>
    <row r="238" spans="5:5">
      <c r="E238" s="130" t="str">
        <f t="shared" si="7"/>
        <v/>
      </c>
    </row>
    <row r="239" spans="5:5">
      <c r="E239" s="130" t="str">
        <f t="shared" si="7"/>
        <v/>
      </c>
    </row>
    <row r="240" spans="5:5">
      <c r="E240" s="130" t="str">
        <f t="shared" si="7"/>
        <v/>
      </c>
    </row>
    <row r="241" spans="5:5">
      <c r="E241" s="130" t="str">
        <f t="shared" si="7"/>
        <v/>
      </c>
    </row>
    <row r="242" spans="5:5">
      <c r="E242" s="130" t="str">
        <f t="shared" si="7"/>
        <v/>
      </c>
    </row>
    <row r="243" spans="5:5">
      <c r="E243" s="130" t="str">
        <f t="shared" si="7"/>
        <v/>
      </c>
    </row>
    <row r="244" spans="5:5">
      <c r="E244" s="130" t="str">
        <f t="shared" si="7"/>
        <v/>
      </c>
    </row>
    <row r="245" spans="5:5">
      <c r="E245" s="130" t="str">
        <f t="shared" si="7"/>
        <v/>
      </c>
    </row>
    <row r="246" spans="5:5">
      <c r="E246" s="130" t="str">
        <f t="shared" si="7"/>
        <v/>
      </c>
    </row>
    <row r="247" spans="5:5">
      <c r="E247" s="130" t="str">
        <f t="shared" si="7"/>
        <v/>
      </c>
    </row>
    <row r="248" spans="5:5">
      <c r="E248" s="130" t="str">
        <f t="shared" si="7"/>
        <v/>
      </c>
    </row>
    <row r="249" spans="5:5">
      <c r="E249" s="130" t="str">
        <f t="shared" si="7"/>
        <v/>
      </c>
    </row>
    <row r="250" spans="5:5">
      <c r="E250" s="130" t="str">
        <f t="shared" si="7"/>
        <v/>
      </c>
    </row>
    <row r="251" spans="5:5">
      <c r="E251" s="130" t="str">
        <f t="shared" si="7"/>
        <v/>
      </c>
    </row>
    <row r="252" spans="5:5">
      <c r="E252" s="130" t="str">
        <f t="shared" si="7"/>
        <v/>
      </c>
    </row>
    <row r="253" spans="5:5">
      <c r="E253" s="130" t="str">
        <f t="shared" si="7"/>
        <v/>
      </c>
    </row>
    <row r="254" spans="5:5">
      <c r="E254" s="130" t="str">
        <f t="shared" si="7"/>
        <v/>
      </c>
    </row>
    <row r="255" spans="5:5">
      <c r="E255" s="130" t="str">
        <f t="shared" si="7"/>
        <v/>
      </c>
    </row>
    <row r="256" spans="5:5">
      <c r="E256" s="130" t="str">
        <f t="shared" si="7"/>
        <v/>
      </c>
    </row>
    <row r="257" spans="5:5">
      <c r="E257" s="130" t="str">
        <f t="shared" si="7"/>
        <v/>
      </c>
    </row>
    <row r="258" spans="5:5">
      <c r="E258" s="130" t="str">
        <f t="shared" si="7"/>
        <v/>
      </c>
    </row>
    <row r="259" spans="5:5">
      <c r="E259" s="130" t="str">
        <f t="shared" si="7"/>
        <v/>
      </c>
    </row>
    <row r="260" spans="5:5">
      <c r="E260" s="130" t="str">
        <f t="shared" si="7"/>
        <v/>
      </c>
    </row>
    <row r="261" spans="5:5">
      <c r="E261" s="130" t="str">
        <f t="shared" si="7"/>
        <v/>
      </c>
    </row>
    <row r="262" spans="5:5">
      <c r="E262" s="130" t="str">
        <f t="shared" si="7"/>
        <v/>
      </c>
    </row>
    <row r="263" spans="5:5">
      <c r="E263" s="130" t="str">
        <f t="shared" si="7"/>
        <v/>
      </c>
    </row>
    <row r="264" spans="5:5">
      <c r="E264" s="130" t="str">
        <f t="shared" si="7"/>
        <v/>
      </c>
    </row>
    <row r="265" spans="5:5">
      <c r="E265" s="130" t="str">
        <f t="shared" si="7"/>
        <v/>
      </c>
    </row>
    <row r="266" spans="5:5">
      <c r="E266" s="130" t="str">
        <f t="shared" si="7"/>
        <v/>
      </c>
    </row>
    <row r="267" spans="5:5">
      <c r="E267" s="130" t="str">
        <f t="shared" si="7"/>
        <v/>
      </c>
    </row>
    <row r="268" spans="5:5">
      <c r="E268" s="130" t="str">
        <f t="shared" si="7"/>
        <v/>
      </c>
    </row>
    <row r="269" spans="5:5">
      <c r="E269" s="130" t="str">
        <f t="shared" si="7"/>
        <v/>
      </c>
    </row>
    <row r="270" spans="5:5">
      <c r="E270" s="130" t="str">
        <f t="shared" si="7"/>
        <v/>
      </c>
    </row>
    <row r="271" spans="5:5">
      <c r="E271" s="130" t="str">
        <f t="shared" si="7"/>
        <v/>
      </c>
    </row>
    <row r="272" spans="5:5">
      <c r="E272" s="130" t="str">
        <f t="shared" si="7"/>
        <v/>
      </c>
    </row>
    <row r="273" spans="5:5">
      <c r="E273" s="130" t="str">
        <f t="shared" si="7"/>
        <v/>
      </c>
    </row>
    <row r="274" spans="5:5">
      <c r="E274" s="130" t="str">
        <f t="shared" si="7"/>
        <v/>
      </c>
    </row>
    <row r="275" spans="5:5">
      <c r="E275" s="130" t="str">
        <f t="shared" si="7"/>
        <v/>
      </c>
    </row>
    <row r="276" spans="5:5">
      <c r="E276" s="130" t="str">
        <f t="shared" si="7"/>
        <v/>
      </c>
    </row>
    <row r="277" spans="5:5">
      <c r="E277" s="130" t="str">
        <f t="shared" si="7"/>
        <v/>
      </c>
    </row>
    <row r="278" spans="5:5">
      <c r="E278" s="130" t="str">
        <f t="shared" si="7"/>
        <v/>
      </c>
    </row>
    <row r="279" spans="5:5">
      <c r="E279" s="130" t="str">
        <f t="shared" si="7"/>
        <v/>
      </c>
    </row>
    <row r="280" spans="5:5">
      <c r="E280" s="130" t="str">
        <f t="shared" si="7"/>
        <v/>
      </c>
    </row>
    <row r="281" spans="5:5">
      <c r="E281" s="130" t="str">
        <f t="shared" si="7"/>
        <v/>
      </c>
    </row>
    <row r="282" spans="5:5">
      <c r="E282" s="130" t="str">
        <f t="shared" si="7"/>
        <v/>
      </c>
    </row>
    <row r="283" spans="5:5">
      <c r="E283" s="130" t="str">
        <f t="shared" si="7"/>
        <v/>
      </c>
    </row>
    <row r="284" spans="5:5">
      <c r="E284" s="130" t="str">
        <f t="shared" si="7"/>
        <v/>
      </c>
    </row>
    <row r="285" spans="5:5">
      <c r="E285" s="130" t="str">
        <f t="shared" si="7"/>
        <v/>
      </c>
    </row>
    <row r="286" spans="5:5">
      <c r="E286" s="130" t="str">
        <f t="shared" si="7"/>
        <v/>
      </c>
    </row>
    <row r="287" spans="5:5">
      <c r="E287" s="130" t="str">
        <f t="shared" si="7"/>
        <v/>
      </c>
    </row>
    <row r="288" spans="5:5">
      <c r="E288" s="130" t="str">
        <f t="shared" si="7"/>
        <v/>
      </c>
    </row>
    <row r="289" spans="5:5">
      <c r="E289" s="130" t="str">
        <f t="shared" si="7"/>
        <v/>
      </c>
    </row>
    <row r="290" spans="5:5">
      <c r="E290" s="130" t="str">
        <f t="shared" si="7"/>
        <v/>
      </c>
    </row>
    <row r="291" spans="5:5">
      <c r="E291" s="130" t="str">
        <f t="shared" si="7"/>
        <v/>
      </c>
    </row>
    <row r="292" spans="5:5">
      <c r="E292" s="130" t="str">
        <f t="shared" si="7"/>
        <v/>
      </c>
    </row>
    <row r="293" spans="5:5">
      <c r="E293" s="130" t="str">
        <f t="shared" si="7"/>
        <v/>
      </c>
    </row>
    <row r="294" spans="5:5">
      <c r="E294" s="130" t="str">
        <f t="shared" si="7"/>
        <v/>
      </c>
    </row>
    <row r="295" spans="5:5">
      <c r="E295" s="130" t="str">
        <f t="shared" si="7"/>
        <v/>
      </c>
    </row>
    <row r="296" spans="5:5">
      <c r="E296" s="130" t="str">
        <f t="shared" si="7"/>
        <v/>
      </c>
    </row>
    <row r="297" spans="5:5">
      <c r="E297" s="130" t="str">
        <f t="shared" si="7"/>
        <v/>
      </c>
    </row>
    <row r="298" spans="5:5">
      <c r="E298" s="130" t="str">
        <f t="shared" ref="E298:E361" si="8">IF(D298="","",D298/D297-1)</f>
        <v/>
      </c>
    </row>
    <row r="299" spans="5:5">
      <c r="E299" s="130" t="str">
        <f t="shared" si="8"/>
        <v/>
      </c>
    </row>
    <row r="300" spans="5:5">
      <c r="E300" s="130" t="str">
        <f t="shared" si="8"/>
        <v/>
      </c>
    </row>
    <row r="301" spans="5:5">
      <c r="E301" s="130" t="str">
        <f t="shared" si="8"/>
        <v/>
      </c>
    </row>
    <row r="302" spans="5:5">
      <c r="E302" s="130" t="str">
        <f t="shared" si="8"/>
        <v/>
      </c>
    </row>
    <row r="303" spans="5:5">
      <c r="E303" s="130" t="str">
        <f t="shared" si="8"/>
        <v/>
      </c>
    </row>
    <row r="304" spans="5:5">
      <c r="E304" s="130" t="str">
        <f t="shared" si="8"/>
        <v/>
      </c>
    </row>
    <row r="305" spans="5:5">
      <c r="E305" s="130" t="str">
        <f t="shared" si="8"/>
        <v/>
      </c>
    </row>
    <row r="306" spans="5:5">
      <c r="E306" s="130" t="str">
        <f t="shared" si="8"/>
        <v/>
      </c>
    </row>
    <row r="307" spans="5:5">
      <c r="E307" s="130" t="str">
        <f t="shared" si="8"/>
        <v/>
      </c>
    </row>
    <row r="308" spans="5:5">
      <c r="E308" s="130" t="str">
        <f t="shared" si="8"/>
        <v/>
      </c>
    </row>
    <row r="309" spans="5:5">
      <c r="E309" s="130" t="str">
        <f t="shared" si="8"/>
        <v/>
      </c>
    </row>
    <row r="310" spans="5:5">
      <c r="E310" s="130" t="str">
        <f t="shared" si="8"/>
        <v/>
      </c>
    </row>
    <row r="311" spans="5:5">
      <c r="E311" s="130" t="str">
        <f t="shared" si="8"/>
        <v/>
      </c>
    </row>
    <row r="312" spans="5:5">
      <c r="E312" s="130" t="str">
        <f t="shared" si="8"/>
        <v/>
      </c>
    </row>
    <row r="313" spans="5:5">
      <c r="E313" s="130" t="str">
        <f t="shared" si="8"/>
        <v/>
      </c>
    </row>
    <row r="314" spans="5:5">
      <c r="E314" s="130" t="str">
        <f t="shared" si="8"/>
        <v/>
      </c>
    </row>
    <row r="315" spans="5:5">
      <c r="E315" s="130" t="str">
        <f t="shared" si="8"/>
        <v/>
      </c>
    </row>
    <row r="316" spans="5:5">
      <c r="E316" s="130" t="str">
        <f t="shared" si="8"/>
        <v/>
      </c>
    </row>
    <row r="317" spans="5:5">
      <c r="E317" s="130" t="str">
        <f t="shared" si="8"/>
        <v/>
      </c>
    </row>
    <row r="318" spans="5:5">
      <c r="E318" s="130" t="str">
        <f t="shared" si="8"/>
        <v/>
      </c>
    </row>
    <row r="319" spans="5:5">
      <c r="E319" s="130" t="str">
        <f t="shared" si="8"/>
        <v/>
      </c>
    </row>
    <row r="320" spans="5:5">
      <c r="E320" s="130" t="str">
        <f t="shared" si="8"/>
        <v/>
      </c>
    </row>
    <row r="321" spans="5:5">
      <c r="E321" s="130" t="str">
        <f t="shared" si="8"/>
        <v/>
      </c>
    </row>
    <row r="322" spans="5:5">
      <c r="E322" s="130" t="str">
        <f t="shared" si="8"/>
        <v/>
      </c>
    </row>
    <row r="323" spans="5:5">
      <c r="E323" s="130" t="str">
        <f t="shared" si="8"/>
        <v/>
      </c>
    </row>
    <row r="324" spans="5:5">
      <c r="E324" s="130" t="str">
        <f t="shared" si="8"/>
        <v/>
      </c>
    </row>
    <row r="325" spans="5:5">
      <c r="E325" s="130" t="str">
        <f t="shared" si="8"/>
        <v/>
      </c>
    </row>
    <row r="326" spans="5:5">
      <c r="E326" s="130" t="str">
        <f t="shared" si="8"/>
        <v/>
      </c>
    </row>
    <row r="327" spans="5:5">
      <c r="E327" s="130" t="str">
        <f t="shared" si="8"/>
        <v/>
      </c>
    </row>
    <row r="328" spans="5:5">
      <c r="E328" s="130" t="str">
        <f t="shared" si="8"/>
        <v/>
      </c>
    </row>
    <row r="329" spans="5:5">
      <c r="E329" s="130" t="str">
        <f t="shared" si="8"/>
        <v/>
      </c>
    </row>
    <row r="330" spans="5:5">
      <c r="E330" s="130" t="str">
        <f t="shared" si="8"/>
        <v/>
      </c>
    </row>
    <row r="331" spans="5:5">
      <c r="E331" s="130" t="str">
        <f t="shared" si="8"/>
        <v/>
      </c>
    </row>
    <row r="332" spans="5:5">
      <c r="E332" s="130" t="str">
        <f t="shared" si="8"/>
        <v/>
      </c>
    </row>
    <row r="333" spans="5:5">
      <c r="E333" s="130" t="str">
        <f t="shared" si="8"/>
        <v/>
      </c>
    </row>
    <row r="334" spans="5:5">
      <c r="E334" s="130" t="str">
        <f t="shared" si="8"/>
        <v/>
      </c>
    </row>
    <row r="335" spans="5:5">
      <c r="E335" s="130" t="str">
        <f t="shared" si="8"/>
        <v/>
      </c>
    </row>
    <row r="336" spans="5:5">
      <c r="E336" s="130" t="str">
        <f t="shared" si="8"/>
        <v/>
      </c>
    </row>
    <row r="337" spans="5:5">
      <c r="E337" s="130" t="str">
        <f t="shared" si="8"/>
        <v/>
      </c>
    </row>
    <row r="338" spans="5:5">
      <c r="E338" s="130" t="str">
        <f t="shared" si="8"/>
        <v/>
      </c>
    </row>
    <row r="339" spans="5:5">
      <c r="E339" s="130" t="str">
        <f t="shared" si="8"/>
        <v/>
      </c>
    </row>
    <row r="340" spans="5:5">
      <c r="E340" s="130" t="str">
        <f t="shared" si="8"/>
        <v/>
      </c>
    </row>
    <row r="341" spans="5:5">
      <c r="E341" s="130" t="str">
        <f t="shared" si="8"/>
        <v/>
      </c>
    </row>
    <row r="342" spans="5:5">
      <c r="E342" s="130" t="str">
        <f t="shared" si="8"/>
        <v/>
      </c>
    </row>
    <row r="343" spans="5:5">
      <c r="E343" s="130" t="str">
        <f t="shared" si="8"/>
        <v/>
      </c>
    </row>
    <row r="344" spans="5:5">
      <c r="E344" s="130" t="str">
        <f t="shared" si="8"/>
        <v/>
      </c>
    </row>
    <row r="345" spans="5:5">
      <c r="E345" s="130" t="str">
        <f t="shared" si="8"/>
        <v/>
      </c>
    </row>
    <row r="346" spans="5:5">
      <c r="E346" s="130" t="str">
        <f t="shared" si="8"/>
        <v/>
      </c>
    </row>
    <row r="347" spans="5:5">
      <c r="E347" s="130" t="str">
        <f t="shared" si="8"/>
        <v/>
      </c>
    </row>
    <row r="348" spans="5:5">
      <c r="E348" s="130" t="str">
        <f t="shared" si="8"/>
        <v/>
      </c>
    </row>
    <row r="349" spans="5:5">
      <c r="E349" s="130" t="str">
        <f t="shared" si="8"/>
        <v/>
      </c>
    </row>
    <row r="350" spans="5:5">
      <c r="E350" s="130" t="str">
        <f t="shared" si="8"/>
        <v/>
      </c>
    </row>
    <row r="351" spans="5:5">
      <c r="E351" s="130" t="str">
        <f t="shared" si="8"/>
        <v/>
      </c>
    </row>
    <row r="352" spans="5:5">
      <c r="E352" s="130" t="str">
        <f t="shared" si="8"/>
        <v/>
      </c>
    </row>
    <row r="353" spans="5:5">
      <c r="E353" s="130" t="str">
        <f t="shared" si="8"/>
        <v/>
      </c>
    </row>
    <row r="354" spans="5:5">
      <c r="E354" s="130" t="str">
        <f t="shared" si="8"/>
        <v/>
      </c>
    </row>
    <row r="355" spans="5:5">
      <c r="E355" s="130" t="str">
        <f t="shared" si="8"/>
        <v/>
      </c>
    </row>
    <row r="356" spans="5:5">
      <c r="E356" s="130" t="str">
        <f t="shared" si="8"/>
        <v/>
      </c>
    </row>
    <row r="357" spans="5:5">
      <c r="E357" s="130" t="str">
        <f t="shared" si="8"/>
        <v/>
      </c>
    </row>
    <row r="358" spans="5:5">
      <c r="E358" s="130" t="str">
        <f t="shared" si="8"/>
        <v/>
      </c>
    </row>
    <row r="359" spans="5:5">
      <c r="E359" s="130" t="str">
        <f t="shared" si="8"/>
        <v/>
      </c>
    </row>
    <row r="360" spans="5:5">
      <c r="E360" s="130" t="str">
        <f t="shared" si="8"/>
        <v/>
      </c>
    </row>
    <row r="361" spans="5:5">
      <c r="E361" s="130" t="str">
        <f t="shared" si="8"/>
        <v/>
      </c>
    </row>
    <row r="362" spans="5:5">
      <c r="E362" s="130" t="str">
        <f t="shared" ref="E362:E381" si="9">IF(D362="","",D362/D361-1)</f>
        <v/>
      </c>
    </row>
    <row r="363" spans="5:5">
      <c r="E363" s="130" t="str">
        <f t="shared" si="9"/>
        <v/>
      </c>
    </row>
    <row r="364" spans="5:5">
      <c r="E364" s="130" t="str">
        <f t="shared" si="9"/>
        <v/>
      </c>
    </row>
    <row r="365" spans="5:5">
      <c r="E365" s="130" t="str">
        <f t="shared" si="9"/>
        <v/>
      </c>
    </row>
    <row r="366" spans="5:5">
      <c r="E366" s="130" t="str">
        <f t="shared" si="9"/>
        <v/>
      </c>
    </row>
    <row r="367" spans="5:5">
      <c r="E367" s="130" t="str">
        <f t="shared" si="9"/>
        <v/>
      </c>
    </row>
    <row r="368" spans="5:5">
      <c r="E368" s="130" t="str">
        <f t="shared" si="9"/>
        <v/>
      </c>
    </row>
    <row r="369" spans="5:5">
      <c r="E369" s="130" t="str">
        <f t="shared" si="9"/>
        <v/>
      </c>
    </row>
    <row r="370" spans="5:5">
      <c r="E370" s="130" t="str">
        <f t="shared" si="9"/>
        <v/>
      </c>
    </row>
    <row r="371" spans="5:5">
      <c r="E371" s="130" t="str">
        <f t="shared" si="9"/>
        <v/>
      </c>
    </row>
    <row r="372" spans="5:5">
      <c r="E372" s="130" t="str">
        <f t="shared" si="9"/>
        <v/>
      </c>
    </row>
    <row r="373" spans="5:5">
      <c r="E373" s="130" t="str">
        <f t="shared" si="9"/>
        <v/>
      </c>
    </row>
    <row r="374" spans="5:5">
      <c r="E374" s="130" t="str">
        <f t="shared" si="9"/>
        <v/>
      </c>
    </row>
    <row r="375" spans="5:5">
      <c r="E375" s="130" t="str">
        <f t="shared" si="9"/>
        <v/>
      </c>
    </row>
    <row r="376" spans="5:5">
      <c r="E376" s="130" t="str">
        <f t="shared" si="9"/>
        <v/>
      </c>
    </row>
    <row r="377" spans="5:5">
      <c r="E377" s="130" t="str">
        <f t="shared" si="9"/>
        <v/>
      </c>
    </row>
    <row r="378" spans="5:5">
      <c r="E378" s="130" t="str">
        <f t="shared" si="9"/>
        <v/>
      </c>
    </row>
    <row r="379" spans="5:5">
      <c r="E379" s="130" t="str">
        <f t="shared" si="9"/>
        <v/>
      </c>
    </row>
    <row r="380" spans="5:5">
      <c r="E380" s="130" t="str">
        <f t="shared" si="9"/>
        <v/>
      </c>
    </row>
    <row r="381" spans="5:5">
      <c r="E381" s="130" t="str">
        <f t="shared" si="9"/>
        <v/>
      </c>
    </row>
    <row r="504" spans="216:216">
      <c r="HH504" s="127">
        <v>39703</v>
      </c>
    </row>
    <row r="505" spans="216:216">
      <c r="HH505" s="123">
        <v>22</v>
      </c>
    </row>
    <row r="506" spans="216:216">
      <c r="HH506" s="123">
        <v>11</v>
      </c>
    </row>
  </sheetData>
  <sheetProtection selectLockedCells="1"/>
  <customSheetViews>
    <customSheetView guid="{9F94E489-9692-4C63-A554-7FBA98A324C0}" state="veryHidden">
      <selection activeCell="I12" sqref="I12"/>
      <pageMargins left="0.75" right="0.75" top="1" bottom="1" header="0" footer="0"/>
      <pageSetup orientation="portrait" horizontalDpi="300" verticalDpi="300" r:id="rId1"/>
      <headerFooter alignWithMargins="0"/>
    </customSheetView>
    <customSheetView guid="{0CBEA09E-24B8-4CE5-A052-7237E9208379}" state="veryHidden" showRuler="0">
      <pageMargins left="0.75" right="0.75" top="1" bottom="1" header="0" footer="0"/>
      <headerFooter alignWithMargins="0"/>
    </customSheetView>
    <customSheetView guid="{6E71BEFB-61B2-401E-9961-32884E4CD56C}" state="veryHidden" showRuler="0">
      <selection activeCell="I12" sqref="I12"/>
      <pageMargins left="0.75" right="0.75" top="1" bottom="1" header="0" footer="0"/>
      <pageSetup orientation="portrait" horizontalDpi="300" verticalDpi="300" r:id="rId2"/>
      <headerFooter alignWithMargins="0"/>
    </customSheetView>
    <customSheetView guid="{74BDB053-C30B-49CC-8134-2CE4C1966D2C}" state="veryHidden" showRuler="0">
      <selection activeCell="I12" sqref="I12"/>
      <pageMargins left="0.75" right="0.75" top="1" bottom="1" header="0" footer="0"/>
      <pageSetup orientation="portrait" horizontalDpi="300" verticalDpi="300" r:id="rId3"/>
      <headerFooter alignWithMargins="0"/>
    </customSheetView>
    <customSheetView guid="{40B815EE-4446-47D1-839D-2EFF5F5EF0E5}" state="veryHidden" showRuler="0">
      <selection activeCell="D11" sqref="D11"/>
      <pageMargins left="0.75" right="0.75" top="1" bottom="1" header="0" footer="0"/>
      <pageSetup orientation="portrait" horizontalDpi="300" verticalDpi="300" r:id="rId4"/>
      <headerFooter alignWithMargins="0"/>
    </customSheetView>
    <customSheetView guid="{52F59514-34F3-4352-A05C-5BB41CEA0827}" state="veryHidden" showRuler="0">
      <selection activeCell="H18" sqref="H18"/>
      <pageMargins left="0.75" right="0.75" top="1" bottom="1" header="0" footer="0"/>
      <pageSetup orientation="portrait" horizontalDpi="300" verticalDpi="300" r:id="rId5"/>
      <headerFooter alignWithMargins="0"/>
    </customSheetView>
  </customSheetViews>
  <mergeCells count="1">
    <mergeCell ref="A1:C1"/>
  </mergeCells>
  <phoneticPr fontId="6" type="noConversion"/>
  <pageMargins left="0.75" right="0.75" top="1" bottom="1" header="0" footer="0"/>
  <pageSetup orientation="portrait" horizontalDpi="300" verticalDpi="300" r:id="rId6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15</vt:i4>
      </vt:variant>
    </vt:vector>
  </HeadingPairs>
  <TitlesOfParts>
    <vt:vector size="21" baseType="lpstr">
      <vt:lpstr>PRESUPUESTOS</vt:lpstr>
      <vt:lpstr>PROPONENTES</vt:lpstr>
      <vt:lpstr>INTEGRANTES</vt:lpstr>
      <vt:lpstr>EXPERIENCIA</vt:lpstr>
      <vt:lpstr>RESUMEN</vt:lpstr>
      <vt:lpstr>HAB.GEN.</vt:lpstr>
      <vt:lpstr>CUMPLIMIENTO</vt:lpstr>
      <vt:lpstr>CUMPLIMIENTOLP</vt:lpstr>
      <vt:lpstr>DEPENDENCIAS</vt:lpstr>
      <vt:lpstr>Estado</vt:lpstr>
      <vt:lpstr>EXPERACEPTABLE</vt:lpstr>
      <vt:lpstr>fcierre</vt:lpstr>
      <vt:lpstr>HABILIDAD</vt:lpstr>
      <vt:lpstr>PEJECUCION</vt:lpstr>
      <vt:lpstr>PORPOM</vt:lpstr>
      <vt:lpstr>POSMMLV</vt:lpstr>
      <vt:lpstr>SALACTUAL</vt:lpstr>
      <vt:lpstr>SINO</vt:lpstr>
      <vt:lpstr>TIPODEVIA</vt:lpstr>
      <vt:lpstr>TIPOPAVIMENTO</vt:lpstr>
      <vt:lpstr>VALIDEZANCHOCALZADA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chucho</dc:creator>
  <cp:lastModifiedBy>Leidy Vanesa Casilimas Pabon</cp:lastModifiedBy>
  <cp:lastPrinted>2021-04-16T21:04:15Z</cp:lastPrinted>
  <dcterms:created xsi:type="dcterms:W3CDTF">2021-03-03T04:15:08Z</dcterms:created>
  <dcterms:modified xsi:type="dcterms:W3CDTF">2024-07-29T15:22:42Z</dcterms:modified>
</cp:coreProperties>
</file>