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EsteLibro"/>
  <mc:AlternateContent xmlns:mc="http://schemas.openxmlformats.org/markup-compatibility/2006">
    <mc:Choice Requires="x15">
      <x15ac:absPath xmlns:x15ac="http://schemas.microsoft.com/office/spreadsheetml/2010/11/ac" url="https://invias-my.sharepoint.com/personal/lcasilimas_invias_gov_co/Documents/INVIAS/2024/05. PROCESOS DE CONTRATACION/02. MENOR CUANTIA/07. SA-MC-DT-VAL-005-2024 Monto A VR/08. EVALUACION FINAL/"/>
    </mc:Choice>
  </mc:AlternateContent>
  <xr:revisionPtr revIDLastSave="0" documentId="8_{0177627E-581A-404E-B9C6-9F54CA2C0089}" xr6:coauthVersionLast="47" xr6:coauthVersionMax="47" xr10:uidLastSave="{00000000-0000-0000-0000-000000000000}"/>
  <bookViews>
    <workbookView xWindow="-120" yWindow="-120" windowWidth="29040" windowHeight="15720" tabRatio="853" firstSheet="1" activeTab="9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PO" sheetId="7" state="hidden" r:id="rId11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Financiera'!$B$1:$AC$11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Financiera'!$B$1:$AC$11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9" l="1"/>
  <c r="F13" i="17"/>
  <c r="E16" i="20"/>
  <c r="K23" i="4"/>
  <c r="J22" i="4"/>
  <c r="J23" i="4"/>
  <c r="I23" i="4"/>
  <c r="I22" i="4"/>
  <c r="M24" i="4"/>
  <c r="L24" i="4"/>
  <c r="H24" i="4"/>
  <c r="G24" i="4"/>
  <c r="F24" i="4"/>
  <c r="E24" i="4"/>
  <c r="I12" i="4"/>
  <c r="H12" i="4"/>
  <c r="G12" i="4"/>
  <c r="F12" i="4"/>
  <c r="E12" i="4"/>
  <c r="D24" i="4"/>
  <c r="D29" i="4"/>
  <c r="J34" i="4"/>
  <c r="I34" i="4"/>
  <c r="M29" i="4"/>
  <c r="L29" i="4"/>
  <c r="H29" i="4"/>
  <c r="G29" i="4"/>
  <c r="F29" i="4"/>
  <c r="E29" i="4"/>
  <c r="E12" i="20"/>
  <c r="K15" i="5" s="1"/>
  <c r="J12" i="4" l="1"/>
  <c r="K12" i="4"/>
  <c r="F35" i="5"/>
  <c r="F31" i="5"/>
  <c r="I31" i="5" s="1"/>
  <c r="F27" i="5"/>
  <c r="I27" i="5" s="1"/>
  <c r="H35" i="5"/>
  <c r="F38" i="5"/>
  <c r="F34" i="5"/>
  <c r="F30" i="5"/>
  <c r="F26" i="5"/>
  <c r="H26" i="5" s="1"/>
  <c r="F23" i="5"/>
  <c r="F11" i="5"/>
  <c r="F15" i="5"/>
  <c r="Q27" i="5"/>
  <c r="Q39" i="5"/>
  <c r="Q35" i="5"/>
  <c r="Q31" i="5"/>
  <c r="Q23" i="5"/>
  <c r="I35" i="5" l="1"/>
  <c r="G35" i="5"/>
  <c r="G31" i="5"/>
  <c r="J31" i="5" s="1"/>
  <c r="H31" i="5"/>
  <c r="G27" i="5"/>
  <c r="H27" i="5"/>
  <c r="F39" i="5"/>
  <c r="J27" i="5" l="1"/>
  <c r="J35" i="5"/>
  <c r="E28" i="20"/>
  <c r="K39" i="5" s="1"/>
  <c r="D26" i="18"/>
  <c r="F24" i="16"/>
  <c r="F23" i="16"/>
  <c r="O39" i="5" s="1"/>
  <c r="I26" i="17"/>
  <c r="G26" i="17"/>
  <c r="I51" i="4"/>
  <c r="Q40" i="5"/>
  <c r="P40" i="5"/>
  <c r="O40" i="5"/>
  <c r="M40" i="5"/>
  <c r="N40" i="5" s="1"/>
  <c r="L40" i="5"/>
  <c r="K40" i="5"/>
  <c r="M39" i="5"/>
  <c r="N39" i="5" s="1"/>
  <c r="N38" i="5" s="1"/>
  <c r="I39" i="5"/>
  <c r="G39" i="5"/>
  <c r="O38" i="5"/>
  <c r="P38" i="5" s="1"/>
  <c r="I38" i="5"/>
  <c r="F22" i="5"/>
  <c r="F19" i="5"/>
  <c r="E26" i="18" l="1"/>
  <c r="F26" i="18"/>
  <c r="R40" i="5"/>
  <c r="G38" i="5"/>
  <c r="H39" i="5"/>
  <c r="J39" i="5" s="1"/>
  <c r="H38" i="5"/>
  <c r="E9" i="20"/>
  <c r="Q36" i="5"/>
  <c r="P36" i="5"/>
  <c r="O36" i="5"/>
  <c r="M36" i="5"/>
  <c r="N36" i="5" s="1"/>
  <c r="L36" i="5"/>
  <c r="K36" i="5"/>
  <c r="M35" i="5"/>
  <c r="N35" i="5" s="1"/>
  <c r="O34" i="5"/>
  <c r="P34" i="5" s="1"/>
  <c r="I34" i="5"/>
  <c r="Q32" i="5"/>
  <c r="P32" i="5"/>
  <c r="O32" i="5"/>
  <c r="M32" i="5"/>
  <c r="N32" i="5" s="1"/>
  <c r="L32" i="5"/>
  <c r="K32" i="5"/>
  <c r="M31" i="5"/>
  <c r="N31" i="5" s="1"/>
  <c r="O30" i="5"/>
  <c r="P30" i="5" s="1"/>
  <c r="I30" i="5"/>
  <c r="Q28" i="5"/>
  <c r="P28" i="5"/>
  <c r="O28" i="5"/>
  <c r="M28" i="5"/>
  <c r="N28" i="5" s="1"/>
  <c r="L28" i="5"/>
  <c r="K28" i="5"/>
  <c r="M27" i="5"/>
  <c r="N27" i="5" s="1"/>
  <c r="O26" i="5"/>
  <c r="P26" i="5" s="1"/>
  <c r="I26" i="5"/>
  <c r="Q24" i="5"/>
  <c r="P24" i="5"/>
  <c r="O24" i="5"/>
  <c r="M24" i="5"/>
  <c r="N24" i="5" s="1"/>
  <c r="L24" i="5"/>
  <c r="K24" i="5"/>
  <c r="H24" i="5"/>
  <c r="I24" i="5"/>
  <c r="J24" i="5" s="1"/>
  <c r="M23" i="5"/>
  <c r="N23" i="5" s="1"/>
  <c r="I23" i="5"/>
  <c r="H23" i="5"/>
  <c r="G23" i="5"/>
  <c r="O22" i="5"/>
  <c r="P22" i="5" s="1"/>
  <c r="I22" i="5"/>
  <c r="E26" i="20"/>
  <c r="K35" i="5" s="1"/>
  <c r="E24" i="20"/>
  <c r="K31" i="5" s="1"/>
  <c r="K27" i="5"/>
  <c r="E19" i="20"/>
  <c r="K23" i="5" s="1"/>
  <c r="D24" i="18"/>
  <c r="D22" i="18"/>
  <c r="D20" i="18"/>
  <c r="D18" i="18"/>
  <c r="F22" i="16"/>
  <c r="F21" i="16"/>
  <c r="O35" i="5" s="1"/>
  <c r="F20" i="16"/>
  <c r="F19" i="16"/>
  <c r="O31" i="5" s="1"/>
  <c r="F18" i="16"/>
  <c r="F17" i="16"/>
  <c r="O27" i="5" s="1"/>
  <c r="F16" i="16"/>
  <c r="F15" i="16"/>
  <c r="O23" i="5" s="1"/>
  <c r="I24" i="17"/>
  <c r="G24" i="17"/>
  <c r="I22" i="17"/>
  <c r="G22" i="17"/>
  <c r="I20" i="17"/>
  <c r="G20" i="17"/>
  <c r="I18" i="17"/>
  <c r="G18" i="17"/>
  <c r="Z57" i="4"/>
  <c r="R57" i="4"/>
  <c r="S57" i="4" s="1"/>
  <c r="Q57" i="4"/>
  <c r="O57" i="4"/>
  <c r="M57" i="4"/>
  <c r="L57" i="4"/>
  <c r="AA57" i="4" s="1"/>
  <c r="J57" i="4"/>
  <c r="I57" i="4"/>
  <c r="H57" i="4"/>
  <c r="G57" i="4"/>
  <c r="F57" i="4"/>
  <c r="K57" i="4" s="1"/>
  <c r="E57" i="4"/>
  <c r="V57" i="4" s="1"/>
  <c r="D57" i="4"/>
  <c r="C57" i="4"/>
  <c r="M56" i="4"/>
  <c r="L56" i="4"/>
  <c r="K56" i="4"/>
  <c r="J56" i="4"/>
  <c r="I56" i="4"/>
  <c r="C45" i="4"/>
  <c r="D23" i="18" s="1"/>
  <c r="D45" i="4"/>
  <c r="E34" i="5" s="1"/>
  <c r="E45" i="4"/>
  <c r="F45" i="4"/>
  <c r="G45" i="4"/>
  <c r="H45" i="4"/>
  <c r="J45" i="4"/>
  <c r="L45" i="4"/>
  <c r="M45" i="4"/>
  <c r="O45" i="4"/>
  <c r="Q45" i="4"/>
  <c r="R45" i="4"/>
  <c r="S45" i="4" s="1"/>
  <c r="I45" i="4"/>
  <c r="K46" i="4"/>
  <c r="O46" i="4"/>
  <c r="AI46" i="4" s="1"/>
  <c r="Q46" i="4"/>
  <c r="R46" i="4"/>
  <c r="U46" i="4" s="1"/>
  <c r="Z46" i="4"/>
  <c r="Z45" i="4" s="1"/>
  <c r="AF46" i="4"/>
  <c r="I50" i="4"/>
  <c r="J50" i="4"/>
  <c r="K50" i="4"/>
  <c r="L50" i="4"/>
  <c r="M50" i="4"/>
  <c r="C51" i="4"/>
  <c r="D51" i="4"/>
  <c r="E51" i="4"/>
  <c r="F51" i="4"/>
  <c r="G51" i="4"/>
  <c r="H51" i="4"/>
  <c r="J51" i="4"/>
  <c r="L51" i="4"/>
  <c r="M51" i="4"/>
  <c r="O51" i="4"/>
  <c r="Q51" i="4"/>
  <c r="R51" i="4"/>
  <c r="S51" i="4" s="1"/>
  <c r="Z51" i="4"/>
  <c r="M44" i="4"/>
  <c r="L44" i="4"/>
  <c r="K44" i="4"/>
  <c r="J44" i="4"/>
  <c r="I44" i="4"/>
  <c r="Z40" i="4"/>
  <c r="Z39" i="4" s="1"/>
  <c r="R40" i="4"/>
  <c r="U40" i="4" s="1"/>
  <c r="Q40" i="4"/>
  <c r="Q39" i="4" s="1"/>
  <c r="O40" i="4"/>
  <c r="AI40" i="4" s="1"/>
  <c r="K40" i="4"/>
  <c r="AF40" i="4" s="1"/>
  <c r="J39" i="4"/>
  <c r="I39" i="4"/>
  <c r="R39" i="4"/>
  <c r="S39" i="4" s="1"/>
  <c r="O39" i="4"/>
  <c r="M39" i="4"/>
  <c r="L39" i="4"/>
  <c r="H39" i="4"/>
  <c r="G39" i="4"/>
  <c r="F39" i="4"/>
  <c r="E39" i="4"/>
  <c r="D39" i="4"/>
  <c r="E30" i="5" s="1"/>
  <c r="C39" i="4"/>
  <c r="D21" i="18" s="1"/>
  <c r="I33" i="4"/>
  <c r="K29" i="4"/>
  <c r="AF57" i="4" l="1"/>
  <c r="X57" i="4"/>
  <c r="T57" i="4"/>
  <c r="AG40" i="4"/>
  <c r="X51" i="4"/>
  <c r="Y51" i="4" s="1"/>
  <c r="V39" i="4"/>
  <c r="W39" i="4" s="1"/>
  <c r="E38" i="5"/>
  <c r="E25" i="17"/>
  <c r="K45" i="4"/>
  <c r="D21" i="17"/>
  <c r="X39" i="4"/>
  <c r="Y46" i="4"/>
  <c r="T45" i="4"/>
  <c r="U45" i="4" s="1"/>
  <c r="E21" i="17"/>
  <c r="D30" i="5"/>
  <c r="D25" i="19"/>
  <c r="AJ51" i="4"/>
  <c r="AK51" i="4" s="1"/>
  <c r="E23" i="17"/>
  <c r="N22" i="5"/>
  <c r="W46" i="4"/>
  <c r="W57" i="4"/>
  <c r="Y57" i="4"/>
  <c r="U57" i="4"/>
  <c r="AC57" i="4" s="1"/>
  <c r="AG57" i="4"/>
  <c r="Y39" i="4"/>
  <c r="K51" i="4"/>
  <c r="AH51" i="4" s="1"/>
  <c r="AI51" i="4" s="1"/>
  <c r="AA45" i="4"/>
  <c r="AG46" i="4"/>
  <c r="AJ45" i="4"/>
  <c r="AK45" i="4" s="1"/>
  <c r="X45" i="4"/>
  <c r="Y45" i="4" s="1"/>
  <c r="K39" i="4"/>
  <c r="D28" i="19"/>
  <c r="D38" i="5"/>
  <c r="D23" i="16"/>
  <c r="D31" i="19"/>
  <c r="D25" i="17"/>
  <c r="D28" i="20"/>
  <c r="D25" i="18"/>
  <c r="D21" i="16"/>
  <c r="D34" i="5"/>
  <c r="D26" i="20"/>
  <c r="D23" i="17"/>
  <c r="D19" i="16"/>
  <c r="D24" i="20"/>
  <c r="J38" i="5"/>
  <c r="J23" i="5"/>
  <c r="G26" i="18"/>
  <c r="H26" i="18"/>
  <c r="V51" i="4"/>
  <c r="W51" i="4" s="1"/>
  <c r="R36" i="5"/>
  <c r="R24" i="5"/>
  <c r="R32" i="5"/>
  <c r="R28" i="5"/>
  <c r="N34" i="5"/>
  <c r="G34" i="5"/>
  <c r="H34" i="5"/>
  <c r="N30" i="5"/>
  <c r="G30" i="5"/>
  <c r="H30" i="5"/>
  <c r="N26" i="5"/>
  <c r="G26" i="5"/>
  <c r="G22" i="5"/>
  <c r="H22" i="5"/>
  <c r="E24" i="18"/>
  <c r="F24" i="18"/>
  <c r="E22" i="18"/>
  <c r="F22" i="18"/>
  <c r="F20" i="18"/>
  <c r="E20" i="18"/>
  <c r="E18" i="18"/>
  <c r="F18" i="18"/>
  <c r="AH57" i="4"/>
  <c r="AI57" i="4" s="1"/>
  <c r="AJ57" i="4"/>
  <c r="AK57" i="4" s="1"/>
  <c r="AH45" i="4"/>
  <c r="AI45" i="4" s="1"/>
  <c r="V45" i="4"/>
  <c r="W45" i="4" s="1"/>
  <c r="AK46" i="4"/>
  <c r="AL46" i="4" s="1"/>
  <c r="T51" i="4"/>
  <c r="U51" i="4" s="1"/>
  <c r="AA51" i="4"/>
  <c r="AA39" i="4"/>
  <c r="W40" i="4"/>
  <c r="Y40" i="4"/>
  <c r="AJ39" i="4"/>
  <c r="AK39" i="4" s="1"/>
  <c r="AK40" i="4"/>
  <c r="AL40" i="4" s="1"/>
  <c r="T39" i="4"/>
  <c r="U39" i="4" s="1"/>
  <c r="M38" i="4"/>
  <c r="L38" i="4"/>
  <c r="K38" i="4"/>
  <c r="J38" i="4"/>
  <c r="I38" i="4"/>
  <c r="K34" i="4"/>
  <c r="Z34" i="4"/>
  <c r="Z33" i="4" s="1"/>
  <c r="R34" i="4"/>
  <c r="Q34" i="4"/>
  <c r="Q33" i="4" s="1"/>
  <c r="O34" i="4"/>
  <c r="M33" i="4"/>
  <c r="E33" i="4"/>
  <c r="C33" i="4"/>
  <c r="R33" i="4"/>
  <c r="S33" i="4" s="1"/>
  <c r="O33" i="4"/>
  <c r="D33" i="4"/>
  <c r="H32" i="4"/>
  <c r="G32" i="4"/>
  <c r="F32" i="4"/>
  <c r="K32" i="4" s="1"/>
  <c r="E32" i="4"/>
  <c r="M28" i="4"/>
  <c r="L28" i="4"/>
  <c r="H28" i="4"/>
  <c r="G28" i="4"/>
  <c r="F28" i="4"/>
  <c r="E28" i="4"/>
  <c r="Z28" i="4"/>
  <c r="R28" i="4"/>
  <c r="S28" i="4" s="1"/>
  <c r="Q28" i="4"/>
  <c r="O28" i="4"/>
  <c r="D28" i="4"/>
  <c r="C28" i="4"/>
  <c r="D19" i="20" s="1"/>
  <c r="M27" i="4"/>
  <c r="L27" i="4"/>
  <c r="K27" i="4"/>
  <c r="J27" i="4"/>
  <c r="I27" i="4"/>
  <c r="H23" i="4"/>
  <c r="Z23" i="4"/>
  <c r="R23" i="4"/>
  <c r="S23" i="4" s="1"/>
  <c r="Q23" i="4"/>
  <c r="O23" i="4"/>
  <c r="M23" i="4"/>
  <c r="L23" i="4"/>
  <c r="E23" i="4"/>
  <c r="C23" i="4"/>
  <c r="C12" i="4"/>
  <c r="AL51" i="4" l="1"/>
  <c r="AC39" i="4"/>
  <c r="AC45" i="4"/>
  <c r="G25" i="17"/>
  <c r="H25" i="17" s="1"/>
  <c r="I25" i="17" s="1"/>
  <c r="L39" i="5" s="1"/>
  <c r="G23" i="17"/>
  <c r="H23" i="17" s="1"/>
  <c r="I23" i="17" s="1"/>
  <c r="L35" i="5" s="1"/>
  <c r="G21" i="17"/>
  <c r="H21" i="17" s="1"/>
  <c r="I21" i="17" s="1"/>
  <c r="L31" i="5" s="1"/>
  <c r="AF51" i="4"/>
  <c r="AG51" i="4" s="1"/>
  <c r="E26" i="5"/>
  <c r="E19" i="17"/>
  <c r="E17" i="17"/>
  <c r="E22" i="5"/>
  <c r="AC51" i="4"/>
  <c r="J30" i="5"/>
  <c r="AA23" i="4"/>
  <c r="J22" i="5"/>
  <c r="J34" i="5"/>
  <c r="J26" i="5"/>
  <c r="D26" i="5"/>
  <c r="D22" i="19"/>
  <c r="D17" i="16"/>
  <c r="D22" i="20"/>
  <c r="D19" i="18"/>
  <c r="D19" i="17"/>
  <c r="D22" i="5"/>
  <c r="D19" i="19"/>
  <c r="D17" i="18"/>
  <c r="D15" i="16"/>
  <c r="D17" i="17"/>
  <c r="AL57" i="4"/>
  <c r="H18" i="18"/>
  <c r="H20" i="18"/>
  <c r="H24" i="18"/>
  <c r="G22" i="18"/>
  <c r="G24" i="18"/>
  <c r="G18" i="18"/>
  <c r="H22" i="18"/>
  <c r="G20" i="18"/>
  <c r="AL45" i="4"/>
  <c r="AF45" i="4"/>
  <c r="AG45" i="4" s="1"/>
  <c r="AH39" i="4"/>
  <c r="AI39" i="4" s="1"/>
  <c r="AL39" i="4" s="1"/>
  <c r="AF39" i="4"/>
  <c r="AG39" i="4" s="1"/>
  <c r="L33" i="4"/>
  <c r="AA33" i="4" s="1"/>
  <c r="AF34" i="4"/>
  <c r="AG34" i="4" s="1"/>
  <c r="J32" i="4"/>
  <c r="I32" i="4"/>
  <c r="W34" i="4"/>
  <c r="U34" i="4"/>
  <c r="G33" i="4"/>
  <c r="V33" i="4" s="1"/>
  <c r="W33" i="4" s="1"/>
  <c r="H33" i="4"/>
  <c r="AI34" i="4"/>
  <c r="F33" i="4"/>
  <c r="J33" i="4"/>
  <c r="J28" i="4"/>
  <c r="K28" i="4"/>
  <c r="AF28" i="4" s="1"/>
  <c r="AG28" i="4" s="1"/>
  <c r="AD28" i="4"/>
  <c r="AE28" i="4" s="1"/>
  <c r="X28" i="4"/>
  <c r="Y28" i="4" s="1"/>
  <c r="AJ28" i="4"/>
  <c r="AK28" i="4" s="1"/>
  <c r="T28" i="4"/>
  <c r="U28" i="4" s="1"/>
  <c r="V28" i="4"/>
  <c r="W28" i="4" s="1"/>
  <c r="F23" i="4"/>
  <c r="AJ23" i="4" s="1"/>
  <c r="AK23" i="4" s="1"/>
  <c r="I29" i="4"/>
  <c r="I28" i="4" s="1"/>
  <c r="G23" i="4"/>
  <c r="G22" i="4" s="1"/>
  <c r="AF23" i="4"/>
  <c r="AG23" i="4" s="1"/>
  <c r="J29" i="4"/>
  <c r="AA28" i="4"/>
  <c r="Q19" i="5"/>
  <c r="K19" i="5"/>
  <c r="M19" i="5"/>
  <c r="N19" i="5" s="1"/>
  <c r="Q15" i="5"/>
  <c r="M15" i="5"/>
  <c r="N15" i="5" s="1"/>
  <c r="N14" i="5" s="1"/>
  <c r="O14" i="5"/>
  <c r="P14" i="5" s="1"/>
  <c r="O10" i="5"/>
  <c r="P10" i="5" s="1"/>
  <c r="Q11" i="5"/>
  <c r="K11" i="5"/>
  <c r="M22" i="4"/>
  <c r="L22" i="4"/>
  <c r="H22" i="4"/>
  <c r="F17" i="4"/>
  <c r="E22" i="4"/>
  <c r="F12" i="16"/>
  <c r="F9" i="16"/>
  <c r="O11" i="5" s="1"/>
  <c r="T33" i="4" l="1"/>
  <c r="U33" i="4" s="1"/>
  <c r="AH28" i="4"/>
  <c r="AI28" i="4" s="1"/>
  <c r="G19" i="17"/>
  <c r="H19" i="17" s="1"/>
  <c r="I19" i="17" s="1"/>
  <c r="L27" i="5" s="1"/>
  <c r="G17" i="17"/>
  <c r="H17" i="17" s="1"/>
  <c r="I17" i="17" s="1"/>
  <c r="L23" i="5" s="1"/>
  <c r="F22" i="4"/>
  <c r="K22" i="4" s="1"/>
  <c r="AH22" i="4" s="1"/>
  <c r="X23" i="4"/>
  <c r="Y23" i="4" s="1"/>
  <c r="X33" i="4"/>
  <c r="Y33" i="4" s="1"/>
  <c r="K33" i="4"/>
  <c r="AC28" i="4"/>
  <c r="AH23" i="4"/>
  <c r="AI23" i="4" s="1"/>
  <c r="AJ33" i="4"/>
  <c r="AK33" i="4" s="1"/>
  <c r="Y34" i="4"/>
  <c r="AK34" i="4"/>
  <c r="AL34" i="4" s="1"/>
  <c r="T23" i="4"/>
  <c r="U23" i="4" s="1"/>
  <c r="V23" i="4"/>
  <c r="W23" i="4" s="1"/>
  <c r="T22" i="4"/>
  <c r="AL31" i="4"/>
  <c r="AL25" i="4"/>
  <c r="L17" i="4"/>
  <c r="H17" i="4"/>
  <c r="K17" i="4" s="1"/>
  <c r="I18" i="4"/>
  <c r="I17" i="4" s="1"/>
  <c r="C22" i="4"/>
  <c r="D17" i="4"/>
  <c r="M17" i="4"/>
  <c r="E17" i="4"/>
  <c r="AD17" i="4"/>
  <c r="AE17" i="4" s="1"/>
  <c r="C17" i="4"/>
  <c r="L12" i="4"/>
  <c r="M16" i="4"/>
  <c r="M12" i="4"/>
  <c r="L16" i="4"/>
  <c r="K16" i="4"/>
  <c r="K13" i="4"/>
  <c r="J16" i="4"/>
  <c r="J13" i="4"/>
  <c r="I16" i="4"/>
  <c r="I13" i="4"/>
  <c r="AC33" i="4" l="1"/>
  <c r="G17" i="4"/>
  <c r="J18" i="4"/>
  <c r="K18" i="4"/>
  <c r="V12" i="4"/>
  <c r="E21" i="18"/>
  <c r="E23" i="18"/>
  <c r="E19" i="18"/>
  <c r="F19" i="18"/>
  <c r="F25" i="18"/>
  <c r="E25" i="18"/>
  <c r="F23" i="18"/>
  <c r="F21" i="18"/>
  <c r="F17" i="18"/>
  <c r="E17" i="18"/>
  <c r="AH33" i="4"/>
  <c r="AI33" i="4" s="1"/>
  <c r="AL33" i="4" s="1"/>
  <c r="AF33" i="4"/>
  <c r="AG33" i="4" s="1"/>
  <c r="AC23" i="4"/>
  <c r="AL28" i="4"/>
  <c r="J17" i="4"/>
  <c r="Z22" i="4"/>
  <c r="R22" i="4"/>
  <c r="O22" i="4"/>
  <c r="G21" i="18" l="1"/>
  <c r="H21" i="18" s="1"/>
  <c r="P31" i="5" s="1"/>
  <c r="R31" i="5" s="1"/>
  <c r="R30" i="5" s="1"/>
  <c r="S30" i="5" s="1"/>
  <c r="G23" i="18"/>
  <c r="H23" i="18" s="1"/>
  <c r="P35" i="5" s="1"/>
  <c r="R35" i="5" s="1"/>
  <c r="R34" i="5" s="1"/>
  <c r="S34" i="5" s="1"/>
  <c r="G25" i="18"/>
  <c r="H25" i="18" s="1"/>
  <c r="P39" i="5" s="1"/>
  <c r="R39" i="5" s="1"/>
  <c r="R38" i="5" s="1"/>
  <c r="S38" i="5" s="1"/>
  <c r="G19" i="18"/>
  <c r="H19" i="18" s="1"/>
  <c r="P27" i="5" s="1"/>
  <c r="R27" i="5" s="1"/>
  <c r="R26" i="5" s="1"/>
  <c r="S26" i="5" s="1"/>
  <c r="G17" i="18"/>
  <c r="H17" i="18" s="1"/>
  <c r="P23" i="5" s="1"/>
  <c r="R23" i="5" s="1"/>
  <c r="R22" i="5" s="1"/>
  <c r="S22" i="5" s="1"/>
  <c r="S22" i="4"/>
  <c r="U22" i="4" s="1"/>
  <c r="Z17" i="4"/>
  <c r="R17" i="4"/>
  <c r="S17" i="4" s="1"/>
  <c r="O17" i="4"/>
  <c r="H2" i="6"/>
  <c r="D22" i="4"/>
  <c r="M20" i="5"/>
  <c r="N20" i="5" s="1"/>
  <c r="F20" i="5"/>
  <c r="G20" i="5" s="1"/>
  <c r="I19" i="5"/>
  <c r="O18" i="5"/>
  <c r="P18" i="5" s="1"/>
  <c r="F18" i="5"/>
  <c r="G18" i="5" s="1"/>
  <c r="I15" i="5"/>
  <c r="F14" i="5"/>
  <c r="G14" i="5" s="1"/>
  <c r="F13" i="16"/>
  <c r="O19" i="5" s="1"/>
  <c r="Q22" i="4" l="1"/>
  <c r="Q17" i="4"/>
  <c r="AA17" i="4"/>
  <c r="AJ17" i="4"/>
  <c r="I14" i="5"/>
  <c r="H20" i="5"/>
  <c r="H18" i="5"/>
  <c r="H14" i="5"/>
  <c r="I18" i="5"/>
  <c r="G19" i="5"/>
  <c r="I20" i="5"/>
  <c r="J20" i="5" s="1"/>
  <c r="H19" i="5"/>
  <c r="AJ22" i="4"/>
  <c r="AK22" i="4" s="1"/>
  <c r="G15" i="5"/>
  <c r="H15" i="5"/>
  <c r="N18" i="5"/>
  <c r="F11" i="16"/>
  <c r="O15" i="5" s="1"/>
  <c r="F12" i="5"/>
  <c r="G12" i="5" s="1"/>
  <c r="M12" i="5"/>
  <c r="N12" i="5" s="1"/>
  <c r="J15" i="5" l="1"/>
  <c r="J19" i="5"/>
  <c r="AA22" i="4"/>
  <c r="V22" i="4"/>
  <c r="W22" i="4" s="1"/>
  <c r="X22" i="4"/>
  <c r="Y22" i="4" s="1"/>
  <c r="AH17" i="4"/>
  <c r="AI17" i="4" s="1"/>
  <c r="AF17" i="4"/>
  <c r="AK17" i="4"/>
  <c r="T17" i="4"/>
  <c r="V17" i="4"/>
  <c r="X17" i="4"/>
  <c r="J14" i="5"/>
  <c r="J18" i="5"/>
  <c r="H12" i="5"/>
  <c r="I12" i="5"/>
  <c r="J12" i="5" s="1"/>
  <c r="AC22" i="4" l="1"/>
  <c r="AI22" i="4"/>
  <c r="AL22" i="4" s="1"/>
  <c r="AF22" i="4"/>
  <c r="AG22" i="4" s="1"/>
  <c r="U17" i="4"/>
  <c r="Y17" i="4"/>
  <c r="AG17" i="4"/>
  <c r="W17" i="4"/>
  <c r="AL17" i="4"/>
  <c r="AC17" i="4" l="1"/>
  <c r="H5" i="6" l="1"/>
  <c r="H4" i="6"/>
  <c r="H3" i="6"/>
  <c r="R12" i="4"/>
  <c r="W12" i="4" l="1"/>
  <c r="S12" i="4"/>
  <c r="O12" i="4"/>
  <c r="D12" i="19" l="1"/>
  <c r="D13" i="16"/>
  <c r="D11" i="16"/>
  <c r="D15" i="19"/>
  <c r="D16" i="20"/>
  <c r="D12" i="18"/>
  <c r="D15" i="18"/>
  <c r="E13" i="17"/>
  <c r="D13" i="17"/>
  <c r="D11" i="17"/>
  <c r="E11" i="17"/>
  <c r="E15" i="5"/>
  <c r="F14" i="16"/>
  <c r="D15" i="5"/>
  <c r="D13" i="18"/>
  <c r="D16" i="18"/>
  <c r="D12" i="20"/>
  <c r="E18" i="5"/>
  <c r="D18" i="5"/>
  <c r="E14" i="5"/>
  <c r="D14" i="5"/>
  <c r="T12" i="4"/>
  <c r="U12" i="4" s="1"/>
  <c r="Z12" i="4"/>
  <c r="Q12" i="4"/>
  <c r="E15" i="18" l="1"/>
  <c r="F15" i="18"/>
  <c r="E12" i="18"/>
  <c r="F12" i="18"/>
  <c r="G11" i="17"/>
  <c r="H11" i="17" s="1"/>
  <c r="I11" i="17" s="1"/>
  <c r="L15" i="5" s="1"/>
  <c r="G13" i="17"/>
  <c r="H13" i="17" s="1"/>
  <c r="I13" i="17" s="1"/>
  <c r="L19" i="5" s="1"/>
  <c r="AJ12" i="4"/>
  <c r="AK12" i="4" s="1"/>
  <c r="G16" i="17"/>
  <c r="F13" i="18"/>
  <c r="E13" i="18"/>
  <c r="E16" i="18"/>
  <c r="F16" i="18"/>
  <c r="AA12" i="4"/>
  <c r="AF12" i="4"/>
  <c r="X12" i="4"/>
  <c r="Y12" i="4" s="1"/>
  <c r="G15" i="18" l="1"/>
  <c r="H15" i="18" s="1"/>
  <c r="G12" i="18"/>
  <c r="H12" i="18" s="1"/>
  <c r="P15" i="5" s="1"/>
  <c r="R15" i="5" s="1"/>
  <c r="R14" i="5" s="1"/>
  <c r="S14" i="5" s="1"/>
  <c r="AH12" i="4"/>
  <c r="AI12" i="4" s="1"/>
  <c r="AL12" i="4" s="1"/>
  <c r="I16" i="17"/>
  <c r="G13" i="18"/>
  <c r="H13" i="18" s="1"/>
  <c r="G16" i="18"/>
  <c r="H16" i="18" s="1"/>
  <c r="AG12" i="4"/>
  <c r="P19" i="5" l="1"/>
  <c r="R19" i="5" s="1"/>
  <c r="AC12" i="4"/>
  <c r="G11" i="5"/>
  <c r="H11" i="5" l="1"/>
  <c r="C9" i="20" l="1"/>
  <c r="D9" i="20" s="1"/>
  <c r="C4" i="20"/>
  <c r="C9" i="19" l="1"/>
  <c r="D9" i="19" s="1"/>
  <c r="C4" i="19"/>
  <c r="C9" i="18" l="1"/>
  <c r="D9" i="18" s="1"/>
  <c r="C4" i="18"/>
  <c r="E9" i="18" l="1"/>
  <c r="F9" i="18"/>
  <c r="C9" i="17"/>
  <c r="D9" i="17" s="1"/>
  <c r="C4" i="17"/>
  <c r="E9" i="17" l="1"/>
  <c r="G9" i="17" s="1"/>
  <c r="C4" i="16"/>
  <c r="C4" i="5"/>
  <c r="H9" i="17" l="1"/>
  <c r="C9" i="16"/>
  <c r="D9" i="16" s="1"/>
  <c r="I11" i="5" l="1"/>
  <c r="F10" i="5"/>
  <c r="I10" i="5" s="1"/>
  <c r="G10" i="5" l="1"/>
  <c r="H10" i="5"/>
  <c r="J11" i="5"/>
  <c r="J10" i="5" l="1"/>
  <c r="Q20" i="5" l="1"/>
  <c r="D10" i="19"/>
  <c r="G9" i="18"/>
  <c r="D10" i="18"/>
  <c r="E10" i="18" s="1"/>
  <c r="F10" i="16"/>
  <c r="I9" i="17"/>
  <c r="L11" i="5" s="1"/>
  <c r="F10" i="18" l="1"/>
  <c r="G10" i="18" s="1"/>
  <c r="H10" i="18" s="1"/>
  <c r="H9" i="18"/>
  <c r="P11" i="5" s="1"/>
  <c r="R11" i="5" s="1"/>
  <c r="R10" i="5" s="1"/>
  <c r="S10" i="5" s="1"/>
  <c r="P20" i="5" l="1"/>
  <c r="P12" i="5"/>
  <c r="M11" i="5" l="1"/>
  <c r="N11" i="5" s="1"/>
  <c r="C10" i="5"/>
  <c r="D10" i="5" s="1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21" i="1"/>
  <c r="U11" i="1"/>
  <c r="U18" i="1" l="1"/>
  <c r="U9" i="1"/>
  <c r="M19" i="1"/>
  <c r="U10" i="1"/>
  <c r="U31" i="1"/>
  <c r="L8" i="1"/>
  <c r="M8" i="1" s="1"/>
  <c r="U25" i="1"/>
  <c r="U12" i="1"/>
  <c r="U20" i="1"/>
  <c r="U16" i="1"/>
  <c r="U24" i="1"/>
  <c r="M17" i="1"/>
  <c r="M14" i="1"/>
  <c r="U23" i="1"/>
  <c r="M30" i="1"/>
  <c r="E10" i="5"/>
  <c r="T8" i="1"/>
  <c r="N10" i="5"/>
  <c r="U29" i="1"/>
  <c r="M28" i="1"/>
  <c r="U13" i="1"/>
  <c r="U26" i="1"/>
  <c r="V8" i="1" l="1"/>
  <c r="O12" i="5"/>
  <c r="K12" i="5"/>
  <c r="K20" i="5"/>
  <c r="O20" i="5"/>
  <c r="F11" i="18"/>
  <c r="E11" i="18"/>
  <c r="G11" i="18" l="1"/>
  <c r="H11" i="18"/>
  <c r="L20" i="5" l="1"/>
  <c r="R20" i="5" s="1"/>
  <c r="R18" i="5" s="1"/>
  <c r="S18" i="5" s="1"/>
  <c r="L12" i="5"/>
  <c r="R12" i="5" s="1"/>
</calcChain>
</file>

<file path=xl/sharedStrings.xml><?xml version="1.0" encoding="utf-8"?>
<sst xmlns="http://schemas.openxmlformats.org/spreadsheetml/2006/main" count="345" uniqueCount="270">
  <si>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</si>
  <si>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</si>
  <si>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</si>
  <si>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</si>
  <si>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</si>
  <si>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</si>
  <si>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</si>
  <si>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</si>
  <si>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</si>
  <si>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</si>
  <si>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</si>
  <si>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</si>
  <si>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</si>
  <si>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</si>
  <si>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</si>
  <si>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</si>
  <si>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</si>
  <si>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</si>
  <si>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</si>
  <si>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</si>
  <si>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</si>
  <si>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</si>
  <si>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</si>
  <si>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</si>
  <si>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</si>
  <si>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</si>
  <si>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</si>
  <si>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</si>
  <si>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</si>
  <si>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</si>
  <si>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</si>
  <si>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</si>
  <si>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</si>
  <si>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</si>
  <si>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</si>
  <si>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</si>
  <si>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</si>
  <si>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</si>
  <si>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</si>
  <si>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</si>
  <si>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</si>
  <si>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</si>
  <si>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</si>
  <si>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</si>
  <si>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</si>
  <si>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</si>
  <si>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</si>
  <si>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</si>
  <si>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</si>
  <si>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</si>
  <si>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</si>
  <si>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</si>
  <si>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</si>
  <si>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</si>
  <si>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</si>
  <si>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</si>
  <si>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</si>
  <si>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</si>
  <si>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</si>
  <si>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</si>
  <si>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</si>
  <si>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</si>
  <si>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</si>
  <si>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</si>
  <si>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</si>
  <si>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</si>
  <si>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</si>
  <si>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</si>
  <si>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</si>
  <si>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</si>
  <si>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</si>
  <si>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</si>
  <si>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</si>
  <si>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</si>
  <si>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</si>
  <si>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</si>
  <si>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</si>
  <si>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</si>
  <si>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</si>
  <si>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</si>
  <si>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</si>
  <si>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</si>
  <si>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</si>
  <si>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</si>
  <si>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</si>
  <si>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</si>
  <si>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</si>
  <si>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</si>
  <si>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</si>
  <si>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</si>
  <si>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</si>
  <si>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</si>
  <si>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</si>
  <si>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</si>
  <si>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</si>
  <si>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</si>
  <si>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</si>
  <si>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</si>
  <si>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</si>
  <si>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</si>
  <si>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</si>
  <si>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</si>
  <si>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</si>
  <si>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</si>
  <si>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</si>
  <si>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</si>
  <si>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</si>
  <si>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</si>
  <si>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</si>
  <si>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</si>
  <si>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</si>
  <si>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</si>
  <si>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</si>
  <si>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</si>
  <si>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</si>
  <si>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</si>
  <si>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</si>
  <si>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</si>
  <si>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</si>
  <si>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</si>
  <si>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</si>
  <si>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</si>
  <si>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</si>
  <si>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</si>
  <si>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</si>
  <si>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</si>
  <si>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</si>
  <si>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</si>
  <si>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</si>
  <si>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</si>
  <si>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</si>
  <si>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</si>
  <si>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</si>
  <si>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</si>
  <si>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</si>
  <si>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</si>
  <si>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</si>
  <si>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</si>
  <si>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</si>
  <si>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</si>
  <si>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</si>
  <si>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</si>
  <si>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</si>
  <si>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</si>
  <si>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</si>
  <si>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</si>
  <si>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</si>
  <si>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</si>
  <si>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</si>
  <si>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</si>
  <si>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</si>
  <si>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</si>
  <si>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</si>
  <si>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</si>
  <si>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</si>
  <si>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</si>
  <si>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</si>
  <si>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</si>
  <si>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</si>
  <si>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</si>
  <si>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</si>
  <si>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</si>
  <si>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</si>
  <si>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</si>
  <si>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</si>
  <si>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</si>
  <si>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</si>
  <si>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</si>
  <si>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</si>
  <si>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</si>
  <si>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</si>
  <si>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</si>
  <si>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</si>
  <si>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</si>
  <si>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</si>
  <si>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</si>
  <si>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</si>
  <si>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</si>
  <si>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</si>
  <si>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</si>
  <si>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</si>
  <si>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</si>
  <si>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</si>
  <si>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</si>
  <si>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</si>
  <si>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</si>
  <si>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</si>
  <si>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</si>
  <si>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</si>
  <si>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</si>
  <si>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</si>
  <si>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</si>
  <si>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</si>
  <si>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</si>
  <si>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</si>
  <si>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</si>
  <si>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</si>
  <si>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</si>
  <si>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</si>
  <si>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</si>
  <si>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</si>
  <si>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</si>
  <si>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</si>
  <si>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</si>
  <si>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</si>
  <si>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</si>
  <si>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</si>
  <si>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</si>
  <si>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</si>
  <si>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</si>
  <si>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</si>
  <si>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</si>
  <si>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</si>
  <si>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</si>
  <si>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</si>
  <si>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</si>
  <si>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</si>
  <si>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</si>
  <si>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</si>
  <si>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</si>
  <si>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</si>
  <si>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</si>
  <si>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</si>
  <si>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</si>
  <si>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</si>
  <si>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</si>
  <si>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</si>
  <si>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</si>
  <si>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</si>
  <si>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CAPITAL DE TRABAJO
(Activo Corriente - Pasivo Corriente)</t>
  </si>
  <si>
    <t>PATRIMONIO
(Activo Total - Pasivo Total)</t>
  </si>
  <si>
    <t>PLAZO (P)</t>
  </si>
  <si>
    <t>PATRIMONIO ROE
(Activo Total - Pasivo Total)</t>
  </si>
  <si>
    <t>Fórmula:                        ROE=UO/Pat.ROE&gt;=0,00</t>
  </si>
  <si>
    <t>Capital de Trabajo Demandado</t>
  </si>
  <si>
    <t>CUMPLE  / NO COMPLE</t>
  </si>
  <si>
    <t>CUMPLE/NO CUMPLE</t>
  </si>
  <si>
    <t>CUMPLE</t>
  </si>
  <si>
    <t>CTd= 10% X (PO)</t>
  </si>
  <si>
    <t xml:space="preserve">INDICE-CAPITAL DE TRABAJO </t>
  </si>
  <si>
    <t>Fórmula: CT=AC-PC&gt;=CTd</t>
  </si>
  <si>
    <t>Req. Min. CT: &gt; =CTd</t>
  </si>
  <si>
    <t>(CTd)</t>
  </si>
  <si>
    <t>EVALUACIÓN FINANCIERA Y ORGANIZACIONAL</t>
  </si>
  <si>
    <t>CAPITAL DE TRABAJO DEMANDADO</t>
  </si>
  <si>
    <t>PRESUPUESTO OFICIAL ESTIMADO (POE) 
(C)</t>
  </si>
  <si>
    <t xml:space="preserve">VALOR TOTAL DE LOS CONTRATOS EJECUTADOS 
(B)
</t>
  </si>
  <si>
    <t>SMMLV 2024</t>
  </si>
  <si>
    <t>Fórmula: Liquidez=AC/PC&gt;=1,11</t>
  </si>
  <si>
    <t>Fórmula: Endeudamiento = Pas.T/Act.Tot. &lt;= 0,75</t>
  </si>
  <si>
    <t>Fórmula: Razón Cobertura Intereses = UO/GI &gt;= 0</t>
  </si>
  <si>
    <t>Fórmula:                        ROE=UO/Act.Tot.&gt;= 0,00</t>
  </si>
  <si>
    <t>Fórmula:                        ROE=UO/Pat.ROE&gt;= 0,000</t>
  </si>
  <si>
    <t>OBSERVACIONES</t>
  </si>
  <si>
    <t>1.  Ultima renovación 09/02/2024.
2. Clasificada como Mediana Empresa
3. Estados financieros al 31/12/2023</t>
  </si>
  <si>
    <t>Observaciones</t>
  </si>
  <si>
    <t>SA-MC-DT-VAL-005-2024</t>
  </si>
  <si>
    <t>JORGE EIVAR TULCAN LOSADA</t>
  </si>
  <si>
    <t>CESAR ANTONIO PADRON TORRES</t>
  </si>
  <si>
    <t>Ingeniería Arquitectura Colombiana S.A.S</t>
  </si>
  <si>
    <t>Proyectos de Ingeniería Cumbre S.A.S</t>
  </si>
  <si>
    <t>CONSORCIO LANDA</t>
  </si>
  <si>
    <t>1.  Ultima renovación 22/03/2024.
2. Clasificada como Pequeña Empresa
3. Estados financieros al 31/12/2023</t>
  </si>
  <si>
    <t>1.  Ultima renovación 22/04/2024.
2. Clasificada como Microempresa
3. Estados financieros al 31/12/2023</t>
  </si>
  <si>
    <t>1.  Ultima renovación 03/04/2024.
2. Clasificada como Microempresa
3. Estados financieros al 31/12/2023</t>
  </si>
  <si>
    <t>Ingresos vigencia 2023</t>
  </si>
  <si>
    <t>Ingresos vigencia 2020</t>
  </si>
  <si>
    <t xml:space="preserve">Ingresos vigencia 2019. Pendiente tarjeta profesional y antecedentes disciplinarios del Contador Gustavo Rubiano Benavides </t>
  </si>
  <si>
    <t>R INGENIERIA COLOMBIANA SAS</t>
  </si>
  <si>
    <t>PROYECTOS DE INGENIERIA CUMBRE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</si>
</sst>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FF0000"/>
      <name val="Arial Narrow"/>
      <family val="2"/>
    </font>
    <font>
      <sz val="8"/>
      <name val="Tahoma"/>
      <family val="2"/>
    </font>
    <font>
      <b/>
      <sz val="8"/>
      <color rgb="FF0074E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8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82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Fill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Font="1" applyFill="1" applyBorder="1" applyAlignment="1">
      <alignment horizontal="center" vertical="center" wrapText="1"/>
    </xf>
    <xf numFmtId="0" fontId="27" fillId="6" borderId="11" xfId="4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Border="1"/>
    <xf numFmtId="0" fontId="6" fillId="12" borderId="17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Border="1"/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1" xfId="3" applyFont="1" applyFill="1" applyBorder="1" applyAlignment="1">
      <alignment horizontal="center" vertical="center" wrapText="1"/>
    </xf>
    <xf numFmtId="169" fontId="26" fillId="7" borderId="41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1" xfId="3" applyFont="1" applyFill="1" applyBorder="1" applyAlignment="1">
      <alignment horizontal="center" vertical="center" wrapText="1"/>
    </xf>
    <xf numFmtId="169" fontId="27" fillId="0" borderId="45" xfId="1" applyFont="1" applyFill="1" applyBorder="1" applyAlignment="1">
      <alignment horizontal="center" vertical="center" wrapText="1"/>
    </xf>
    <xf numFmtId="169" fontId="26" fillId="7" borderId="45" xfId="1" applyFont="1" applyFill="1" applyBorder="1" applyAlignment="1">
      <alignment horizontal="center" vertical="center" wrapText="1"/>
    </xf>
    <xf numFmtId="171" fontId="26" fillId="7" borderId="45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Alignment="1">
      <alignment vertical="center"/>
    </xf>
    <xf numFmtId="0" fontId="5" fillId="10" borderId="1" xfId="0" applyFont="1" applyFill="1" applyBorder="1"/>
    <xf numFmtId="0" fontId="5" fillId="10" borderId="8" xfId="0" applyFont="1" applyFill="1" applyBorder="1"/>
    <xf numFmtId="172" fontId="5" fillId="10" borderId="0" xfId="6" applyNumberFormat="1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Font="1" applyFill="1" applyAlignment="1">
      <alignment horizontal="center" vertical="center" wrapText="1"/>
    </xf>
    <xf numFmtId="10" fontId="26" fillId="10" borderId="0" xfId="3" applyNumberFormat="1" applyFont="1" applyFill="1" applyAlignment="1">
      <alignment horizontal="center" vertical="center" wrapText="1"/>
    </xf>
    <xf numFmtId="169" fontId="26" fillId="10" borderId="0" xfId="3" applyNumberFormat="1" applyFont="1" applyFill="1" applyAlignment="1">
      <alignment horizontal="center" vertical="center" wrapText="1"/>
    </xf>
    <xf numFmtId="4" fontId="26" fillId="10" borderId="0" xfId="3" applyNumberFormat="1" applyFont="1" applyFill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5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5" xfId="3" applyNumberFormat="1" applyFont="1" applyFill="1" applyBorder="1" applyAlignment="1">
      <alignment horizontal="center" vertical="center" wrapText="1"/>
    </xf>
    <xf numFmtId="0" fontId="0" fillId="10" borderId="46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3" fillId="10" borderId="48" xfId="0" applyFont="1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10" borderId="49" xfId="0" applyFont="1" applyFill="1" applyBorder="1" applyAlignment="1">
      <alignment horizontal="center" vertical="center"/>
    </xf>
    <xf numFmtId="2" fontId="0" fillId="10" borderId="49" xfId="0" applyNumberFormat="1" applyFill="1" applyBorder="1" applyAlignment="1">
      <alignment horizontal="center" vertical="center"/>
    </xf>
    <xf numFmtId="2" fontId="0" fillId="10" borderId="47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169" fontId="26" fillId="6" borderId="17" xfId="1" applyFont="1" applyFill="1" applyBorder="1" applyAlignment="1">
      <alignment horizontal="center" vertical="center" wrapText="1"/>
    </xf>
    <xf numFmtId="169" fontId="26" fillId="6" borderId="13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4" fontId="37" fillId="7" borderId="41" xfId="1" applyNumberFormat="1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4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5" xfId="1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4" fontId="26" fillId="6" borderId="7" xfId="1" applyNumberFormat="1" applyFont="1" applyFill="1" applyBorder="1" applyAlignment="1">
      <alignment horizontal="center" vertical="center" wrapText="1"/>
    </xf>
    <xf numFmtId="4" fontId="26" fillId="6" borderId="42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4" fontId="26" fillId="6" borderId="13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8" fontId="26" fillId="6" borderId="45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5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Font="1" applyFill="1" applyBorder="1" applyAlignment="1">
      <alignment horizontal="center" vertical="center"/>
    </xf>
    <xf numFmtId="169" fontId="23" fillId="7" borderId="23" xfId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39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4" fontId="20" fillId="5" borderId="9" xfId="6" applyNumberFormat="1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5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5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5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9" fontId="22" fillId="0" borderId="45" xfId="6" applyFont="1" applyFill="1" applyBorder="1" applyAlignment="1">
      <alignment horizontal="center" vertical="center" wrapText="1"/>
    </xf>
    <xf numFmtId="169" fontId="14" fillId="0" borderId="45" xfId="1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0" fontId="3" fillId="0" borderId="45" xfId="0" applyFont="1" applyBorder="1"/>
    <xf numFmtId="0" fontId="17" fillId="3" borderId="8" xfId="0" applyFont="1" applyFill="1" applyBorder="1" applyAlignment="1">
      <alignment horizontal="center" vertical="center" wrapText="1"/>
    </xf>
    <xf numFmtId="0" fontId="24" fillId="16" borderId="45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169" fontId="17" fillId="0" borderId="45" xfId="1" applyFont="1" applyFill="1" applyBorder="1" applyAlignment="1">
      <alignment horizontal="center" vertical="center" wrapText="1"/>
    </xf>
    <xf numFmtId="169" fontId="14" fillId="0" borderId="6" xfId="1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left"/>
    </xf>
    <xf numFmtId="168" fontId="27" fillId="6" borderId="17" xfId="2" applyFont="1" applyFill="1" applyBorder="1" applyAlignment="1">
      <alignment horizontal="center" vertical="center" wrapText="1"/>
    </xf>
    <xf numFmtId="169" fontId="3" fillId="10" borderId="0" xfId="1" applyFont="1" applyFill="1"/>
    <xf numFmtId="168" fontId="0" fillId="10" borderId="0" xfId="2" applyFont="1" applyFill="1"/>
    <xf numFmtId="0" fontId="27" fillId="0" borderId="14" xfId="4" applyFont="1" applyBorder="1" applyAlignment="1">
      <alignment horizontal="center" vertical="center" wrapText="1"/>
    </xf>
    <xf numFmtId="3" fontId="26" fillId="0" borderId="45" xfId="1" applyNumberFormat="1" applyFont="1" applyFill="1" applyBorder="1" applyAlignment="1">
      <alignment horizontal="center" vertical="center" wrapText="1"/>
    </xf>
    <xf numFmtId="4" fontId="26" fillId="0" borderId="17" xfId="1" applyNumberFormat="1" applyFont="1" applyFill="1" applyBorder="1" applyAlignment="1">
      <alignment horizontal="center" vertical="center" wrapText="1"/>
    </xf>
    <xf numFmtId="167" fontId="23" fillId="6" borderId="45" xfId="1" applyNumberFormat="1" applyFont="1" applyFill="1" applyBorder="1" applyAlignment="1">
      <alignment horizontal="center" vertical="center" wrapText="1"/>
    </xf>
    <xf numFmtId="169" fontId="4" fillId="7" borderId="45" xfId="1" applyFont="1" applyFill="1" applyBorder="1" applyAlignment="1">
      <alignment horizontal="center" vertical="center"/>
    </xf>
    <xf numFmtId="172" fontId="18" fillId="0" borderId="45" xfId="6" applyNumberFormat="1" applyFont="1" applyFill="1" applyBorder="1" applyAlignment="1">
      <alignment horizontal="center" vertical="center" wrapText="1"/>
    </xf>
    <xf numFmtId="172" fontId="23" fillId="6" borderId="45" xfId="6" applyNumberFormat="1" applyFont="1" applyFill="1" applyBorder="1" applyAlignment="1">
      <alignment horizontal="center" vertical="center" wrapText="1"/>
    </xf>
    <xf numFmtId="168" fontId="27" fillId="0" borderId="17" xfId="2" applyFont="1" applyFill="1" applyBorder="1" applyAlignment="1">
      <alignment horizontal="center" vertical="center" wrapText="1"/>
    </xf>
    <xf numFmtId="168" fontId="27" fillId="6" borderId="13" xfId="2" applyFont="1" applyFill="1" applyBorder="1" applyAlignment="1">
      <alignment horizontal="center" vertical="center" wrapText="1"/>
    </xf>
    <xf numFmtId="0" fontId="3" fillId="10" borderId="0" xfId="0" applyFont="1" applyFill="1"/>
    <xf numFmtId="171" fontId="27" fillId="0" borderId="6" xfId="1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vertical="center" wrapText="1"/>
    </xf>
    <xf numFmtId="171" fontId="26" fillId="7" borderId="45" xfId="1" applyNumberFormat="1" applyFont="1" applyFill="1" applyBorder="1" applyAlignment="1">
      <alignment vertical="center" wrapText="1"/>
    </xf>
    <xf numFmtId="169" fontId="27" fillId="0" borderId="6" xfId="1" applyFont="1" applyFill="1" applyBorder="1" applyAlignment="1">
      <alignment vertical="center" wrapText="1"/>
    </xf>
    <xf numFmtId="171" fontId="27" fillId="0" borderId="6" xfId="1" applyNumberFormat="1" applyFont="1" applyFill="1" applyBorder="1" applyAlignment="1">
      <alignment vertical="center" wrapText="1"/>
    </xf>
    <xf numFmtId="169" fontId="26" fillId="10" borderId="0" xfId="3" applyNumberFormat="1" applyFont="1" applyFill="1" applyAlignment="1">
      <alignment wrapText="1"/>
    </xf>
    <xf numFmtId="0" fontId="0" fillId="10" borderId="0" xfId="0" applyFill="1" applyAlignment="1">
      <alignment vertical="center"/>
    </xf>
    <xf numFmtId="43" fontId="7" fillId="6" borderId="4" xfId="0" applyNumberFormat="1" applyFont="1" applyFill="1" applyBorder="1" applyAlignment="1">
      <alignment horizontal="center" vertical="center"/>
    </xf>
    <xf numFmtId="0" fontId="31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39" fillId="0" borderId="0" xfId="0" applyFont="1"/>
    <xf numFmtId="0" fontId="3" fillId="10" borderId="0" xfId="0" applyFont="1" applyFill="1" applyAlignment="1">
      <alignment wrapText="1"/>
    </xf>
    <xf numFmtId="0" fontId="24" fillId="5" borderId="51" xfId="0" applyFont="1" applyFill="1" applyBorder="1" applyAlignment="1">
      <alignment horizontal="center" vertical="center" wrapText="1"/>
    </xf>
    <xf numFmtId="0" fontId="24" fillId="5" borderId="7" xfId="0" applyFont="1" applyFill="1" applyBorder="1" applyAlignment="1">
      <alignment horizontal="center" vertical="center" wrapText="1"/>
    </xf>
    <xf numFmtId="0" fontId="24" fillId="16" borderId="7" xfId="0" applyFont="1" applyFill="1" applyBorder="1" applyAlignment="1">
      <alignment horizontal="center" vertical="center" wrapText="1"/>
    </xf>
    <xf numFmtId="2" fontId="17" fillId="0" borderId="18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left"/>
    </xf>
    <xf numFmtId="2" fontId="7" fillId="0" borderId="4" xfId="0" applyNumberFormat="1" applyFont="1" applyBorder="1" applyAlignment="1">
      <alignment horizontal="left" vertical="center"/>
    </xf>
    <xf numFmtId="2" fontId="5" fillId="0" borderId="10" xfId="0" applyNumberFormat="1" applyFont="1" applyBorder="1" applyAlignment="1">
      <alignment horizontal="left"/>
    </xf>
    <xf numFmtId="2" fontId="24" fillId="16" borderId="45" xfId="0" applyNumberFormat="1" applyFont="1" applyFill="1" applyBorder="1" applyAlignment="1">
      <alignment horizontal="left" vertical="center" wrapText="1"/>
    </xf>
    <xf numFmtId="2" fontId="24" fillId="0" borderId="45" xfId="0" applyNumberFormat="1" applyFont="1" applyBorder="1" applyAlignment="1">
      <alignment horizontal="left" vertical="center" wrapText="1"/>
    </xf>
    <xf numFmtId="2" fontId="24" fillId="0" borderId="27" xfId="0" applyNumberFormat="1" applyFont="1" applyBorder="1" applyAlignment="1">
      <alignment horizontal="left" vertical="center" wrapText="1"/>
    </xf>
    <xf numFmtId="2" fontId="24" fillId="0" borderId="17" xfId="0" applyNumberFormat="1" applyFont="1" applyBorder="1" applyAlignment="1">
      <alignment horizontal="left" vertical="center" wrapText="1"/>
    </xf>
    <xf numFmtId="2" fontId="24" fillId="0" borderId="50" xfId="0" applyNumberFormat="1" applyFont="1" applyBorder="1" applyAlignment="1">
      <alignment vertical="center" wrapText="1"/>
    </xf>
    <xf numFmtId="2" fontId="24" fillId="0" borderId="45" xfId="0" applyNumberFormat="1" applyFont="1" applyBorder="1" applyAlignment="1">
      <alignment vertical="center" wrapText="1"/>
    </xf>
    <xf numFmtId="0" fontId="27" fillId="6" borderId="13" xfId="2" applyNumberFormat="1" applyFont="1" applyFill="1" applyBorder="1" applyAlignment="1">
      <alignment horizontal="left" vertical="center" wrapText="1"/>
    </xf>
    <xf numFmtId="169" fontId="14" fillId="0" borderId="45" xfId="1" applyFont="1" applyFill="1" applyBorder="1" applyAlignment="1">
      <alignment horizontal="left" vertical="center" wrapText="1"/>
    </xf>
    <xf numFmtId="168" fontId="27" fillId="6" borderId="13" xfId="2" applyFont="1" applyFill="1" applyBorder="1" applyAlignment="1">
      <alignment horizontal="left" vertical="center" wrapText="1"/>
    </xf>
    <xf numFmtId="0" fontId="27" fillId="6" borderId="36" xfId="4" applyFont="1" applyFill="1" applyBorder="1" applyAlignment="1">
      <alignment horizontal="center" vertical="center" wrapText="1"/>
    </xf>
    <xf numFmtId="169" fontId="27" fillId="0" borderId="25" xfId="1" applyFont="1" applyFill="1" applyBorder="1" applyAlignment="1">
      <alignment horizontal="center" vertical="center" wrapText="1"/>
    </xf>
    <xf numFmtId="169" fontId="26" fillId="6" borderId="52" xfId="1" applyFont="1" applyFill="1" applyBorder="1" applyAlignment="1">
      <alignment horizontal="center" vertical="center" wrapText="1"/>
    </xf>
    <xf numFmtId="0" fontId="26" fillId="7" borderId="53" xfId="4" applyFont="1" applyFill="1" applyBorder="1" applyAlignment="1">
      <alignment horizontal="center" vertical="center" wrapText="1"/>
    </xf>
    <xf numFmtId="169" fontId="26" fillId="7" borderId="23" xfId="1" applyFont="1" applyFill="1" applyBorder="1" applyAlignment="1">
      <alignment horizontal="center" vertical="center" wrapText="1"/>
    </xf>
    <xf numFmtId="10" fontId="26" fillId="7" borderId="23" xfId="3" applyNumberFormat="1" applyFont="1" applyFill="1" applyBorder="1" applyAlignment="1">
      <alignment horizontal="center" vertical="center" wrapText="1"/>
    </xf>
    <xf numFmtId="169" fontId="26" fillId="7" borderId="23" xfId="3" applyNumberFormat="1" applyFont="1" applyFill="1" applyBorder="1" applyAlignment="1">
      <alignment horizontal="center" vertical="center" wrapText="1"/>
    </xf>
    <xf numFmtId="4" fontId="37" fillId="7" borderId="54" xfId="1" applyNumberFormat="1" applyFont="1" applyFill="1" applyBorder="1" applyAlignment="1">
      <alignment horizontal="center" vertical="center" wrapText="1"/>
    </xf>
    <xf numFmtId="169" fontId="26" fillId="7" borderId="54" xfId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20" fillId="3" borderId="2" xfId="0" quotePrefix="1" applyFont="1" applyFill="1" applyBorder="1" applyAlignment="1">
      <alignment horizontal="center" vertical="center" wrapText="1"/>
    </xf>
    <xf numFmtId="0" fontId="20" fillId="3" borderId="3" xfId="0" quotePrefix="1" applyFont="1" applyFill="1" applyBorder="1" applyAlignment="1">
      <alignment horizontal="center" vertical="center" wrapText="1"/>
    </xf>
    <xf numFmtId="2" fontId="17" fillId="0" borderId="32" xfId="0" applyNumberFormat="1" applyFont="1" applyBorder="1" applyAlignment="1">
      <alignment horizontal="left" vertical="center" wrapText="1"/>
    </xf>
    <xf numFmtId="2" fontId="17" fillId="0" borderId="31" xfId="0" applyNumberFormat="1" applyFont="1" applyBorder="1" applyAlignment="1">
      <alignment horizontal="left" vertical="center" wrapText="1"/>
    </xf>
    <xf numFmtId="2" fontId="24" fillId="0" borderId="49" xfId="0" applyNumberFormat="1" applyFont="1" applyBorder="1" applyAlignment="1">
      <alignment horizontal="left" vertical="center" wrapText="1"/>
    </xf>
    <xf numFmtId="2" fontId="24" fillId="0" borderId="32" xfId="0" applyNumberFormat="1" applyFont="1" applyBorder="1" applyAlignment="1">
      <alignment horizontal="left" vertical="center" wrapText="1"/>
    </xf>
    <xf numFmtId="2" fontId="24" fillId="0" borderId="50" xfId="0" applyNumberFormat="1" applyFont="1" applyBorder="1" applyAlignment="1">
      <alignment horizontal="left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14" borderId="41" xfId="3" applyFont="1" applyFill="1" applyBorder="1" applyAlignment="1">
      <alignment horizontal="center" vertical="center" wrapText="1"/>
    </xf>
    <xf numFmtId="0" fontId="20" fillId="14" borderId="30" xfId="3" applyFont="1" applyFill="1" applyBorder="1" applyAlignment="1">
      <alignment horizontal="center" vertical="center" wrapText="1"/>
    </xf>
    <xf numFmtId="0" fontId="31" fillId="10" borderId="0" xfId="0" applyFont="1" applyFill="1" applyAlignment="1">
      <alignment horizontal="center" vertical="center" wrapText="1"/>
    </xf>
    <xf numFmtId="0" fontId="34" fillId="10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3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4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4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4" xfId="3" applyFont="1" applyFill="1" applyBorder="1" applyAlignment="1">
      <alignment horizontal="center" vertical="center" wrapText="1"/>
    </xf>
    <xf numFmtId="0" fontId="20" fillId="14" borderId="39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3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4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4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4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vertical="center" textRotation="90" wrapText="1"/>
    </xf>
    <xf numFmtId="0" fontId="17" fillId="3" borderId="25" xfId="0" applyFont="1" applyFill="1" applyBorder="1" applyAlignment="1">
      <alignment vertical="center" textRotation="90" wrapText="1"/>
    </xf>
    <xf numFmtId="0" fontId="17" fillId="3" borderId="44" xfId="0" applyFont="1" applyFill="1" applyBorder="1" applyAlignment="1">
      <alignment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4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4" xfId="3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648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285" t="s">
        <v>5</v>
      </c>
      <c r="C4" s="286"/>
      <c r="D4" s="289" t="s">
        <v>6</v>
      </c>
      <c r="E4" s="291" t="s">
        <v>108</v>
      </c>
      <c r="F4" s="292"/>
      <c r="G4" s="292"/>
      <c r="H4" s="292"/>
      <c r="I4" s="292"/>
      <c r="J4" s="292"/>
      <c r="K4" s="292"/>
      <c r="L4" s="292"/>
      <c r="M4" s="292"/>
      <c r="N4" s="292"/>
      <c r="O4" s="293"/>
      <c r="P4" s="282" t="s">
        <v>112</v>
      </c>
      <c r="Q4" s="283"/>
      <c r="R4" s="283"/>
      <c r="S4" s="284"/>
      <c r="T4" s="282" t="s">
        <v>113</v>
      </c>
      <c r="U4" s="283"/>
      <c r="V4" s="283"/>
      <c r="W4" s="284"/>
    </row>
    <row r="5" spans="2:32" ht="39" thickBot="1" x14ac:dyDescent="0.25">
      <c r="B5" s="287"/>
      <c r="C5" s="288"/>
      <c r="D5" s="290"/>
      <c r="E5" s="30" t="s">
        <v>97</v>
      </c>
      <c r="F5" s="31" t="s">
        <v>98</v>
      </c>
      <c r="G5" s="31" t="s">
        <v>99</v>
      </c>
      <c r="H5" s="31" t="s">
        <v>100</v>
      </c>
      <c r="I5" s="31" t="s">
        <v>101</v>
      </c>
      <c r="J5" s="31" t="s">
        <v>102</v>
      </c>
      <c r="K5" s="31" t="s">
        <v>103</v>
      </c>
      <c r="L5" s="31" t="s">
        <v>104</v>
      </c>
      <c r="M5" s="31" t="s">
        <v>105</v>
      </c>
      <c r="N5" s="31" t="s">
        <v>106</v>
      </c>
      <c r="O5" s="32" t="s">
        <v>107</v>
      </c>
      <c r="P5" s="33" t="s">
        <v>109</v>
      </c>
      <c r="Q5" s="34" t="s">
        <v>103</v>
      </c>
      <c r="R5" s="34" t="s">
        <v>110</v>
      </c>
      <c r="S5" s="35" t="s">
        <v>111</v>
      </c>
      <c r="T5" s="33" t="s">
        <v>109</v>
      </c>
      <c r="U5" s="34" t="s">
        <v>103</v>
      </c>
      <c r="V5" s="34" t="s">
        <v>110</v>
      </c>
      <c r="W5" s="35" t="s">
        <v>111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294">
        <v>1</v>
      </c>
      <c r="C7" s="46"/>
      <c r="D7" s="65" t="s">
        <v>123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295"/>
      <c r="C8" s="63">
        <v>1.1000000000000001</v>
      </c>
      <c r="D8" s="57" t="s">
        <v>124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295"/>
      <c r="C9" s="63">
        <v>1.2</v>
      </c>
      <c r="D9" s="57" t="s">
        <v>125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295"/>
      <c r="C10" s="63">
        <v>1.3</v>
      </c>
      <c r="D10" s="57" t="s">
        <v>126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295"/>
      <c r="C11" s="63">
        <v>1.4</v>
      </c>
      <c r="D11" s="57" t="s">
        <v>127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295"/>
      <c r="C12" s="63">
        <v>1.5</v>
      </c>
      <c r="D12" s="57" t="s">
        <v>128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295"/>
      <c r="C13" s="63">
        <v>1.6</v>
      </c>
      <c r="D13" s="57" t="s">
        <v>129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130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295">
        <v>3</v>
      </c>
      <c r="C15" s="63"/>
      <c r="D15" s="59" t="s">
        <v>131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295"/>
      <c r="C16" s="63">
        <v>3.1</v>
      </c>
      <c r="D16" s="57" t="s">
        <v>132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295"/>
      <c r="C17" s="63">
        <v>3.2</v>
      </c>
      <c r="D17" s="57" t="s">
        <v>133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295"/>
      <c r="C18" s="63">
        <v>3.3</v>
      </c>
      <c r="D18" s="57" t="s">
        <v>134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295"/>
      <c r="C19" s="63">
        <v>3.4</v>
      </c>
      <c r="D19" s="57" t="s">
        <v>135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295"/>
      <c r="C20" s="63">
        <v>3.5</v>
      </c>
      <c r="D20" s="57" t="s">
        <v>136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295"/>
      <c r="C21" s="63">
        <v>3.6</v>
      </c>
      <c r="D21" s="57" t="s">
        <v>137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295">
        <v>4</v>
      </c>
      <c r="C22" s="63"/>
      <c r="D22" s="59" t="s">
        <v>138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295"/>
      <c r="C23" s="63">
        <v>4.0999999999999996</v>
      </c>
      <c r="D23" s="57" t="s">
        <v>139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295"/>
      <c r="C24" s="63">
        <v>4.2</v>
      </c>
      <c r="D24" s="57" t="s">
        <v>140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295"/>
      <c r="C25" s="63">
        <v>4.3</v>
      </c>
      <c r="D25" s="57" t="s">
        <v>141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295"/>
      <c r="C26" s="63">
        <v>4.4000000000000004</v>
      </c>
      <c r="D26" s="57" t="s">
        <v>142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295">
        <v>5</v>
      </c>
      <c r="C27" s="63"/>
      <c r="D27" s="59" t="s">
        <v>143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295"/>
      <c r="C28" s="63">
        <v>5.0999999999999996</v>
      </c>
      <c r="D28" s="57" t="s">
        <v>144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295"/>
      <c r="C29" s="63">
        <v>5.2</v>
      </c>
      <c r="D29" s="57" t="s">
        <v>145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295"/>
      <c r="C30" s="63">
        <v>5.3</v>
      </c>
      <c r="D30" s="57" t="s">
        <v>146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295"/>
      <c r="C31" s="63">
        <v>5.4</v>
      </c>
      <c r="D31" s="57" t="s">
        <v>147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4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280" t="s">
        <v>148</v>
      </c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9"/>
    </row>
    <row r="36" spans="2:23" x14ac:dyDescent="0.2">
      <c r="B36" s="2"/>
      <c r="C36" s="281"/>
      <c r="D36" s="281"/>
      <c r="E36" s="281"/>
      <c r="F36" s="281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9"/>
    </row>
    <row r="37" spans="2:23" x14ac:dyDescent="0.2">
      <c r="B37" s="2"/>
      <c r="C37" s="281"/>
      <c r="D37" s="281"/>
      <c r="E37" s="281"/>
      <c r="F37" s="281"/>
      <c r="G37" s="281"/>
      <c r="H37" s="281"/>
      <c r="I37" s="281"/>
      <c r="J37" s="281"/>
      <c r="K37" s="281"/>
      <c r="L37" s="281"/>
      <c r="M37" s="281"/>
      <c r="N37" s="281"/>
      <c r="O37" s="281"/>
      <c r="P37" s="281"/>
      <c r="Q37" s="281"/>
      <c r="R37" s="281"/>
      <c r="S37" s="281"/>
      <c r="T37" s="281"/>
      <c r="U37" s="281"/>
      <c r="V37" s="281"/>
      <c r="W37" s="29"/>
    </row>
    <row r="38" spans="2:23" x14ac:dyDescent="0.2">
      <c r="B38" s="2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281"/>
      <c r="U38" s="281"/>
      <c r="V38" s="281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64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J7"/>
  <sheetViews>
    <sheetView workbookViewId="0">
      <selection activeCell="I12" sqref="I12"/>
    </sheetView>
  </sheetViews>
  <sheetFormatPr baseColWidth="10" defaultColWidth="11.42578125" defaultRowHeight="12.75" x14ac:dyDescent="0.2"/>
  <cols>
    <col min="1" max="1" width="11.42578125" style="214"/>
    <col min="2" max="2" width="18.5703125" style="214" bestFit="1" customWidth="1"/>
    <col min="3" max="3" width="11.42578125" style="214"/>
    <col min="4" max="4" width="18.140625" style="214" customWidth="1"/>
    <col min="5" max="5" width="4.7109375" style="214" customWidth="1"/>
    <col min="6" max="6" width="14.42578125" style="214" bestFit="1" customWidth="1"/>
    <col min="7" max="7" width="4.7109375" style="208" customWidth="1"/>
    <col min="8" max="8" width="17.42578125" style="208" customWidth="1"/>
    <col min="9" max="9" width="12.85546875" style="218" bestFit="1" customWidth="1"/>
    <col min="10" max="10" width="13.85546875" style="218" bestFit="1" customWidth="1"/>
    <col min="11" max="16384" width="11.42578125" style="208"/>
  </cols>
  <sheetData>
    <row r="1" spans="1:8" ht="41.25" customHeight="1" x14ac:dyDescent="0.2">
      <c r="A1" s="205" t="s">
        <v>164</v>
      </c>
      <c r="B1" s="205" t="s">
        <v>165</v>
      </c>
      <c r="C1" s="205" t="s">
        <v>0</v>
      </c>
      <c r="D1" s="205" t="s">
        <v>187</v>
      </c>
      <c r="E1" s="206"/>
      <c r="F1" s="207" t="s">
        <v>247</v>
      </c>
      <c r="H1" s="207" t="s">
        <v>234</v>
      </c>
    </row>
    <row r="2" spans="1:8" x14ac:dyDescent="0.2">
      <c r="A2" s="209">
        <v>1</v>
      </c>
      <c r="B2" s="210">
        <v>765000000</v>
      </c>
      <c r="C2" s="211">
        <v>5</v>
      </c>
      <c r="D2" s="210">
        <v>0</v>
      </c>
      <c r="E2" s="212"/>
      <c r="F2" s="213">
        <v>1300000</v>
      </c>
      <c r="H2" s="217">
        <f>+B2*10%</f>
        <v>76500000</v>
      </c>
    </row>
    <row r="3" spans="1:8" x14ac:dyDescent="0.2">
      <c r="A3" s="209"/>
      <c r="B3" s="210"/>
      <c r="C3" s="211"/>
      <c r="D3" s="210"/>
      <c r="H3" s="217" t="str">
        <f>+IF(OR(B3="",PlazoM2=""),"",B3/PlazoM2)</f>
        <v/>
      </c>
    </row>
    <row r="4" spans="1:8" x14ac:dyDescent="0.2">
      <c r="A4" s="209"/>
      <c r="B4" s="210"/>
      <c r="C4" s="211"/>
      <c r="D4" s="210"/>
      <c r="H4" s="217" t="str">
        <f>+IF(OR(B4="",PlazoM3=""),"",B4/PlazoM3)</f>
        <v/>
      </c>
    </row>
    <row r="5" spans="1:8" x14ac:dyDescent="0.2">
      <c r="A5" s="209"/>
      <c r="B5" s="210"/>
      <c r="C5" s="211"/>
      <c r="D5" s="210"/>
      <c r="H5" s="217" t="str">
        <f>+IF(OR(B5="",PlazoM4=""),"",B5/PlazoM4)</f>
        <v/>
      </c>
    </row>
    <row r="6" spans="1:8" x14ac:dyDescent="0.2">
      <c r="E6" s="215"/>
    </row>
    <row r="7" spans="1:8" x14ac:dyDescent="0.2">
      <c r="D7" s="216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H6" sqref="H6"/>
    </sheetView>
  </sheetViews>
  <sheetFormatPr baseColWidth="10" defaultColWidth="11.42578125" defaultRowHeight="12.75" x14ac:dyDescent="0.2"/>
  <cols>
    <col min="1" max="2" width="11.42578125" style="141"/>
    <col min="3" max="3" width="15.28515625" style="141" bestFit="1" customWidth="1"/>
    <col min="4" max="6" width="11.42578125" style="141"/>
    <col min="7" max="7" width="11.42578125" style="141" customWidth="1"/>
    <col min="8" max="16384" width="11.42578125" style="141"/>
  </cols>
  <sheetData>
    <row r="1" spans="2:8" ht="13.5" thickBot="1" x14ac:dyDescent="0.25"/>
    <row r="2" spans="2:8" ht="13.5" thickBot="1" x14ac:dyDescent="0.25">
      <c r="B2" s="296" t="s">
        <v>197</v>
      </c>
      <c r="C2" s="297"/>
      <c r="D2" s="298"/>
      <c r="F2" s="296" t="s">
        <v>205</v>
      </c>
      <c r="G2" s="297"/>
      <c r="H2" s="298"/>
    </row>
    <row r="3" spans="2:8" ht="13.5" thickBot="1" x14ac:dyDescent="0.25">
      <c r="B3" s="169" t="s">
        <v>201</v>
      </c>
      <c r="C3" s="171" t="s">
        <v>203</v>
      </c>
      <c r="D3" s="170" t="s">
        <v>202</v>
      </c>
      <c r="F3" s="169" t="s">
        <v>206</v>
      </c>
      <c r="G3" s="171" t="s">
        <v>207</v>
      </c>
      <c r="H3" s="170" t="s">
        <v>202</v>
      </c>
    </row>
    <row r="4" spans="2:8" x14ac:dyDescent="0.2">
      <c r="B4" s="161">
        <v>0</v>
      </c>
      <c r="C4" s="161">
        <v>3</v>
      </c>
      <c r="D4" s="161">
        <v>60</v>
      </c>
      <c r="F4" s="161">
        <v>1</v>
      </c>
      <c r="G4" s="161">
        <v>5</v>
      </c>
      <c r="H4" s="161">
        <v>20</v>
      </c>
    </row>
    <row r="5" spans="2:8" x14ac:dyDescent="0.2">
      <c r="B5" s="162">
        <v>3</v>
      </c>
      <c r="C5" s="162">
        <v>6</v>
      </c>
      <c r="D5" s="162">
        <v>80</v>
      </c>
      <c r="F5" s="162">
        <v>6</v>
      </c>
      <c r="G5" s="162">
        <v>10</v>
      </c>
      <c r="H5" s="162">
        <v>30</v>
      </c>
    </row>
    <row r="6" spans="2:8" ht="13.5" thickBot="1" x14ac:dyDescent="0.25">
      <c r="B6" s="162">
        <v>6</v>
      </c>
      <c r="C6" s="162">
        <v>10</v>
      </c>
      <c r="D6" s="162">
        <v>100</v>
      </c>
      <c r="F6" s="163">
        <v>11</v>
      </c>
      <c r="G6" s="164" t="s">
        <v>204</v>
      </c>
      <c r="H6" s="163">
        <v>40</v>
      </c>
    </row>
    <row r="7" spans="2:8" ht="13.5" thickBot="1" x14ac:dyDescent="0.25">
      <c r="B7" s="163">
        <v>10</v>
      </c>
      <c r="C7" s="164" t="s">
        <v>204</v>
      </c>
      <c r="D7" s="163">
        <v>120</v>
      </c>
      <c r="F7" s="172"/>
      <c r="G7" s="173"/>
      <c r="H7" s="172"/>
    </row>
    <row r="9" spans="2:8" ht="13.5" thickBot="1" x14ac:dyDescent="0.25"/>
    <row r="10" spans="2:8" ht="13.5" thickBot="1" x14ac:dyDescent="0.25">
      <c r="B10" s="296" t="s">
        <v>191</v>
      </c>
      <c r="C10" s="297"/>
      <c r="D10" s="298"/>
    </row>
    <row r="11" spans="2:8" ht="13.5" thickBot="1" x14ac:dyDescent="0.25">
      <c r="B11" s="169" t="s">
        <v>201</v>
      </c>
      <c r="C11" s="171" t="s">
        <v>203</v>
      </c>
      <c r="D11" s="170" t="s">
        <v>202</v>
      </c>
    </row>
    <row r="12" spans="2:8" x14ac:dyDescent="0.2">
      <c r="B12" s="161">
        <v>0</v>
      </c>
      <c r="C12" s="161">
        <v>0.5</v>
      </c>
      <c r="D12" s="161">
        <v>20</v>
      </c>
    </row>
    <row r="13" spans="2:8" x14ac:dyDescent="0.2">
      <c r="B13" s="162">
        <v>0.5</v>
      </c>
      <c r="C13" s="162">
        <v>0.75</v>
      </c>
      <c r="D13" s="162">
        <v>25</v>
      </c>
    </row>
    <row r="14" spans="2:8" x14ac:dyDescent="0.2">
      <c r="B14" s="162">
        <v>0.75</v>
      </c>
      <c r="C14" s="168">
        <v>1</v>
      </c>
      <c r="D14" s="162">
        <v>30</v>
      </c>
    </row>
    <row r="15" spans="2:8" x14ac:dyDescent="0.2">
      <c r="B15" s="167">
        <v>1</v>
      </c>
      <c r="C15" s="166">
        <v>1.5</v>
      </c>
      <c r="D15" s="165">
        <v>35</v>
      </c>
    </row>
    <row r="16" spans="2:8" ht="13.5" thickBot="1" x14ac:dyDescent="0.25">
      <c r="B16" s="163">
        <v>1.5</v>
      </c>
      <c r="C16" s="164" t="s">
        <v>204</v>
      </c>
      <c r="D16" s="163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M57"/>
  <sheetViews>
    <sheetView zoomScale="86" zoomScaleNormal="86" zoomScaleSheetLayoutView="100" workbookViewId="0">
      <pane xSplit="3" ySplit="12" topLeftCell="AM13" activePane="bottomRight" state="frozen"/>
      <selection pane="topRight" activeCell="D1" sqref="D1"/>
      <selection pane="bottomLeft" activeCell="A13" sqref="A13"/>
      <selection pane="bottomRight" activeCell="C62" sqref="C62"/>
    </sheetView>
  </sheetViews>
  <sheetFormatPr baseColWidth="10" defaultColWidth="11.42578125" defaultRowHeight="12.75" x14ac:dyDescent="0.2"/>
  <cols>
    <col min="1" max="1" width="19.85546875" style="126" customWidth="1"/>
    <col min="2" max="2" width="8.85546875" style="126" bestFit="1" customWidth="1"/>
    <col min="3" max="3" width="44.5703125" style="126" customWidth="1"/>
    <col min="4" max="4" width="17.42578125" style="126" customWidth="1"/>
    <col min="5" max="5" width="25" style="126" customWidth="1"/>
    <col min="6" max="6" width="26.7109375" style="129" customWidth="1"/>
    <col min="7" max="7" width="25" style="129" bestFit="1" customWidth="1"/>
    <col min="8" max="9" width="23.140625" style="129" customWidth="1"/>
    <col min="10" max="10" width="28.7109375" style="130" customWidth="1"/>
    <col min="11" max="11" width="28.28515625" style="130" customWidth="1"/>
    <col min="12" max="12" width="23" style="130" customWidth="1"/>
    <col min="13" max="13" width="20.85546875" style="130" customWidth="1"/>
    <col min="14" max="14" width="4.140625" style="131" bestFit="1" customWidth="1"/>
    <col min="15" max="15" width="8" style="131" bestFit="1" customWidth="1"/>
    <col min="16" max="16" width="8" style="131" hidden="1" customWidth="1"/>
    <col min="17" max="17" width="19.5703125" style="131" hidden="1" customWidth="1"/>
    <col min="18" max="18" width="21.7109375" style="131" bestFit="1" customWidth="1"/>
    <col min="19" max="19" width="24.85546875" style="131" customWidth="1"/>
    <col min="20" max="20" width="27.85546875" style="131" customWidth="1"/>
    <col min="21" max="21" width="17.85546875" style="131" customWidth="1"/>
    <col min="22" max="22" width="16.7109375" style="131" bestFit="1" customWidth="1"/>
    <col min="23" max="23" width="14.7109375" style="131" customWidth="1"/>
    <col min="24" max="24" width="17.5703125" style="131" customWidth="1"/>
    <col min="25" max="25" width="21.7109375" style="131" customWidth="1"/>
    <col min="26" max="26" width="20.42578125" style="131" hidden="1" customWidth="1"/>
    <col min="27" max="28" width="14.7109375" style="131" customWidth="1"/>
    <col min="29" max="29" width="15.85546875" style="129" customWidth="1"/>
    <col min="30" max="30" width="15.5703125" style="126" hidden="1" customWidth="1"/>
    <col min="31" max="31" width="15.85546875" style="126" hidden="1" customWidth="1"/>
    <col min="32" max="32" width="14.5703125" style="132" hidden="1" customWidth="1"/>
    <col min="33" max="33" width="14.5703125" style="126" hidden="1" customWidth="1"/>
    <col min="34" max="35" width="14.5703125" style="126" customWidth="1"/>
    <col min="36" max="36" width="14.5703125" style="132" customWidth="1"/>
    <col min="37" max="37" width="14.5703125" style="126" customWidth="1"/>
    <col min="38" max="38" width="17.42578125" style="126" customWidth="1"/>
    <col min="39" max="39" width="54.140625" style="258" customWidth="1"/>
    <col min="40" max="16384" width="11.42578125" style="126"/>
  </cols>
  <sheetData>
    <row r="1" spans="1:39" x14ac:dyDescent="0.2"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</row>
    <row r="2" spans="1:39" s="127" customFormat="1" ht="23.25" x14ac:dyDescent="0.35">
      <c r="B2" s="302" t="s">
        <v>149</v>
      </c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2"/>
      <c r="AH2" s="302"/>
      <c r="AI2" s="302"/>
      <c r="AJ2" s="302"/>
      <c r="AK2" s="302"/>
      <c r="AL2" s="302"/>
      <c r="AM2" s="259"/>
    </row>
    <row r="3" spans="1:39" s="127" customFormat="1" ht="18" x14ac:dyDescent="0.25">
      <c r="B3" s="301" t="s">
        <v>209</v>
      </c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  <c r="AD3" s="301"/>
      <c r="AE3" s="301"/>
      <c r="AF3" s="301"/>
      <c r="AG3" s="301"/>
      <c r="AH3" s="301"/>
      <c r="AI3" s="301"/>
      <c r="AJ3" s="301"/>
      <c r="AK3" s="301"/>
      <c r="AL3" s="301"/>
      <c r="AM3" s="259"/>
    </row>
    <row r="4" spans="1:39" ht="15.75" x14ac:dyDescent="0.25">
      <c r="B4" s="300" t="s">
        <v>256</v>
      </c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  <c r="Y4" s="300"/>
      <c r="Z4" s="300"/>
      <c r="AA4" s="300"/>
      <c r="AB4" s="300"/>
      <c r="AC4" s="300"/>
      <c r="AD4" s="300"/>
      <c r="AE4" s="300"/>
      <c r="AF4" s="300"/>
      <c r="AG4" s="300"/>
      <c r="AH4" s="300"/>
      <c r="AI4" s="300"/>
      <c r="AJ4" s="300"/>
      <c r="AK4" s="300"/>
      <c r="AL4" s="300"/>
    </row>
    <row r="5" spans="1:39" ht="15.75" x14ac:dyDescent="0.2">
      <c r="B5" s="322" t="s">
        <v>243</v>
      </c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  <c r="AH5" s="322"/>
      <c r="AI5" s="322"/>
      <c r="AJ5" s="322"/>
      <c r="AK5" s="322"/>
      <c r="AL5" s="322"/>
    </row>
    <row r="6" spans="1:39" ht="16.5" thickBot="1" x14ac:dyDescent="0.25">
      <c r="B6" s="140"/>
      <c r="C6" s="140"/>
      <c r="D6" s="140"/>
      <c r="E6" s="249"/>
      <c r="F6" s="140"/>
      <c r="G6" s="140"/>
      <c r="H6" s="140"/>
      <c r="I6" s="249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0"/>
      <c r="AF6" s="140"/>
      <c r="AG6" s="140"/>
      <c r="AH6" s="140"/>
      <c r="AI6" s="140"/>
      <c r="AJ6" s="140"/>
      <c r="AK6" s="140"/>
      <c r="AL6" s="140"/>
      <c r="AM6" s="260"/>
    </row>
    <row r="7" spans="1:39" ht="36.75" thickBot="1" x14ac:dyDescent="0.25">
      <c r="B7" s="315" t="s">
        <v>151</v>
      </c>
      <c r="C7" s="316"/>
      <c r="D7" s="317"/>
      <c r="E7" s="320" t="s">
        <v>161</v>
      </c>
      <c r="F7" s="321"/>
      <c r="G7" s="321"/>
      <c r="H7" s="321"/>
      <c r="I7" s="321"/>
      <c r="J7" s="321"/>
      <c r="K7" s="104"/>
      <c r="L7" s="104"/>
      <c r="M7" s="104"/>
      <c r="N7" s="104"/>
      <c r="O7" s="104"/>
      <c r="P7" s="104"/>
      <c r="Q7" s="104"/>
      <c r="R7" s="105"/>
      <c r="S7" s="221" t="s">
        <v>244</v>
      </c>
      <c r="T7" s="318" t="s">
        <v>239</v>
      </c>
      <c r="U7" s="319"/>
      <c r="V7" s="318" t="s">
        <v>163</v>
      </c>
      <c r="W7" s="319"/>
      <c r="X7" s="318" t="s">
        <v>150</v>
      </c>
      <c r="Y7" s="319"/>
      <c r="Z7" s="106"/>
      <c r="AA7" s="318" t="s">
        <v>177</v>
      </c>
      <c r="AB7" s="319"/>
      <c r="AC7" s="107" t="s">
        <v>179</v>
      </c>
      <c r="AD7" s="345" t="s">
        <v>171</v>
      </c>
      <c r="AE7" s="346"/>
      <c r="AF7" s="318" t="s">
        <v>181</v>
      </c>
      <c r="AG7" s="319"/>
      <c r="AH7" s="318" t="s">
        <v>181</v>
      </c>
      <c r="AI7" s="319"/>
      <c r="AJ7" s="318" t="s">
        <v>183</v>
      </c>
      <c r="AK7" s="319"/>
      <c r="AL7" s="107" t="s">
        <v>180</v>
      </c>
      <c r="AM7" s="257" t="s">
        <v>253</v>
      </c>
    </row>
    <row r="8" spans="1:39" ht="22.5" customHeight="1" x14ac:dyDescent="0.2">
      <c r="B8" s="323" t="s">
        <v>157</v>
      </c>
      <c r="C8" s="311" t="s">
        <v>156</v>
      </c>
      <c r="D8" s="335" t="s">
        <v>167</v>
      </c>
      <c r="E8" s="313" t="s">
        <v>159</v>
      </c>
      <c r="F8" s="332" t="s">
        <v>154</v>
      </c>
      <c r="G8" s="332" t="s">
        <v>158</v>
      </c>
      <c r="H8" s="328" t="s">
        <v>155</v>
      </c>
      <c r="I8" s="312" t="s">
        <v>229</v>
      </c>
      <c r="J8" s="312" t="s">
        <v>230</v>
      </c>
      <c r="K8" s="312" t="s">
        <v>232</v>
      </c>
      <c r="L8" s="108"/>
      <c r="M8" s="108"/>
      <c r="N8" s="308" t="s">
        <v>162</v>
      </c>
      <c r="O8" s="304" t="s">
        <v>231</v>
      </c>
      <c r="P8" s="325" t="s">
        <v>168</v>
      </c>
      <c r="Q8" s="307" t="s">
        <v>169</v>
      </c>
      <c r="R8" s="303" t="s">
        <v>166</v>
      </c>
      <c r="S8" s="330" t="s">
        <v>238</v>
      </c>
      <c r="T8" s="330" t="s">
        <v>240</v>
      </c>
      <c r="U8" s="331"/>
      <c r="V8" s="330" t="s">
        <v>248</v>
      </c>
      <c r="W8" s="331"/>
      <c r="X8" s="330" t="s">
        <v>249</v>
      </c>
      <c r="Y8" s="331"/>
      <c r="Z8" s="333" t="s">
        <v>170</v>
      </c>
      <c r="AA8" s="330" t="s">
        <v>250</v>
      </c>
      <c r="AB8" s="331"/>
      <c r="AC8" s="328" t="s">
        <v>236</v>
      </c>
      <c r="AD8" s="96" t="s">
        <v>172</v>
      </c>
      <c r="AE8" s="97">
        <v>535600</v>
      </c>
      <c r="AF8" s="330" t="s">
        <v>233</v>
      </c>
      <c r="AG8" s="331"/>
      <c r="AH8" s="330" t="s">
        <v>252</v>
      </c>
      <c r="AI8" s="331"/>
      <c r="AJ8" s="330" t="s">
        <v>251</v>
      </c>
      <c r="AK8" s="331"/>
      <c r="AL8" s="328" t="s">
        <v>236</v>
      </c>
      <c r="AM8" s="340"/>
    </row>
    <row r="9" spans="1:39" ht="36.75" thickBot="1" x14ac:dyDescent="0.25">
      <c r="B9" s="324"/>
      <c r="C9" s="311"/>
      <c r="D9" s="336"/>
      <c r="E9" s="314"/>
      <c r="F9" s="337"/>
      <c r="G9" s="328"/>
      <c r="H9" s="337"/>
      <c r="I9" s="312"/>
      <c r="J9" s="312"/>
      <c r="K9" s="312"/>
      <c r="L9" s="108" t="s">
        <v>175</v>
      </c>
      <c r="M9" s="108" t="s">
        <v>176</v>
      </c>
      <c r="N9" s="309"/>
      <c r="O9" s="305"/>
      <c r="P9" s="326"/>
      <c r="Q9" s="307"/>
      <c r="R9" s="303"/>
      <c r="S9" s="338"/>
      <c r="T9" s="67" t="s">
        <v>241</v>
      </c>
      <c r="U9" s="198" t="s">
        <v>242</v>
      </c>
      <c r="V9" s="67" t="s">
        <v>160</v>
      </c>
      <c r="W9" s="66">
        <v>1.1100000000000001</v>
      </c>
      <c r="X9" s="67" t="s">
        <v>185</v>
      </c>
      <c r="Y9" s="66">
        <v>0.75</v>
      </c>
      <c r="Z9" s="307"/>
      <c r="AA9" s="67" t="s">
        <v>178</v>
      </c>
      <c r="AB9" s="66">
        <v>0</v>
      </c>
      <c r="AC9" s="328"/>
      <c r="AD9" s="98" t="s">
        <v>173</v>
      </c>
      <c r="AE9" s="99">
        <v>566700</v>
      </c>
      <c r="AF9" s="115" t="s">
        <v>182</v>
      </c>
      <c r="AG9" s="204">
        <v>0</v>
      </c>
      <c r="AH9" s="115" t="s">
        <v>182</v>
      </c>
      <c r="AI9" s="204">
        <v>0</v>
      </c>
      <c r="AJ9" s="115" t="s">
        <v>184</v>
      </c>
      <c r="AK9" s="204">
        <v>0</v>
      </c>
      <c r="AL9" s="328"/>
      <c r="AM9" s="340"/>
    </row>
    <row r="10" spans="1:39" ht="36.75" thickBot="1" x14ac:dyDescent="0.25">
      <c r="B10" s="324"/>
      <c r="C10" s="311"/>
      <c r="D10" s="336"/>
      <c r="E10" s="314"/>
      <c r="F10" s="337"/>
      <c r="G10" s="328"/>
      <c r="H10" s="337"/>
      <c r="I10" s="312"/>
      <c r="J10" s="312"/>
      <c r="K10" s="312"/>
      <c r="L10" s="108"/>
      <c r="M10" s="108"/>
      <c r="N10" s="310"/>
      <c r="O10" s="306"/>
      <c r="P10" s="327"/>
      <c r="Q10" s="307"/>
      <c r="R10" s="303"/>
      <c r="S10" s="339"/>
      <c r="T10" s="68" t="s">
        <v>153</v>
      </c>
      <c r="U10" s="223" t="s">
        <v>152</v>
      </c>
      <c r="V10" s="68" t="s">
        <v>153</v>
      </c>
      <c r="W10" s="69" t="s">
        <v>152</v>
      </c>
      <c r="X10" s="68" t="s">
        <v>153</v>
      </c>
      <c r="Y10" s="69" t="s">
        <v>152</v>
      </c>
      <c r="Z10" s="334"/>
      <c r="AA10" s="68" t="s">
        <v>153</v>
      </c>
      <c r="AB10" s="69" t="s">
        <v>152</v>
      </c>
      <c r="AC10" s="329"/>
      <c r="AD10" s="100" t="s">
        <v>174</v>
      </c>
      <c r="AE10" s="101">
        <v>30000</v>
      </c>
      <c r="AF10" s="116" t="s">
        <v>153</v>
      </c>
      <c r="AG10" s="114" t="s">
        <v>152</v>
      </c>
      <c r="AH10" s="116" t="s">
        <v>153</v>
      </c>
      <c r="AI10" s="114" t="s">
        <v>152</v>
      </c>
      <c r="AJ10" s="116" t="s">
        <v>153</v>
      </c>
      <c r="AK10" s="114" t="s">
        <v>152</v>
      </c>
      <c r="AL10" s="329"/>
      <c r="AM10" s="341"/>
    </row>
    <row r="11" spans="1:39" ht="13.5" thickBot="1" x14ac:dyDescent="0.25">
      <c r="B11" s="133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57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5"/>
      <c r="AD11" s="136"/>
      <c r="AE11" s="137"/>
      <c r="AF11" s="138"/>
      <c r="AJ11" s="138"/>
      <c r="AL11" s="139"/>
      <c r="AM11" s="261"/>
    </row>
    <row r="12" spans="1:39" ht="16.5" x14ac:dyDescent="0.25">
      <c r="B12" s="78">
        <v>1</v>
      </c>
      <c r="C12" s="79" t="str">
        <f>+C13</f>
        <v>JORGE EIVAR TULCAN LOSADA</v>
      </c>
      <c r="D12" s="94">
        <v>1</v>
      </c>
      <c r="E12" s="80">
        <f>+E13</f>
        <v>508279981</v>
      </c>
      <c r="F12" s="80">
        <f>+F13</f>
        <v>1200837891</v>
      </c>
      <c r="G12" s="80">
        <f>+G13</f>
        <v>28210788</v>
      </c>
      <c r="H12" s="80">
        <f>+H13</f>
        <v>537487335</v>
      </c>
      <c r="I12" s="80">
        <f t="shared" ref="I12:J17" si="0">IF(ISERROR(E12-G12),"",E12-G12)</f>
        <v>480069193</v>
      </c>
      <c r="J12" s="80">
        <f t="shared" si="0"/>
        <v>663350556</v>
      </c>
      <c r="K12" s="80">
        <f t="shared" ref="K12:K16" si="1">IF(ISERROR(F12-H12),"",F12-H12)</f>
        <v>663350556</v>
      </c>
      <c r="L12" s="80">
        <f t="shared" ref="L12:M12" si="2">+L13</f>
        <v>218205874</v>
      </c>
      <c r="M12" s="80">
        <f t="shared" si="2"/>
        <v>86715077</v>
      </c>
      <c r="N12" s="74">
        <v>1</v>
      </c>
      <c r="O12" s="199">
        <f>IF(ISERROR(VLOOKUP(N12,POA!$A$2:$C$16,3,0)),"",VLOOKUP(N12,POA!$A$2:$C$16,3,0))</f>
        <v>5</v>
      </c>
      <c r="P12" s="95"/>
      <c r="Q12" s="74">
        <f>+SUM(Q13:Q16)</f>
        <v>0</v>
      </c>
      <c r="R12" s="75">
        <f>IF(ISERROR(VLOOKUP(N12,POA!$A$2:$C$16,2,0)),"",VLOOKUP(N12,POA!$A$2:$C$16,2,0))</f>
        <v>765000000</v>
      </c>
      <c r="S12" s="80">
        <f>+R12*10%</f>
        <v>76500000</v>
      </c>
      <c r="T12" s="80">
        <f>+E12-G12</f>
        <v>480069193</v>
      </c>
      <c r="U12" s="224" t="str">
        <f>IF(OR(T12=0,N12="",R12=""),"",IF(T12&gt;=S12,"CUMPLE","NO HABIL"))</f>
        <v>CUMPLE</v>
      </c>
      <c r="V12" s="80">
        <f>IF(ISERROR(SUM(E12/G12)),0,SUM(E12/G12))</f>
        <v>18.017220256307624</v>
      </c>
      <c r="W12" s="224" t="str">
        <f>IF(OR(V12=0,N12="",R12=""),"",IF(V12&gt;=$W$9,"CUMPLE","NO CUMPLE"))</f>
        <v>CUMPLE</v>
      </c>
      <c r="X12" s="203">
        <f>IF(ISERROR(SUM(H12/F12)),0,SUM(H12/F12))</f>
        <v>0.44759358363717722</v>
      </c>
      <c r="Y12" s="224" t="str">
        <f>IF(OR(X12=0,N12="",R12=""),"",IF(X12&lt;=$Y$9,"CUMPLE","NO CUMPLE"))</f>
        <v>CUMPLE</v>
      </c>
      <c r="Z12" s="74">
        <f>+SUM(Z13:Z16)</f>
        <v>0</v>
      </c>
      <c r="AA12" s="203">
        <f>IF(ISERROR(SUM(L12/M12)),0,SUM(L12/M12))</f>
        <v>2.5163544973845782</v>
      </c>
      <c r="AB12" s="224" t="s">
        <v>237</v>
      </c>
      <c r="AC12" s="224" t="str">
        <f>IF(OR(U12="",W12="",Y12="",AB12=""),"NO HABIL",IF(U12="NO HABIL","NO HABIL",IF(W12="NO HABIL","NO HABIL",IF(Y12="NO HABIL","NO HABIL",IF(AB12="NO HABIL","NO HABIL",IF(AB12="NO HABIL","NO HABIL","CUMPLE"))))))</f>
        <v>CUMPLE</v>
      </c>
      <c r="AD12" s="111"/>
      <c r="AE12" s="102"/>
      <c r="AF12" s="203">
        <f>IF(ISERROR(SUM(L12/K12)),0,SUM(L12/K12))</f>
        <v>0.32894503822500754</v>
      </c>
      <c r="AG12" s="81" t="str">
        <f>IF(OR(AF12=0,N12="",R12=""),"",IF(AF12&gt;=$AG$9,"HABIL","NO HABIL"))</f>
        <v>HABIL</v>
      </c>
      <c r="AH12" s="203">
        <f>L12/K12</f>
        <v>0.32894503822500754</v>
      </c>
      <c r="AI12" s="224" t="str">
        <f>IF(OR(AH12=0,O12="",S12=""),"",IF(AH12&gt;=$AI$9,"CUMPLE","NO HABIL"))</f>
        <v>CUMPLE</v>
      </c>
      <c r="AJ12" s="203">
        <f>IF(ISERROR(SUM(L12/F12)),0,SUM(L12/F12))</f>
        <v>0.18171134974620817</v>
      </c>
      <c r="AK12" s="224" t="str">
        <f>IF(OR(AJ12=0,N12="",R12=""),"",IF(AJ12&gt;=$AK$9,"CUMPLE","NO CUMPLE"))</f>
        <v>CUMPLE</v>
      </c>
      <c r="AL12" s="224" t="str">
        <f>IF(OR(AI12="",AK12=""),"",IF(AI12="NO CUMPLE","NO CUMPLE",IF(AK12="NO CUMPLE","NO CUMPLE",IF(AK12="NO CUMPLE","NO CUMPLE","CUMPLE"))))</f>
        <v>CUMPLE</v>
      </c>
      <c r="AM12" s="262"/>
    </row>
    <row r="13" spans="1:39" ht="36" x14ac:dyDescent="0.25">
      <c r="A13" s="128"/>
      <c r="B13" s="71"/>
      <c r="C13" s="252" t="s">
        <v>257</v>
      </c>
      <c r="D13" s="219">
        <v>1</v>
      </c>
      <c r="E13" s="226">
        <v>508279981</v>
      </c>
      <c r="F13" s="226">
        <v>1200837891</v>
      </c>
      <c r="G13" s="226">
        <v>28210788</v>
      </c>
      <c r="H13" s="226">
        <v>537487335</v>
      </c>
      <c r="I13" s="220">
        <f t="shared" si="0"/>
        <v>480069193</v>
      </c>
      <c r="J13" s="227">
        <f t="shared" si="0"/>
        <v>663350556</v>
      </c>
      <c r="K13" s="220">
        <f t="shared" si="1"/>
        <v>663350556</v>
      </c>
      <c r="L13" s="220">
        <v>218205874</v>
      </c>
      <c r="M13" s="220">
        <v>86715077</v>
      </c>
      <c r="N13" s="159"/>
      <c r="O13" s="200"/>
      <c r="P13" s="72"/>
      <c r="Q13" s="72"/>
      <c r="R13" s="73"/>
      <c r="S13" s="77"/>
      <c r="T13" s="77"/>
      <c r="U13" s="76"/>
      <c r="V13" s="77"/>
      <c r="W13" s="76"/>
      <c r="X13" s="109"/>
      <c r="Y13" s="76"/>
      <c r="Z13" s="72"/>
      <c r="AA13" s="72"/>
      <c r="AB13" s="76"/>
      <c r="AC13" s="76"/>
      <c r="AD13" s="110"/>
      <c r="AE13" s="103"/>
      <c r="AF13" s="117"/>
      <c r="AG13" s="76"/>
      <c r="AH13" s="225"/>
      <c r="AI13" s="225"/>
      <c r="AJ13" s="117"/>
      <c r="AK13" s="76"/>
      <c r="AL13" s="254"/>
      <c r="AM13" s="264" t="s">
        <v>262</v>
      </c>
    </row>
    <row r="14" spans="1:39" ht="16.5" x14ac:dyDescent="0.25">
      <c r="A14" s="128"/>
      <c r="B14" s="71"/>
      <c r="C14" s="222"/>
      <c r="D14" s="219"/>
      <c r="E14" s="226"/>
      <c r="F14" s="226"/>
      <c r="G14" s="226"/>
      <c r="H14" s="226"/>
      <c r="I14" s="220"/>
      <c r="J14" s="227"/>
      <c r="K14" s="220"/>
      <c r="L14" s="220"/>
      <c r="M14" s="220">
        <v>0</v>
      </c>
      <c r="N14" s="159"/>
      <c r="O14" s="200"/>
      <c r="P14" s="235"/>
      <c r="Q14" s="235"/>
      <c r="R14" s="236"/>
      <c r="S14" s="226"/>
      <c r="T14" s="226"/>
      <c r="U14" s="225"/>
      <c r="V14" s="226"/>
      <c r="W14" s="225"/>
      <c r="X14" s="237"/>
      <c r="Y14" s="225"/>
      <c r="Z14" s="235"/>
      <c r="AA14" s="235"/>
      <c r="AB14" s="225"/>
      <c r="AC14" s="225"/>
      <c r="AD14" s="110"/>
      <c r="AE14" s="103"/>
      <c r="AF14" s="238"/>
      <c r="AG14" s="225"/>
      <c r="AH14" s="225"/>
      <c r="AI14" s="225"/>
      <c r="AJ14" s="238"/>
      <c r="AK14" s="225"/>
      <c r="AL14" s="254"/>
      <c r="AM14" s="267"/>
    </row>
    <row r="15" spans="1:39" ht="16.5" x14ac:dyDescent="0.25">
      <c r="A15" s="128"/>
      <c r="B15" s="71"/>
      <c r="C15" s="222"/>
      <c r="D15" s="219"/>
      <c r="E15" s="226"/>
      <c r="F15" s="226"/>
      <c r="G15" s="226"/>
      <c r="H15" s="226"/>
      <c r="I15" s="220"/>
      <c r="J15" s="227"/>
      <c r="K15" s="220"/>
      <c r="L15" s="220"/>
      <c r="M15" s="220">
        <v>0</v>
      </c>
      <c r="N15" s="159"/>
      <c r="O15" s="200"/>
      <c r="P15" s="235"/>
      <c r="Q15" s="235"/>
      <c r="R15" s="236"/>
      <c r="S15" s="226"/>
      <c r="T15" s="226"/>
      <c r="U15" s="225"/>
      <c r="V15" s="226"/>
      <c r="W15" s="225"/>
      <c r="X15" s="237"/>
      <c r="Y15" s="225"/>
      <c r="Z15" s="235"/>
      <c r="AA15" s="235"/>
      <c r="AB15" s="225"/>
      <c r="AC15" s="225"/>
      <c r="AD15" s="110"/>
      <c r="AE15" s="103"/>
      <c r="AF15" s="238"/>
      <c r="AG15" s="225"/>
      <c r="AH15" s="225"/>
      <c r="AI15" s="225"/>
      <c r="AJ15" s="238"/>
      <c r="AK15" s="225"/>
      <c r="AL15" s="254"/>
      <c r="AM15" s="267"/>
    </row>
    <row r="16" spans="1:39" ht="17.25" thickBot="1" x14ac:dyDescent="0.3">
      <c r="A16" s="128"/>
      <c r="B16" s="71"/>
      <c r="C16" s="222"/>
      <c r="D16" s="219"/>
      <c r="E16" s="226"/>
      <c r="F16" s="226"/>
      <c r="G16" s="226"/>
      <c r="H16" s="226"/>
      <c r="I16" s="220">
        <f t="shared" si="0"/>
        <v>0</v>
      </c>
      <c r="J16" s="227">
        <f t="shared" si="0"/>
        <v>0</v>
      </c>
      <c r="K16" s="220">
        <f t="shared" si="1"/>
        <v>0</v>
      </c>
      <c r="L16" s="220">
        <f>IF(ISERROR(VLOOKUP(C16,#REF!,6,0)),0,VLOOKUP(C16,#REF!,6,0))</f>
        <v>0</v>
      </c>
      <c r="M16" s="220">
        <f>IF(ISERROR(VLOOKUP(C16,#REF!,7,0)),0,VLOOKUP(C16,#REF!,7,0))</f>
        <v>0</v>
      </c>
      <c r="N16" s="158"/>
      <c r="O16" s="158"/>
      <c r="P16" s="72"/>
      <c r="Q16" s="72"/>
      <c r="R16" s="73"/>
      <c r="S16" s="77"/>
      <c r="T16" s="77"/>
      <c r="U16" s="76"/>
      <c r="V16" s="77"/>
      <c r="W16" s="76"/>
      <c r="X16" s="109"/>
      <c r="Y16" s="76"/>
      <c r="Z16" s="72"/>
      <c r="AA16" s="72"/>
      <c r="AB16" s="76"/>
      <c r="AC16" s="76"/>
      <c r="AD16" s="110"/>
      <c r="AE16" s="103"/>
      <c r="AF16" s="117"/>
      <c r="AG16" s="76"/>
      <c r="AH16" s="225"/>
      <c r="AI16" s="225"/>
      <c r="AJ16" s="117"/>
      <c r="AK16" s="76"/>
      <c r="AL16" s="113"/>
      <c r="AM16" s="266"/>
    </row>
    <row r="17" spans="2:39" ht="16.5" x14ac:dyDescent="0.25">
      <c r="B17" s="78">
        <v>2</v>
      </c>
      <c r="C17" s="79" t="str">
        <f t="shared" ref="C17:H17" si="3">+C18</f>
        <v>CESAR ANTONIO PADRON TORRES</v>
      </c>
      <c r="D17" s="94">
        <f t="shared" si="3"/>
        <v>1</v>
      </c>
      <c r="E17" s="80">
        <f t="shared" si="3"/>
        <v>1793857441</v>
      </c>
      <c r="F17" s="80">
        <f>+F18</f>
        <v>2963136421</v>
      </c>
      <c r="G17" s="80">
        <f t="shared" si="3"/>
        <v>179144200</v>
      </c>
      <c r="H17" s="80">
        <f t="shared" si="3"/>
        <v>350163882</v>
      </c>
      <c r="I17" s="80">
        <f>+I18</f>
        <v>1614713241</v>
      </c>
      <c r="J17" s="80">
        <f t="shared" si="0"/>
        <v>2612972539</v>
      </c>
      <c r="K17" s="80">
        <f>IF(ISERROR(F17-H17),"",F17-H17)</f>
        <v>2612972539</v>
      </c>
      <c r="L17" s="80">
        <f>+L18</f>
        <v>203725530</v>
      </c>
      <c r="M17" s="80">
        <f>+M18</f>
        <v>8686360</v>
      </c>
      <c r="N17" s="74">
        <v>1</v>
      </c>
      <c r="O17" s="199">
        <f>IF(ISERROR(VLOOKUP(N17,POA!$A$2:$C$16,3,0)),"",VLOOKUP(N17,POA!$A$2:$C$16,3,0))</f>
        <v>5</v>
      </c>
      <c r="P17" s="95"/>
      <c r="Q17" s="74">
        <f>+SUM(Q18:Q21)</f>
        <v>0</v>
      </c>
      <c r="R17" s="75">
        <f>IF(ISERROR(VLOOKUP(N17,POA!$A$2:$C$16,2,0)),"",VLOOKUP(N17,POA!$A$2:$C$16,2,0))</f>
        <v>765000000</v>
      </c>
      <c r="S17" s="80">
        <f>+R17*10%</f>
        <v>76500000</v>
      </c>
      <c r="T17" s="80">
        <f>+E17-G17</f>
        <v>1614713241</v>
      </c>
      <c r="U17" s="224" t="str">
        <f>IF(OR(T17=0,N17="",R17=""),"",IF(T17&gt;=S17,"CUMPLE","NO HABIL"))</f>
        <v>CUMPLE</v>
      </c>
      <c r="V17" s="80">
        <f>IF(ISERROR(SUM(E17/G17)),0,SUM(E17/G17))</f>
        <v>10.013483221896104</v>
      </c>
      <c r="W17" s="224" t="str">
        <f>IF(OR(V17=0,N17="",R17=""),"",IF(V17&gt;=$W$9,"CUMPLE","NO CUMPLE"))</f>
        <v>CUMPLE</v>
      </c>
      <c r="X17" s="203">
        <f>IF(ISERROR(SUM(H17/F17)),0,SUM(H17/F17))</f>
        <v>0.11817339205794197</v>
      </c>
      <c r="Y17" s="224" t="str">
        <f>IF(OR(X17=0,N17="",R17=""),"",IF(X17&lt;=$Y$9,"CUMPLE","NO CUMPLE"))</f>
        <v>CUMPLE</v>
      </c>
      <c r="Z17" s="74">
        <f>+SUM(Z18:Z21)</f>
        <v>0</v>
      </c>
      <c r="AA17" s="203">
        <f>IF(ISERROR(SUM(L17/M17)),0,SUM(L17/M17))</f>
        <v>23.45349835834573</v>
      </c>
      <c r="AB17" s="224" t="s">
        <v>237</v>
      </c>
      <c r="AC17" s="224" t="str">
        <f>IF(OR(U17="",W17="",Y17="",AB17=""),"NO HABIL",IF(U17="NO HABIL","NO HABIL",IF(W17="NO HABIL","NO HABIL",IF(Y17="NO HABIL","NO HABIL",IF(AB17="NO HABIL","NO HABIL",IF(AB17="NO HABIL","NO HABIL","CUMPLE"))))))</f>
        <v>CUMPLE</v>
      </c>
      <c r="AD17" s="111">
        <f t="shared" ref="AD17" si="4">IF(ISERROR(F17/$AE$9),"",F17/$AE$9)</f>
        <v>5228.7566984295045</v>
      </c>
      <c r="AE17" s="102" t="str">
        <f t="shared" ref="AE17" si="5">+IF(AD17&lt;$AE$10,"MIPYME","NO CUMPLE")</f>
        <v>MIPYME</v>
      </c>
      <c r="AF17" s="203">
        <f>IF(ISERROR(SUM(L17/K17)),0,SUM(L17/K17))</f>
        <v>7.7966961749229471E-2</v>
      </c>
      <c r="AG17" s="81" t="str">
        <f>IF(OR(AF17=0,N17="",R17=""),"",IF(AF17&gt;=$AG$9,"HABIL","NO HABIL"))</f>
        <v>HABIL</v>
      </c>
      <c r="AH17" s="203">
        <f>L17/K17</f>
        <v>7.7966961749229471E-2</v>
      </c>
      <c r="AI17" s="224" t="str">
        <f>IF(OR(AH17=0,O17="",S17=""),"",IF(AH17&gt;=$AI$9,"CUMPLE","NO HABIL"))</f>
        <v>CUMPLE</v>
      </c>
      <c r="AJ17" s="203">
        <f>IF(ISERROR(SUM(L17/F17)),0,SUM(L17/F17))</f>
        <v>6.8753341410871208E-2</v>
      </c>
      <c r="AK17" s="224" t="str">
        <f>IF(OR(AJ17=0,N17="",R17=""),"",IF(AJ17&gt;=$AK$9,"CUMPLE","NO CUMPLE"))</f>
        <v>CUMPLE</v>
      </c>
      <c r="AL17" s="224" t="str">
        <f>IF(OR(AI17="",AK17=""),"",IF(AI17="NO CUMPLE","NO CUMPLE",IF(AK17="NO CUMPLE","NO CUMPLE",IF(AK17="NO CUMPLE","NO CUMPLE","CUMPLE"))))</f>
        <v>CUMPLE</v>
      </c>
      <c r="AM17" s="262"/>
    </row>
    <row r="18" spans="2:39" ht="16.5" x14ac:dyDescent="0.25">
      <c r="B18" s="71"/>
      <c r="C18" s="252" t="s">
        <v>258</v>
      </c>
      <c r="D18" s="219">
        <v>1</v>
      </c>
      <c r="E18" s="226">
        <v>1793857441</v>
      </c>
      <c r="F18" s="226">
        <v>2963136421</v>
      </c>
      <c r="G18" s="226">
        <v>179144200</v>
      </c>
      <c r="H18" s="226">
        <v>350163882</v>
      </c>
      <c r="I18" s="197">
        <f>IF(ISERROR(E18-G18),"",E18-G18)</f>
        <v>1614713241</v>
      </c>
      <c r="J18" s="70">
        <f>IF(ISERROR(F18-H18),"",F18-H18)</f>
        <v>2612972539</v>
      </c>
      <c r="K18" s="197">
        <f>IF(ISERROR(F18-H18),"",F18-H18)</f>
        <v>2612972539</v>
      </c>
      <c r="L18" s="226">
        <v>203725530</v>
      </c>
      <c r="M18" s="226">
        <v>8686360</v>
      </c>
      <c r="N18" s="159"/>
      <c r="O18" s="200"/>
      <c r="P18" s="72"/>
      <c r="Q18" s="72"/>
      <c r="R18" s="73"/>
      <c r="S18" s="77"/>
      <c r="T18" s="77"/>
      <c r="U18" s="76"/>
      <c r="V18" s="77"/>
      <c r="W18" s="76"/>
      <c r="X18" s="109"/>
      <c r="Y18" s="76"/>
      <c r="Z18" s="72"/>
      <c r="AA18" s="72"/>
      <c r="AB18" s="76"/>
      <c r="AC18" s="76"/>
      <c r="AD18" s="110"/>
      <c r="AE18" s="103"/>
      <c r="AF18" s="117"/>
      <c r="AG18" s="76"/>
      <c r="AH18" s="225"/>
      <c r="AI18" s="225"/>
      <c r="AJ18" s="117"/>
      <c r="AK18" s="76"/>
      <c r="AL18" s="112"/>
      <c r="AM18" s="342" t="s">
        <v>263</v>
      </c>
    </row>
    <row r="19" spans="2:39" ht="16.5" x14ac:dyDescent="0.25">
      <c r="B19" s="71"/>
      <c r="C19" s="228"/>
      <c r="D19" s="219">
        <v>0</v>
      </c>
      <c r="E19" s="226"/>
      <c r="F19" s="226"/>
      <c r="G19" s="226"/>
      <c r="H19" s="226"/>
      <c r="I19" s="197"/>
      <c r="J19" s="197"/>
      <c r="K19" s="197"/>
      <c r="L19" s="226">
        <v>0</v>
      </c>
      <c r="M19" s="226">
        <v>0</v>
      </c>
      <c r="N19" s="159"/>
      <c r="O19" s="200"/>
      <c r="P19" s="235"/>
      <c r="Q19" s="235"/>
      <c r="R19" s="236"/>
      <c r="S19" s="226"/>
      <c r="T19" s="226"/>
      <c r="U19" s="225"/>
      <c r="V19" s="226"/>
      <c r="W19" s="225"/>
      <c r="X19" s="237"/>
      <c r="Y19" s="225"/>
      <c r="Z19" s="235"/>
      <c r="AA19" s="235"/>
      <c r="AB19" s="225"/>
      <c r="AC19" s="225"/>
      <c r="AD19" s="110"/>
      <c r="AE19" s="103"/>
      <c r="AF19" s="238"/>
      <c r="AG19" s="225"/>
      <c r="AH19" s="225"/>
      <c r="AI19" s="225"/>
      <c r="AJ19" s="238"/>
      <c r="AK19" s="225"/>
      <c r="AL19" s="112"/>
      <c r="AM19" s="343"/>
    </row>
    <row r="20" spans="2:39" ht="16.5" x14ac:dyDescent="0.25">
      <c r="B20" s="71"/>
      <c r="C20" s="228"/>
      <c r="D20" s="219">
        <v>0</v>
      </c>
      <c r="E20" s="226"/>
      <c r="F20" s="226"/>
      <c r="G20" s="226"/>
      <c r="H20" s="226"/>
      <c r="I20" s="197"/>
      <c r="J20" s="197"/>
      <c r="K20" s="197"/>
      <c r="L20" s="226">
        <v>0</v>
      </c>
      <c r="M20" s="226">
        <v>0</v>
      </c>
      <c r="N20" s="159"/>
      <c r="O20" s="200"/>
      <c r="P20" s="235"/>
      <c r="Q20" s="235"/>
      <c r="R20" s="236"/>
      <c r="S20" s="226"/>
      <c r="T20" s="226"/>
      <c r="U20" s="225"/>
      <c r="V20" s="226"/>
      <c r="W20" s="225"/>
      <c r="X20" s="237"/>
      <c r="Y20" s="225"/>
      <c r="Z20" s="235"/>
      <c r="AA20" s="235"/>
      <c r="AB20" s="225"/>
      <c r="AC20" s="225"/>
      <c r="AD20" s="110"/>
      <c r="AE20" s="103"/>
      <c r="AF20" s="238"/>
      <c r="AG20" s="225"/>
      <c r="AH20" s="225"/>
      <c r="AI20" s="225"/>
      <c r="AJ20" s="238"/>
      <c r="AK20" s="225"/>
      <c r="AL20" s="112"/>
      <c r="AM20" s="343"/>
    </row>
    <row r="21" spans="2:39" ht="17.25" thickBot="1" x14ac:dyDescent="0.3">
      <c r="B21" s="71"/>
      <c r="C21" s="228"/>
      <c r="D21" s="219">
        <v>0</v>
      </c>
      <c r="E21" s="70"/>
      <c r="F21" s="70"/>
      <c r="G21" s="70"/>
      <c r="H21" s="70"/>
      <c r="I21" s="197"/>
      <c r="J21" s="70"/>
      <c r="K21" s="197"/>
      <c r="L21" s="226">
        <v>0</v>
      </c>
      <c r="M21" s="226">
        <v>0</v>
      </c>
      <c r="N21" s="158"/>
      <c r="O21" s="158"/>
      <c r="P21" s="72"/>
      <c r="Q21" s="72"/>
      <c r="R21" s="73"/>
      <c r="S21" s="77"/>
      <c r="T21" s="77"/>
      <c r="U21" s="76"/>
      <c r="V21" s="77"/>
      <c r="W21" s="76"/>
      <c r="X21" s="109"/>
      <c r="Y21" s="76"/>
      <c r="Z21" s="72"/>
      <c r="AA21" s="72"/>
      <c r="AB21" s="76"/>
      <c r="AC21" s="76"/>
      <c r="AD21" s="110"/>
      <c r="AE21" s="103"/>
      <c r="AF21" s="117"/>
      <c r="AG21" s="76"/>
      <c r="AH21" s="225"/>
      <c r="AI21" s="225"/>
      <c r="AJ21" s="117"/>
      <c r="AK21" s="76"/>
      <c r="AL21" s="113"/>
      <c r="AM21" s="344"/>
    </row>
    <row r="22" spans="2:39" ht="17.25" thickBot="1" x14ac:dyDescent="0.3">
      <c r="B22" s="78">
        <v>3</v>
      </c>
      <c r="C22" s="79" t="str">
        <f>+C23</f>
        <v>CONSORCIO LANDA</v>
      </c>
      <c r="D22" s="94">
        <f>IF(SUM(D23:D24)=0,"",SUM(D23:D24))</f>
        <v>1</v>
      </c>
      <c r="E22" s="80">
        <f t="shared" ref="E22:M23" si="6">+E23</f>
        <v>568303966</v>
      </c>
      <c r="F22" s="80">
        <f t="shared" si="6"/>
        <v>691281031</v>
      </c>
      <c r="G22" s="80">
        <f t="shared" si="6"/>
        <v>25369642</v>
      </c>
      <c r="H22" s="80">
        <f t="shared" si="6"/>
        <v>50769642</v>
      </c>
      <c r="I22" s="80">
        <f>IF(ISERROR(E22-G22),"",E22-G22)</f>
        <v>542934324</v>
      </c>
      <c r="J22" s="80">
        <f t="shared" ref="J22:J23" si="7">IF(ISERROR(F22-H22),"",F22-H22)</f>
        <v>640511389</v>
      </c>
      <c r="K22" s="80">
        <f>IF(ISERROR(F22-H22),"",F22-H22)</f>
        <v>640511389</v>
      </c>
      <c r="L22" s="80">
        <f>+L23</f>
        <v>120628704</v>
      </c>
      <c r="M22" s="80">
        <f>+M23</f>
        <v>3639648</v>
      </c>
      <c r="N22" s="74">
        <v>1</v>
      </c>
      <c r="O22" s="199">
        <f>IF(ISERROR(VLOOKUP(N22,POA!$A$2:$C$16,3,0)),"",VLOOKUP(N22,POA!$A$2:$C$16,3,0))</f>
        <v>5</v>
      </c>
      <c r="P22" s="95"/>
      <c r="Q22" s="74">
        <f>+SUM(Q23:Q24)</f>
        <v>0</v>
      </c>
      <c r="R22" s="75">
        <f>IF(ISERROR(VLOOKUP(N22,POA!$A$2:$C$16,2,0)),"",VLOOKUP(N22,POA!$A$2:$C$16,2,0))</f>
        <v>765000000</v>
      </c>
      <c r="S22" s="80">
        <f>+R22*10%</f>
        <v>76500000</v>
      </c>
      <c r="T22" s="80">
        <f>+E22-G22</f>
        <v>542934324</v>
      </c>
      <c r="U22" s="224" t="str">
        <f>IF(OR(T22=0,N22="",R22=""),"",IF(T22&gt;=S22,"CUMPLE","NO HABIL"))</f>
        <v>CUMPLE</v>
      </c>
      <c r="V22" s="80">
        <f>IF(ISERROR(SUM(E22/G22)),0,SUM(E22/G22))</f>
        <v>22.400945429186585</v>
      </c>
      <c r="W22" s="224" t="str">
        <f>IF(OR(V22=0,N22="",R22=""),"",IF(V22&gt;=$W$9,"CUMPLE","NO CUMPLE"))</f>
        <v>CUMPLE</v>
      </c>
      <c r="X22" s="203">
        <f>IF(ISERROR(SUM(H22/F22)),0,SUM(H22/F22))</f>
        <v>7.3442839776114155E-2</v>
      </c>
      <c r="Y22" s="224" t="str">
        <f>IF(OR(X22=0,N22="",R22=""),"",IF(X22&lt;=$Y$9,"CUMPLE","NO CUMPLE"))</f>
        <v>CUMPLE</v>
      </c>
      <c r="Z22" s="74">
        <f>+SUM(Z23:Z24)</f>
        <v>0</v>
      </c>
      <c r="AA22" s="203">
        <f>IF(ISERROR(SUM(L22/M22)),0,SUM(L22/M22))</f>
        <v>33.142958879539997</v>
      </c>
      <c r="AB22" s="224" t="s">
        <v>237</v>
      </c>
      <c r="AC22" s="224" t="str">
        <f>IF(OR(U22="",W22="",Y22="",AB22=""),"NO HABIL",IF(U22="NO HABIL","NO HABIL",IF(W22="NO HABIL","NO HABIL",IF(Y22="NO HABIL","NO HABIL",IF(AB22="NO HABIL","NO HABIL",IF(AB22="NO HABIL","NO HABIL","CUMPLE"))))))</f>
        <v>CUMPLE</v>
      </c>
      <c r="AD22" s="111"/>
      <c r="AE22" s="102"/>
      <c r="AF22" s="203">
        <f>IF(ISERROR(SUM(L22/K22)),0,SUM(L22/K22))</f>
        <v>0.1883318643066314</v>
      </c>
      <c r="AG22" s="81" t="str">
        <f>IF(OR(AF22=0,N22="",R22=""),"",IF(AF22&gt;=$AG$9,"HABIL","NO HABIL"))</f>
        <v>HABIL</v>
      </c>
      <c r="AH22" s="203">
        <f>L22/K22</f>
        <v>0.1883318643066314</v>
      </c>
      <c r="AI22" s="224" t="str">
        <f>IF(OR(AH22=0,O22="",S22=""),"",IF(AH22&gt;=$AI$9,"CUMPLE","NO HABIL"))</f>
        <v>CUMPLE</v>
      </c>
      <c r="AJ22" s="203">
        <f>IF(ISERROR(SUM(L22/F22)),0,SUM(L22/F22))</f>
        <v>0.1745002373716226</v>
      </c>
      <c r="AK22" s="224" t="str">
        <f>IF(OR(AJ22=0,N22="",R22=""),"",IF(AJ22&gt;=$AK$9,"CUMPLE","NO CUMPLE"))</f>
        <v>CUMPLE</v>
      </c>
      <c r="AL22" s="224" t="str">
        <f>IF(OR(AI22="",AK22=""),"",IF(AI22="NO CUMPLE","NO CUMPLE",IF(AK22="NO CUMPLE","NO CUMPLE",IF(AK22="NO CUMPLE","NO CUMPLE","CUMPLE"))))</f>
        <v>CUMPLE</v>
      </c>
      <c r="AM22" s="262"/>
    </row>
    <row r="23" spans="2:39" ht="16.5" x14ac:dyDescent="0.25">
      <c r="B23" s="78"/>
      <c r="C23" s="79" t="str">
        <f>+C24</f>
        <v>CONSORCIO LANDA</v>
      </c>
      <c r="D23" s="94">
        <v>0</v>
      </c>
      <c r="E23" s="80">
        <f t="shared" si="6"/>
        <v>568303966</v>
      </c>
      <c r="F23" s="80">
        <f t="shared" si="6"/>
        <v>691281031</v>
      </c>
      <c r="G23" s="80">
        <f t="shared" si="6"/>
        <v>25369642</v>
      </c>
      <c r="H23" s="80">
        <f t="shared" si="6"/>
        <v>50769642</v>
      </c>
      <c r="I23" s="80">
        <f>IF(ISERROR(E23-G23),"",E23-G23)</f>
        <v>542934324</v>
      </c>
      <c r="J23" s="80">
        <f t="shared" si="7"/>
        <v>640511389</v>
      </c>
      <c r="K23" s="80">
        <f>IF(ISERROR(F23-H23),"",F23-H23)</f>
        <v>640511389</v>
      </c>
      <c r="L23" s="80">
        <f t="shared" si="6"/>
        <v>120628704</v>
      </c>
      <c r="M23" s="80">
        <f t="shared" si="6"/>
        <v>3639648</v>
      </c>
      <c r="N23" s="74">
        <v>1</v>
      </c>
      <c r="O23" s="199">
        <f>IF(ISERROR(VLOOKUP(N23,POA!$A$2:$C$16,3,0)),"",VLOOKUP(N23,POA!$A$2:$C$16,3,0))</f>
        <v>5</v>
      </c>
      <c r="P23" s="95"/>
      <c r="Q23" s="74">
        <f>+SUM(Q24:Q27)</f>
        <v>0</v>
      </c>
      <c r="R23" s="75">
        <f>IF(ISERROR(VLOOKUP(N23,POA!$A$2:$C$16,2,0)),"",VLOOKUP(N23,POA!$A$2:$C$16,2,0))</f>
        <v>765000000</v>
      </c>
      <c r="S23" s="80">
        <f>+R23*10%</f>
        <v>76500000</v>
      </c>
      <c r="T23" s="80">
        <f>+E23-G23</f>
        <v>542934324</v>
      </c>
      <c r="U23" s="224" t="str">
        <f>IF(OR(T23=0,N23="",R23=""),"",IF(T23&gt;=S23,"CUMPLE","NO HABIL"))</f>
        <v>CUMPLE</v>
      </c>
      <c r="V23" s="80">
        <f>IF(ISERROR(SUM(E23/G23)),0,SUM(E23/G23))</f>
        <v>22.400945429186585</v>
      </c>
      <c r="W23" s="224" t="str">
        <f>IF(OR(V23=0,N23="",R23=""),"",IF(V23&gt;=$W$9,"CUMPLE","NO CUMPLE"))</f>
        <v>CUMPLE</v>
      </c>
      <c r="X23" s="203">
        <f>IF(ISERROR(SUM(H23/F23)),0,SUM(H23/F23))</f>
        <v>7.3442839776114155E-2</v>
      </c>
      <c r="Y23" s="224" t="str">
        <f>IF(OR(X23=0,N23="",R23=""),"",IF(X23&lt;=$Y$9,"CUMPLE","NO CUMPLE"))</f>
        <v>CUMPLE</v>
      </c>
      <c r="Z23" s="74">
        <f>+SUM(Z24:Z27)</f>
        <v>0</v>
      </c>
      <c r="AA23" s="203">
        <f>IF(ISERROR(SUM(L23/M23)),0,SUM(L23/M23))</f>
        <v>33.142958879539997</v>
      </c>
      <c r="AB23" s="224" t="s">
        <v>237</v>
      </c>
      <c r="AC23" s="224" t="str">
        <f>IF(OR(U23="",W23="",Y23="",AB23=""),"NO HABIL",IF(U23="NO HABIL","NO HABIL",IF(W23="NO HABIL","NO HABIL",IF(Y23="NO HABIL","NO HABIL",IF(AB23="NO HABIL","NO HABIL",IF(AB23="NO HABIL","NO HABIL","CUMPLE"))))))</f>
        <v>CUMPLE</v>
      </c>
      <c r="AD23" s="111"/>
      <c r="AE23" s="102"/>
      <c r="AF23" s="203">
        <f>IF(ISERROR(SUM(L23/K23)),0,SUM(L23/K23))</f>
        <v>0.1883318643066314</v>
      </c>
      <c r="AG23" s="81" t="str">
        <f>IF(OR(AF23=0,N23="",R23=""),"",IF(AF23&gt;=$AG$9,"HABIL","NO HABIL"))</f>
        <v>HABIL</v>
      </c>
      <c r="AH23" s="203">
        <f>L23/K23</f>
        <v>0.1883318643066314</v>
      </c>
      <c r="AI23" s="224" t="str">
        <f>IF(OR(AH23=0,O23="",S23=""),"",IF(AH23&gt;=$AI$9,"CUMPLE","NO HABIL"))</f>
        <v>CUMPLE</v>
      </c>
      <c r="AJ23" s="203">
        <f>IF(ISERROR(SUM(L23/F23)),0,SUM(L23/F23))</f>
        <v>0.1745002373716226</v>
      </c>
      <c r="AK23" s="224" t="str">
        <f>IF(OR(AJ23=0,N23="",R23=""),"",IF(AJ23&gt;=$AK$9,"CUMPLE","NO CUMPLE"))</f>
        <v>CUMPLE</v>
      </c>
      <c r="AL23" s="254"/>
      <c r="AM23" s="267"/>
    </row>
    <row r="24" spans="2:39" ht="16.5" x14ac:dyDescent="0.25">
      <c r="B24" s="71"/>
      <c r="C24" s="252" t="s">
        <v>261</v>
      </c>
      <c r="D24" s="219">
        <f>+D25+D26</f>
        <v>1</v>
      </c>
      <c r="E24" s="226">
        <f>+E25+E26</f>
        <v>568303966</v>
      </c>
      <c r="F24" s="226">
        <f>+F25+F26</f>
        <v>691281031</v>
      </c>
      <c r="G24" s="226">
        <f>+G25+G26</f>
        <v>25369642</v>
      </c>
      <c r="H24" s="226">
        <f>+H25+H26</f>
        <v>50769642</v>
      </c>
      <c r="I24" s="220"/>
      <c r="J24" s="227"/>
      <c r="K24" s="220"/>
      <c r="L24" s="220">
        <f>+L25+L26</f>
        <v>120628704</v>
      </c>
      <c r="M24" s="220">
        <f>+M25+M26</f>
        <v>3639648</v>
      </c>
      <c r="N24" s="159"/>
      <c r="O24" s="200"/>
      <c r="P24" s="72"/>
      <c r="Q24" s="72"/>
      <c r="R24" s="73"/>
      <c r="S24" s="77"/>
      <c r="T24" s="77"/>
      <c r="U24" s="76"/>
      <c r="V24" s="77"/>
      <c r="W24" s="76"/>
      <c r="X24" s="109"/>
      <c r="Y24" s="76"/>
      <c r="Z24" s="72"/>
      <c r="AA24" s="72"/>
      <c r="AB24" s="76"/>
      <c r="AC24" s="76"/>
      <c r="AD24" s="110"/>
      <c r="AE24" s="103"/>
      <c r="AF24" s="117"/>
      <c r="AG24" s="76"/>
      <c r="AH24" s="225"/>
      <c r="AI24" s="225"/>
      <c r="AJ24" s="117"/>
      <c r="AK24" s="76"/>
      <c r="AL24" s="255"/>
      <c r="AM24" s="267"/>
    </row>
    <row r="25" spans="2:39" ht="36" x14ac:dyDescent="0.25">
      <c r="B25" s="71"/>
      <c r="C25" s="222" t="s">
        <v>259</v>
      </c>
      <c r="D25" s="219">
        <v>0.5</v>
      </c>
      <c r="E25" s="226">
        <v>310292473</v>
      </c>
      <c r="F25" s="226">
        <v>426662076</v>
      </c>
      <c r="G25" s="226">
        <v>14143000</v>
      </c>
      <c r="H25" s="226">
        <v>14143000</v>
      </c>
      <c r="I25" s="220"/>
      <c r="J25" s="227"/>
      <c r="K25" s="220"/>
      <c r="L25" s="220">
        <v>2140101</v>
      </c>
      <c r="M25" s="220">
        <v>856000</v>
      </c>
      <c r="N25" s="159"/>
      <c r="O25" s="200"/>
      <c r="P25" s="235"/>
      <c r="Q25" s="235"/>
      <c r="R25" s="236"/>
      <c r="S25" s="226"/>
      <c r="T25" s="226"/>
      <c r="U25" s="225"/>
      <c r="V25" s="226"/>
      <c r="W25" s="225"/>
      <c r="X25" s="237"/>
      <c r="Y25" s="225"/>
      <c r="Z25" s="235"/>
      <c r="AA25" s="235"/>
      <c r="AB25" s="225"/>
      <c r="AC25" s="225"/>
      <c r="AD25" s="110"/>
      <c r="AE25" s="103"/>
      <c r="AF25" s="238"/>
      <c r="AG25" s="225"/>
      <c r="AH25" s="225"/>
      <c r="AI25" s="225"/>
      <c r="AJ25" s="238"/>
      <c r="AK25" s="225"/>
      <c r="AL25" s="256" t="str">
        <f>IF(OR(AI25="",AK25=""),"",IF(AI25="NO CUMPLE","NO CUMPLE",IF(AK25="NO CUMPLE","NO CUMPLE",IF(AK25="NO CUMPLE","NO CUMPLE","CUMPLE"))))</f>
        <v/>
      </c>
      <c r="AM25" s="267" t="s">
        <v>263</v>
      </c>
    </row>
    <row r="26" spans="2:39" ht="36" x14ac:dyDescent="0.25">
      <c r="B26" s="71"/>
      <c r="C26" s="222" t="s">
        <v>260</v>
      </c>
      <c r="D26" s="219">
        <v>0.5</v>
      </c>
      <c r="E26" s="226">
        <v>258011493</v>
      </c>
      <c r="F26" s="226">
        <v>264618955</v>
      </c>
      <c r="G26" s="226">
        <v>11226642</v>
      </c>
      <c r="H26" s="226">
        <v>36626642</v>
      </c>
      <c r="I26" s="220"/>
      <c r="J26" s="220"/>
      <c r="K26" s="220"/>
      <c r="L26" s="220">
        <v>118488603</v>
      </c>
      <c r="M26" s="220">
        <v>2783648</v>
      </c>
      <c r="N26" s="159"/>
      <c r="O26" s="200"/>
      <c r="P26" s="235"/>
      <c r="Q26" s="235"/>
      <c r="R26" s="236"/>
      <c r="S26" s="226"/>
      <c r="T26" s="226"/>
      <c r="U26" s="225"/>
      <c r="V26" s="226"/>
      <c r="W26" s="225"/>
      <c r="X26" s="237"/>
      <c r="Y26" s="225"/>
      <c r="Z26" s="235"/>
      <c r="AA26" s="235"/>
      <c r="AB26" s="225"/>
      <c r="AC26" s="225"/>
      <c r="AD26" s="110"/>
      <c r="AE26" s="103"/>
      <c r="AF26" s="238"/>
      <c r="AG26" s="225"/>
      <c r="AH26" s="225"/>
      <c r="AI26" s="225"/>
      <c r="AJ26" s="238"/>
      <c r="AK26" s="225"/>
      <c r="AL26" s="254"/>
      <c r="AM26" s="267" t="s">
        <v>264</v>
      </c>
    </row>
    <row r="27" spans="2:39" ht="16.5" x14ac:dyDescent="0.25">
      <c r="B27" s="71"/>
      <c r="C27" s="222"/>
      <c r="D27" s="219"/>
      <c r="E27" s="226"/>
      <c r="F27" s="226"/>
      <c r="G27" s="226"/>
      <c r="H27" s="226"/>
      <c r="I27" s="220">
        <f t="shared" ref="I27" si="8">IF(ISERROR(E27-G27),"",E27-G27)</f>
        <v>0</v>
      </c>
      <c r="J27" s="227">
        <f t="shared" ref="J27:J29" si="9">IF(ISERROR(F27-H27),"",F27-H27)</f>
        <v>0</v>
      </c>
      <c r="K27" s="220">
        <f t="shared" ref="K27" si="10">IF(ISERROR(F27-H27),"",F27-H27)</f>
        <v>0</v>
      </c>
      <c r="L27" s="220">
        <f>IF(ISERROR(VLOOKUP(C27,#REF!,6,0)),0,VLOOKUP(C27,#REF!,6,0))</f>
        <v>0</v>
      </c>
      <c r="M27" s="220">
        <f>IF(ISERROR(VLOOKUP(C27,#REF!,7,0)),0,VLOOKUP(C27,#REF!,7,0))</f>
        <v>0</v>
      </c>
      <c r="N27" s="158"/>
      <c r="O27" s="158"/>
      <c r="P27" s="72"/>
      <c r="Q27" s="72"/>
      <c r="R27" s="73"/>
      <c r="S27" s="77"/>
      <c r="T27" s="77"/>
      <c r="U27" s="76"/>
      <c r="V27" s="77"/>
      <c r="W27" s="76"/>
      <c r="X27" s="109"/>
      <c r="Y27" s="76"/>
      <c r="Z27" s="72"/>
      <c r="AA27" s="72"/>
      <c r="AB27" s="76"/>
      <c r="AC27" s="76"/>
      <c r="AD27" s="110"/>
      <c r="AE27" s="103"/>
      <c r="AF27" s="117"/>
      <c r="AG27" s="76"/>
      <c r="AH27" s="225"/>
      <c r="AI27" s="225"/>
      <c r="AJ27" s="117"/>
      <c r="AK27" s="76"/>
      <c r="AL27" s="255"/>
      <c r="AM27" s="267"/>
    </row>
    <row r="28" spans="2:39" ht="16.5" hidden="1" x14ac:dyDescent="0.25">
      <c r="B28" s="78">
        <v>4</v>
      </c>
      <c r="C28" s="79">
        <f t="shared" ref="C28:I28" si="11">+C29</f>
        <v>0</v>
      </c>
      <c r="D28" s="94">
        <f t="shared" si="11"/>
        <v>0</v>
      </c>
      <c r="E28" s="80">
        <f t="shared" si="11"/>
        <v>0</v>
      </c>
      <c r="F28" s="80">
        <f>+F29</f>
        <v>0</v>
      </c>
      <c r="G28" s="80">
        <f t="shared" si="11"/>
        <v>0</v>
      </c>
      <c r="H28" s="80">
        <f t="shared" si="11"/>
        <v>0</v>
      </c>
      <c r="I28" s="80">
        <f t="shared" si="11"/>
        <v>0</v>
      </c>
      <c r="J28" s="80">
        <f t="shared" si="9"/>
        <v>0</v>
      </c>
      <c r="K28" s="80">
        <f>IF(ISERROR(F28-H28),"",F28-H28)</f>
        <v>0</v>
      </c>
      <c r="L28" s="80">
        <f>+L29</f>
        <v>278458892</v>
      </c>
      <c r="M28" s="80">
        <f>+M29</f>
        <v>59120</v>
      </c>
      <c r="N28" s="74">
        <v>1</v>
      </c>
      <c r="O28" s="199">
        <f>IF(ISERROR(VLOOKUP(N28,POA!$A$2:$C$16,3,0)),"",VLOOKUP(N28,POA!$A$2:$C$16,3,0))</f>
        <v>5</v>
      </c>
      <c r="P28" s="95"/>
      <c r="Q28" s="74">
        <f>+SUM(Q29:Q32)</f>
        <v>0</v>
      </c>
      <c r="R28" s="75">
        <f>IF(ISERROR(VLOOKUP(N28,POA!$A$2:$C$16,2,0)),"",VLOOKUP(N28,POA!$A$2:$C$16,2,0))</f>
        <v>765000000</v>
      </c>
      <c r="S28" s="80">
        <f>+R28*10%</f>
        <v>76500000</v>
      </c>
      <c r="T28" s="80">
        <f>+E28-G28</f>
        <v>0</v>
      </c>
      <c r="U28" s="224" t="str">
        <f>IF(OR(T28=0,N28="",R28=""),"",IF(T28&gt;=S28,"CUMPLE","NO HABIL"))</f>
        <v/>
      </c>
      <c r="V28" s="80">
        <f>IF(ISERROR(SUM(E28/G28)),0,SUM(E28/G28))</f>
        <v>0</v>
      </c>
      <c r="W28" s="224" t="str">
        <f>IF(OR(V28=0,N28="",R28=""),"",IF(V28&gt;=$W$9,"CUMPLE","NO CUMPLE"))</f>
        <v/>
      </c>
      <c r="X28" s="203">
        <f>IF(ISERROR(SUM(H28/F28)),0,SUM(H28/F28))</f>
        <v>0</v>
      </c>
      <c r="Y28" s="224" t="str">
        <f>IF(OR(X28=0,N28="",R28=""),"",IF(X28&lt;=$Y$9,"CUMPLE","NO CUMPLE"))</f>
        <v/>
      </c>
      <c r="Z28" s="74">
        <f>+SUM(Z29:Z32)</f>
        <v>0</v>
      </c>
      <c r="AA28" s="203">
        <f>IF(ISERROR(SUM(L28/M28)),0,SUM(L28/M28))</f>
        <v>4710.0624492557508</v>
      </c>
      <c r="AB28" s="224" t="s">
        <v>237</v>
      </c>
      <c r="AC28" s="224" t="str">
        <f>IF(OR(U28="",W28="",Y28="",AB28=""),"NO HABIL",IF(U28="NO HABIL","NO HABIL",IF(W28="NO HABIL","NO HABIL",IF(Y28="NO HABIL","NO HABIL",IF(AB28="NO HABIL","NO HABIL",IF(AB28="NO HABIL","NO HABIL","CUMPLE"))))))</f>
        <v>NO HABIL</v>
      </c>
      <c r="AD28" s="111">
        <f t="shared" ref="AD28" si="12">IF(ISERROR(F28/$AE$9),"",F28/$AE$9)</f>
        <v>0</v>
      </c>
      <c r="AE28" s="102" t="str">
        <f t="shared" ref="AE28" si="13">+IF(AD28&lt;$AE$10,"MIPYME","NO CUMPLE")</f>
        <v>MIPYME</v>
      </c>
      <c r="AF28" s="203">
        <f>IF(ISERROR(SUM(L28/K28)),0,SUM(L28/K28))</f>
        <v>0</v>
      </c>
      <c r="AG28" s="81" t="str">
        <f>IF(OR(AF28=0,N28="",R28=""),"",IF(AF28&gt;=$AG$9,"HABIL","NO HABIL"))</f>
        <v/>
      </c>
      <c r="AH28" s="203" t="e">
        <f>L28/K28</f>
        <v>#DIV/0!</v>
      </c>
      <c r="AI28" s="224" t="e">
        <f>IF(OR(AH28=0,O28="",S28=""),"",IF(AH28&gt;=$AI$9,"CUMPLE","NO HABIL"))</f>
        <v>#DIV/0!</v>
      </c>
      <c r="AJ28" s="203">
        <f>IF(ISERROR(SUM(L28/F28)),0,SUM(L28/F28))</f>
        <v>0</v>
      </c>
      <c r="AK28" s="224" t="str">
        <f>IF(OR(AJ28=0,N28="",R28=""),"",IF(AJ28&gt;=$AK$9,"CUMPLE","NO CUMPLE"))</f>
        <v/>
      </c>
      <c r="AL28" s="224" t="e">
        <f>IF(OR(AI28="",AK28=""),"",IF(AI28="NO CUMPLE","NO CUMPLE",IF(AK28="NO CUMPLE","NO CUMPLE",IF(AK28="NO CUMPLE","NO CUMPLE","CUMPLE"))))</f>
        <v>#DIV/0!</v>
      </c>
      <c r="AM28" s="262"/>
    </row>
    <row r="29" spans="2:39" ht="16.5" hidden="1" x14ac:dyDescent="0.25">
      <c r="B29" s="71"/>
      <c r="C29" s="252"/>
      <c r="D29" s="219">
        <f>+D30+D31</f>
        <v>0</v>
      </c>
      <c r="E29" s="226">
        <f>+E30+E31</f>
        <v>0</v>
      </c>
      <c r="F29" s="226">
        <f t="shared" ref="F29:H29" si="14">+F30+F31</f>
        <v>0</v>
      </c>
      <c r="G29" s="226">
        <f t="shared" si="14"/>
        <v>0</v>
      </c>
      <c r="H29" s="226">
        <f t="shared" si="14"/>
        <v>0</v>
      </c>
      <c r="I29" s="197">
        <f t="shared" ref="I29:J34" si="15">IF(ISERROR(E29-G29),"",E29-G29)</f>
        <v>0</v>
      </c>
      <c r="J29" s="70">
        <f t="shared" si="9"/>
        <v>0</v>
      </c>
      <c r="K29" s="197">
        <f>IF(ISERROR(F29-H29),"",F29-H29)</f>
        <v>0</v>
      </c>
      <c r="L29" s="226">
        <f>+L30+L31</f>
        <v>278458892</v>
      </c>
      <c r="M29" s="226">
        <f>+M30+M31</f>
        <v>59120</v>
      </c>
      <c r="N29" s="159"/>
      <c r="O29" s="200"/>
      <c r="P29" s="72"/>
      <c r="Q29" s="72"/>
      <c r="R29" s="73"/>
      <c r="S29" s="77"/>
      <c r="T29" s="77"/>
      <c r="U29" s="76"/>
      <c r="V29" s="77"/>
      <c r="W29" s="76"/>
      <c r="X29" s="109"/>
      <c r="Y29" s="76"/>
      <c r="Z29" s="72"/>
      <c r="AA29" s="72"/>
      <c r="AB29" s="76"/>
      <c r="AC29" s="76"/>
      <c r="AD29" s="110"/>
      <c r="AE29" s="103"/>
      <c r="AF29" s="117"/>
      <c r="AG29" s="76"/>
      <c r="AH29" s="225"/>
      <c r="AI29" s="225"/>
      <c r="AJ29" s="117"/>
      <c r="AK29" s="76"/>
      <c r="AL29" s="254"/>
      <c r="AM29" s="267"/>
    </row>
    <row r="30" spans="2:39" ht="16.5" hidden="1" x14ac:dyDescent="0.25">
      <c r="B30" s="71"/>
      <c r="C30" s="228"/>
      <c r="D30" s="219">
        <v>0</v>
      </c>
      <c r="E30" s="226"/>
      <c r="F30" s="226"/>
      <c r="G30" s="226"/>
      <c r="H30" s="226"/>
      <c r="I30" s="197"/>
      <c r="J30" s="197"/>
      <c r="K30" s="197"/>
      <c r="L30" s="226">
        <v>7059014</v>
      </c>
      <c r="M30" s="226">
        <v>59120</v>
      </c>
      <c r="N30" s="159"/>
      <c r="O30" s="200"/>
      <c r="P30" s="235"/>
      <c r="Q30" s="235"/>
      <c r="R30" s="236"/>
      <c r="S30" s="226"/>
      <c r="T30" s="226"/>
      <c r="U30" s="225"/>
      <c r="V30" s="226"/>
      <c r="W30" s="225"/>
      <c r="X30" s="237"/>
      <c r="Y30" s="225"/>
      <c r="Z30" s="235"/>
      <c r="AA30" s="235"/>
      <c r="AB30" s="225"/>
      <c r="AC30" s="225"/>
      <c r="AD30" s="110"/>
      <c r="AE30" s="103"/>
      <c r="AF30" s="238"/>
      <c r="AG30" s="225"/>
      <c r="AH30" s="225"/>
      <c r="AI30" s="225"/>
      <c r="AJ30" s="238"/>
      <c r="AK30" s="225"/>
      <c r="AL30" s="255"/>
      <c r="AM30" s="267"/>
    </row>
    <row r="31" spans="2:39" ht="16.5" hidden="1" x14ac:dyDescent="0.25">
      <c r="B31" s="71"/>
      <c r="C31" s="228"/>
      <c r="D31" s="219">
        <v>0</v>
      </c>
      <c r="E31" s="226"/>
      <c r="F31" s="226"/>
      <c r="G31" s="226"/>
      <c r="H31" s="226"/>
      <c r="I31" s="197"/>
      <c r="J31" s="197"/>
      <c r="K31" s="197"/>
      <c r="L31" s="226">
        <v>271399878</v>
      </c>
      <c r="M31" s="226">
        <v>0</v>
      </c>
      <c r="N31" s="159"/>
      <c r="O31" s="200"/>
      <c r="P31" s="235"/>
      <c r="Q31" s="235"/>
      <c r="R31" s="236"/>
      <c r="S31" s="226"/>
      <c r="T31" s="226"/>
      <c r="U31" s="225"/>
      <c r="V31" s="226"/>
      <c r="W31" s="225"/>
      <c r="X31" s="237"/>
      <c r="Y31" s="225"/>
      <c r="Z31" s="235"/>
      <c r="AA31" s="235"/>
      <c r="AB31" s="225"/>
      <c r="AC31" s="225"/>
      <c r="AD31" s="110"/>
      <c r="AE31" s="103"/>
      <c r="AF31" s="238"/>
      <c r="AG31" s="225"/>
      <c r="AH31" s="225"/>
      <c r="AI31" s="225"/>
      <c r="AJ31" s="238"/>
      <c r="AK31" s="225"/>
      <c r="AL31" s="256" t="str">
        <f>IF(OR(AI31="",AK31=""),"",IF(AI31="NO CUMPLE","NO CUMPLE",IF(AK31="NO CUMPLE","NO CUMPLE",IF(AK31="NO CUMPLE","NO CUMPLE","CUMPLE"))))</f>
        <v/>
      </c>
      <c r="AM31" s="267"/>
    </row>
    <row r="32" spans="2:39" ht="17.25" hidden="1" thickBot="1" x14ac:dyDescent="0.3">
      <c r="B32" s="71"/>
      <c r="C32" s="228"/>
      <c r="D32" s="219"/>
      <c r="E32" s="70">
        <f>IF(ISERROR(VLOOKUP(C32,#REF!,2,0)),0,VLOOKUP(C32,#REF!,2,0))</f>
        <v>0</v>
      </c>
      <c r="F32" s="70">
        <f>IF(ISERROR(VLOOKUP(C32,#REF!,3,0)),0,VLOOKUP(C32,#REF!,3,0))</f>
        <v>0</v>
      </c>
      <c r="G32" s="70">
        <f>IF(ISERROR(VLOOKUP(C32,#REF!,4,0)),0,VLOOKUP(C32,#REF!,4,0))</f>
        <v>0</v>
      </c>
      <c r="H32" s="70">
        <f>IF(ISERROR(VLOOKUP(C32,#REF!,5,0)),0,VLOOKUP(C32,#REF!,5,0))</f>
        <v>0</v>
      </c>
      <c r="I32" s="197">
        <f t="shared" si="15"/>
        <v>0</v>
      </c>
      <c r="J32" s="70">
        <f t="shared" ref="J32" si="16">IF(ISERROR(F32-H32),"",F32-H32)</f>
        <v>0</v>
      </c>
      <c r="K32" s="197">
        <f t="shared" ref="K32" si="17">IF(ISERROR(F32-H32),"",F32-H32)</f>
        <v>0</v>
      </c>
      <c r="L32" s="226"/>
      <c r="M32" s="226"/>
      <c r="N32" s="158"/>
      <c r="O32" s="158"/>
      <c r="P32" s="72"/>
      <c r="Q32" s="72"/>
      <c r="R32" s="73"/>
      <c r="S32" s="77"/>
      <c r="T32" s="77"/>
      <c r="U32" s="76"/>
      <c r="V32" s="77"/>
      <c r="W32" s="76"/>
      <c r="X32" s="109"/>
      <c r="Y32" s="76"/>
      <c r="Z32" s="72"/>
      <c r="AA32" s="72"/>
      <c r="AB32" s="76"/>
      <c r="AC32" s="76"/>
      <c r="AD32" s="110"/>
      <c r="AE32" s="103"/>
      <c r="AF32" s="117"/>
      <c r="AG32" s="76"/>
      <c r="AH32" s="225"/>
      <c r="AI32" s="225"/>
      <c r="AJ32" s="117"/>
      <c r="AK32" s="76"/>
      <c r="AL32" s="254"/>
      <c r="AM32" s="267"/>
    </row>
    <row r="33" spans="2:39" ht="16.5" hidden="1" x14ac:dyDescent="0.25">
      <c r="B33" s="78">
        <v>5</v>
      </c>
      <c r="C33" s="79">
        <f>+C34</f>
        <v>0</v>
      </c>
      <c r="D33" s="94" t="str">
        <f>IF(SUM(D34:D35)=0,"",SUM(D34:D35))</f>
        <v/>
      </c>
      <c r="E33" s="80">
        <f t="shared" ref="E33:K34" si="18">+E34</f>
        <v>0</v>
      </c>
      <c r="F33" s="80">
        <f t="shared" si="18"/>
        <v>0</v>
      </c>
      <c r="G33" s="80">
        <f t="shared" si="18"/>
        <v>0</v>
      </c>
      <c r="H33" s="80">
        <f t="shared" si="18"/>
        <v>0</v>
      </c>
      <c r="I33" s="80">
        <f t="shared" si="18"/>
        <v>0</v>
      </c>
      <c r="J33" s="80">
        <f>IF(ISERROR(SUM(J34:J35)),"",SUM(J34:J35))</f>
        <v>0</v>
      </c>
      <c r="K33" s="80">
        <f>IF(ISERROR(F33-H33),"",F33-H33)</f>
        <v>0</v>
      </c>
      <c r="L33" s="80">
        <f>+L34</f>
        <v>2415960000</v>
      </c>
      <c r="M33" s="80">
        <f>+M34</f>
        <v>7890000</v>
      </c>
      <c r="N33" s="74">
        <v>1</v>
      </c>
      <c r="O33" s="199">
        <f>IF(ISERROR(VLOOKUP(N33,POA!$A$2:$C$16,3,0)),"",VLOOKUP(N33,POA!$A$2:$C$16,3,0))</f>
        <v>5</v>
      </c>
      <c r="P33" s="95"/>
      <c r="Q33" s="74">
        <f>+SUM(Q34:Q35)</f>
        <v>0</v>
      </c>
      <c r="R33" s="75">
        <f>IF(ISERROR(VLOOKUP(N33,POA!$A$2:$C$16,2,0)),"",VLOOKUP(N33,POA!$A$2:$C$16,2,0))</f>
        <v>765000000</v>
      </c>
      <c r="S33" s="80">
        <f>+R33*10%</f>
        <v>76500000</v>
      </c>
      <c r="T33" s="80">
        <f>+E33-G33</f>
        <v>0</v>
      </c>
      <c r="U33" s="224" t="str">
        <f>IF(OR(T33=0,N33="",R33=""),"",IF(T33&gt;=S33,"CUMPLE","NO HABIL"))</f>
        <v/>
      </c>
      <c r="V33" s="80">
        <f>IF(ISERROR(SUM(E33/G33)),0,SUM(E33/G33))</f>
        <v>0</v>
      </c>
      <c r="W33" s="224" t="str">
        <f>IF(OR(V33=0,N33="",R33=""),"",IF(V33&gt;=$W$9,"CUMPLE","NO CUMPLE"))</f>
        <v/>
      </c>
      <c r="X33" s="203">
        <f>IF(ISERROR(SUM(H33/F33)),0,SUM(H33/F33))</f>
        <v>0</v>
      </c>
      <c r="Y33" s="224" t="str">
        <f>IF(OR(X33=0,N33="",R33=""),"",IF(X33&lt;=$Y$9,"CUMPLE","NO CUMPLE"))</f>
        <v/>
      </c>
      <c r="Z33" s="74">
        <f>+SUM(Z34:Z35)</f>
        <v>0</v>
      </c>
      <c r="AA33" s="203">
        <f>IF(ISERROR(SUM(L33/M33)),0,SUM(L33/M33))</f>
        <v>306.20532319391634</v>
      </c>
      <c r="AB33" s="224" t="s">
        <v>237</v>
      </c>
      <c r="AC33" s="224" t="str">
        <f>IF(OR(U33="",W33="",Y33="",AB33=""),"NO HABIL",IF(U33="NO HABIL","NO HABIL",IF(W33="NO HABIL","NO HABIL",IF(Y33="NO HABIL","NO HABIL",IF(AB33="NO HABIL","NO HABIL",IF(AB33="NO HABIL","NO HABIL","CUMPLE"))))))</f>
        <v>NO HABIL</v>
      </c>
      <c r="AD33" s="111"/>
      <c r="AE33" s="102"/>
      <c r="AF33" s="203">
        <f>IF(ISERROR(SUM(L33/K33)),0,SUM(L33/K33))</f>
        <v>0</v>
      </c>
      <c r="AG33" s="81" t="str">
        <f>IF(OR(AF33=0,N33="",R33=""),"",IF(AF33&gt;=$AG$9,"HABIL","NO HABIL"))</f>
        <v/>
      </c>
      <c r="AH33" s="203" t="e">
        <f>L33/K33</f>
        <v>#DIV/0!</v>
      </c>
      <c r="AI33" s="224" t="e">
        <f>IF(OR(AH33=0,O33="",S33=""),"",IF(AH33&gt;=$AI$9,"CUMPLE","NO HABIL"))</f>
        <v>#DIV/0!</v>
      </c>
      <c r="AJ33" s="203">
        <f>IF(ISERROR(SUM(L33/F33)),0,SUM(L33/F33))</f>
        <v>0</v>
      </c>
      <c r="AK33" s="224" t="str">
        <f>IF(OR(AJ33=0,N33="",R33=""),"",IF(AJ33&gt;=$AK$9,"CUMPLE","NO CUMPLE"))</f>
        <v/>
      </c>
      <c r="AL33" s="224" t="e">
        <f>IF(OR(AI33="",AK33=""),"",IF(AI33="NO CUMPLE","NO CUMPLE",IF(AK33="NO CUMPLE","NO CUMPLE",IF(AK33="NO CUMPLE","NO CUMPLE","CUMPLE"))))</f>
        <v>#DIV/0!</v>
      </c>
      <c r="AM33" s="262"/>
    </row>
    <row r="34" spans="2:39" ht="36" hidden="1" x14ac:dyDescent="0.25">
      <c r="B34" s="71"/>
      <c r="C34" s="252"/>
      <c r="D34" s="219">
        <v>0</v>
      </c>
      <c r="E34" s="226"/>
      <c r="F34" s="226"/>
      <c r="G34" s="226"/>
      <c r="H34" s="226"/>
      <c r="I34" s="197">
        <f t="shared" si="15"/>
        <v>0</v>
      </c>
      <c r="J34" s="227">
        <f t="shared" si="15"/>
        <v>0</v>
      </c>
      <c r="K34" s="197">
        <f t="shared" si="18"/>
        <v>0</v>
      </c>
      <c r="L34" s="220">
        <v>2415960000</v>
      </c>
      <c r="M34" s="220">
        <v>7890000</v>
      </c>
      <c r="N34" s="159"/>
      <c r="O34" s="200" t="str">
        <f>IF(ISERROR(VLOOKUP(N34,POA!$A$2:$C$16,3,0)),"",VLOOKUP(N34,POA!$A$2:$C$16,3,0))</f>
        <v/>
      </c>
      <c r="P34" s="72"/>
      <c r="Q34" s="72">
        <f>+SUM(Q35:Q38)</f>
        <v>0</v>
      </c>
      <c r="R34" s="73" t="str">
        <f>IF(ISERROR(VLOOKUP(N34,POA!$A$2:$C$16,2,0)),"",VLOOKUP(N34,POA!$A$2:$C$16,2,0))</f>
        <v/>
      </c>
      <c r="S34" s="77"/>
      <c r="T34" s="77"/>
      <c r="U34" s="76" t="str">
        <f>IF(OR(T34=0,N34="",R34=""),"",IF(T34&gt;=S34,"CUMPLE","NO HABIL"))</f>
        <v/>
      </c>
      <c r="V34" s="77"/>
      <c r="W34" s="76" t="str">
        <f>IF(OR(V34=0,N34="",R34=""),"",IF(V34&gt;=$W$9,"CUMPLE","NO CUMPLE"))</f>
        <v/>
      </c>
      <c r="X34" s="109"/>
      <c r="Y34" s="76" t="str">
        <f>IF(OR(X34=0,N34="",R34=""),"",IF(X34&lt;=$Y$9,"CUMPLE","NO CUMPLE"))</f>
        <v/>
      </c>
      <c r="Z34" s="72">
        <f>+SUM(Z35:Z38)</f>
        <v>0</v>
      </c>
      <c r="AA34" s="72"/>
      <c r="AB34" s="76"/>
      <c r="AC34" s="76"/>
      <c r="AD34" s="110"/>
      <c r="AE34" s="103"/>
      <c r="AF34" s="117">
        <f>IF(ISERROR(SUM(L34/K34)),0,SUM(L34/K34))</f>
        <v>0</v>
      </c>
      <c r="AG34" s="76" t="str">
        <f>IF(OR(AF34=0,N34="",R34=""),"",IF(AF34&gt;=$AG$9,"HABIL","NO HABIL"))</f>
        <v/>
      </c>
      <c r="AH34" s="225"/>
      <c r="AI34" s="225" t="str">
        <f>IF(OR(AH34=0,O34="",S34=""),"",IF(AH34&gt;=$AI$9,"CUMPLE","NO HABIL"))</f>
        <v/>
      </c>
      <c r="AJ34" s="117"/>
      <c r="AK34" s="76" t="str">
        <f>IF(OR(AJ34=0,N34="",R34=""),"",IF(AJ34&gt;=$AK$9,"CUMPLE","NO CUMPLE"))</f>
        <v/>
      </c>
      <c r="AL34" s="112" t="str">
        <f>IF(OR(AI34="",AK34=""),"",IF(AI34="NO CUMPLE","NO CUMPLE",IF(AK34="NO CUMPLE","NO CUMPLE",IF(AK34="NO CUMPLE","NO CUMPLE","CUMPLE"))))</f>
        <v/>
      </c>
      <c r="AM34" s="264" t="s">
        <v>254</v>
      </c>
    </row>
    <row r="35" spans="2:39" ht="16.5" hidden="1" x14ac:dyDescent="0.25">
      <c r="B35" s="71"/>
      <c r="C35" s="222"/>
      <c r="D35" s="219"/>
      <c r="E35" s="226"/>
      <c r="F35" s="226"/>
      <c r="G35" s="226"/>
      <c r="H35" s="226"/>
      <c r="I35" s="197"/>
      <c r="J35" s="227"/>
      <c r="K35" s="220"/>
      <c r="L35" s="220"/>
      <c r="M35" s="220"/>
      <c r="N35" s="159"/>
      <c r="O35" s="200"/>
      <c r="P35" s="72"/>
      <c r="Q35" s="72"/>
      <c r="R35" s="73"/>
      <c r="S35" s="77"/>
      <c r="T35" s="77"/>
      <c r="U35" s="76"/>
      <c r="V35" s="77"/>
      <c r="W35" s="76"/>
      <c r="X35" s="109"/>
      <c r="Y35" s="76"/>
      <c r="Z35" s="72"/>
      <c r="AA35" s="72"/>
      <c r="AB35" s="76"/>
      <c r="AC35" s="76"/>
      <c r="AD35" s="110"/>
      <c r="AE35" s="103"/>
      <c r="AF35" s="117"/>
      <c r="AG35" s="76"/>
      <c r="AH35" s="225"/>
      <c r="AI35" s="225"/>
      <c r="AJ35" s="117"/>
      <c r="AK35" s="76"/>
      <c r="AL35" s="112"/>
      <c r="AM35" s="264"/>
    </row>
    <row r="36" spans="2:39" ht="16.5" hidden="1" x14ac:dyDescent="0.25">
      <c r="B36" s="71"/>
      <c r="C36" s="222"/>
      <c r="D36" s="219"/>
      <c r="E36" s="226"/>
      <c r="F36" s="226"/>
      <c r="G36" s="226"/>
      <c r="H36" s="226"/>
      <c r="I36" s="220"/>
      <c r="J36" s="227"/>
      <c r="K36" s="220"/>
      <c r="L36" s="220"/>
      <c r="M36" s="220"/>
      <c r="N36" s="159"/>
      <c r="O36" s="200"/>
      <c r="P36" s="235"/>
      <c r="Q36" s="235"/>
      <c r="R36" s="236"/>
      <c r="S36" s="226"/>
      <c r="T36" s="226"/>
      <c r="U36" s="225"/>
      <c r="V36" s="226"/>
      <c r="W36" s="225"/>
      <c r="X36" s="237"/>
      <c r="Y36" s="225"/>
      <c r="Z36" s="235"/>
      <c r="AA36" s="235"/>
      <c r="AB36" s="225"/>
      <c r="AC36" s="225"/>
      <c r="AD36" s="110"/>
      <c r="AE36" s="103"/>
      <c r="AF36" s="238"/>
      <c r="AG36" s="225"/>
      <c r="AH36" s="225"/>
      <c r="AI36" s="225"/>
      <c r="AJ36" s="238"/>
      <c r="AK36" s="225"/>
      <c r="AL36" s="113"/>
      <c r="AM36" s="265"/>
    </row>
    <row r="37" spans="2:39" ht="16.5" hidden="1" x14ac:dyDescent="0.25">
      <c r="B37" s="71"/>
      <c r="C37" s="222"/>
      <c r="D37" s="219"/>
      <c r="E37" s="226"/>
      <c r="F37" s="226"/>
      <c r="G37" s="226"/>
      <c r="H37" s="226"/>
      <c r="I37" s="220"/>
      <c r="J37" s="220"/>
      <c r="K37" s="220"/>
      <c r="L37" s="220"/>
      <c r="M37" s="220"/>
      <c r="N37" s="159"/>
      <c r="O37" s="200"/>
      <c r="P37" s="235"/>
      <c r="Q37" s="235"/>
      <c r="R37" s="236"/>
      <c r="S37" s="226"/>
      <c r="T37" s="226"/>
      <c r="U37" s="225"/>
      <c r="V37" s="226"/>
      <c r="W37" s="225"/>
      <c r="X37" s="237"/>
      <c r="Y37" s="225"/>
      <c r="Z37" s="235"/>
      <c r="AA37" s="235"/>
      <c r="AB37" s="225"/>
      <c r="AC37" s="225"/>
      <c r="AD37" s="110"/>
      <c r="AE37" s="103"/>
      <c r="AF37" s="238"/>
      <c r="AG37" s="225"/>
      <c r="AH37" s="225"/>
      <c r="AI37" s="225"/>
      <c r="AJ37" s="238"/>
      <c r="AK37" s="225"/>
      <c r="AL37" s="113"/>
      <c r="AM37" s="265"/>
    </row>
    <row r="38" spans="2:39" ht="17.25" hidden="1" thickBot="1" x14ac:dyDescent="0.3">
      <c r="B38" s="71"/>
      <c r="C38" s="222"/>
      <c r="D38" s="219"/>
      <c r="E38" s="226"/>
      <c r="F38" s="226"/>
      <c r="G38" s="226"/>
      <c r="H38" s="226"/>
      <c r="I38" s="220">
        <f t="shared" ref="I38" si="19">IF(ISERROR(E38-G38),"",E38-G38)</f>
        <v>0</v>
      </c>
      <c r="J38" s="227">
        <f t="shared" ref="J38" si="20">IF(ISERROR(F38-H38),"",F38-H38)</f>
        <v>0</v>
      </c>
      <c r="K38" s="220">
        <f t="shared" ref="K38" si="21">IF(ISERROR(F38-H38),"",F38-H38)</f>
        <v>0</v>
      </c>
      <c r="L38" s="220">
        <f>IF(ISERROR(VLOOKUP(C38,#REF!,6,0)),0,VLOOKUP(C38,#REF!,6,0))</f>
        <v>0</v>
      </c>
      <c r="M38" s="220">
        <f>IF(ISERROR(VLOOKUP(C38,#REF!,7,0)),0,VLOOKUP(C38,#REF!,7,0))</f>
        <v>0</v>
      </c>
      <c r="N38" s="158"/>
      <c r="O38" s="158"/>
      <c r="P38" s="72"/>
      <c r="Q38" s="72"/>
      <c r="R38" s="73"/>
      <c r="S38" s="77"/>
      <c r="T38" s="77"/>
      <c r="U38" s="76"/>
      <c r="V38" s="77"/>
      <c r="W38" s="76"/>
      <c r="X38" s="109"/>
      <c r="Y38" s="76"/>
      <c r="Z38" s="72"/>
      <c r="AA38" s="72"/>
      <c r="AB38" s="76"/>
      <c r="AC38" s="76"/>
      <c r="AD38" s="110"/>
      <c r="AE38" s="103"/>
      <c r="AF38" s="117"/>
      <c r="AG38" s="76"/>
      <c r="AH38" s="225"/>
      <c r="AI38" s="225"/>
      <c r="AJ38" s="117"/>
      <c r="AK38" s="76"/>
      <c r="AL38" s="113"/>
      <c r="AM38" s="265"/>
    </row>
    <row r="39" spans="2:39" ht="16.5" hidden="1" x14ac:dyDescent="0.25">
      <c r="B39" s="78">
        <v>6</v>
      </c>
      <c r="C39" s="79">
        <f>+C40</f>
        <v>0</v>
      </c>
      <c r="D39" s="94">
        <f>IF(SUM(D40:D41)=0,"",SUM(D40:D41))</f>
        <v>1</v>
      </c>
      <c r="E39" s="80">
        <f t="shared" ref="E39:K40" si="22">+E40</f>
        <v>0</v>
      </c>
      <c r="F39" s="80">
        <f t="shared" si="22"/>
        <v>0</v>
      </c>
      <c r="G39" s="80">
        <f t="shared" si="22"/>
        <v>0</v>
      </c>
      <c r="H39" s="80">
        <f t="shared" si="22"/>
        <v>0</v>
      </c>
      <c r="I39" s="80">
        <f t="shared" si="22"/>
        <v>0</v>
      </c>
      <c r="J39" s="80">
        <f>IF(ISERROR(SUM(J40:J41)),"",SUM(J40:J41))</f>
        <v>0</v>
      </c>
      <c r="K39" s="80">
        <f>IF(ISERROR(F39-H39),"",F39-H39)</f>
        <v>0</v>
      </c>
      <c r="L39" s="80">
        <f>+L40</f>
        <v>0</v>
      </c>
      <c r="M39" s="80">
        <f>+M40</f>
        <v>0</v>
      </c>
      <c r="N39" s="74">
        <v>1</v>
      </c>
      <c r="O39" s="199">
        <f>IF(ISERROR(VLOOKUP(N39,POA!$A$2:$C$16,3,0)),"",VLOOKUP(N39,POA!$A$2:$C$16,3,0))</f>
        <v>5</v>
      </c>
      <c r="P39" s="95"/>
      <c r="Q39" s="74">
        <f>+SUM(Q40:Q41)</f>
        <v>0</v>
      </c>
      <c r="R39" s="75">
        <f>IF(ISERROR(VLOOKUP(N39,POA!$A$2:$C$16,2,0)),"",VLOOKUP(N39,POA!$A$2:$C$16,2,0))</f>
        <v>765000000</v>
      </c>
      <c r="S39" s="80">
        <f>+R39*10%</f>
        <v>76500000</v>
      </c>
      <c r="T39" s="80">
        <f>+E39-G39</f>
        <v>0</v>
      </c>
      <c r="U39" s="224" t="str">
        <f>IF(OR(T39=0,N39="",R39=""),"",IF(T39&gt;=S39,"CUMPLE","NO HABIL"))</f>
        <v/>
      </c>
      <c r="V39" s="80">
        <f>IF(ISERROR(SUM(E39/G39)),0,SUM(E39/G39))</f>
        <v>0</v>
      </c>
      <c r="W39" s="224" t="str">
        <f>IF(OR(V39=0,N39="",R39=""),"",IF(V39&gt;=$W$9,"CUMPLE","NO CUMPLE"))</f>
        <v/>
      </c>
      <c r="X39" s="203">
        <f>IF(ISERROR(SUM(H39/F39)),0,SUM(H39/F39))</f>
        <v>0</v>
      </c>
      <c r="Y39" s="224" t="str">
        <f>IF(OR(X39=0,N39="",R39=""),"",IF(X39&lt;=$Y$9,"CUMPLE","NO CUMPLE"))</f>
        <v/>
      </c>
      <c r="Z39" s="74">
        <f>+SUM(Z40:Z41)</f>
        <v>0</v>
      </c>
      <c r="AA39" s="203">
        <f>IF(ISERROR(SUM(L39/M39)),0,SUM(L39/M39))</f>
        <v>0</v>
      </c>
      <c r="AB39" s="224" t="s">
        <v>237</v>
      </c>
      <c r="AC39" s="224" t="str">
        <f>IF(OR(U39="",W39="",Y39="",AB39=""),"NO HABIL",IF(U39="NO HABIL","NO HABIL",IF(W39="NO HABIL","NO HABIL",IF(Y39="NO HABIL","NO HABIL",IF(AB39="NO HABIL","NO HABIL",IF(AB39="NO HABIL","NO HABIL","CUMPLE"))))))</f>
        <v>NO HABIL</v>
      </c>
      <c r="AD39" s="111"/>
      <c r="AE39" s="102"/>
      <c r="AF39" s="203">
        <f>IF(ISERROR(SUM(L39/K39)),0,SUM(L39/K39))</f>
        <v>0</v>
      </c>
      <c r="AG39" s="81" t="str">
        <f>IF(OR(AF39=0,N39="",R39=""),"",IF(AF39&gt;=$AG$9,"HABIL","NO HABIL"))</f>
        <v/>
      </c>
      <c r="AH39" s="203" t="e">
        <f>L39/K39</f>
        <v>#DIV/0!</v>
      </c>
      <c r="AI39" s="224" t="e">
        <f>IF(OR(AH39=0,O39="",S39=""),"",IF(AH39&gt;=$AI$9,"CUMPLE","NO HABIL"))</f>
        <v>#DIV/0!</v>
      </c>
      <c r="AJ39" s="203">
        <f>IF(ISERROR(SUM(L39/F39)),0,SUM(L39/F39))</f>
        <v>0</v>
      </c>
      <c r="AK39" s="224" t="str">
        <f>IF(OR(AJ39=0,N39="",R39=""),"",IF(AJ39&gt;=$AK$9,"CUMPLE","NO CUMPLE"))</f>
        <v/>
      </c>
      <c r="AL39" s="224" t="e">
        <f>IF(OR(AI39="",AK39=""),"",IF(AI39="NO CUMPLE","NO CUMPLE",IF(AK39="NO CUMPLE","NO CUMPLE",IF(AK39="NO CUMPLE","NO CUMPLE","CUMPLE"))))</f>
        <v>#DIV/0!</v>
      </c>
      <c r="AM39" s="263"/>
    </row>
    <row r="40" spans="2:39" ht="16.5" hidden="1" x14ac:dyDescent="0.25">
      <c r="B40" s="71"/>
      <c r="C40" s="228"/>
      <c r="D40" s="219">
        <v>1</v>
      </c>
      <c r="E40" s="226"/>
      <c r="F40" s="226"/>
      <c r="G40" s="226"/>
      <c r="H40" s="226"/>
      <c r="I40" s="197"/>
      <c r="J40" s="70"/>
      <c r="K40" s="197">
        <f t="shared" si="22"/>
        <v>0</v>
      </c>
      <c r="L40" s="220"/>
      <c r="M40" s="220"/>
      <c r="N40" s="159"/>
      <c r="O40" s="200" t="str">
        <f>IF(ISERROR(VLOOKUP(N40,POA!$A$2:$C$16,3,0)),"",VLOOKUP(N40,POA!$A$2:$C$16,3,0))</f>
        <v/>
      </c>
      <c r="P40" s="72"/>
      <c r="Q40" s="72">
        <f>+SUM(Q41:Q44)</f>
        <v>0</v>
      </c>
      <c r="R40" s="73" t="str">
        <f>IF(ISERROR(VLOOKUP(N40,POA!$A$2:$C$16,2,0)),"",VLOOKUP(N40,POA!$A$2:$C$16,2,0))</f>
        <v/>
      </c>
      <c r="S40" s="77"/>
      <c r="T40" s="77"/>
      <c r="U40" s="76" t="str">
        <f>IF(OR(T40=0,N40="",R40=""),"",IF(T40&gt;=S40,"CUMPLE","NO HABIL"))</f>
        <v/>
      </c>
      <c r="V40" s="77"/>
      <c r="W40" s="76" t="str">
        <f>IF(OR(V40=0,N40="",R40=""),"",IF(V40&gt;=$W$9,"CUMPLE","NO CUMPLE"))</f>
        <v/>
      </c>
      <c r="X40" s="109"/>
      <c r="Y40" s="76" t="str">
        <f>IF(OR(X40=0,N40="",R40=""),"",IF(X40&lt;=$Y$9,"CUMPLE","NO CUMPLE"))</f>
        <v/>
      </c>
      <c r="Z40" s="72">
        <f>+SUM(Z41:Z44)</f>
        <v>0</v>
      </c>
      <c r="AA40" s="72"/>
      <c r="AB40" s="76"/>
      <c r="AC40" s="76"/>
      <c r="AD40" s="110"/>
      <c r="AE40" s="103"/>
      <c r="AF40" s="117">
        <f>IF(ISERROR(SUM(L40/K40)),0,SUM(L40/K40))</f>
        <v>0</v>
      </c>
      <c r="AG40" s="76" t="str">
        <f>IF(OR(AF40=0,N40="",R40=""),"",IF(AF40&gt;=$AG$9,"HABIL","NO HABIL"))</f>
        <v/>
      </c>
      <c r="AH40" s="225"/>
      <c r="AI40" s="225" t="str">
        <f>IF(OR(AH40=0,O40="",S40=""),"",IF(AH40&gt;=$AI$9,"CUMPLE","NO HABIL"))</f>
        <v/>
      </c>
      <c r="AJ40" s="117"/>
      <c r="AK40" s="76" t="str">
        <f>IF(OR(AJ40=0,N40="",R40=""),"",IF(AJ40&gt;=$AK$9,"CUMPLE","NO CUMPLE"))</f>
        <v/>
      </c>
      <c r="AL40" s="112" t="str">
        <f>IF(OR(AI40="",AK40=""),"",IF(AI40="NO CUMPLE","NO CUMPLE",IF(AK40="NO CUMPLE","NO CUMPLE",IF(AK40="NO CUMPLE","NO CUMPLE","CUMPLE"))))</f>
        <v/>
      </c>
      <c r="AM40" s="264"/>
    </row>
    <row r="41" spans="2:39" ht="16.5" hidden="1" x14ac:dyDescent="0.25">
      <c r="B41" s="71"/>
      <c r="C41" s="222"/>
      <c r="D41" s="219"/>
      <c r="E41" s="226"/>
      <c r="F41" s="226"/>
      <c r="G41" s="226"/>
      <c r="H41" s="226"/>
      <c r="I41" s="197"/>
      <c r="J41" s="227"/>
      <c r="K41" s="220"/>
      <c r="L41" s="220"/>
      <c r="M41" s="220"/>
      <c r="N41" s="159"/>
      <c r="O41" s="200"/>
      <c r="P41" s="72"/>
      <c r="Q41" s="72"/>
      <c r="R41" s="73"/>
      <c r="S41" s="77"/>
      <c r="T41" s="77"/>
      <c r="U41" s="76"/>
      <c r="V41" s="77"/>
      <c r="W41" s="76"/>
      <c r="X41" s="109"/>
      <c r="Y41" s="76"/>
      <c r="Z41" s="72"/>
      <c r="AA41" s="72"/>
      <c r="AB41" s="76"/>
      <c r="AC41" s="76"/>
      <c r="AD41" s="110"/>
      <c r="AE41" s="103"/>
      <c r="AF41" s="117"/>
      <c r="AG41" s="76"/>
      <c r="AH41" s="225"/>
      <c r="AI41" s="225"/>
      <c r="AJ41" s="117"/>
      <c r="AK41" s="76"/>
      <c r="AL41" s="112"/>
      <c r="AM41" s="264"/>
    </row>
    <row r="42" spans="2:39" ht="16.5" hidden="1" x14ac:dyDescent="0.25">
      <c r="B42" s="71"/>
      <c r="C42" s="222"/>
      <c r="D42" s="219"/>
      <c r="E42" s="226"/>
      <c r="F42" s="226"/>
      <c r="G42" s="226"/>
      <c r="H42" s="226"/>
      <c r="I42" s="220"/>
      <c r="J42" s="227"/>
      <c r="K42" s="220"/>
      <c r="L42" s="220"/>
      <c r="M42" s="220"/>
      <c r="N42" s="159"/>
      <c r="O42" s="200"/>
      <c r="P42" s="235"/>
      <c r="Q42" s="235"/>
      <c r="R42" s="236"/>
      <c r="S42" s="226"/>
      <c r="T42" s="226"/>
      <c r="U42" s="225"/>
      <c r="V42" s="226"/>
      <c r="W42" s="225"/>
      <c r="X42" s="237"/>
      <c r="Y42" s="225"/>
      <c r="Z42" s="235"/>
      <c r="AA42" s="235"/>
      <c r="AB42" s="225"/>
      <c r="AC42" s="225"/>
      <c r="AD42" s="110"/>
      <c r="AE42" s="103"/>
      <c r="AF42" s="238"/>
      <c r="AG42" s="225"/>
      <c r="AH42" s="225"/>
      <c r="AI42" s="225"/>
      <c r="AJ42" s="238"/>
      <c r="AK42" s="225"/>
      <c r="AL42" s="113"/>
      <c r="AM42" s="265"/>
    </row>
    <row r="43" spans="2:39" ht="16.5" hidden="1" x14ac:dyDescent="0.25">
      <c r="B43" s="71"/>
      <c r="C43" s="222"/>
      <c r="D43" s="219"/>
      <c r="E43" s="226"/>
      <c r="F43" s="226"/>
      <c r="G43" s="226"/>
      <c r="H43" s="226"/>
      <c r="I43" s="220"/>
      <c r="J43" s="220"/>
      <c r="K43" s="220"/>
      <c r="L43" s="220"/>
      <c r="M43" s="220"/>
      <c r="N43" s="159"/>
      <c r="O43" s="200"/>
      <c r="P43" s="235"/>
      <c r="Q43" s="235"/>
      <c r="R43" s="236"/>
      <c r="S43" s="226"/>
      <c r="T43" s="226"/>
      <c r="U43" s="225"/>
      <c r="V43" s="226"/>
      <c r="W43" s="225"/>
      <c r="X43" s="237"/>
      <c r="Y43" s="225"/>
      <c r="Z43" s="235"/>
      <c r="AA43" s="235"/>
      <c r="AB43" s="225"/>
      <c r="AC43" s="225"/>
      <c r="AD43" s="110"/>
      <c r="AE43" s="103"/>
      <c r="AF43" s="238"/>
      <c r="AG43" s="225"/>
      <c r="AH43" s="225"/>
      <c r="AI43" s="225"/>
      <c r="AJ43" s="238"/>
      <c r="AK43" s="225"/>
      <c r="AL43" s="113"/>
      <c r="AM43" s="265"/>
    </row>
    <row r="44" spans="2:39" ht="17.25" hidden="1" thickBot="1" x14ac:dyDescent="0.3">
      <c r="B44" s="71"/>
      <c r="C44" s="222"/>
      <c r="D44" s="219"/>
      <c r="E44" s="226"/>
      <c r="F44" s="226"/>
      <c r="G44" s="226"/>
      <c r="H44" s="226"/>
      <c r="I44" s="220">
        <f t="shared" ref="I44" si="23">IF(ISERROR(E44-G44),"",E44-G44)</f>
        <v>0</v>
      </c>
      <c r="J44" s="227">
        <f t="shared" ref="J44" si="24">IF(ISERROR(F44-H44),"",F44-H44)</f>
        <v>0</v>
      </c>
      <c r="K44" s="220">
        <f t="shared" ref="K44" si="25">IF(ISERROR(F44-H44),"",F44-H44)</f>
        <v>0</v>
      </c>
      <c r="L44" s="220">
        <f>IF(ISERROR(VLOOKUP(C44,#REF!,6,0)),0,VLOOKUP(C44,#REF!,6,0))</f>
        <v>0</v>
      </c>
      <c r="M44" s="220">
        <f>IF(ISERROR(VLOOKUP(C44,#REF!,7,0)),0,VLOOKUP(C44,#REF!,7,0))</f>
        <v>0</v>
      </c>
      <c r="N44" s="158"/>
      <c r="O44" s="158"/>
      <c r="P44" s="72"/>
      <c r="Q44" s="72"/>
      <c r="R44" s="73"/>
      <c r="S44" s="77"/>
      <c r="T44" s="77"/>
      <c r="U44" s="76"/>
      <c r="V44" s="77"/>
      <c r="W44" s="76"/>
      <c r="X44" s="109"/>
      <c r="Y44" s="76"/>
      <c r="Z44" s="72"/>
      <c r="AA44" s="72"/>
      <c r="AB44" s="76"/>
      <c r="AC44" s="76"/>
      <c r="AD44" s="110"/>
      <c r="AE44" s="103"/>
      <c r="AF44" s="117"/>
      <c r="AG44" s="76"/>
      <c r="AH44" s="225"/>
      <c r="AI44" s="225"/>
      <c r="AJ44" s="117"/>
      <c r="AK44" s="76"/>
      <c r="AL44" s="113"/>
      <c r="AM44" s="265"/>
    </row>
    <row r="45" spans="2:39" ht="16.5" hidden="1" x14ac:dyDescent="0.25">
      <c r="B45" s="78">
        <v>7</v>
      </c>
      <c r="C45" s="79">
        <f>+C46</f>
        <v>0</v>
      </c>
      <c r="D45" s="94" t="str">
        <f>IF(SUM(D46:D47)=0,"",SUM(D46:D47))</f>
        <v/>
      </c>
      <c r="E45" s="80">
        <f t="shared" ref="E45:K46" si="26">+E46</f>
        <v>0</v>
      </c>
      <c r="F45" s="80">
        <f t="shared" si="26"/>
        <v>0</v>
      </c>
      <c r="G45" s="80">
        <f t="shared" si="26"/>
        <v>0</v>
      </c>
      <c r="H45" s="80">
        <f t="shared" si="26"/>
        <v>0</v>
      </c>
      <c r="I45" s="80">
        <f t="shared" si="26"/>
        <v>0</v>
      </c>
      <c r="J45" s="80">
        <f>IF(ISERROR(SUM(J46:J47)),"",SUM(J46:J47))</f>
        <v>0</v>
      </c>
      <c r="K45" s="80">
        <f>IF(ISERROR(F45-H45),"",F45-H45)</f>
        <v>0</v>
      </c>
      <c r="L45" s="80">
        <f>+L46</f>
        <v>0</v>
      </c>
      <c r="M45" s="80">
        <f>+M46</f>
        <v>0</v>
      </c>
      <c r="N45" s="74">
        <v>1</v>
      </c>
      <c r="O45" s="199">
        <f>IF(ISERROR(VLOOKUP(N45,POA!$A$2:$C$16,3,0)),"",VLOOKUP(N45,POA!$A$2:$C$16,3,0))</f>
        <v>5</v>
      </c>
      <c r="P45" s="95"/>
      <c r="Q45" s="74">
        <f>+SUM(Q46:Q47)</f>
        <v>0</v>
      </c>
      <c r="R45" s="75">
        <f>IF(ISERROR(VLOOKUP(N45,POA!$A$2:$C$16,2,0)),"",VLOOKUP(N45,POA!$A$2:$C$16,2,0))</f>
        <v>765000000</v>
      </c>
      <c r="S45" s="80">
        <f>+R45*10%</f>
        <v>76500000</v>
      </c>
      <c r="T45" s="80">
        <f>+E45-G45</f>
        <v>0</v>
      </c>
      <c r="U45" s="224" t="str">
        <f>IF(OR(T45=0,N45="",R45=""),"",IF(T45&gt;=S45,"CUMPLE","NO HABIL"))</f>
        <v/>
      </c>
      <c r="V45" s="80">
        <f>IF(ISERROR(SUM(E45/G45)),0,SUM(E45/G45))</f>
        <v>0</v>
      </c>
      <c r="W45" s="224" t="str">
        <f>IF(OR(V45=0,N45="",R45=""),"",IF(V45&gt;=$W$9,"CUMPLE","NO CUMPLE"))</f>
        <v/>
      </c>
      <c r="X45" s="203">
        <f>IF(ISERROR(SUM(H45/F45)),0,SUM(H45/F45))</f>
        <v>0</v>
      </c>
      <c r="Y45" s="224" t="str">
        <f>IF(OR(X45=0,N45="",R45=""),"",IF(X45&lt;=$Y$9,"CUMPLE","NO CUMPLE"))</f>
        <v/>
      </c>
      <c r="Z45" s="74">
        <f>+SUM(Z46:Z47)</f>
        <v>0</v>
      </c>
      <c r="AA45" s="203">
        <f>IF(ISERROR(SUM(L45/M45)),0,SUM(L45/M45))</f>
        <v>0</v>
      </c>
      <c r="AB45" s="224" t="s">
        <v>237</v>
      </c>
      <c r="AC45" s="224" t="str">
        <f>IF(OR(U45="",W45="",Y45="",AB45=""),"NO HABIL",IF(U45="NO HABIL","NO HABIL",IF(W45="NO HABIL","NO HABIL",IF(Y45="NO HABIL","NO HABIL",IF(AB45="NO HABIL","NO HABIL",IF(AB45="NO HABIL","NO HABIL","CUMPLE"))))))</f>
        <v>NO HABIL</v>
      </c>
      <c r="AD45" s="111"/>
      <c r="AE45" s="102"/>
      <c r="AF45" s="203">
        <f>IF(ISERROR(SUM(L45/K45)),0,SUM(L45/K45))</f>
        <v>0</v>
      </c>
      <c r="AG45" s="81" t="str">
        <f>IF(OR(AF45=0,N45="",R45=""),"",IF(AF45&gt;=$AG$9,"HABIL","NO HABIL"))</f>
        <v/>
      </c>
      <c r="AH45" s="203" t="e">
        <f>L45/K45</f>
        <v>#DIV/0!</v>
      </c>
      <c r="AI45" s="224" t="e">
        <f>IF(OR(AH45=0,O45="",S45=""),"",IF(AH45&gt;=$AI$9,"CUMPLE","NO HABIL"))</f>
        <v>#DIV/0!</v>
      </c>
      <c r="AJ45" s="203">
        <f>IF(ISERROR(SUM(L45/F45)),0,SUM(L45/F45))</f>
        <v>0</v>
      </c>
      <c r="AK45" s="224" t="str">
        <f>IF(OR(AJ45=0,N45="",R45=""),"",IF(AJ45&gt;=$AK$9,"CUMPLE","NO CUMPLE"))</f>
        <v/>
      </c>
      <c r="AL45" s="224" t="e">
        <f>IF(OR(AI45="",AK45=""),"",IF(AI45="NO CUMPLE","NO CUMPLE",IF(AK45="NO CUMPLE","NO CUMPLE",IF(AK45="NO CUMPLE","NO CUMPLE","CUMPLE"))))</f>
        <v>#DIV/0!</v>
      </c>
      <c r="AM45" s="263"/>
    </row>
    <row r="46" spans="2:39" ht="16.5" hidden="1" x14ac:dyDescent="0.25">
      <c r="B46" s="71"/>
      <c r="C46" s="228"/>
      <c r="D46" s="219">
        <v>0</v>
      </c>
      <c r="E46" s="226"/>
      <c r="F46" s="226"/>
      <c r="G46" s="226"/>
      <c r="H46" s="226"/>
      <c r="I46" s="197"/>
      <c r="J46" s="70"/>
      <c r="K46" s="197">
        <f t="shared" si="26"/>
        <v>0</v>
      </c>
      <c r="L46" s="220"/>
      <c r="M46" s="220"/>
      <c r="N46" s="159"/>
      <c r="O46" s="200" t="str">
        <f>IF(ISERROR(VLOOKUP(N46,POA!$A$2:$C$16,3,0)),"",VLOOKUP(N46,POA!$A$2:$C$16,3,0))</f>
        <v/>
      </c>
      <c r="P46" s="72"/>
      <c r="Q46" s="72">
        <f>+SUM(Q47:Q50)</f>
        <v>0</v>
      </c>
      <c r="R46" s="73" t="str">
        <f>IF(ISERROR(VLOOKUP(N46,POA!$A$2:$C$16,2,0)),"",VLOOKUP(N46,POA!$A$2:$C$16,2,0))</f>
        <v/>
      </c>
      <c r="S46" s="77"/>
      <c r="T46" s="77"/>
      <c r="U46" s="76" t="str">
        <f>IF(OR(T46=0,N46="",R46=""),"",IF(T46&gt;=S46,"CUMPLE","NO HABIL"))</f>
        <v/>
      </c>
      <c r="V46" s="77"/>
      <c r="W46" s="76" t="str">
        <f>IF(OR(V46=0,N46="",R46=""),"",IF(V46&gt;=$W$9,"CUMPLE","NO CUMPLE"))</f>
        <v/>
      </c>
      <c r="X46" s="109"/>
      <c r="Y46" s="76" t="str">
        <f>IF(OR(X46=0,N46="",R46=""),"",IF(X46&lt;=$Y$9,"CUMPLE","NO CUMPLE"))</f>
        <v/>
      </c>
      <c r="Z46" s="72">
        <f>+SUM(Z47:Z50)</f>
        <v>0</v>
      </c>
      <c r="AA46" s="72"/>
      <c r="AB46" s="76"/>
      <c r="AC46" s="76"/>
      <c r="AD46" s="110"/>
      <c r="AE46" s="103"/>
      <c r="AF46" s="117">
        <f>IF(ISERROR(SUM(L46/K46)),0,SUM(L46/K46))</f>
        <v>0</v>
      </c>
      <c r="AG46" s="76" t="str">
        <f>IF(OR(AF46=0,N46="",R46=""),"",IF(AF46&gt;=$AG$9,"HABIL","NO HABIL"))</f>
        <v/>
      </c>
      <c r="AH46" s="225"/>
      <c r="AI46" s="225" t="str">
        <f>IF(OR(AH46=0,O46="",S46=""),"",IF(AH46&gt;=$AI$9,"CUMPLE","NO HABIL"))</f>
        <v/>
      </c>
      <c r="AJ46" s="117"/>
      <c r="AK46" s="76" t="str">
        <f>IF(OR(AJ46=0,N46="",R46=""),"",IF(AJ46&gt;=$AK$9,"CUMPLE","NO CUMPLE"))</f>
        <v/>
      </c>
      <c r="AL46" s="112" t="str">
        <f>IF(OR(AI46="",AK46=""),"",IF(AI46="NO CUMPLE","NO CUMPLE",IF(AK46="NO CUMPLE","NO CUMPLE",IF(AK46="NO CUMPLE","NO CUMPLE","CUMPLE"))))</f>
        <v/>
      </c>
      <c r="AM46" s="264"/>
    </row>
    <row r="47" spans="2:39" ht="16.5" hidden="1" x14ac:dyDescent="0.25">
      <c r="B47" s="71"/>
      <c r="C47" s="222"/>
      <c r="D47" s="219"/>
      <c r="E47" s="226"/>
      <c r="F47" s="226"/>
      <c r="G47" s="226"/>
      <c r="H47" s="226"/>
      <c r="I47" s="197"/>
      <c r="J47" s="227"/>
      <c r="K47" s="220"/>
      <c r="L47" s="220"/>
      <c r="M47" s="220"/>
      <c r="N47" s="159"/>
      <c r="O47" s="200"/>
      <c r="P47" s="72"/>
      <c r="Q47" s="72"/>
      <c r="R47" s="73"/>
      <c r="S47" s="77"/>
      <c r="T47" s="77"/>
      <c r="U47" s="76"/>
      <c r="V47" s="77"/>
      <c r="W47" s="76"/>
      <c r="X47" s="109"/>
      <c r="Y47" s="76"/>
      <c r="Z47" s="72"/>
      <c r="AA47" s="72"/>
      <c r="AB47" s="76"/>
      <c r="AC47" s="76"/>
      <c r="AD47" s="110"/>
      <c r="AE47" s="103"/>
      <c r="AF47" s="117"/>
      <c r="AG47" s="76"/>
      <c r="AH47" s="225"/>
      <c r="AI47" s="225"/>
      <c r="AJ47" s="117"/>
      <c r="AK47" s="76"/>
      <c r="AL47" s="112"/>
      <c r="AM47" s="264"/>
    </row>
    <row r="48" spans="2:39" ht="16.5" hidden="1" x14ac:dyDescent="0.25">
      <c r="B48" s="71"/>
      <c r="C48" s="222"/>
      <c r="D48" s="219"/>
      <c r="E48" s="226"/>
      <c r="F48" s="226"/>
      <c r="G48" s="226"/>
      <c r="H48" s="226"/>
      <c r="I48" s="220"/>
      <c r="J48" s="227"/>
      <c r="K48" s="220"/>
      <c r="L48" s="220"/>
      <c r="M48" s="220"/>
      <c r="N48" s="159"/>
      <c r="O48" s="200"/>
      <c r="P48" s="235"/>
      <c r="Q48" s="235"/>
      <c r="R48" s="236"/>
      <c r="S48" s="226"/>
      <c r="T48" s="226"/>
      <c r="U48" s="225"/>
      <c r="V48" s="226"/>
      <c r="W48" s="225"/>
      <c r="X48" s="237"/>
      <c r="Y48" s="225"/>
      <c r="Z48" s="235"/>
      <c r="AA48" s="235"/>
      <c r="AB48" s="225"/>
      <c r="AC48" s="225"/>
      <c r="AD48" s="110"/>
      <c r="AE48" s="103"/>
      <c r="AF48" s="238"/>
      <c r="AG48" s="225"/>
      <c r="AH48" s="225"/>
      <c r="AI48" s="225"/>
      <c r="AJ48" s="238"/>
      <c r="AK48" s="225"/>
      <c r="AL48" s="113"/>
      <c r="AM48" s="265"/>
    </row>
    <row r="49" spans="2:39" ht="16.5" hidden="1" x14ac:dyDescent="0.25">
      <c r="B49" s="71"/>
      <c r="C49" s="222"/>
      <c r="D49" s="219"/>
      <c r="E49" s="226"/>
      <c r="F49" s="226"/>
      <c r="G49" s="226"/>
      <c r="H49" s="226"/>
      <c r="I49" s="220"/>
      <c r="J49" s="220"/>
      <c r="K49" s="220"/>
      <c r="L49" s="220"/>
      <c r="M49" s="220"/>
      <c r="N49" s="159"/>
      <c r="O49" s="200"/>
      <c r="P49" s="235"/>
      <c r="Q49" s="235"/>
      <c r="R49" s="236"/>
      <c r="S49" s="226"/>
      <c r="T49" s="226"/>
      <c r="U49" s="225"/>
      <c r="V49" s="226"/>
      <c r="W49" s="225"/>
      <c r="X49" s="237"/>
      <c r="Y49" s="225"/>
      <c r="Z49" s="235"/>
      <c r="AA49" s="235"/>
      <c r="AB49" s="225"/>
      <c r="AC49" s="225"/>
      <c r="AD49" s="110"/>
      <c r="AE49" s="103"/>
      <c r="AF49" s="238"/>
      <c r="AG49" s="225"/>
      <c r="AH49" s="225"/>
      <c r="AI49" s="225"/>
      <c r="AJ49" s="238"/>
      <c r="AK49" s="225"/>
      <c r="AL49" s="113"/>
      <c r="AM49" s="265"/>
    </row>
    <row r="50" spans="2:39" ht="17.25" hidden="1" thickBot="1" x14ac:dyDescent="0.3">
      <c r="B50" s="71"/>
      <c r="C50" s="222"/>
      <c r="D50" s="219"/>
      <c r="E50" s="226"/>
      <c r="F50" s="226"/>
      <c r="G50" s="226"/>
      <c r="H50" s="226"/>
      <c r="I50" s="220">
        <f t="shared" ref="I50" si="27">IF(ISERROR(E50-G50),"",E50-G50)</f>
        <v>0</v>
      </c>
      <c r="J50" s="227">
        <f t="shared" ref="J50" si="28">IF(ISERROR(F50-H50),"",F50-H50)</f>
        <v>0</v>
      </c>
      <c r="K50" s="220">
        <f t="shared" ref="K50" si="29">IF(ISERROR(F50-H50),"",F50-H50)</f>
        <v>0</v>
      </c>
      <c r="L50" s="220">
        <f>IF(ISERROR(VLOOKUP(C50,#REF!,6,0)),0,VLOOKUP(C50,#REF!,6,0))</f>
        <v>0</v>
      </c>
      <c r="M50" s="220">
        <f>IF(ISERROR(VLOOKUP(C50,#REF!,7,0)),0,VLOOKUP(C50,#REF!,7,0))</f>
        <v>0</v>
      </c>
      <c r="N50" s="158"/>
      <c r="O50" s="158"/>
      <c r="P50" s="72"/>
      <c r="Q50" s="72"/>
      <c r="R50" s="73"/>
      <c r="S50" s="77"/>
      <c r="T50" s="77"/>
      <c r="U50" s="76"/>
      <c r="V50" s="77"/>
      <c r="W50" s="76"/>
      <c r="X50" s="109"/>
      <c r="Y50" s="76"/>
      <c r="Z50" s="72"/>
      <c r="AA50" s="72"/>
      <c r="AB50" s="76"/>
      <c r="AC50" s="76"/>
      <c r="AD50" s="110"/>
      <c r="AE50" s="103"/>
      <c r="AF50" s="117"/>
      <c r="AG50" s="76"/>
      <c r="AH50" s="225"/>
      <c r="AI50" s="225"/>
      <c r="AJ50" s="117"/>
      <c r="AK50" s="76"/>
      <c r="AL50" s="113"/>
      <c r="AM50" s="265"/>
    </row>
    <row r="51" spans="2:39" ht="16.5" hidden="1" x14ac:dyDescent="0.25">
      <c r="B51" s="78">
        <v>8</v>
      </c>
      <c r="C51" s="79">
        <f>+C52</f>
        <v>0</v>
      </c>
      <c r="D51" s="94" t="str">
        <f>IF(SUM(D52:D53)=0,"",SUM(D52:D53))</f>
        <v/>
      </c>
      <c r="E51" s="80">
        <f t="shared" ref="E51:H51" si="30">+E52</f>
        <v>0</v>
      </c>
      <c r="F51" s="80">
        <f t="shared" si="30"/>
        <v>0</v>
      </c>
      <c r="G51" s="80">
        <f t="shared" si="30"/>
        <v>0</v>
      </c>
      <c r="H51" s="80">
        <f t="shared" si="30"/>
        <v>0</v>
      </c>
      <c r="I51" s="80">
        <f>+I52</f>
        <v>0</v>
      </c>
      <c r="J51" s="80">
        <f>IF(ISERROR(SUM(J52:J53)),"",SUM(J52:J53))</f>
        <v>0</v>
      </c>
      <c r="K51" s="80">
        <f>IF(ISERROR(F51-H51),"",F51-H51)</f>
        <v>0</v>
      </c>
      <c r="L51" s="80">
        <f>+L52</f>
        <v>0</v>
      </c>
      <c r="M51" s="80">
        <f>+M52</f>
        <v>0</v>
      </c>
      <c r="N51" s="74">
        <v>1</v>
      </c>
      <c r="O51" s="199">
        <f>IF(ISERROR(VLOOKUP(N51,POA!$A$2:$C$16,3,0)),"",VLOOKUP(N51,POA!$A$2:$C$16,3,0))</f>
        <v>5</v>
      </c>
      <c r="P51" s="95"/>
      <c r="Q51" s="74">
        <f>+SUM(Q52:Q53)</f>
        <v>0</v>
      </c>
      <c r="R51" s="75">
        <f>IF(ISERROR(VLOOKUP(N51,POA!$A$2:$C$16,2,0)),"",VLOOKUP(N51,POA!$A$2:$C$16,2,0))</f>
        <v>765000000</v>
      </c>
      <c r="S51" s="80">
        <f>+R51*10%</f>
        <v>76500000</v>
      </c>
      <c r="T51" s="80">
        <f>+E51-G51</f>
        <v>0</v>
      </c>
      <c r="U51" s="224" t="str">
        <f>IF(OR(T51=0,N51="",R51=""),"",IF(T51&gt;=S51,"CUMPLE","NO HABIL"))</f>
        <v/>
      </c>
      <c r="V51" s="80">
        <f>IF(ISERROR(SUM(E51/G51)),0,SUM(E51/G51))</f>
        <v>0</v>
      </c>
      <c r="W51" s="224" t="str">
        <f>IF(OR(V51=0,N51="",R51=""),"",IF(V51&gt;=$W$9,"CUMPLE","NO CUMPLE"))</f>
        <v/>
      </c>
      <c r="X51" s="203">
        <f>IF(ISERROR(SUM(H51/F51)),0,SUM(H51/F51))</f>
        <v>0</v>
      </c>
      <c r="Y51" s="224" t="str">
        <f>IF(OR(X51=0,N51="",R51=""),"",IF(X51&lt;=$Y$9,"CUMPLE","NO CUMPLE"))</f>
        <v/>
      </c>
      <c r="Z51" s="74">
        <f>+SUM(Z52:Z53)</f>
        <v>0</v>
      </c>
      <c r="AA51" s="203">
        <f>IF(ISERROR(SUM(L51/M51)),0,SUM(L51/M51))</f>
        <v>0</v>
      </c>
      <c r="AB51" s="224" t="s">
        <v>237</v>
      </c>
      <c r="AC51" s="224" t="str">
        <f>IF(OR(U51="",W51="",Y51="",AB51=""),"NO HABIL",IF(U51="NO HABIL","NO HABIL",IF(W51="NO HABIL","NO HABIL",IF(Y51="NO HABIL","NO HABIL",IF(AB51="NO HABIL","NO HABIL",IF(AB51="NO HABIL","NO HABIL","CUMPLE"))))))</f>
        <v>NO HABIL</v>
      </c>
      <c r="AD51" s="111"/>
      <c r="AE51" s="102"/>
      <c r="AF51" s="203">
        <f>IF(ISERROR(SUM(L51/K51)),0,SUM(L51/K51))</f>
        <v>0</v>
      </c>
      <c r="AG51" s="81" t="str">
        <f>IF(OR(AF51=0,N51="",R51=""),"",IF(AF51&gt;=$AG$9,"HABIL","NO HABIL"))</f>
        <v/>
      </c>
      <c r="AH51" s="203" t="e">
        <f>L51/K51</f>
        <v>#DIV/0!</v>
      </c>
      <c r="AI51" s="224" t="e">
        <f>IF(OR(AH51=0,O51="",S51=""),"",IF(AH51&gt;=$AI$9,"CUMPLE","NO HABIL"))</f>
        <v>#DIV/0!</v>
      </c>
      <c r="AJ51" s="203">
        <f>IF(ISERROR(SUM(L51/F51)),0,SUM(L51/F51))</f>
        <v>0</v>
      </c>
      <c r="AK51" s="224" t="str">
        <f>IF(OR(AJ51=0,N51="",R51=""),"",IF(AJ51&gt;=$AK$9,"CUMPLE","NO CUMPLE"))</f>
        <v/>
      </c>
      <c r="AL51" s="224" t="e">
        <f>IF(OR(AI51="",AK51=""),"",IF(AI51="NO CUMPLE","NO CUMPLE",IF(AK51="NO CUMPLE","NO CUMPLE",IF(AK51="NO CUMPLE","NO CUMPLE","CUMPLE"))))</f>
        <v>#DIV/0!</v>
      </c>
      <c r="AM51" s="263"/>
    </row>
    <row r="52" spans="2:39" ht="16.5" hidden="1" x14ac:dyDescent="0.25">
      <c r="B52" s="71"/>
      <c r="C52" s="228"/>
      <c r="D52" s="219">
        <v>0</v>
      </c>
      <c r="E52" s="226"/>
      <c r="F52" s="226"/>
      <c r="G52" s="226"/>
      <c r="H52" s="226"/>
      <c r="I52" s="197"/>
      <c r="J52" s="70"/>
      <c r="K52" s="197"/>
      <c r="L52" s="226"/>
      <c r="M52" s="226"/>
      <c r="N52" s="159"/>
      <c r="O52" s="200"/>
      <c r="P52" s="235"/>
      <c r="Q52" s="235"/>
      <c r="R52" s="236"/>
      <c r="S52" s="226"/>
      <c r="T52" s="226"/>
      <c r="U52" s="225"/>
      <c r="V52" s="226"/>
      <c r="W52" s="225"/>
      <c r="X52" s="237"/>
      <c r="Y52" s="225"/>
      <c r="Z52" s="235"/>
      <c r="AA52" s="235"/>
      <c r="AB52" s="225"/>
      <c r="AC52" s="225"/>
      <c r="AD52" s="110"/>
      <c r="AE52" s="103"/>
      <c r="AF52" s="238"/>
      <c r="AG52" s="225"/>
      <c r="AH52" s="225"/>
      <c r="AI52" s="225"/>
      <c r="AJ52" s="238"/>
      <c r="AK52" s="225"/>
      <c r="AL52" s="113"/>
      <c r="AM52" s="265"/>
    </row>
    <row r="53" spans="2:39" ht="16.5" hidden="1" x14ac:dyDescent="0.25">
      <c r="B53" s="71"/>
      <c r="C53" s="228"/>
      <c r="D53" s="219"/>
      <c r="E53" s="226"/>
      <c r="F53" s="226"/>
      <c r="G53" s="226"/>
      <c r="H53" s="226"/>
      <c r="I53" s="197"/>
      <c r="J53" s="197"/>
      <c r="K53" s="197"/>
      <c r="L53" s="226"/>
      <c r="M53" s="226"/>
      <c r="N53" s="159"/>
      <c r="O53" s="200"/>
      <c r="P53" s="235"/>
      <c r="Q53" s="235"/>
      <c r="R53" s="236"/>
      <c r="S53" s="226"/>
      <c r="T53" s="226"/>
      <c r="U53" s="225"/>
      <c r="V53" s="226"/>
      <c r="W53" s="225"/>
      <c r="X53" s="237"/>
      <c r="Y53" s="225"/>
      <c r="Z53" s="235"/>
      <c r="AA53" s="235"/>
      <c r="AB53" s="225"/>
      <c r="AC53" s="225"/>
      <c r="AD53" s="110"/>
      <c r="AE53" s="103"/>
      <c r="AF53" s="238"/>
      <c r="AG53" s="225"/>
      <c r="AH53" s="225"/>
      <c r="AI53" s="225"/>
      <c r="AJ53" s="238"/>
      <c r="AK53" s="225"/>
      <c r="AL53" s="113"/>
      <c r="AM53" s="265"/>
    </row>
    <row r="54" spans="2:39" ht="16.5" hidden="1" x14ac:dyDescent="0.25">
      <c r="B54" s="71"/>
      <c r="C54" s="222"/>
      <c r="D54" s="219"/>
      <c r="E54" s="226"/>
      <c r="F54" s="226"/>
      <c r="G54" s="226"/>
      <c r="H54" s="226"/>
      <c r="I54" s="220"/>
      <c r="J54" s="227"/>
      <c r="K54" s="220"/>
      <c r="L54" s="220"/>
      <c r="M54" s="220"/>
      <c r="N54" s="159"/>
      <c r="O54" s="200"/>
      <c r="P54" s="235"/>
      <c r="Q54" s="235"/>
      <c r="R54" s="236"/>
      <c r="S54" s="226"/>
      <c r="T54" s="226"/>
      <c r="U54" s="225"/>
      <c r="V54" s="226"/>
      <c r="W54" s="225"/>
      <c r="X54" s="237"/>
      <c r="Y54" s="225"/>
      <c r="Z54" s="235"/>
      <c r="AA54" s="235"/>
      <c r="AB54" s="225"/>
      <c r="AC54" s="225"/>
      <c r="AD54" s="110"/>
      <c r="AE54" s="103"/>
      <c r="AF54" s="238"/>
      <c r="AG54" s="225"/>
      <c r="AH54" s="225"/>
      <c r="AI54" s="225"/>
      <c r="AJ54" s="238"/>
      <c r="AK54" s="225"/>
      <c r="AL54" s="113"/>
      <c r="AM54" s="265"/>
    </row>
    <row r="55" spans="2:39" ht="16.5" hidden="1" x14ac:dyDescent="0.25">
      <c r="B55" s="71"/>
      <c r="C55" s="222"/>
      <c r="D55" s="219"/>
      <c r="E55" s="226"/>
      <c r="F55" s="226"/>
      <c r="G55" s="226"/>
      <c r="H55" s="226"/>
      <c r="I55" s="220"/>
      <c r="J55" s="220"/>
      <c r="K55" s="220"/>
      <c r="L55" s="220"/>
      <c r="M55" s="220"/>
      <c r="N55" s="159"/>
      <c r="O55" s="200"/>
      <c r="P55" s="235"/>
      <c r="Q55" s="235"/>
      <c r="R55" s="236"/>
      <c r="S55" s="226"/>
      <c r="T55" s="226"/>
      <c r="U55" s="225"/>
      <c r="V55" s="226"/>
      <c r="W55" s="225"/>
      <c r="X55" s="237"/>
      <c r="Y55" s="225"/>
      <c r="Z55" s="235"/>
      <c r="AA55" s="235"/>
      <c r="AB55" s="225"/>
      <c r="AC55" s="225"/>
      <c r="AD55" s="110"/>
      <c r="AE55" s="103"/>
      <c r="AF55" s="238"/>
      <c r="AG55" s="225"/>
      <c r="AH55" s="225"/>
      <c r="AI55" s="225"/>
      <c r="AJ55" s="238"/>
      <c r="AK55" s="225"/>
      <c r="AL55" s="113"/>
      <c r="AM55" s="265"/>
    </row>
    <row r="56" spans="2:39" ht="17.25" hidden="1" thickBot="1" x14ac:dyDescent="0.3">
      <c r="B56" s="71"/>
      <c r="C56" s="222"/>
      <c r="D56" s="219"/>
      <c r="E56" s="226"/>
      <c r="F56" s="226"/>
      <c r="G56" s="226"/>
      <c r="H56" s="226"/>
      <c r="I56" s="220">
        <f t="shared" ref="I56" si="31">IF(ISERROR(E56-G56),"",E56-G56)</f>
        <v>0</v>
      </c>
      <c r="J56" s="227">
        <f t="shared" ref="J56" si="32">IF(ISERROR(F56-H56),"",F56-H56)</f>
        <v>0</v>
      </c>
      <c r="K56" s="220">
        <f t="shared" ref="K56" si="33">IF(ISERROR(F56-H56),"",F56-H56)</f>
        <v>0</v>
      </c>
      <c r="L56" s="220">
        <f>IF(ISERROR(VLOOKUP(C56,#REF!,6,0)),0,VLOOKUP(C56,#REF!,6,0))</f>
        <v>0</v>
      </c>
      <c r="M56" s="220">
        <f>IF(ISERROR(VLOOKUP(C56,#REF!,7,0)),0,VLOOKUP(C56,#REF!,7,0))</f>
        <v>0</v>
      </c>
      <c r="N56" s="158"/>
      <c r="O56" s="158"/>
      <c r="P56" s="72"/>
      <c r="Q56" s="72"/>
      <c r="R56" s="73"/>
      <c r="S56" s="77"/>
      <c r="T56" s="77"/>
      <c r="U56" s="76"/>
      <c r="V56" s="77"/>
      <c r="W56" s="76"/>
      <c r="X56" s="109"/>
      <c r="Y56" s="76"/>
      <c r="Z56" s="72"/>
      <c r="AA56" s="72"/>
      <c r="AB56" s="76"/>
      <c r="AC56" s="76"/>
      <c r="AD56" s="110"/>
      <c r="AE56" s="103"/>
      <c r="AF56" s="117"/>
      <c r="AG56" s="76"/>
      <c r="AH56" s="225"/>
      <c r="AI56" s="225"/>
      <c r="AJ56" s="117"/>
      <c r="AK56" s="76"/>
      <c r="AL56" s="113"/>
      <c r="AM56" s="265"/>
    </row>
    <row r="57" spans="2:39" ht="16.5" hidden="1" x14ac:dyDescent="0.25">
      <c r="B57" s="78">
        <v>9</v>
      </c>
      <c r="C57" s="79">
        <f>+C58</f>
        <v>0</v>
      </c>
      <c r="D57" s="94" t="str">
        <f>IF(SUM(D58:D59)=0,"",SUM(D58:D59))</f>
        <v/>
      </c>
      <c r="E57" s="80">
        <f t="shared" ref="E57:I57" si="34">+E58</f>
        <v>0</v>
      </c>
      <c r="F57" s="80">
        <f t="shared" si="34"/>
        <v>0</v>
      </c>
      <c r="G57" s="80">
        <f t="shared" si="34"/>
        <v>0</v>
      </c>
      <c r="H57" s="80">
        <f t="shared" si="34"/>
        <v>0</v>
      </c>
      <c r="I57" s="80">
        <f t="shared" si="34"/>
        <v>0</v>
      </c>
      <c r="J57" s="80">
        <f>IF(ISERROR(SUM(J58:J59)),"",SUM(J58:J59))</f>
        <v>0</v>
      </c>
      <c r="K57" s="80">
        <f>IF(ISERROR(F57-H57),"",F57-H57)</f>
        <v>0</v>
      </c>
      <c r="L57" s="80">
        <f>+L58</f>
        <v>0</v>
      </c>
      <c r="M57" s="80">
        <f>+M58</f>
        <v>0</v>
      </c>
      <c r="N57" s="74">
        <v>1</v>
      </c>
      <c r="O57" s="199">
        <f>IF(ISERROR(VLOOKUP(N57,POA!$A$2:$C$16,3,0)),"",VLOOKUP(N57,POA!$A$2:$C$16,3,0))</f>
        <v>5</v>
      </c>
      <c r="P57" s="95"/>
      <c r="Q57" s="74">
        <f>+SUM(Q58:Q59)</f>
        <v>0</v>
      </c>
      <c r="R57" s="75">
        <f>IF(ISERROR(VLOOKUP(N57,POA!$A$2:$C$16,2,0)),"",VLOOKUP(N57,POA!$A$2:$C$16,2,0))</f>
        <v>765000000</v>
      </c>
      <c r="S57" s="80">
        <f>+R57*10%</f>
        <v>76500000</v>
      </c>
      <c r="T57" s="80">
        <f>+E57-G57</f>
        <v>0</v>
      </c>
      <c r="U57" s="224" t="str">
        <f>IF(OR(T57=0,N57="",R57=""),"",IF(T57&gt;=S57,"CUMPLE","NO HABIL"))</f>
        <v/>
      </c>
      <c r="V57" s="80">
        <f>IF(ISERROR(SUM(E57/G57)),0,SUM(E57/G57))</f>
        <v>0</v>
      </c>
      <c r="W57" s="224" t="str">
        <f>IF(OR(V57=0,N57="",R57=""),"",IF(V57&gt;=$W$9,"CUMPLE","NO CUMPLE"))</f>
        <v/>
      </c>
      <c r="X57" s="203">
        <f>IF(ISERROR(SUM(H57/F57)),0,SUM(H57/F57))</f>
        <v>0</v>
      </c>
      <c r="Y57" s="224" t="str">
        <f>IF(OR(X57=0,N57="",R57=""),"",IF(X57&lt;=$Y$9,"CUMPLE","NO CUMPLE"))</f>
        <v/>
      </c>
      <c r="Z57" s="74">
        <f>+SUM(Z58:Z59)</f>
        <v>0</v>
      </c>
      <c r="AA57" s="203">
        <f>IF(ISERROR(SUM(L57/M57)),0,SUM(L57/M57))</f>
        <v>0</v>
      </c>
      <c r="AB57" s="224" t="s">
        <v>237</v>
      </c>
      <c r="AC57" s="224" t="str">
        <f>IF(OR(U57="",W57="",Y57="",AB57=""),"NO HABIL",IF(U57="NO HABIL","NO HABIL",IF(W57="NO HABIL","NO HABIL",IF(Y57="NO HABIL","NO HABIL",IF(AB57="NO HABIL","NO HABIL",IF(AB57="NO HABIL","NO HABIL","CUMPLE"))))))</f>
        <v>NO HABIL</v>
      </c>
      <c r="AD57" s="111"/>
      <c r="AE57" s="102"/>
      <c r="AF57" s="203">
        <f>IF(ISERROR(SUM(L57/K57)),0,SUM(L57/K57))</f>
        <v>0</v>
      </c>
      <c r="AG57" s="81" t="str">
        <f>IF(OR(AF57=0,N57="",R57=""),"",IF(AF57&gt;=$AG$9,"HABIL","NO HABIL"))</f>
        <v/>
      </c>
      <c r="AH57" s="203" t="e">
        <f>L57/K57</f>
        <v>#DIV/0!</v>
      </c>
      <c r="AI57" s="224" t="e">
        <f>IF(OR(AH57=0,O57="",S57=""),"",IF(AH57&gt;=$AI$9,"CUMPLE","NO HABIL"))</f>
        <v>#DIV/0!</v>
      </c>
      <c r="AJ57" s="203">
        <f>IF(ISERROR(SUM(L57/F57)),0,SUM(L57/F57))</f>
        <v>0</v>
      </c>
      <c r="AK57" s="224" t="str">
        <f>IF(OR(AJ57=0,N57="",R57=""),"",IF(AJ57&gt;=$AK$9,"CUMPLE","NO CUMPLE"))</f>
        <v/>
      </c>
      <c r="AL57" s="224" t="e">
        <f>IF(OR(AI57="",AK57=""),"",IF(AI57="NO CUMPLE","NO CUMPLE",IF(AK57="NO CUMPLE","NO CUMPLE",IF(AK57="NO CUMPLE","NO CUMPLE","CUMPLE"))))</f>
        <v>#DIV/0!</v>
      </c>
      <c r="AM57" s="263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3">
    <mergeCell ref="AM8:AM10"/>
    <mergeCell ref="AM18:AM21"/>
    <mergeCell ref="T7:U7"/>
    <mergeCell ref="T8:U8"/>
    <mergeCell ref="AJ7:AK7"/>
    <mergeCell ref="AJ8:AK8"/>
    <mergeCell ref="AH7:AI7"/>
    <mergeCell ref="AH8:AI8"/>
    <mergeCell ref="AL8:AL10"/>
    <mergeCell ref="AA7:AB7"/>
    <mergeCell ref="AA8:AB8"/>
    <mergeCell ref="AF7:AG7"/>
    <mergeCell ref="AF8:AG8"/>
    <mergeCell ref="AD7:AE7"/>
    <mergeCell ref="B8:B10"/>
    <mergeCell ref="P8:P10"/>
    <mergeCell ref="AC8:AC10"/>
    <mergeCell ref="V8:W8"/>
    <mergeCell ref="X8:Y8"/>
    <mergeCell ref="G8:G10"/>
    <mergeCell ref="Z8:Z10"/>
    <mergeCell ref="D8:D10"/>
    <mergeCell ref="F8:F10"/>
    <mergeCell ref="H8:H10"/>
    <mergeCell ref="I8:I10"/>
    <mergeCell ref="K8:K10"/>
    <mergeCell ref="S8:S10"/>
    <mergeCell ref="B1:AC1"/>
    <mergeCell ref="B4:AL4"/>
    <mergeCell ref="B3:AL3"/>
    <mergeCell ref="B2:AL2"/>
    <mergeCell ref="R8:R10"/>
    <mergeCell ref="O8:O10"/>
    <mergeCell ref="Q8:Q10"/>
    <mergeCell ref="N8:N10"/>
    <mergeCell ref="C8:C10"/>
    <mergeCell ref="J8:J10"/>
    <mergeCell ref="E8:E10"/>
    <mergeCell ref="B7:D7"/>
    <mergeCell ref="V7:W7"/>
    <mergeCell ref="X7:Y7"/>
    <mergeCell ref="E7:J7"/>
    <mergeCell ref="B5:AL5"/>
  </mergeCells>
  <phoneticPr fontId="0" type="noConversion"/>
  <conditionalFormatting sqref="AC7 AD11 AD7:AD9 AE8:AE9 AD10:AE10 AF11:AK11 AN1:JB11 Z12:AA12 Z18:AB21 Z17:AA17 Z13:AB16 AF13:AK16 D22 D17 Z22:AA23 Z29:AB32 Z28:AA28 Z24:AB27 AF24:AK27 D33 D28 J24:J27 Z33:AA33 AF35:AK38 J35:J38 Z34:AB38 D39 Z39:AA39 AF41:AK44 J41:J44 Z40:AB44 D45 Z45:AA45 AF47:AK50 J47:J50 D51 AF54:AK56 J54:J56 D57 Z46:AB57 AD12:AE57 N12:T57 V12:V57 J13:J16 AL7:AM11 AD1:AM1">
    <cfRule type="cellIs" dxfId="646" priority="9636" stopIfTrue="1" operator="equal">
      <formula>"NO ADMISIBLE"</formula>
    </cfRule>
  </conditionalFormatting>
  <conditionalFormatting sqref="AA12 X12 AA17 W18:Y21 AC18:AC21 X17 W13:Y16 AB13:AC16 AG13:AI16 AK13:AL16 U13:U16 AA22:AA23 X22:X23 AA28 W29:Y32 AC29:AC32 X28 W24:Y27 AB24:AC27 AG24:AI27 AK24:AK27 U24:U27 AA33 X33 AB35:AC38 AG35:AI38 AK35:AK38 U35:U38 AC51:AC53 W34:Y38 AC34 AA39 X39 AB41:AC44 AG41:AI44 AK41:AK44 U41:U44 W40:Y44 AC40 AA45 X45 AB47:AC50 AG47:AI50 AK47:AK50 U47:U50 AC46 AA51 AC57 AB54:AC56 AG54:AI56 AK54:AK56 U54:U56 AA57 W46:Y57">
    <cfRule type="cellIs" dxfId="645" priority="9637" stopIfTrue="1" operator="equal">
      <formula>"NO ADMISIBLE"</formula>
    </cfRule>
    <cfRule type="cellIs" dxfId="644" priority="9638" stopIfTrue="1" operator="equal">
      <formula>"ADMISIBLE"</formula>
    </cfRule>
  </conditionalFormatting>
  <conditionalFormatting sqref="AB18:AB21">
    <cfRule type="cellIs" dxfId="643" priority="8505" stopIfTrue="1" operator="equal">
      <formula>"NO ADMISIBLE"</formula>
    </cfRule>
    <cfRule type="cellIs" dxfId="642" priority="8506" stopIfTrue="1" operator="equal">
      <formula>"ADMISIBLE"</formula>
    </cfRule>
  </conditionalFormatting>
  <conditionalFormatting sqref="AF12:AG12">
    <cfRule type="cellIs" dxfId="641" priority="8504" stopIfTrue="1" operator="equal">
      <formula>"NO ADMISIBLE"</formula>
    </cfRule>
  </conditionalFormatting>
  <conditionalFormatting sqref="AF12">
    <cfRule type="cellIs" dxfId="640" priority="8502" stopIfTrue="1" operator="equal">
      <formula>"NO ADMISIBLE"</formula>
    </cfRule>
    <cfRule type="cellIs" dxfId="639" priority="8503" stopIfTrue="1" operator="equal">
      <formula>"ADMISIBLE"</formula>
    </cfRule>
  </conditionalFormatting>
  <conditionalFormatting sqref="AG12 AG18:AI21 AG17 AG22:AG23 AG29:AI32 AG28 AG33 AG34:AI34 AG39 AG40:AI40 AG45 AG46:AI46 AG51:AI53">
    <cfRule type="cellIs" dxfId="638" priority="8500" stopIfTrue="1" operator="equal">
      <formula>"NO ADMISIBLE"</formula>
    </cfRule>
    <cfRule type="cellIs" dxfId="637" priority="8501" stopIfTrue="1" operator="equal">
      <formula>"ADMISIBLE"</formula>
    </cfRule>
  </conditionalFormatting>
  <conditionalFormatting sqref="AJ12">
    <cfRule type="cellIs" dxfId="636" priority="8499" stopIfTrue="1" operator="equal">
      <formula>"NO ADMISIBLE"</formula>
    </cfRule>
  </conditionalFormatting>
  <conditionalFormatting sqref="AJ12">
    <cfRule type="cellIs" dxfId="635" priority="8497" stopIfTrue="1" operator="equal">
      <formula>"NO ADMISIBLE"</formula>
    </cfRule>
    <cfRule type="cellIs" dxfId="634" priority="8498" stopIfTrue="1" operator="equal">
      <formula>"ADMISIBLE"</formula>
    </cfRule>
  </conditionalFormatting>
  <conditionalFormatting sqref="AK18:AK21">
    <cfRule type="cellIs" dxfId="633" priority="8495" stopIfTrue="1" operator="equal">
      <formula>"NO ADMISIBLE"</formula>
    </cfRule>
    <cfRule type="cellIs" dxfId="632" priority="8496" stopIfTrue="1" operator="equal">
      <formula>"ADMISIBLE"</formula>
    </cfRule>
  </conditionalFormatting>
  <conditionalFormatting sqref="AL23:AL24 AL18:AL21">
    <cfRule type="cellIs" dxfId="631" priority="8493" stopIfTrue="1" operator="equal">
      <formula>"NO ADMISIBLE"</formula>
    </cfRule>
    <cfRule type="cellIs" dxfId="630" priority="8494" stopIfTrue="1" operator="equal">
      <formula>"ADMISIBLE"</formula>
    </cfRule>
  </conditionalFormatting>
  <conditionalFormatting sqref="U18:U21">
    <cfRule type="cellIs" dxfId="629" priority="8488" stopIfTrue="1" operator="equal">
      <formula>"NO ADMISIBLE"</formula>
    </cfRule>
    <cfRule type="cellIs" dxfId="628" priority="8489" stopIfTrue="1" operator="equal">
      <formula>"ADMISIBLE"</formula>
    </cfRule>
  </conditionalFormatting>
  <conditionalFormatting sqref="D12">
    <cfRule type="cellIs" dxfId="627" priority="6645" stopIfTrue="1" operator="equal">
      <formula>"NO ADMISIBLE"</formula>
    </cfRule>
  </conditionalFormatting>
  <conditionalFormatting sqref="C12">
    <cfRule type="cellIs" dxfId="626" priority="1658" stopIfTrue="1" operator="equal">
      <formula>"NO ADMISIBLE"</formula>
    </cfRule>
  </conditionalFormatting>
  <conditionalFormatting sqref="D16">
    <cfRule type="cellIs" dxfId="625" priority="1657" stopIfTrue="1" operator="equal">
      <formula>"NO ADMISIBLE"</formula>
    </cfRule>
  </conditionalFormatting>
  <conditionalFormatting sqref="U12">
    <cfRule type="cellIs" dxfId="624" priority="1640" stopIfTrue="1" operator="equal">
      <formula>"NO ADMISIBLE"</formula>
    </cfRule>
    <cfRule type="cellIs" dxfId="623" priority="1641" stopIfTrue="1" operator="equal">
      <formula>"ADMISIBLE"</formula>
    </cfRule>
  </conditionalFormatting>
  <conditionalFormatting sqref="AC8:AC10">
    <cfRule type="cellIs" dxfId="622" priority="1633" stopIfTrue="1" operator="equal">
      <formula>"NO ADMISIBLE"</formula>
    </cfRule>
  </conditionalFormatting>
  <conditionalFormatting sqref="W12">
    <cfRule type="cellIs" dxfId="621" priority="1631" stopIfTrue="1" operator="equal">
      <formula>"NO ADMISIBLE"</formula>
    </cfRule>
    <cfRule type="cellIs" dxfId="620" priority="1632" stopIfTrue="1" operator="equal">
      <formula>"ADMISIBLE"</formula>
    </cfRule>
  </conditionalFormatting>
  <conditionalFormatting sqref="Y12">
    <cfRule type="cellIs" dxfId="619" priority="1629" stopIfTrue="1" operator="equal">
      <formula>"NO ADMISIBLE"</formula>
    </cfRule>
    <cfRule type="cellIs" dxfId="618" priority="1630" stopIfTrue="1" operator="equal">
      <formula>"ADMISIBLE"</formula>
    </cfRule>
  </conditionalFormatting>
  <conditionalFormatting sqref="AB12:AC12">
    <cfRule type="cellIs" dxfId="617" priority="1613" stopIfTrue="1" operator="equal">
      <formula>"NO ADMISIBLE"</formula>
    </cfRule>
    <cfRule type="cellIs" dxfId="616" priority="1614" stopIfTrue="1" operator="equal">
      <formula>"ADMISIBLE"</formula>
    </cfRule>
  </conditionalFormatting>
  <conditionalFormatting sqref="AK12:AM12">
    <cfRule type="cellIs" dxfId="615" priority="1603" stopIfTrue="1" operator="equal">
      <formula>"NO ADMISIBLE"</formula>
    </cfRule>
    <cfRule type="cellIs" dxfId="614" priority="1604" stopIfTrue="1" operator="equal">
      <formula>"ADMISIBLE"</formula>
    </cfRule>
  </conditionalFormatting>
  <conditionalFormatting sqref="AI12">
    <cfRule type="cellIs" dxfId="613" priority="1597" stopIfTrue="1" operator="equal">
      <formula>"NO ADMISIBLE"</formula>
    </cfRule>
  </conditionalFormatting>
  <conditionalFormatting sqref="AI12">
    <cfRule type="cellIs" dxfId="612" priority="1598" stopIfTrue="1" operator="equal">
      <formula>"NO ADMISIBLE"</formula>
    </cfRule>
    <cfRule type="cellIs" dxfId="611" priority="1599" stopIfTrue="1" operator="equal">
      <formula>"ADMISIBLE"</formula>
    </cfRule>
  </conditionalFormatting>
  <conditionalFormatting sqref="AH12">
    <cfRule type="cellIs" dxfId="610" priority="1594" stopIfTrue="1" operator="equal">
      <formula>"NO ADMISIBLE"</formula>
    </cfRule>
  </conditionalFormatting>
  <conditionalFormatting sqref="AH12">
    <cfRule type="cellIs" dxfId="609" priority="1595" stopIfTrue="1" operator="equal">
      <formula>"NO ADMISIBLE"</formula>
    </cfRule>
    <cfRule type="cellIs" dxfId="608" priority="1596" stopIfTrue="1" operator="equal">
      <formula>"ADMISIBLE"</formula>
    </cfRule>
  </conditionalFormatting>
  <conditionalFormatting sqref="AL17:AM17">
    <cfRule type="cellIs" dxfId="607" priority="1574" stopIfTrue="1" operator="equal">
      <formula>"NO ADMISIBLE"</formula>
    </cfRule>
    <cfRule type="cellIs" dxfId="606" priority="1575" stopIfTrue="1" operator="equal">
      <formula>"ADMISIBLE"</formula>
    </cfRule>
  </conditionalFormatting>
  <conditionalFormatting sqref="J13:J16">
    <cfRule type="cellIs" dxfId="605" priority="1515" stopIfTrue="1" operator="equal">
      <formula>"NO ADMISIBLE"</formula>
    </cfRule>
  </conditionalFormatting>
  <conditionalFormatting sqref="D13:D15">
    <cfRule type="cellIs" dxfId="604" priority="1514" stopIfTrue="1" operator="equal">
      <formula>"NO ADMISIBLE"</formula>
    </cfRule>
  </conditionalFormatting>
  <conditionalFormatting sqref="C22">
    <cfRule type="cellIs" dxfId="603" priority="1504" stopIfTrue="1" operator="equal">
      <formula>"NO ADMISIBLE"</formula>
    </cfRule>
  </conditionalFormatting>
  <conditionalFormatting sqref="AF18:AI21 AF17:AG17">
    <cfRule type="cellIs" dxfId="602" priority="1503" stopIfTrue="1" operator="equal">
      <formula>"NO ADMISIBLE"</formula>
    </cfRule>
  </conditionalFormatting>
  <conditionalFormatting sqref="AF17">
    <cfRule type="cellIs" dxfId="601" priority="1501" stopIfTrue="1" operator="equal">
      <formula>"NO ADMISIBLE"</formula>
    </cfRule>
    <cfRule type="cellIs" dxfId="600" priority="1502" stopIfTrue="1" operator="equal">
      <formula>"ADMISIBLE"</formula>
    </cfRule>
  </conditionalFormatting>
  <conditionalFormatting sqref="AJ18:AK21 AJ17">
    <cfRule type="cellIs" dxfId="599" priority="1500" stopIfTrue="1" operator="equal">
      <formula>"NO ADMISIBLE"</formula>
    </cfRule>
  </conditionalFormatting>
  <conditionalFormatting sqref="AJ17">
    <cfRule type="cellIs" dxfId="598" priority="1498" stopIfTrue="1" operator="equal">
      <formula>"NO ADMISIBLE"</formula>
    </cfRule>
    <cfRule type="cellIs" dxfId="597" priority="1499" stopIfTrue="1" operator="equal">
      <formula>"ADMISIBLE"</formula>
    </cfRule>
  </conditionalFormatting>
  <conditionalFormatting sqref="C17">
    <cfRule type="cellIs" dxfId="596" priority="1497" stopIfTrue="1" operator="equal">
      <formula>"NO ADMISIBLE"</formula>
    </cfRule>
  </conditionalFormatting>
  <conditionalFormatting sqref="D21">
    <cfRule type="cellIs" dxfId="595" priority="1496" stopIfTrue="1" operator="equal">
      <formula>"NO ADMISIBLE"</formula>
    </cfRule>
  </conditionalFormatting>
  <conditionalFormatting sqref="U17">
    <cfRule type="cellIs" dxfId="594" priority="1493" stopIfTrue="1" operator="equal">
      <formula>"NO ADMISIBLE"</formula>
    </cfRule>
    <cfRule type="cellIs" dxfId="593" priority="1494" stopIfTrue="1" operator="equal">
      <formula>"ADMISIBLE"</formula>
    </cfRule>
  </conditionalFormatting>
  <conditionalFormatting sqref="W17">
    <cfRule type="cellIs" dxfId="592" priority="1491" stopIfTrue="1" operator="equal">
      <formula>"NO ADMISIBLE"</formula>
    </cfRule>
    <cfRule type="cellIs" dxfId="591" priority="1492" stopIfTrue="1" operator="equal">
      <formula>"ADMISIBLE"</formula>
    </cfRule>
  </conditionalFormatting>
  <conditionalFormatting sqref="Y17">
    <cfRule type="cellIs" dxfId="590" priority="1489" stopIfTrue="1" operator="equal">
      <formula>"NO ADMISIBLE"</formula>
    </cfRule>
    <cfRule type="cellIs" dxfId="589" priority="1490" stopIfTrue="1" operator="equal">
      <formula>"ADMISIBLE"</formula>
    </cfRule>
  </conditionalFormatting>
  <conditionalFormatting sqref="AB17:AC17">
    <cfRule type="cellIs" dxfId="588" priority="1487" stopIfTrue="1" operator="equal">
      <formula>"NO ADMISIBLE"</formula>
    </cfRule>
    <cfRule type="cellIs" dxfId="587" priority="1488" stopIfTrue="1" operator="equal">
      <formula>"ADMISIBLE"</formula>
    </cfRule>
  </conditionalFormatting>
  <conditionalFormatting sqref="AK17">
    <cfRule type="cellIs" dxfId="586" priority="1485" stopIfTrue="1" operator="equal">
      <formula>"NO ADMISIBLE"</formula>
    </cfRule>
    <cfRule type="cellIs" dxfId="585" priority="1486" stopIfTrue="1" operator="equal">
      <formula>"ADMISIBLE"</formula>
    </cfRule>
  </conditionalFormatting>
  <conditionalFormatting sqref="AI17">
    <cfRule type="cellIs" dxfId="584" priority="1482" stopIfTrue="1" operator="equal">
      <formula>"NO ADMISIBLE"</formula>
    </cfRule>
  </conditionalFormatting>
  <conditionalFormatting sqref="AI17">
    <cfRule type="cellIs" dxfId="583" priority="1483" stopIfTrue="1" operator="equal">
      <formula>"NO ADMISIBLE"</formula>
    </cfRule>
    <cfRule type="cellIs" dxfId="582" priority="1484" stopIfTrue="1" operator="equal">
      <formula>"ADMISIBLE"</formula>
    </cfRule>
  </conditionalFormatting>
  <conditionalFormatting sqref="AH17">
    <cfRule type="cellIs" dxfId="581" priority="1479" stopIfTrue="1" operator="equal">
      <formula>"NO ADMISIBLE"</formula>
    </cfRule>
  </conditionalFormatting>
  <conditionalFormatting sqref="AH17">
    <cfRule type="cellIs" dxfId="580" priority="1480" stopIfTrue="1" operator="equal">
      <formula>"NO ADMISIBLE"</formula>
    </cfRule>
    <cfRule type="cellIs" dxfId="579" priority="1481" stopIfTrue="1" operator="equal">
      <formula>"ADMISIBLE"</formula>
    </cfRule>
  </conditionalFormatting>
  <conditionalFormatting sqref="D18:D20">
    <cfRule type="cellIs" dxfId="578" priority="1477" stopIfTrue="1" operator="equal">
      <formula>"NO ADMISIBLE"</formula>
    </cfRule>
  </conditionalFormatting>
  <conditionalFormatting sqref="AL22:AM22">
    <cfRule type="cellIs" dxfId="577" priority="1475" stopIfTrue="1" operator="equal">
      <formula>"NO ADMISIBLE"</formula>
    </cfRule>
    <cfRule type="cellIs" dxfId="576" priority="1476" stopIfTrue="1" operator="equal">
      <formula>"ADMISIBLE"</formula>
    </cfRule>
  </conditionalFormatting>
  <conditionalFormatting sqref="AF22:AG22">
    <cfRule type="cellIs" dxfId="575" priority="1474" stopIfTrue="1" operator="equal">
      <formula>"NO ADMISIBLE"</formula>
    </cfRule>
  </conditionalFormatting>
  <conditionalFormatting sqref="AF22">
    <cfRule type="cellIs" dxfId="574" priority="1472" stopIfTrue="1" operator="equal">
      <formula>"NO ADMISIBLE"</formula>
    </cfRule>
    <cfRule type="cellIs" dxfId="573" priority="1473" stopIfTrue="1" operator="equal">
      <formula>"ADMISIBLE"</formula>
    </cfRule>
  </conditionalFormatting>
  <conditionalFormatting sqref="AJ22">
    <cfRule type="cellIs" dxfId="572" priority="1471" stopIfTrue="1" operator="equal">
      <formula>"NO ADMISIBLE"</formula>
    </cfRule>
  </conditionalFormatting>
  <conditionalFormatting sqref="AJ22">
    <cfRule type="cellIs" dxfId="571" priority="1469" stopIfTrue="1" operator="equal">
      <formula>"NO ADMISIBLE"</formula>
    </cfRule>
    <cfRule type="cellIs" dxfId="570" priority="1470" stopIfTrue="1" operator="equal">
      <formula>"ADMISIBLE"</formula>
    </cfRule>
  </conditionalFormatting>
  <conditionalFormatting sqref="U22">
    <cfRule type="cellIs" dxfId="569" priority="1467" stopIfTrue="1" operator="equal">
      <formula>"NO ADMISIBLE"</formula>
    </cfRule>
    <cfRule type="cellIs" dxfId="568" priority="1468" stopIfTrue="1" operator="equal">
      <formula>"ADMISIBLE"</formula>
    </cfRule>
  </conditionalFormatting>
  <conditionalFormatting sqref="W22">
    <cfRule type="cellIs" dxfId="567" priority="1465" stopIfTrue="1" operator="equal">
      <formula>"NO ADMISIBLE"</formula>
    </cfRule>
    <cfRule type="cellIs" dxfId="566" priority="1466" stopIfTrue="1" operator="equal">
      <formula>"ADMISIBLE"</formula>
    </cfRule>
  </conditionalFormatting>
  <conditionalFormatting sqref="Y22">
    <cfRule type="cellIs" dxfId="565" priority="1463" stopIfTrue="1" operator="equal">
      <formula>"NO ADMISIBLE"</formula>
    </cfRule>
    <cfRule type="cellIs" dxfId="564" priority="1464" stopIfTrue="1" operator="equal">
      <formula>"ADMISIBLE"</formula>
    </cfRule>
  </conditionalFormatting>
  <conditionalFormatting sqref="AB22:AC22">
    <cfRule type="cellIs" dxfId="563" priority="1461" stopIfTrue="1" operator="equal">
      <formula>"NO ADMISIBLE"</formula>
    </cfRule>
    <cfRule type="cellIs" dxfId="562" priority="1462" stopIfTrue="1" operator="equal">
      <formula>"ADMISIBLE"</formula>
    </cfRule>
  </conditionalFormatting>
  <conditionalFormatting sqref="AK22">
    <cfRule type="cellIs" dxfId="561" priority="1459" stopIfTrue="1" operator="equal">
      <formula>"NO ADMISIBLE"</formula>
    </cfRule>
    <cfRule type="cellIs" dxfId="560" priority="1460" stopIfTrue="1" operator="equal">
      <formula>"ADMISIBLE"</formula>
    </cfRule>
  </conditionalFormatting>
  <conditionalFormatting sqref="AI22">
    <cfRule type="cellIs" dxfId="559" priority="1456" stopIfTrue="1" operator="equal">
      <formula>"NO ADMISIBLE"</formula>
    </cfRule>
  </conditionalFormatting>
  <conditionalFormatting sqref="AI22">
    <cfRule type="cellIs" dxfId="558" priority="1457" stopIfTrue="1" operator="equal">
      <formula>"NO ADMISIBLE"</formula>
    </cfRule>
    <cfRule type="cellIs" dxfId="557" priority="1458" stopIfTrue="1" operator="equal">
      <formula>"ADMISIBLE"</formula>
    </cfRule>
  </conditionalFormatting>
  <conditionalFormatting sqref="AH22">
    <cfRule type="cellIs" dxfId="556" priority="1453" stopIfTrue="1" operator="equal">
      <formula>"NO ADMISIBLE"</formula>
    </cfRule>
  </conditionalFormatting>
  <conditionalFormatting sqref="AH22">
    <cfRule type="cellIs" dxfId="555" priority="1454" stopIfTrue="1" operator="equal">
      <formula>"NO ADMISIBLE"</formula>
    </cfRule>
    <cfRule type="cellIs" dxfId="554" priority="1455" stopIfTrue="1" operator="equal">
      <formula>"ADMISIBLE"</formula>
    </cfRule>
  </conditionalFormatting>
  <conditionalFormatting sqref="K13:K16">
    <cfRule type="cellIs" dxfId="553" priority="1452" stopIfTrue="1" operator="equal">
      <formula>"NO ADMISIBLE"</formula>
    </cfRule>
  </conditionalFormatting>
  <conditionalFormatting sqref="K18:K21">
    <cfRule type="cellIs" dxfId="552" priority="1451" stopIfTrue="1" operator="equal">
      <formula>"NO ADMISIBLE"</formula>
    </cfRule>
  </conditionalFormatting>
  <conditionalFormatting sqref="J18:J21">
    <cfRule type="cellIs" dxfId="551" priority="1450" stopIfTrue="1" operator="equal">
      <formula>"NO ADMISIBLE"</formula>
    </cfRule>
  </conditionalFormatting>
  <conditionalFormatting sqref="AL26:AL27">
    <cfRule type="cellIs" dxfId="550" priority="1437" stopIfTrue="1" operator="equal">
      <formula>"NO ADMISIBLE"</formula>
    </cfRule>
    <cfRule type="cellIs" dxfId="549" priority="1438" stopIfTrue="1" operator="equal">
      <formula>"ADMISIBLE"</formula>
    </cfRule>
  </conditionalFormatting>
  <conditionalFormatting sqref="AL25">
    <cfRule type="cellIs" dxfId="548" priority="1428" stopIfTrue="1" operator="equal">
      <formula>"NO ADMISIBLE"</formula>
    </cfRule>
    <cfRule type="cellIs" dxfId="547" priority="1429" stopIfTrue="1" operator="equal">
      <formula>"ADMISIBLE"</formula>
    </cfRule>
  </conditionalFormatting>
  <conditionalFormatting sqref="AL29:AL30">
    <cfRule type="cellIs" dxfId="546" priority="1393" stopIfTrue="1" operator="equal">
      <formula>"NO ADMISIBLE"</formula>
    </cfRule>
    <cfRule type="cellIs" dxfId="545" priority="1394" stopIfTrue="1" operator="equal">
      <formula>"ADMISIBLE"</formula>
    </cfRule>
  </conditionalFormatting>
  <conditionalFormatting sqref="AL28:AM28">
    <cfRule type="cellIs" dxfId="544" priority="1384" stopIfTrue="1" operator="equal">
      <formula>"NO ADMISIBLE"</formula>
    </cfRule>
    <cfRule type="cellIs" dxfId="543" priority="1385" stopIfTrue="1" operator="equal">
      <formula>"ADMISIBLE"</formula>
    </cfRule>
  </conditionalFormatting>
  <conditionalFormatting sqref="AL32">
    <cfRule type="cellIs" dxfId="542" priority="1349" stopIfTrue="1" operator="equal">
      <formula>"NO ADMISIBLE"</formula>
    </cfRule>
    <cfRule type="cellIs" dxfId="541" priority="1350" stopIfTrue="1" operator="equal">
      <formula>"ADMISIBLE"</formula>
    </cfRule>
  </conditionalFormatting>
  <conditionalFormatting sqref="AL31">
    <cfRule type="cellIs" dxfId="540" priority="1340" stopIfTrue="1" operator="equal">
      <formula>"NO ADMISIBLE"</formula>
    </cfRule>
    <cfRule type="cellIs" dxfId="539" priority="1341" stopIfTrue="1" operator="equal">
      <formula>"ADMISIBLE"</formula>
    </cfRule>
  </conditionalFormatting>
  <conditionalFormatting sqref="AL35:AL38">
    <cfRule type="cellIs" dxfId="538" priority="1305" stopIfTrue="1" operator="equal">
      <formula>"NO ADMISIBLE"</formula>
    </cfRule>
    <cfRule type="cellIs" dxfId="537" priority="1306" stopIfTrue="1" operator="equal">
      <formula>"ADMISIBLE"</formula>
    </cfRule>
  </conditionalFormatting>
  <conditionalFormatting sqref="AB29:AB32">
    <cfRule type="cellIs" dxfId="536" priority="766" stopIfTrue="1" operator="equal">
      <formula>"NO ADMISIBLE"</formula>
    </cfRule>
    <cfRule type="cellIs" dxfId="535" priority="767" stopIfTrue="1" operator="equal">
      <formula>"ADMISIBLE"</formula>
    </cfRule>
  </conditionalFormatting>
  <conditionalFormatting sqref="AF23:AG23">
    <cfRule type="cellIs" dxfId="534" priority="765" stopIfTrue="1" operator="equal">
      <formula>"NO ADMISIBLE"</formula>
    </cfRule>
  </conditionalFormatting>
  <conditionalFormatting sqref="AF23">
    <cfRule type="cellIs" dxfId="533" priority="763" stopIfTrue="1" operator="equal">
      <formula>"NO ADMISIBLE"</formula>
    </cfRule>
    <cfRule type="cellIs" dxfId="532" priority="764" stopIfTrue="1" operator="equal">
      <formula>"ADMISIBLE"</formula>
    </cfRule>
  </conditionalFormatting>
  <conditionalFormatting sqref="AJ23">
    <cfRule type="cellIs" dxfId="531" priority="762" stopIfTrue="1" operator="equal">
      <formula>"NO ADMISIBLE"</formula>
    </cfRule>
  </conditionalFormatting>
  <conditionalFormatting sqref="AJ23">
    <cfRule type="cellIs" dxfId="530" priority="760" stopIfTrue="1" operator="equal">
      <formula>"NO ADMISIBLE"</formula>
    </cfRule>
    <cfRule type="cellIs" dxfId="529" priority="761" stopIfTrue="1" operator="equal">
      <formula>"ADMISIBLE"</formula>
    </cfRule>
  </conditionalFormatting>
  <conditionalFormatting sqref="AK29:AK32">
    <cfRule type="cellIs" dxfId="528" priority="758" stopIfTrue="1" operator="equal">
      <formula>"NO ADMISIBLE"</formula>
    </cfRule>
    <cfRule type="cellIs" dxfId="527" priority="759" stopIfTrue="1" operator="equal">
      <formula>"ADMISIBLE"</formula>
    </cfRule>
  </conditionalFormatting>
  <conditionalFormatting sqref="U29:U32">
    <cfRule type="cellIs" dxfId="526" priority="756" stopIfTrue="1" operator="equal">
      <formula>"NO ADMISIBLE"</formula>
    </cfRule>
    <cfRule type="cellIs" dxfId="525" priority="757" stopIfTrue="1" operator="equal">
      <formula>"ADMISIBLE"</formula>
    </cfRule>
  </conditionalFormatting>
  <conditionalFormatting sqref="D23">
    <cfRule type="cellIs" dxfId="524" priority="755" stopIfTrue="1" operator="equal">
      <formula>"NO ADMISIBLE"</formula>
    </cfRule>
  </conditionalFormatting>
  <conditionalFormatting sqref="C23">
    <cfRule type="cellIs" dxfId="523" priority="754" stopIfTrue="1" operator="equal">
      <formula>"NO ADMISIBLE"</formula>
    </cfRule>
  </conditionalFormatting>
  <conditionalFormatting sqref="D27">
    <cfRule type="cellIs" dxfId="522" priority="753" stopIfTrue="1" operator="equal">
      <formula>"NO ADMISIBLE"</formula>
    </cfRule>
  </conditionalFormatting>
  <conditionalFormatting sqref="U23">
    <cfRule type="cellIs" dxfId="521" priority="751" stopIfTrue="1" operator="equal">
      <formula>"NO ADMISIBLE"</formula>
    </cfRule>
    <cfRule type="cellIs" dxfId="520" priority="752" stopIfTrue="1" operator="equal">
      <formula>"ADMISIBLE"</formula>
    </cfRule>
  </conditionalFormatting>
  <conditionalFormatting sqref="W23">
    <cfRule type="cellIs" dxfId="519" priority="749" stopIfTrue="1" operator="equal">
      <formula>"NO ADMISIBLE"</formula>
    </cfRule>
    <cfRule type="cellIs" dxfId="518" priority="750" stopIfTrue="1" operator="equal">
      <formula>"ADMISIBLE"</formula>
    </cfRule>
  </conditionalFormatting>
  <conditionalFormatting sqref="Y23">
    <cfRule type="cellIs" dxfId="517" priority="747" stopIfTrue="1" operator="equal">
      <formula>"NO ADMISIBLE"</formula>
    </cfRule>
    <cfRule type="cellIs" dxfId="516" priority="748" stopIfTrue="1" operator="equal">
      <formula>"ADMISIBLE"</formula>
    </cfRule>
  </conditionalFormatting>
  <conditionalFormatting sqref="AB23:AC23">
    <cfRule type="cellIs" dxfId="515" priority="745" stopIfTrue="1" operator="equal">
      <formula>"NO ADMISIBLE"</formula>
    </cfRule>
    <cfRule type="cellIs" dxfId="514" priority="746" stopIfTrue="1" operator="equal">
      <formula>"ADMISIBLE"</formula>
    </cfRule>
  </conditionalFormatting>
  <conditionalFormatting sqref="AK23">
    <cfRule type="cellIs" dxfId="513" priority="743" stopIfTrue="1" operator="equal">
      <formula>"NO ADMISIBLE"</formula>
    </cfRule>
    <cfRule type="cellIs" dxfId="512" priority="744" stopIfTrue="1" operator="equal">
      <formula>"ADMISIBLE"</formula>
    </cfRule>
  </conditionalFormatting>
  <conditionalFormatting sqref="AI23">
    <cfRule type="cellIs" dxfId="511" priority="740" stopIfTrue="1" operator="equal">
      <formula>"NO ADMISIBLE"</formula>
    </cfRule>
  </conditionalFormatting>
  <conditionalFormatting sqref="AI23">
    <cfRule type="cellIs" dxfId="510" priority="741" stopIfTrue="1" operator="equal">
      <formula>"NO ADMISIBLE"</formula>
    </cfRule>
    <cfRule type="cellIs" dxfId="509" priority="742" stopIfTrue="1" operator="equal">
      <formula>"ADMISIBLE"</formula>
    </cfRule>
  </conditionalFormatting>
  <conditionalFormatting sqref="AH23">
    <cfRule type="cellIs" dxfId="508" priority="737" stopIfTrue="1" operator="equal">
      <formula>"NO ADMISIBLE"</formula>
    </cfRule>
  </conditionalFormatting>
  <conditionalFormatting sqref="AH23">
    <cfRule type="cellIs" dxfId="507" priority="738" stopIfTrue="1" operator="equal">
      <formula>"NO ADMISIBLE"</formula>
    </cfRule>
    <cfRule type="cellIs" dxfId="506" priority="739" stopIfTrue="1" operator="equal">
      <formula>"ADMISIBLE"</formula>
    </cfRule>
  </conditionalFormatting>
  <conditionalFormatting sqref="J24:J27">
    <cfRule type="cellIs" dxfId="505" priority="736" stopIfTrue="1" operator="equal">
      <formula>"NO ADMISIBLE"</formula>
    </cfRule>
  </conditionalFormatting>
  <conditionalFormatting sqref="D24:D26">
    <cfRule type="cellIs" dxfId="504" priority="735" stopIfTrue="1" operator="equal">
      <formula>"NO ADMISIBLE"</formula>
    </cfRule>
  </conditionalFormatting>
  <conditionalFormatting sqref="C33">
    <cfRule type="cellIs" dxfId="503" priority="734" stopIfTrue="1" operator="equal">
      <formula>"NO ADMISIBLE"</formula>
    </cfRule>
  </conditionalFormatting>
  <conditionalFormatting sqref="AF29:AI32 AF28:AG28">
    <cfRule type="cellIs" dxfId="502" priority="733" stopIfTrue="1" operator="equal">
      <formula>"NO ADMISIBLE"</formula>
    </cfRule>
  </conditionalFormatting>
  <conditionalFormatting sqref="AF28">
    <cfRule type="cellIs" dxfId="501" priority="731" stopIfTrue="1" operator="equal">
      <formula>"NO ADMISIBLE"</formula>
    </cfRule>
    <cfRule type="cellIs" dxfId="500" priority="732" stopIfTrue="1" operator="equal">
      <formula>"ADMISIBLE"</formula>
    </cfRule>
  </conditionalFormatting>
  <conditionalFormatting sqref="AJ29:AK32 AJ28">
    <cfRule type="cellIs" dxfId="499" priority="730" stopIfTrue="1" operator="equal">
      <formula>"NO ADMISIBLE"</formula>
    </cfRule>
  </conditionalFormatting>
  <conditionalFormatting sqref="AJ28">
    <cfRule type="cellIs" dxfId="498" priority="728" stopIfTrue="1" operator="equal">
      <formula>"NO ADMISIBLE"</formula>
    </cfRule>
    <cfRule type="cellIs" dxfId="497" priority="729" stopIfTrue="1" operator="equal">
      <formula>"ADMISIBLE"</formula>
    </cfRule>
  </conditionalFormatting>
  <conditionalFormatting sqref="C28">
    <cfRule type="cellIs" dxfId="496" priority="727" stopIfTrue="1" operator="equal">
      <formula>"NO ADMISIBLE"</formula>
    </cfRule>
  </conditionalFormatting>
  <conditionalFormatting sqref="D32">
    <cfRule type="cellIs" dxfId="495" priority="726" stopIfTrue="1" operator="equal">
      <formula>"NO ADMISIBLE"</formula>
    </cfRule>
  </conditionalFormatting>
  <conditionalFormatting sqref="U28">
    <cfRule type="cellIs" dxfId="494" priority="724" stopIfTrue="1" operator="equal">
      <formula>"NO ADMISIBLE"</formula>
    </cfRule>
    <cfRule type="cellIs" dxfId="493" priority="725" stopIfTrue="1" operator="equal">
      <formula>"ADMISIBLE"</formula>
    </cfRule>
  </conditionalFormatting>
  <conditionalFormatting sqref="W28">
    <cfRule type="cellIs" dxfId="492" priority="722" stopIfTrue="1" operator="equal">
      <formula>"NO ADMISIBLE"</formula>
    </cfRule>
    <cfRule type="cellIs" dxfId="491" priority="723" stopIfTrue="1" operator="equal">
      <formula>"ADMISIBLE"</formula>
    </cfRule>
  </conditionalFormatting>
  <conditionalFormatting sqref="Y28">
    <cfRule type="cellIs" dxfId="490" priority="720" stopIfTrue="1" operator="equal">
      <formula>"NO ADMISIBLE"</formula>
    </cfRule>
    <cfRule type="cellIs" dxfId="489" priority="721" stopIfTrue="1" operator="equal">
      <formula>"ADMISIBLE"</formula>
    </cfRule>
  </conditionalFormatting>
  <conditionalFormatting sqref="AB28:AC28">
    <cfRule type="cellIs" dxfId="488" priority="718" stopIfTrue="1" operator="equal">
      <formula>"NO ADMISIBLE"</formula>
    </cfRule>
    <cfRule type="cellIs" dxfId="487" priority="719" stopIfTrue="1" operator="equal">
      <formula>"ADMISIBLE"</formula>
    </cfRule>
  </conditionalFormatting>
  <conditionalFormatting sqref="AK28">
    <cfRule type="cellIs" dxfId="486" priority="716" stopIfTrue="1" operator="equal">
      <formula>"NO ADMISIBLE"</formula>
    </cfRule>
    <cfRule type="cellIs" dxfId="485" priority="717" stopIfTrue="1" operator="equal">
      <formula>"ADMISIBLE"</formula>
    </cfRule>
  </conditionalFormatting>
  <conditionalFormatting sqref="AI28">
    <cfRule type="cellIs" dxfId="484" priority="713" stopIfTrue="1" operator="equal">
      <formula>"NO ADMISIBLE"</formula>
    </cfRule>
  </conditionalFormatting>
  <conditionalFormatting sqref="AI28">
    <cfRule type="cellIs" dxfId="483" priority="714" stopIfTrue="1" operator="equal">
      <formula>"NO ADMISIBLE"</formula>
    </cfRule>
    <cfRule type="cellIs" dxfId="482" priority="715" stopIfTrue="1" operator="equal">
      <formula>"ADMISIBLE"</formula>
    </cfRule>
  </conditionalFormatting>
  <conditionalFormatting sqref="AH28">
    <cfRule type="cellIs" dxfId="481" priority="710" stopIfTrue="1" operator="equal">
      <formula>"NO ADMISIBLE"</formula>
    </cfRule>
  </conditionalFormatting>
  <conditionalFormatting sqref="AH28">
    <cfRule type="cellIs" dxfId="480" priority="711" stopIfTrue="1" operator="equal">
      <formula>"NO ADMISIBLE"</formula>
    </cfRule>
    <cfRule type="cellIs" dxfId="479" priority="712" stopIfTrue="1" operator="equal">
      <formula>"ADMISIBLE"</formula>
    </cfRule>
  </conditionalFormatting>
  <conditionalFormatting sqref="D29:D31">
    <cfRule type="cellIs" dxfId="478" priority="709" stopIfTrue="1" operator="equal">
      <formula>"NO ADMISIBLE"</formula>
    </cfRule>
  </conditionalFormatting>
  <conditionalFormatting sqref="AF33:AG33">
    <cfRule type="cellIs" dxfId="477" priority="708" stopIfTrue="1" operator="equal">
      <formula>"NO ADMISIBLE"</formula>
    </cfRule>
  </conditionalFormatting>
  <conditionalFormatting sqref="AF33">
    <cfRule type="cellIs" dxfId="476" priority="706" stopIfTrue="1" operator="equal">
      <formula>"NO ADMISIBLE"</formula>
    </cfRule>
    <cfRule type="cellIs" dxfId="475" priority="707" stopIfTrue="1" operator="equal">
      <formula>"ADMISIBLE"</formula>
    </cfRule>
  </conditionalFormatting>
  <conditionalFormatting sqref="AJ33">
    <cfRule type="cellIs" dxfId="474" priority="705" stopIfTrue="1" operator="equal">
      <formula>"NO ADMISIBLE"</formula>
    </cfRule>
  </conditionalFormatting>
  <conditionalFormatting sqref="AJ33">
    <cfRule type="cellIs" dxfId="473" priority="703" stopIfTrue="1" operator="equal">
      <formula>"NO ADMISIBLE"</formula>
    </cfRule>
    <cfRule type="cellIs" dxfId="472" priority="704" stopIfTrue="1" operator="equal">
      <formula>"ADMISIBLE"</formula>
    </cfRule>
  </conditionalFormatting>
  <conditionalFormatting sqref="U33">
    <cfRule type="cellIs" dxfId="471" priority="701" stopIfTrue="1" operator="equal">
      <formula>"NO ADMISIBLE"</formula>
    </cfRule>
    <cfRule type="cellIs" dxfId="470" priority="702" stopIfTrue="1" operator="equal">
      <formula>"ADMISIBLE"</formula>
    </cfRule>
  </conditionalFormatting>
  <conditionalFormatting sqref="W33">
    <cfRule type="cellIs" dxfId="469" priority="699" stopIfTrue="1" operator="equal">
      <formula>"NO ADMISIBLE"</formula>
    </cfRule>
    <cfRule type="cellIs" dxfId="468" priority="700" stopIfTrue="1" operator="equal">
      <formula>"ADMISIBLE"</formula>
    </cfRule>
  </conditionalFormatting>
  <conditionalFormatting sqref="Y33">
    <cfRule type="cellIs" dxfId="467" priority="697" stopIfTrue="1" operator="equal">
      <formula>"NO ADMISIBLE"</formula>
    </cfRule>
    <cfRule type="cellIs" dxfId="466" priority="698" stopIfTrue="1" operator="equal">
      <formula>"ADMISIBLE"</formula>
    </cfRule>
  </conditionalFormatting>
  <conditionalFormatting sqref="AB33:AC33">
    <cfRule type="cellIs" dxfId="465" priority="695" stopIfTrue="1" operator="equal">
      <formula>"NO ADMISIBLE"</formula>
    </cfRule>
    <cfRule type="cellIs" dxfId="464" priority="696" stopIfTrue="1" operator="equal">
      <formula>"ADMISIBLE"</formula>
    </cfRule>
  </conditionalFormatting>
  <conditionalFormatting sqref="AK33">
    <cfRule type="cellIs" dxfId="463" priority="693" stopIfTrue="1" operator="equal">
      <formula>"NO ADMISIBLE"</formula>
    </cfRule>
    <cfRule type="cellIs" dxfId="462" priority="694" stopIfTrue="1" operator="equal">
      <formula>"ADMISIBLE"</formula>
    </cfRule>
  </conditionalFormatting>
  <conditionalFormatting sqref="AI33">
    <cfRule type="cellIs" dxfId="461" priority="690" stopIfTrue="1" operator="equal">
      <formula>"NO ADMISIBLE"</formula>
    </cfRule>
  </conditionalFormatting>
  <conditionalFormatting sqref="AI33">
    <cfRule type="cellIs" dxfId="460" priority="691" stopIfTrue="1" operator="equal">
      <formula>"NO ADMISIBLE"</formula>
    </cfRule>
    <cfRule type="cellIs" dxfId="459" priority="692" stopIfTrue="1" operator="equal">
      <formula>"ADMISIBLE"</formula>
    </cfRule>
  </conditionalFormatting>
  <conditionalFormatting sqref="AH33">
    <cfRule type="cellIs" dxfId="458" priority="687" stopIfTrue="1" operator="equal">
      <formula>"NO ADMISIBLE"</formula>
    </cfRule>
  </conditionalFormatting>
  <conditionalFormatting sqref="AH33">
    <cfRule type="cellIs" dxfId="457" priority="688" stopIfTrue="1" operator="equal">
      <formula>"NO ADMISIBLE"</formula>
    </cfRule>
    <cfRule type="cellIs" dxfId="456" priority="689" stopIfTrue="1" operator="equal">
      <formula>"ADMISIBLE"</formula>
    </cfRule>
  </conditionalFormatting>
  <conditionalFormatting sqref="K24:K27">
    <cfRule type="cellIs" dxfId="455" priority="686" stopIfTrue="1" operator="equal">
      <formula>"NO ADMISIBLE"</formula>
    </cfRule>
  </conditionalFormatting>
  <conditionalFormatting sqref="K29:K32">
    <cfRule type="cellIs" dxfId="454" priority="685" stopIfTrue="1" operator="equal">
      <formula>"NO ADMISIBLE"</formula>
    </cfRule>
  </conditionalFormatting>
  <conditionalFormatting sqref="J29:J32">
    <cfRule type="cellIs" dxfId="453" priority="684" stopIfTrue="1" operator="equal">
      <formula>"NO ADMISIBLE"</formula>
    </cfRule>
  </conditionalFormatting>
  <conditionalFormatting sqref="D38">
    <cfRule type="cellIs" dxfId="452" priority="669" stopIfTrue="1" operator="equal">
      <formula>"NO ADMISIBLE"</formula>
    </cfRule>
  </conditionalFormatting>
  <conditionalFormatting sqref="J35:J38">
    <cfRule type="cellIs" dxfId="451" priority="652" stopIfTrue="1" operator="equal">
      <formula>"NO ADMISIBLE"</formula>
    </cfRule>
  </conditionalFormatting>
  <conditionalFormatting sqref="D35:D37">
    <cfRule type="cellIs" dxfId="450" priority="651" stopIfTrue="1" operator="equal">
      <formula>"NO ADMISIBLE"</formula>
    </cfRule>
  </conditionalFormatting>
  <conditionalFormatting sqref="K35:K38">
    <cfRule type="cellIs" dxfId="449" priority="602" stopIfTrue="1" operator="equal">
      <formula>"NO ADMISIBLE"</formula>
    </cfRule>
  </conditionalFormatting>
  <conditionalFormatting sqref="AB51:AB53">
    <cfRule type="cellIs" dxfId="448" priority="598" stopIfTrue="1" operator="equal">
      <formula>"NO ADMISIBLE"</formula>
    </cfRule>
    <cfRule type="cellIs" dxfId="447" priority="599" stopIfTrue="1" operator="equal">
      <formula>"ADMISIBLE"</formula>
    </cfRule>
  </conditionalFormatting>
  <conditionalFormatting sqref="AK51:AK53">
    <cfRule type="cellIs" dxfId="446" priority="590" stopIfTrue="1" operator="equal">
      <formula>"NO ADMISIBLE"</formula>
    </cfRule>
    <cfRule type="cellIs" dxfId="445" priority="591" stopIfTrue="1" operator="equal">
      <formula>"ADMISIBLE"</formula>
    </cfRule>
  </conditionalFormatting>
  <conditionalFormatting sqref="U51:U53">
    <cfRule type="cellIs" dxfId="444" priority="588" stopIfTrue="1" operator="equal">
      <formula>"NO ADMISIBLE"</formula>
    </cfRule>
    <cfRule type="cellIs" dxfId="443" priority="589" stopIfTrue="1" operator="equal">
      <formula>"ADMISIBLE"</formula>
    </cfRule>
  </conditionalFormatting>
  <conditionalFormatting sqref="AF51:AI53">
    <cfRule type="cellIs" dxfId="442" priority="565" stopIfTrue="1" operator="equal">
      <formula>"NO ADMISIBLE"</formula>
    </cfRule>
  </conditionalFormatting>
  <conditionalFormatting sqref="AJ51:AK53">
    <cfRule type="cellIs" dxfId="441" priority="562" stopIfTrue="1" operator="equal">
      <formula>"NO ADMISIBLE"</formula>
    </cfRule>
  </conditionalFormatting>
  <conditionalFormatting sqref="D51:D53">
    <cfRule type="cellIs" dxfId="440" priority="541" stopIfTrue="1" operator="equal">
      <formula>"NO ADMISIBLE"</formula>
    </cfRule>
  </conditionalFormatting>
  <conditionalFormatting sqref="K51:K53">
    <cfRule type="cellIs" dxfId="439" priority="517" stopIfTrue="1" operator="equal">
      <formula>"NO ADMISIBLE"</formula>
    </cfRule>
  </conditionalFormatting>
  <conditionalFormatting sqref="J51 J53">
    <cfRule type="cellIs" dxfId="438" priority="516" stopIfTrue="1" operator="equal">
      <formula>"NO ADMISIBLE"</formula>
    </cfRule>
  </conditionalFormatting>
  <conditionalFormatting sqref="AL34:AM34">
    <cfRule type="cellIs" dxfId="437" priority="261" stopIfTrue="1" operator="equal">
      <formula>"NO ADMISIBLE"</formula>
    </cfRule>
    <cfRule type="cellIs" dxfId="436" priority="262" stopIfTrue="1" operator="equal">
      <formula>"ADMISIBLE"</formula>
    </cfRule>
  </conditionalFormatting>
  <conditionalFormatting sqref="AB34">
    <cfRule type="cellIs" dxfId="435" priority="259" stopIfTrue="1" operator="equal">
      <formula>"NO ADMISIBLE"</formula>
    </cfRule>
    <cfRule type="cellIs" dxfId="434" priority="260" stopIfTrue="1" operator="equal">
      <formula>"ADMISIBLE"</formula>
    </cfRule>
  </conditionalFormatting>
  <conditionalFormatting sqref="AK34">
    <cfRule type="cellIs" dxfId="433" priority="257" stopIfTrue="1" operator="equal">
      <formula>"NO ADMISIBLE"</formula>
    </cfRule>
    <cfRule type="cellIs" dxfId="432" priority="258" stopIfTrue="1" operator="equal">
      <formula>"ADMISIBLE"</formula>
    </cfRule>
  </conditionalFormatting>
  <conditionalFormatting sqref="U34">
    <cfRule type="cellIs" dxfId="431" priority="255" stopIfTrue="1" operator="equal">
      <formula>"NO ADMISIBLE"</formula>
    </cfRule>
    <cfRule type="cellIs" dxfId="430" priority="256" stopIfTrue="1" operator="equal">
      <formula>"ADMISIBLE"</formula>
    </cfRule>
  </conditionalFormatting>
  <conditionalFormatting sqref="AF34:AI34">
    <cfRule type="cellIs" dxfId="429" priority="254" stopIfTrue="1" operator="equal">
      <formula>"NO ADMISIBLE"</formula>
    </cfRule>
  </conditionalFormatting>
  <conditionalFormatting sqref="AJ34:AK34">
    <cfRule type="cellIs" dxfId="428" priority="253" stopIfTrue="1" operator="equal">
      <formula>"NO ADMISIBLE"</formula>
    </cfRule>
  </conditionalFormatting>
  <conditionalFormatting sqref="D34">
    <cfRule type="cellIs" dxfId="427" priority="252" stopIfTrue="1" operator="equal">
      <formula>"NO ADMISIBLE"</formula>
    </cfRule>
  </conditionalFormatting>
  <conditionalFormatting sqref="K34">
    <cfRule type="cellIs" dxfId="426" priority="251" stopIfTrue="1" operator="equal">
      <formula>"NO ADMISIBLE"</formula>
    </cfRule>
  </conditionalFormatting>
  <conditionalFormatting sqref="AM29 AL33:AM33">
    <cfRule type="cellIs" dxfId="425" priority="248" stopIfTrue="1" operator="equal">
      <formula>"NO ADMISIBLE"</formula>
    </cfRule>
    <cfRule type="cellIs" dxfId="424" priority="249" stopIfTrue="1" operator="equal">
      <formula>"ADMISIBLE"</formula>
    </cfRule>
  </conditionalFormatting>
  <conditionalFormatting sqref="AL41:AL44">
    <cfRule type="cellIs" dxfId="423" priority="246" stopIfTrue="1" operator="equal">
      <formula>"NO ADMISIBLE"</formula>
    </cfRule>
    <cfRule type="cellIs" dxfId="422" priority="247" stopIfTrue="1" operator="equal">
      <formula>"ADMISIBLE"</formula>
    </cfRule>
  </conditionalFormatting>
  <conditionalFormatting sqref="C39">
    <cfRule type="cellIs" dxfId="421" priority="245" stopIfTrue="1" operator="equal">
      <formula>"NO ADMISIBLE"</formula>
    </cfRule>
  </conditionalFormatting>
  <conditionalFormatting sqref="AF39:AG39">
    <cfRule type="cellIs" dxfId="420" priority="244" stopIfTrue="1" operator="equal">
      <formula>"NO ADMISIBLE"</formula>
    </cfRule>
  </conditionalFormatting>
  <conditionalFormatting sqref="AF39">
    <cfRule type="cellIs" dxfId="419" priority="242" stopIfTrue="1" operator="equal">
      <formula>"NO ADMISIBLE"</formula>
    </cfRule>
    <cfRule type="cellIs" dxfId="418" priority="243" stopIfTrue="1" operator="equal">
      <formula>"ADMISIBLE"</formula>
    </cfRule>
  </conditionalFormatting>
  <conditionalFormatting sqref="AJ39">
    <cfRule type="cellIs" dxfId="417" priority="241" stopIfTrue="1" operator="equal">
      <formula>"NO ADMISIBLE"</formula>
    </cfRule>
  </conditionalFormatting>
  <conditionalFormatting sqref="AJ39">
    <cfRule type="cellIs" dxfId="416" priority="239" stopIfTrue="1" operator="equal">
      <formula>"NO ADMISIBLE"</formula>
    </cfRule>
    <cfRule type="cellIs" dxfId="415" priority="240" stopIfTrue="1" operator="equal">
      <formula>"ADMISIBLE"</formula>
    </cfRule>
  </conditionalFormatting>
  <conditionalFormatting sqref="U39">
    <cfRule type="cellIs" dxfId="414" priority="237" stopIfTrue="1" operator="equal">
      <formula>"NO ADMISIBLE"</formula>
    </cfRule>
    <cfRule type="cellIs" dxfId="413" priority="238" stopIfTrue="1" operator="equal">
      <formula>"ADMISIBLE"</formula>
    </cfRule>
  </conditionalFormatting>
  <conditionalFormatting sqref="W39">
    <cfRule type="cellIs" dxfId="412" priority="235" stopIfTrue="1" operator="equal">
      <formula>"NO ADMISIBLE"</formula>
    </cfRule>
    <cfRule type="cellIs" dxfId="411" priority="236" stopIfTrue="1" operator="equal">
      <formula>"ADMISIBLE"</formula>
    </cfRule>
  </conditionalFormatting>
  <conditionalFormatting sqref="Y39">
    <cfRule type="cellIs" dxfId="410" priority="233" stopIfTrue="1" operator="equal">
      <formula>"NO ADMISIBLE"</formula>
    </cfRule>
    <cfRule type="cellIs" dxfId="409" priority="234" stopIfTrue="1" operator="equal">
      <formula>"ADMISIBLE"</formula>
    </cfRule>
  </conditionalFormatting>
  <conditionalFormatting sqref="AB39:AC39">
    <cfRule type="cellIs" dxfId="408" priority="231" stopIfTrue="1" operator="equal">
      <formula>"NO ADMISIBLE"</formula>
    </cfRule>
    <cfRule type="cellIs" dxfId="407" priority="232" stopIfTrue="1" operator="equal">
      <formula>"ADMISIBLE"</formula>
    </cfRule>
  </conditionalFormatting>
  <conditionalFormatting sqref="AK39">
    <cfRule type="cellIs" dxfId="406" priority="229" stopIfTrue="1" operator="equal">
      <formula>"NO ADMISIBLE"</formula>
    </cfRule>
    <cfRule type="cellIs" dxfId="405" priority="230" stopIfTrue="1" operator="equal">
      <formula>"ADMISIBLE"</formula>
    </cfRule>
  </conditionalFormatting>
  <conditionalFormatting sqref="AI39">
    <cfRule type="cellIs" dxfId="404" priority="226" stopIfTrue="1" operator="equal">
      <formula>"NO ADMISIBLE"</formula>
    </cfRule>
  </conditionalFormatting>
  <conditionalFormatting sqref="AI39">
    <cfRule type="cellIs" dxfId="403" priority="227" stopIfTrue="1" operator="equal">
      <formula>"NO ADMISIBLE"</formula>
    </cfRule>
    <cfRule type="cellIs" dxfId="402" priority="228" stopIfTrue="1" operator="equal">
      <formula>"ADMISIBLE"</formula>
    </cfRule>
  </conditionalFormatting>
  <conditionalFormatting sqref="AH39">
    <cfRule type="cellIs" dxfId="401" priority="223" stopIfTrue="1" operator="equal">
      <formula>"NO ADMISIBLE"</formula>
    </cfRule>
  </conditionalFormatting>
  <conditionalFormatting sqref="AH39">
    <cfRule type="cellIs" dxfId="400" priority="224" stopIfTrue="1" operator="equal">
      <formula>"NO ADMISIBLE"</formula>
    </cfRule>
    <cfRule type="cellIs" dxfId="399" priority="225" stopIfTrue="1" operator="equal">
      <formula>"ADMISIBLE"</formula>
    </cfRule>
  </conditionalFormatting>
  <conditionalFormatting sqref="D44">
    <cfRule type="cellIs" dxfId="398" priority="222" stopIfTrue="1" operator="equal">
      <formula>"NO ADMISIBLE"</formula>
    </cfRule>
  </conditionalFormatting>
  <conditionalFormatting sqref="J41:J44">
    <cfRule type="cellIs" dxfId="397" priority="221" stopIfTrue="1" operator="equal">
      <formula>"NO ADMISIBLE"</formula>
    </cfRule>
  </conditionalFormatting>
  <conditionalFormatting sqref="D41:D43">
    <cfRule type="cellIs" dxfId="396" priority="220" stopIfTrue="1" operator="equal">
      <formula>"NO ADMISIBLE"</formula>
    </cfRule>
  </conditionalFormatting>
  <conditionalFormatting sqref="K41:K44">
    <cfRule type="cellIs" dxfId="395" priority="219" stopIfTrue="1" operator="equal">
      <formula>"NO ADMISIBLE"</formula>
    </cfRule>
  </conditionalFormatting>
  <conditionalFormatting sqref="AL40:AM40">
    <cfRule type="cellIs" dxfId="394" priority="217" stopIfTrue="1" operator="equal">
      <formula>"NO ADMISIBLE"</formula>
    </cfRule>
    <cfRule type="cellIs" dxfId="393" priority="218" stopIfTrue="1" operator="equal">
      <formula>"ADMISIBLE"</formula>
    </cfRule>
  </conditionalFormatting>
  <conditionalFormatting sqref="AB40">
    <cfRule type="cellIs" dxfId="392" priority="215" stopIfTrue="1" operator="equal">
      <formula>"NO ADMISIBLE"</formula>
    </cfRule>
    <cfRule type="cellIs" dxfId="391" priority="216" stopIfTrue="1" operator="equal">
      <formula>"ADMISIBLE"</formula>
    </cfRule>
  </conditionalFormatting>
  <conditionalFormatting sqref="AK40">
    <cfRule type="cellIs" dxfId="390" priority="213" stopIfTrue="1" operator="equal">
      <formula>"NO ADMISIBLE"</formula>
    </cfRule>
    <cfRule type="cellIs" dxfId="389" priority="214" stopIfTrue="1" operator="equal">
      <formula>"ADMISIBLE"</formula>
    </cfRule>
  </conditionalFormatting>
  <conditionalFormatting sqref="U40">
    <cfRule type="cellIs" dxfId="388" priority="211" stopIfTrue="1" operator="equal">
      <formula>"NO ADMISIBLE"</formula>
    </cfRule>
    <cfRule type="cellIs" dxfId="387" priority="212" stopIfTrue="1" operator="equal">
      <formula>"ADMISIBLE"</formula>
    </cfRule>
  </conditionalFormatting>
  <conditionalFormatting sqref="AF40:AI40">
    <cfRule type="cellIs" dxfId="386" priority="210" stopIfTrue="1" operator="equal">
      <formula>"NO ADMISIBLE"</formula>
    </cfRule>
  </conditionalFormatting>
  <conditionalFormatting sqref="AJ40:AK40">
    <cfRule type="cellIs" dxfId="385" priority="209" stopIfTrue="1" operator="equal">
      <formula>"NO ADMISIBLE"</formula>
    </cfRule>
  </conditionalFormatting>
  <conditionalFormatting sqref="D40">
    <cfRule type="cellIs" dxfId="384" priority="208" stopIfTrue="1" operator="equal">
      <formula>"NO ADMISIBLE"</formula>
    </cfRule>
  </conditionalFormatting>
  <conditionalFormatting sqref="K40">
    <cfRule type="cellIs" dxfId="383" priority="207" stopIfTrue="1" operator="equal">
      <formula>"NO ADMISIBLE"</formula>
    </cfRule>
  </conditionalFormatting>
  <conditionalFormatting sqref="J40">
    <cfRule type="cellIs" dxfId="382" priority="206" stopIfTrue="1" operator="equal">
      <formula>"NO ADMISIBLE"</formula>
    </cfRule>
  </conditionalFormatting>
  <conditionalFormatting sqref="AL39:AM39">
    <cfRule type="cellIs" dxfId="381" priority="204" stopIfTrue="1" operator="equal">
      <formula>"NO ADMISIBLE"</formula>
    </cfRule>
    <cfRule type="cellIs" dxfId="380" priority="205" stopIfTrue="1" operator="equal">
      <formula>"ADMISIBLE"</formula>
    </cfRule>
  </conditionalFormatting>
  <conditionalFormatting sqref="AL47:AL50">
    <cfRule type="cellIs" dxfId="379" priority="196" stopIfTrue="1" operator="equal">
      <formula>"NO ADMISIBLE"</formula>
    </cfRule>
    <cfRule type="cellIs" dxfId="378" priority="197" stopIfTrue="1" operator="equal">
      <formula>"ADMISIBLE"</formula>
    </cfRule>
  </conditionalFormatting>
  <conditionalFormatting sqref="C45">
    <cfRule type="cellIs" dxfId="377" priority="195" stopIfTrue="1" operator="equal">
      <formula>"NO ADMISIBLE"</formula>
    </cfRule>
  </conditionalFormatting>
  <conditionalFormatting sqref="AF45:AG45">
    <cfRule type="cellIs" dxfId="376" priority="194" stopIfTrue="1" operator="equal">
      <formula>"NO ADMISIBLE"</formula>
    </cfRule>
  </conditionalFormatting>
  <conditionalFormatting sqref="AF45">
    <cfRule type="cellIs" dxfId="375" priority="192" stopIfTrue="1" operator="equal">
      <formula>"NO ADMISIBLE"</formula>
    </cfRule>
    <cfRule type="cellIs" dxfId="374" priority="193" stopIfTrue="1" operator="equal">
      <formula>"ADMISIBLE"</formula>
    </cfRule>
  </conditionalFormatting>
  <conditionalFormatting sqref="AJ45">
    <cfRule type="cellIs" dxfId="373" priority="191" stopIfTrue="1" operator="equal">
      <formula>"NO ADMISIBLE"</formula>
    </cfRule>
  </conditionalFormatting>
  <conditionalFormatting sqref="AJ45">
    <cfRule type="cellIs" dxfId="372" priority="189" stopIfTrue="1" operator="equal">
      <formula>"NO ADMISIBLE"</formula>
    </cfRule>
    <cfRule type="cellIs" dxfId="371" priority="190" stopIfTrue="1" operator="equal">
      <formula>"ADMISIBLE"</formula>
    </cfRule>
  </conditionalFormatting>
  <conditionalFormatting sqref="U45">
    <cfRule type="cellIs" dxfId="370" priority="187" stopIfTrue="1" operator="equal">
      <formula>"NO ADMISIBLE"</formula>
    </cfRule>
    <cfRule type="cellIs" dxfId="369" priority="188" stopIfTrue="1" operator="equal">
      <formula>"ADMISIBLE"</formula>
    </cfRule>
  </conditionalFormatting>
  <conditionalFormatting sqref="W45">
    <cfRule type="cellIs" dxfId="368" priority="185" stopIfTrue="1" operator="equal">
      <formula>"NO ADMISIBLE"</formula>
    </cfRule>
    <cfRule type="cellIs" dxfId="367" priority="186" stopIfTrue="1" operator="equal">
      <formula>"ADMISIBLE"</formula>
    </cfRule>
  </conditionalFormatting>
  <conditionalFormatting sqref="Y45">
    <cfRule type="cellIs" dxfId="366" priority="183" stopIfTrue="1" operator="equal">
      <formula>"NO ADMISIBLE"</formula>
    </cfRule>
    <cfRule type="cellIs" dxfId="365" priority="184" stopIfTrue="1" operator="equal">
      <formula>"ADMISIBLE"</formula>
    </cfRule>
  </conditionalFormatting>
  <conditionalFormatting sqref="AB45:AC45">
    <cfRule type="cellIs" dxfId="364" priority="181" stopIfTrue="1" operator="equal">
      <formula>"NO ADMISIBLE"</formula>
    </cfRule>
    <cfRule type="cellIs" dxfId="363" priority="182" stopIfTrue="1" operator="equal">
      <formula>"ADMISIBLE"</formula>
    </cfRule>
  </conditionalFormatting>
  <conditionalFormatting sqref="AK45">
    <cfRule type="cellIs" dxfId="362" priority="179" stopIfTrue="1" operator="equal">
      <formula>"NO ADMISIBLE"</formula>
    </cfRule>
    <cfRule type="cellIs" dxfId="361" priority="180" stopIfTrue="1" operator="equal">
      <formula>"ADMISIBLE"</formula>
    </cfRule>
  </conditionalFormatting>
  <conditionalFormatting sqref="AI45">
    <cfRule type="cellIs" dxfId="360" priority="176" stopIfTrue="1" operator="equal">
      <formula>"NO ADMISIBLE"</formula>
    </cfRule>
  </conditionalFormatting>
  <conditionalFormatting sqref="AI45">
    <cfRule type="cellIs" dxfId="359" priority="177" stopIfTrue="1" operator="equal">
      <formula>"NO ADMISIBLE"</formula>
    </cfRule>
    <cfRule type="cellIs" dxfId="358" priority="178" stopIfTrue="1" operator="equal">
      <formula>"ADMISIBLE"</formula>
    </cfRule>
  </conditionalFormatting>
  <conditionalFormatting sqref="AH45">
    <cfRule type="cellIs" dxfId="357" priority="173" stopIfTrue="1" operator="equal">
      <formula>"NO ADMISIBLE"</formula>
    </cfRule>
  </conditionalFormatting>
  <conditionalFormatting sqref="AH45">
    <cfRule type="cellIs" dxfId="356" priority="174" stopIfTrue="1" operator="equal">
      <formula>"NO ADMISIBLE"</formula>
    </cfRule>
    <cfRule type="cellIs" dxfId="355" priority="175" stopIfTrue="1" operator="equal">
      <formula>"ADMISIBLE"</formula>
    </cfRule>
  </conditionalFormatting>
  <conditionalFormatting sqref="D50">
    <cfRule type="cellIs" dxfId="354" priority="172" stopIfTrue="1" operator="equal">
      <formula>"NO ADMISIBLE"</formula>
    </cfRule>
  </conditionalFormatting>
  <conditionalFormatting sqref="J47:J50">
    <cfRule type="cellIs" dxfId="353" priority="171" stopIfTrue="1" operator="equal">
      <formula>"NO ADMISIBLE"</formula>
    </cfRule>
  </conditionalFormatting>
  <conditionalFormatting sqref="D47:D49">
    <cfRule type="cellIs" dxfId="352" priority="170" stopIfTrue="1" operator="equal">
      <formula>"NO ADMISIBLE"</formula>
    </cfRule>
  </conditionalFormatting>
  <conditionalFormatting sqref="K47:K50">
    <cfRule type="cellIs" dxfId="351" priority="169" stopIfTrue="1" operator="equal">
      <formula>"NO ADMISIBLE"</formula>
    </cfRule>
  </conditionalFormatting>
  <conditionalFormatting sqref="AL46:AM46">
    <cfRule type="cellIs" dxfId="350" priority="167" stopIfTrue="1" operator="equal">
      <formula>"NO ADMISIBLE"</formula>
    </cfRule>
    <cfRule type="cellIs" dxfId="349" priority="168" stopIfTrue="1" operator="equal">
      <formula>"ADMISIBLE"</formula>
    </cfRule>
  </conditionalFormatting>
  <conditionalFormatting sqref="AB46">
    <cfRule type="cellIs" dxfId="348" priority="165" stopIfTrue="1" operator="equal">
      <formula>"NO ADMISIBLE"</formula>
    </cfRule>
    <cfRule type="cellIs" dxfId="347" priority="166" stopIfTrue="1" operator="equal">
      <formula>"ADMISIBLE"</formula>
    </cfRule>
  </conditionalFormatting>
  <conditionalFormatting sqref="AK46">
    <cfRule type="cellIs" dxfId="346" priority="163" stopIfTrue="1" operator="equal">
      <formula>"NO ADMISIBLE"</formula>
    </cfRule>
    <cfRule type="cellIs" dxfId="345" priority="164" stopIfTrue="1" operator="equal">
      <formula>"ADMISIBLE"</formula>
    </cfRule>
  </conditionalFormatting>
  <conditionalFormatting sqref="U46">
    <cfRule type="cellIs" dxfId="344" priority="161" stopIfTrue="1" operator="equal">
      <formula>"NO ADMISIBLE"</formula>
    </cfRule>
    <cfRule type="cellIs" dxfId="343" priority="162" stopIfTrue="1" operator="equal">
      <formula>"ADMISIBLE"</formula>
    </cfRule>
  </conditionalFormatting>
  <conditionalFormatting sqref="AF46:AI46">
    <cfRule type="cellIs" dxfId="342" priority="160" stopIfTrue="1" operator="equal">
      <formula>"NO ADMISIBLE"</formula>
    </cfRule>
  </conditionalFormatting>
  <conditionalFormatting sqref="AJ46:AK46">
    <cfRule type="cellIs" dxfId="341" priority="159" stopIfTrue="1" operator="equal">
      <formula>"NO ADMISIBLE"</formula>
    </cfRule>
  </conditionalFormatting>
  <conditionalFormatting sqref="D46">
    <cfRule type="cellIs" dxfId="340" priority="158" stopIfTrue="1" operator="equal">
      <formula>"NO ADMISIBLE"</formula>
    </cfRule>
  </conditionalFormatting>
  <conditionalFormatting sqref="K46">
    <cfRule type="cellIs" dxfId="339" priority="157" stopIfTrue="1" operator="equal">
      <formula>"NO ADMISIBLE"</formula>
    </cfRule>
  </conditionalFormatting>
  <conditionalFormatting sqref="J46">
    <cfRule type="cellIs" dxfId="338" priority="156" stopIfTrue="1" operator="equal">
      <formula>"NO ADMISIBLE"</formula>
    </cfRule>
  </conditionalFormatting>
  <conditionalFormatting sqref="AL45:AM45">
    <cfRule type="cellIs" dxfId="337" priority="154" stopIfTrue="1" operator="equal">
      <formula>"NO ADMISIBLE"</formula>
    </cfRule>
    <cfRule type="cellIs" dxfId="336" priority="155" stopIfTrue="1" operator="equal">
      <formula>"ADMISIBLE"</formula>
    </cfRule>
  </conditionalFormatting>
  <conditionalFormatting sqref="AL47:AL50">
    <cfRule type="cellIs" dxfId="335" priority="152" stopIfTrue="1" operator="equal">
      <formula>"NO ADMISIBLE"</formula>
    </cfRule>
    <cfRule type="cellIs" dxfId="334" priority="153" stopIfTrue="1" operator="equal">
      <formula>"ADMISIBLE"</formula>
    </cfRule>
  </conditionalFormatting>
  <conditionalFormatting sqref="C45">
    <cfRule type="cellIs" dxfId="333" priority="151" stopIfTrue="1" operator="equal">
      <formula>"NO ADMISIBLE"</formula>
    </cfRule>
  </conditionalFormatting>
  <conditionalFormatting sqref="AF45:AG45">
    <cfRule type="cellIs" dxfId="332" priority="150" stopIfTrue="1" operator="equal">
      <formula>"NO ADMISIBLE"</formula>
    </cfRule>
  </conditionalFormatting>
  <conditionalFormatting sqref="AF45">
    <cfRule type="cellIs" dxfId="331" priority="148" stopIfTrue="1" operator="equal">
      <formula>"NO ADMISIBLE"</formula>
    </cfRule>
    <cfRule type="cellIs" dxfId="330" priority="149" stopIfTrue="1" operator="equal">
      <formula>"ADMISIBLE"</formula>
    </cfRule>
  </conditionalFormatting>
  <conditionalFormatting sqref="AJ45">
    <cfRule type="cellIs" dxfId="329" priority="147" stopIfTrue="1" operator="equal">
      <formula>"NO ADMISIBLE"</formula>
    </cfRule>
  </conditionalFormatting>
  <conditionalFormatting sqref="AJ45">
    <cfRule type="cellIs" dxfId="328" priority="145" stopIfTrue="1" operator="equal">
      <formula>"NO ADMISIBLE"</formula>
    </cfRule>
    <cfRule type="cellIs" dxfId="327" priority="146" stopIfTrue="1" operator="equal">
      <formula>"ADMISIBLE"</formula>
    </cfRule>
  </conditionalFormatting>
  <conditionalFormatting sqref="U45">
    <cfRule type="cellIs" dxfId="326" priority="143" stopIfTrue="1" operator="equal">
      <formula>"NO ADMISIBLE"</formula>
    </cfRule>
    <cfRule type="cellIs" dxfId="325" priority="144" stopIfTrue="1" operator="equal">
      <formula>"ADMISIBLE"</formula>
    </cfRule>
  </conditionalFormatting>
  <conditionalFormatting sqref="W45">
    <cfRule type="cellIs" dxfId="324" priority="141" stopIfTrue="1" operator="equal">
      <formula>"NO ADMISIBLE"</formula>
    </cfRule>
    <cfRule type="cellIs" dxfId="323" priority="142" stopIfTrue="1" operator="equal">
      <formula>"ADMISIBLE"</formula>
    </cfRule>
  </conditionalFormatting>
  <conditionalFormatting sqref="Y45">
    <cfRule type="cellIs" dxfId="322" priority="139" stopIfTrue="1" operator="equal">
      <formula>"NO ADMISIBLE"</formula>
    </cfRule>
    <cfRule type="cellIs" dxfId="321" priority="140" stopIfTrue="1" operator="equal">
      <formula>"ADMISIBLE"</formula>
    </cfRule>
  </conditionalFormatting>
  <conditionalFormatting sqref="AB45:AC45">
    <cfRule type="cellIs" dxfId="320" priority="137" stopIfTrue="1" operator="equal">
      <formula>"NO ADMISIBLE"</formula>
    </cfRule>
    <cfRule type="cellIs" dxfId="319" priority="138" stopIfTrue="1" operator="equal">
      <formula>"ADMISIBLE"</formula>
    </cfRule>
  </conditionalFormatting>
  <conditionalFormatting sqref="AK45">
    <cfRule type="cellIs" dxfId="318" priority="135" stopIfTrue="1" operator="equal">
      <formula>"NO ADMISIBLE"</formula>
    </cfRule>
    <cfRule type="cellIs" dxfId="317" priority="136" stopIfTrue="1" operator="equal">
      <formula>"ADMISIBLE"</formula>
    </cfRule>
  </conditionalFormatting>
  <conditionalFormatting sqref="AI45">
    <cfRule type="cellIs" dxfId="316" priority="132" stopIfTrue="1" operator="equal">
      <formula>"NO ADMISIBLE"</formula>
    </cfRule>
  </conditionalFormatting>
  <conditionalFormatting sqref="AI45">
    <cfRule type="cellIs" dxfId="315" priority="133" stopIfTrue="1" operator="equal">
      <formula>"NO ADMISIBLE"</formula>
    </cfRule>
    <cfRule type="cellIs" dxfId="314" priority="134" stopIfTrue="1" operator="equal">
      <formula>"ADMISIBLE"</formula>
    </cfRule>
  </conditionalFormatting>
  <conditionalFormatting sqref="AH45">
    <cfRule type="cellIs" dxfId="313" priority="129" stopIfTrue="1" operator="equal">
      <formula>"NO ADMISIBLE"</formula>
    </cfRule>
  </conditionalFormatting>
  <conditionalFormatting sqref="AH45">
    <cfRule type="cellIs" dxfId="312" priority="130" stopIfTrue="1" operator="equal">
      <formula>"NO ADMISIBLE"</formula>
    </cfRule>
    <cfRule type="cellIs" dxfId="311" priority="131" stopIfTrue="1" operator="equal">
      <formula>"ADMISIBLE"</formula>
    </cfRule>
  </conditionalFormatting>
  <conditionalFormatting sqref="D50">
    <cfRule type="cellIs" dxfId="310" priority="128" stopIfTrue="1" operator="equal">
      <formula>"NO ADMISIBLE"</formula>
    </cfRule>
  </conditionalFormatting>
  <conditionalFormatting sqref="J47:J50">
    <cfRule type="cellIs" dxfId="309" priority="127" stopIfTrue="1" operator="equal">
      <formula>"NO ADMISIBLE"</formula>
    </cfRule>
  </conditionalFormatting>
  <conditionalFormatting sqref="D47:D49">
    <cfRule type="cellIs" dxfId="308" priority="126" stopIfTrue="1" operator="equal">
      <formula>"NO ADMISIBLE"</formula>
    </cfRule>
  </conditionalFormatting>
  <conditionalFormatting sqref="K47:K50">
    <cfRule type="cellIs" dxfId="307" priority="125" stopIfTrue="1" operator="equal">
      <formula>"NO ADMISIBLE"</formula>
    </cfRule>
  </conditionalFormatting>
  <conditionalFormatting sqref="AL46:AM46">
    <cfRule type="cellIs" dxfId="306" priority="123" stopIfTrue="1" operator="equal">
      <formula>"NO ADMISIBLE"</formula>
    </cfRule>
    <cfRule type="cellIs" dxfId="305" priority="124" stopIfTrue="1" operator="equal">
      <formula>"ADMISIBLE"</formula>
    </cfRule>
  </conditionalFormatting>
  <conditionalFormatting sqref="AB46">
    <cfRule type="cellIs" dxfId="304" priority="121" stopIfTrue="1" operator="equal">
      <formula>"NO ADMISIBLE"</formula>
    </cfRule>
    <cfRule type="cellIs" dxfId="303" priority="122" stopIfTrue="1" operator="equal">
      <formula>"ADMISIBLE"</formula>
    </cfRule>
  </conditionalFormatting>
  <conditionalFormatting sqref="AK46">
    <cfRule type="cellIs" dxfId="302" priority="119" stopIfTrue="1" operator="equal">
      <formula>"NO ADMISIBLE"</formula>
    </cfRule>
    <cfRule type="cellIs" dxfId="301" priority="120" stopIfTrue="1" operator="equal">
      <formula>"ADMISIBLE"</formula>
    </cfRule>
  </conditionalFormatting>
  <conditionalFormatting sqref="U46">
    <cfRule type="cellIs" dxfId="300" priority="117" stopIfTrue="1" operator="equal">
      <formula>"NO ADMISIBLE"</formula>
    </cfRule>
    <cfRule type="cellIs" dxfId="299" priority="118" stopIfTrue="1" operator="equal">
      <formula>"ADMISIBLE"</formula>
    </cfRule>
  </conditionalFormatting>
  <conditionalFormatting sqref="AF46:AI46">
    <cfRule type="cellIs" dxfId="298" priority="116" stopIfTrue="1" operator="equal">
      <formula>"NO ADMISIBLE"</formula>
    </cfRule>
  </conditionalFormatting>
  <conditionalFormatting sqref="AJ46:AK46">
    <cfRule type="cellIs" dxfId="297" priority="115" stopIfTrue="1" operator="equal">
      <formula>"NO ADMISIBLE"</formula>
    </cfRule>
  </conditionalFormatting>
  <conditionalFormatting sqref="D46">
    <cfRule type="cellIs" dxfId="296" priority="114" stopIfTrue="1" operator="equal">
      <formula>"NO ADMISIBLE"</formula>
    </cfRule>
  </conditionalFormatting>
  <conditionalFormatting sqref="K46">
    <cfRule type="cellIs" dxfId="295" priority="113" stopIfTrue="1" operator="equal">
      <formula>"NO ADMISIBLE"</formula>
    </cfRule>
  </conditionalFormatting>
  <conditionalFormatting sqref="J46">
    <cfRule type="cellIs" dxfId="294" priority="112" stopIfTrue="1" operator="equal">
      <formula>"NO ADMISIBLE"</formula>
    </cfRule>
  </conditionalFormatting>
  <conditionalFormatting sqref="AL45:AM45">
    <cfRule type="cellIs" dxfId="293" priority="110" stopIfTrue="1" operator="equal">
      <formula>"NO ADMISIBLE"</formula>
    </cfRule>
    <cfRule type="cellIs" dxfId="292" priority="111" stopIfTrue="1" operator="equal">
      <formula>"ADMISIBLE"</formula>
    </cfRule>
  </conditionalFormatting>
  <conditionalFormatting sqref="C51">
    <cfRule type="cellIs" dxfId="291" priority="109" stopIfTrue="1" operator="equal">
      <formula>"NO ADMISIBLE"</formula>
    </cfRule>
  </conditionalFormatting>
  <conditionalFormatting sqref="AF51:AG51">
    <cfRule type="cellIs" dxfId="290" priority="108" stopIfTrue="1" operator="equal">
      <formula>"NO ADMISIBLE"</formula>
    </cfRule>
  </conditionalFormatting>
  <conditionalFormatting sqref="AF51">
    <cfRule type="cellIs" dxfId="289" priority="106" stopIfTrue="1" operator="equal">
      <formula>"NO ADMISIBLE"</formula>
    </cfRule>
    <cfRule type="cellIs" dxfId="288" priority="107" stopIfTrue="1" operator="equal">
      <formula>"ADMISIBLE"</formula>
    </cfRule>
  </conditionalFormatting>
  <conditionalFormatting sqref="AJ51">
    <cfRule type="cellIs" dxfId="287" priority="105" stopIfTrue="1" operator="equal">
      <formula>"NO ADMISIBLE"</formula>
    </cfRule>
  </conditionalFormatting>
  <conditionalFormatting sqref="AJ51">
    <cfRule type="cellIs" dxfId="286" priority="103" stopIfTrue="1" operator="equal">
      <formula>"NO ADMISIBLE"</formula>
    </cfRule>
    <cfRule type="cellIs" dxfId="285" priority="104" stopIfTrue="1" operator="equal">
      <formula>"ADMISIBLE"</formula>
    </cfRule>
  </conditionalFormatting>
  <conditionalFormatting sqref="U51">
    <cfRule type="cellIs" dxfId="284" priority="101" stopIfTrue="1" operator="equal">
      <formula>"NO ADMISIBLE"</formula>
    </cfRule>
    <cfRule type="cellIs" dxfId="283" priority="102" stopIfTrue="1" operator="equal">
      <formula>"ADMISIBLE"</formula>
    </cfRule>
  </conditionalFormatting>
  <conditionalFormatting sqref="W51">
    <cfRule type="cellIs" dxfId="282" priority="99" stopIfTrue="1" operator="equal">
      <formula>"NO ADMISIBLE"</formula>
    </cfRule>
    <cfRule type="cellIs" dxfId="281" priority="100" stopIfTrue="1" operator="equal">
      <formula>"ADMISIBLE"</formula>
    </cfRule>
  </conditionalFormatting>
  <conditionalFormatting sqref="Y51">
    <cfRule type="cellIs" dxfId="280" priority="97" stopIfTrue="1" operator="equal">
      <formula>"NO ADMISIBLE"</formula>
    </cfRule>
    <cfRule type="cellIs" dxfId="279" priority="98" stopIfTrue="1" operator="equal">
      <formula>"ADMISIBLE"</formula>
    </cfRule>
  </conditionalFormatting>
  <conditionalFormatting sqref="AB51:AC51">
    <cfRule type="cellIs" dxfId="278" priority="95" stopIfTrue="1" operator="equal">
      <formula>"NO ADMISIBLE"</formula>
    </cfRule>
    <cfRule type="cellIs" dxfId="277" priority="96" stopIfTrue="1" operator="equal">
      <formula>"ADMISIBLE"</formula>
    </cfRule>
  </conditionalFormatting>
  <conditionalFormatting sqref="AK51">
    <cfRule type="cellIs" dxfId="276" priority="93" stopIfTrue="1" operator="equal">
      <formula>"NO ADMISIBLE"</formula>
    </cfRule>
    <cfRule type="cellIs" dxfId="275" priority="94" stopIfTrue="1" operator="equal">
      <formula>"ADMISIBLE"</formula>
    </cfRule>
  </conditionalFormatting>
  <conditionalFormatting sqref="AI51">
    <cfRule type="cellIs" dxfId="274" priority="90" stopIfTrue="1" operator="equal">
      <formula>"NO ADMISIBLE"</formula>
    </cfRule>
  </conditionalFormatting>
  <conditionalFormatting sqref="AI51">
    <cfRule type="cellIs" dxfId="273" priority="91" stopIfTrue="1" operator="equal">
      <formula>"NO ADMISIBLE"</formula>
    </cfRule>
    <cfRule type="cellIs" dxfId="272" priority="92" stopIfTrue="1" operator="equal">
      <formula>"ADMISIBLE"</formula>
    </cfRule>
  </conditionalFormatting>
  <conditionalFormatting sqref="AH51">
    <cfRule type="cellIs" dxfId="271" priority="87" stopIfTrue="1" operator="equal">
      <formula>"NO ADMISIBLE"</formula>
    </cfRule>
  </conditionalFormatting>
  <conditionalFormatting sqref="AH51">
    <cfRule type="cellIs" dxfId="270" priority="88" stopIfTrue="1" operator="equal">
      <formula>"NO ADMISIBLE"</formula>
    </cfRule>
    <cfRule type="cellIs" dxfId="269" priority="89" stopIfTrue="1" operator="equal">
      <formula>"ADMISIBLE"</formula>
    </cfRule>
  </conditionalFormatting>
  <conditionalFormatting sqref="AL51:AM51">
    <cfRule type="cellIs" dxfId="268" priority="85" stopIfTrue="1" operator="equal">
      <formula>"NO ADMISIBLE"</formula>
    </cfRule>
    <cfRule type="cellIs" dxfId="267" priority="86" stopIfTrue="1" operator="equal">
      <formula>"ADMISIBLE"</formula>
    </cfRule>
  </conditionalFormatting>
  <conditionalFormatting sqref="AG57:AI57">
    <cfRule type="cellIs" dxfId="266" priority="83" stopIfTrue="1" operator="equal">
      <formula>"NO ADMISIBLE"</formula>
    </cfRule>
    <cfRule type="cellIs" dxfId="265" priority="84" stopIfTrue="1" operator="equal">
      <formula>"ADMISIBLE"</formula>
    </cfRule>
  </conditionalFormatting>
  <conditionalFormatting sqref="AB57">
    <cfRule type="cellIs" dxfId="264" priority="81" stopIfTrue="1" operator="equal">
      <formula>"NO ADMISIBLE"</formula>
    </cfRule>
    <cfRule type="cellIs" dxfId="263" priority="82" stopIfTrue="1" operator="equal">
      <formula>"ADMISIBLE"</formula>
    </cfRule>
  </conditionalFormatting>
  <conditionalFormatting sqref="AK57">
    <cfRule type="cellIs" dxfId="262" priority="79" stopIfTrue="1" operator="equal">
      <formula>"NO ADMISIBLE"</formula>
    </cfRule>
    <cfRule type="cellIs" dxfId="261" priority="80" stopIfTrue="1" operator="equal">
      <formula>"ADMISIBLE"</formula>
    </cfRule>
  </conditionalFormatting>
  <conditionalFormatting sqref="U57">
    <cfRule type="cellIs" dxfId="260" priority="77" stopIfTrue="1" operator="equal">
      <formula>"NO ADMISIBLE"</formula>
    </cfRule>
    <cfRule type="cellIs" dxfId="259" priority="78" stopIfTrue="1" operator="equal">
      <formula>"ADMISIBLE"</formula>
    </cfRule>
  </conditionalFormatting>
  <conditionalFormatting sqref="AF57:AI57">
    <cfRule type="cellIs" dxfId="258" priority="76" stopIfTrue="1" operator="equal">
      <formula>"NO ADMISIBLE"</formula>
    </cfRule>
  </conditionalFormatting>
  <conditionalFormatting sqref="AJ57:AK57">
    <cfRule type="cellIs" dxfId="257" priority="75" stopIfTrue="1" operator="equal">
      <formula>"NO ADMISIBLE"</formula>
    </cfRule>
  </conditionalFormatting>
  <conditionalFormatting sqref="D57">
    <cfRule type="cellIs" dxfId="256" priority="74" stopIfTrue="1" operator="equal">
      <formula>"NO ADMISIBLE"</formula>
    </cfRule>
  </conditionalFormatting>
  <conditionalFormatting sqref="K57">
    <cfRule type="cellIs" dxfId="255" priority="73" stopIfTrue="1" operator="equal">
      <formula>"NO ADMISIBLE"</formula>
    </cfRule>
  </conditionalFormatting>
  <conditionalFormatting sqref="J57">
    <cfRule type="cellIs" dxfId="254" priority="72" stopIfTrue="1" operator="equal">
      <formula>"NO ADMISIBLE"</formula>
    </cfRule>
  </conditionalFormatting>
  <conditionalFormatting sqref="AL52:AL56">
    <cfRule type="cellIs" dxfId="253" priority="70" stopIfTrue="1" operator="equal">
      <formula>"NO ADMISIBLE"</formula>
    </cfRule>
    <cfRule type="cellIs" dxfId="252" priority="71" stopIfTrue="1" operator="equal">
      <formula>"ADMISIBLE"</formula>
    </cfRule>
  </conditionalFormatting>
  <conditionalFormatting sqref="D56">
    <cfRule type="cellIs" dxfId="251" priority="69" stopIfTrue="1" operator="equal">
      <formula>"NO ADMISIBLE"</formula>
    </cfRule>
  </conditionalFormatting>
  <conditionalFormatting sqref="J54:J56">
    <cfRule type="cellIs" dxfId="250" priority="68" stopIfTrue="1" operator="equal">
      <formula>"NO ADMISIBLE"</formula>
    </cfRule>
  </conditionalFormatting>
  <conditionalFormatting sqref="D54:D55">
    <cfRule type="cellIs" dxfId="249" priority="67" stopIfTrue="1" operator="equal">
      <formula>"NO ADMISIBLE"</formula>
    </cfRule>
  </conditionalFormatting>
  <conditionalFormatting sqref="K54:K56">
    <cfRule type="cellIs" dxfId="248" priority="66" stopIfTrue="1" operator="equal">
      <formula>"NO ADMISIBLE"</formula>
    </cfRule>
  </conditionalFormatting>
  <conditionalFormatting sqref="AL52:AL56">
    <cfRule type="cellIs" dxfId="247" priority="64" stopIfTrue="1" operator="equal">
      <formula>"NO ADMISIBLE"</formula>
    </cfRule>
    <cfRule type="cellIs" dxfId="246" priority="65" stopIfTrue="1" operator="equal">
      <formula>"ADMISIBLE"</formula>
    </cfRule>
  </conditionalFormatting>
  <conditionalFormatting sqref="D56">
    <cfRule type="cellIs" dxfId="245" priority="63" stopIfTrue="1" operator="equal">
      <formula>"NO ADMISIBLE"</formula>
    </cfRule>
  </conditionalFormatting>
  <conditionalFormatting sqref="J54:J56">
    <cfRule type="cellIs" dxfId="244" priority="62" stopIfTrue="1" operator="equal">
      <formula>"NO ADMISIBLE"</formula>
    </cfRule>
  </conditionalFormatting>
  <conditionalFormatting sqref="D54:D55">
    <cfRule type="cellIs" dxfId="243" priority="61" stopIfTrue="1" operator="equal">
      <formula>"NO ADMISIBLE"</formula>
    </cfRule>
  </conditionalFormatting>
  <conditionalFormatting sqref="K54:K56">
    <cfRule type="cellIs" dxfId="242" priority="60" stopIfTrue="1" operator="equal">
      <formula>"NO ADMISIBLE"</formula>
    </cfRule>
  </conditionalFormatting>
  <conditionalFormatting sqref="C57">
    <cfRule type="cellIs" dxfId="241" priority="59" stopIfTrue="1" operator="equal">
      <formula>"NO ADMISIBLE"</formula>
    </cfRule>
  </conditionalFormatting>
  <conditionalFormatting sqref="AF57:AG57">
    <cfRule type="cellIs" dxfId="240" priority="58" stopIfTrue="1" operator="equal">
      <formula>"NO ADMISIBLE"</formula>
    </cfRule>
  </conditionalFormatting>
  <conditionalFormatting sqref="AF57">
    <cfRule type="cellIs" dxfId="239" priority="56" stopIfTrue="1" operator="equal">
      <formula>"NO ADMISIBLE"</formula>
    </cfRule>
    <cfRule type="cellIs" dxfId="238" priority="57" stopIfTrue="1" operator="equal">
      <formula>"ADMISIBLE"</formula>
    </cfRule>
  </conditionalFormatting>
  <conditionalFormatting sqref="AJ57">
    <cfRule type="cellIs" dxfId="237" priority="55" stopIfTrue="1" operator="equal">
      <formula>"NO ADMISIBLE"</formula>
    </cfRule>
  </conditionalFormatting>
  <conditionalFormatting sqref="AJ57">
    <cfRule type="cellIs" dxfId="236" priority="53" stopIfTrue="1" operator="equal">
      <formula>"NO ADMISIBLE"</formula>
    </cfRule>
    <cfRule type="cellIs" dxfId="235" priority="54" stopIfTrue="1" operator="equal">
      <formula>"ADMISIBLE"</formula>
    </cfRule>
  </conditionalFormatting>
  <conditionalFormatting sqref="U57">
    <cfRule type="cellIs" dxfId="234" priority="51" stopIfTrue="1" operator="equal">
      <formula>"NO ADMISIBLE"</formula>
    </cfRule>
    <cfRule type="cellIs" dxfId="233" priority="52" stopIfTrue="1" operator="equal">
      <formula>"ADMISIBLE"</formula>
    </cfRule>
  </conditionalFormatting>
  <conditionalFormatting sqref="W57">
    <cfRule type="cellIs" dxfId="232" priority="49" stopIfTrue="1" operator="equal">
      <formula>"NO ADMISIBLE"</formula>
    </cfRule>
    <cfRule type="cellIs" dxfId="231" priority="50" stopIfTrue="1" operator="equal">
      <formula>"ADMISIBLE"</formula>
    </cfRule>
  </conditionalFormatting>
  <conditionalFormatting sqref="Y57">
    <cfRule type="cellIs" dxfId="230" priority="47" stopIfTrue="1" operator="equal">
      <formula>"NO ADMISIBLE"</formula>
    </cfRule>
    <cfRule type="cellIs" dxfId="229" priority="48" stopIfTrue="1" operator="equal">
      <formula>"ADMISIBLE"</formula>
    </cfRule>
  </conditionalFormatting>
  <conditionalFormatting sqref="AB57:AC57">
    <cfRule type="cellIs" dxfId="228" priority="45" stopIfTrue="1" operator="equal">
      <formula>"NO ADMISIBLE"</formula>
    </cfRule>
    <cfRule type="cellIs" dxfId="227" priority="46" stopIfTrue="1" operator="equal">
      <formula>"ADMISIBLE"</formula>
    </cfRule>
  </conditionalFormatting>
  <conditionalFormatting sqref="AK57">
    <cfRule type="cellIs" dxfId="226" priority="43" stopIfTrue="1" operator="equal">
      <formula>"NO ADMISIBLE"</formula>
    </cfRule>
    <cfRule type="cellIs" dxfId="225" priority="44" stopIfTrue="1" operator="equal">
      <formula>"ADMISIBLE"</formula>
    </cfRule>
  </conditionalFormatting>
  <conditionalFormatting sqref="AI57">
    <cfRule type="cellIs" dxfId="224" priority="40" stopIfTrue="1" operator="equal">
      <formula>"NO ADMISIBLE"</formula>
    </cfRule>
  </conditionalFormatting>
  <conditionalFormatting sqref="AI57">
    <cfRule type="cellIs" dxfId="223" priority="41" stopIfTrue="1" operator="equal">
      <formula>"NO ADMISIBLE"</formula>
    </cfRule>
    <cfRule type="cellIs" dxfId="222" priority="42" stopIfTrue="1" operator="equal">
      <formula>"ADMISIBLE"</formula>
    </cfRule>
  </conditionalFormatting>
  <conditionalFormatting sqref="AH57">
    <cfRule type="cellIs" dxfId="221" priority="37" stopIfTrue="1" operator="equal">
      <formula>"NO ADMISIBLE"</formula>
    </cfRule>
  </conditionalFormatting>
  <conditionalFormatting sqref="AH57">
    <cfRule type="cellIs" dxfId="220" priority="38" stopIfTrue="1" operator="equal">
      <formula>"NO ADMISIBLE"</formula>
    </cfRule>
    <cfRule type="cellIs" dxfId="219" priority="39" stopIfTrue="1" operator="equal">
      <formula>"ADMISIBLE"</formula>
    </cfRule>
  </conditionalFormatting>
  <conditionalFormatting sqref="AL57:AM57">
    <cfRule type="cellIs" dxfId="218" priority="35" stopIfTrue="1" operator="equal">
      <formula>"NO ADMISIBLE"</formula>
    </cfRule>
    <cfRule type="cellIs" dxfId="217" priority="36" stopIfTrue="1" operator="equal">
      <formula>"ADMISIBLE"</formula>
    </cfRule>
  </conditionalFormatting>
  <conditionalFormatting sqref="J52">
    <cfRule type="cellIs" dxfId="216" priority="34" stopIfTrue="1" operator="equal">
      <formula>"NO ADMISIBLE"</formula>
    </cfRule>
  </conditionalFormatting>
  <conditionalFormatting sqref="J52">
    <cfRule type="cellIs" dxfId="215" priority="33" stopIfTrue="1" operator="equal">
      <formula>"NO ADMISIBLE"</formula>
    </cfRule>
  </conditionalFormatting>
  <conditionalFormatting sqref="J34">
    <cfRule type="cellIs" dxfId="214" priority="29" stopIfTrue="1" operator="equal">
      <formula>"NO ADMISIBLE"</formula>
    </cfRule>
  </conditionalFormatting>
  <conditionalFormatting sqref="J34">
    <cfRule type="cellIs" dxfId="213" priority="28" stopIfTrue="1" operator="equal">
      <formula>"NO ADMISIBLE"</formula>
    </cfRule>
  </conditionalFormatting>
  <conditionalFormatting sqref="AM23 AM18">
    <cfRule type="cellIs" dxfId="212" priority="24" stopIfTrue="1" operator="equal">
      <formula>"NO ADMISIBLE"</formula>
    </cfRule>
    <cfRule type="cellIs" dxfId="211" priority="25" stopIfTrue="1" operator="equal">
      <formula>"ADMISIBLE"</formula>
    </cfRule>
  </conditionalFormatting>
  <conditionalFormatting sqref="AM35:AM38">
    <cfRule type="cellIs" dxfId="210" priority="18" stopIfTrue="1" operator="equal">
      <formula>"NO ADMISIBLE"</formula>
    </cfRule>
    <cfRule type="cellIs" dxfId="209" priority="19" stopIfTrue="1" operator="equal">
      <formula>"ADMISIBLE"</formula>
    </cfRule>
  </conditionalFormatting>
  <conditionalFormatting sqref="AM41:AM44">
    <cfRule type="cellIs" dxfId="208" priority="16" stopIfTrue="1" operator="equal">
      <formula>"NO ADMISIBLE"</formula>
    </cfRule>
    <cfRule type="cellIs" dxfId="207" priority="17" stopIfTrue="1" operator="equal">
      <formula>"ADMISIBLE"</formula>
    </cfRule>
  </conditionalFormatting>
  <conditionalFormatting sqref="AM47:AM50">
    <cfRule type="cellIs" dxfId="206" priority="14" stopIfTrue="1" operator="equal">
      <formula>"NO ADMISIBLE"</formula>
    </cfRule>
    <cfRule type="cellIs" dxfId="205" priority="15" stopIfTrue="1" operator="equal">
      <formula>"ADMISIBLE"</formula>
    </cfRule>
  </conditionalFormatting>
  <conditionalFormatting sqref="AM47:AM50">
    <cfRule type="cellIs" dxfId="204" priority="12" stopIfTrue="1" operator="equal">
      <formula>"NO ADMISIBLE"</formula>
    </cfRule>
    <cfRule type="cellIs" dxfId="203" priority="13" stopIfTrue="1" operator="equal">
      <formula>"ADMISIBLE"</formula>
    </cfRule>
  </conditionalFormatting>
  <conditionalFormatting sqref="AM52:AM56">
    <cfRule type="cellIs" dxfId="202" priority="10" stopIfTrue="1" operator="equal">
      <formula>"NO ADMISIBLE"</formula>
    </cfRule>
    <cfRule type="cellIs" dxfId="201" priority="11" stopIfTrue="1" operator="equal">
      <formula>"ADMISIBLE"</formula>
    </cfRule>
  </conditionalFormatting>
  <conditionalFormatting sqref="AM52:AM56">
    <cfRule type="cellIs" dxfId="200" priority="8" stopIfTrue="1" operator="equal">
      <formula>"NO ADMISIBLE"</formula>
    </cfRule>
    <cfRule type="cellIs" dxfId="199" priority="9" stopIfTrue="1" operator="equal">
      <formula>"ADMISIBLE"</formula>
    </cfRule>
  </conditionalFormatting>
  <conditionalFormatting sqref="AM13">
    <cfRule type="cellIs" dxfId="198" priority="6" stopIfTrue="1" operator="equal">
      <formula>"NO ADMISIBLE"</formula>
    </cfRule>
    <cfRule type="cellIs" dxfId="197" priority="7" stopIfTrue="1" operator="equal">
      <formula>"ADMISIBLE"</formula>
    </cfRule>
  </conditionalFormatting>
  <dataValidations count="1">
    <dataValidation type="list" allowBlank="1" showInputMessage="1" showErrorMessage="1" sqref="D12:D57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N26"/>
  <sheetViews>
    <sheetView topLeftCell="A6" workbookViewId="0">
      <selection activeCell="A17" sqref="A17:XFD26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15" style="142" customWidth="1"/>
    <col min="6" max="6" width="22.28515625" style="142" customWidth="1"/>
    <col min="7" max="7" width="17" style="142" customWidth="1"/>
    <col min="8" max="8" width="13.85546875" style="131" customWidth="1"/>
    <col min="9" max="9" width="36.140625" style="131" customWidth="1"/>
    <col min="10" max="10" width="32.28515625" style="142" customWidth="1"/>
    <col min="11" max="11" width="13.85546875" style="153" customWidth="1"/>
    <col min="12" max="12" width="9.7109375" style="154" customWidth="1"/>
    <col min="13" max="13" width="12.5703125" style="142" customWidth="1"/>
    <col min="14" max="14" width="12.7109375" style="142" customWidth="1"/>
    <col min="15" max="16384" width="11.42578125" style="142"/>
  </cols>
  <sheetData>
    <row r="2" spans="1:14" s="144" customFormat="1" ht="20.25" customHeight="1" x14ac:dyDescent="0.2">
      <c r="C2" s="349" t="s">
        <v>195</v>
      </c>
      <c r="D2" s="349"/>
      <c r="E2" s="349"/>
      <c r="F2" s="349"/>
      <c r="G2" s="349"/>
      <c r="H2" s="349"/>
      <c r="I2" s="349"/>
      <c r="K2" s="145"/>
      <c r="L2" s="146"/>
    </row>
    <row r="3" spans="1:14" s="144" customFormat="1" ht="18" customHeight="1" x14ac:dyDescent="0.2">
      <c r="C3" s="350" t="s">
        <v>209</v>
      </c>
      <c r="D3" s="350"/>
      <c r="E3" s="350"/>
      <c r="F3" s="350"/>
      <c r="G3" s="350"/>
      <c r="H3" s="350"/>
      <c r="I3" s="350"/>
      <c r="K3" s="145"/>
      <c r="L3" s="146"/>
    </row>
    <row r="4" spans="1:14" s="144" customFormat="1" ht="13.5" customHeight="1" x14ac:dyDescent="0.2">
      <c r="C4" s="351" t="str">
        <f>'Capacidad Financiera'!B4</f>
        <v>SA-MC-DT-VAL-005-2024</v>
      </c>
      <c r="D4" s="351"/>
      <c r="E4" s="351"/>
      <c r="F4" s="351"/>
      <c r="G4" s="351"/>
      <c r="H4" s="351"/>
      <c r="I4" s="351"/>
      <c r="K4" s="145"/>
      <c r="L4" s="146"/>
    </row>
    <row r="5" spans="1:14" s="144" customFormat="1" ht="13.5" customHeight="1" x14ac:dyDescent="0.2">
      <c r="C5" s="351" t="s">
        <v>211</v>
      </c>
      <c r="D5" s="351"/>
      <c r="E5" s="351"/>
      <c r="F5" s="351"/>
      <c r="G5" s="351"/>
      <c r="H5" s="351"/>
      <c r="I5" s="351"/>
      <c r="K5" s="145"/>
      <c r="L5" s="146"/>
    </row>
    <row r="6" spans="1:14" s="144" customFormat="1" ht="14.25" thickBot="1" x14ac:dyDescent="0.25">
      <c r="C6" s="147"/>
      <c r="D6" s="147"/>
      <c r="E6" s="148"/>
      <c r="F6" s="148"/>
      <c r="G6" s="149"/>
      <c r="H6" s="151"/>
      <c r="I6" s="151"/>
      <c r="K6" s="145"/>
      <c r="L6" s="146"/>
    </row>
    <row r="7" spans="1:14" ht="69" customHeight="1" x14ac:dyDescent="0.2">
      <c r="C7" s="352" t="s">
        <v>157</v>
      </c>
      <c r="D7" s="354" t="s">
        <v>156</v>
      </c>
      <c r="E7" s="356" t="s">
        <v>212</v>
      </c>
      <c r="F7" s="356" t="s">
        <v>246</v>
      </c>
      <c r="G7" s="356" t="s">
        <v>245</v>
      </c>
      <c r="H7" s="347" t="s">
        <v>211</v>
      </c>
      <c r="I7" s="348"/>
    </row>
    <row r="8" spans="1:14" ht="73.5" customHeight="1" thickBot="1" x14ac:dyDescent="0.25">
      <c r="C8" s="353"/>
      <c r="D8" s="355"/>
      <c r="E8" s="357"/>
      <c r="F8" s="357"/>
      <c r="G8" s="357"/>
      <c r="H8" s="184" t="s">
        <v>213</v>
      </c>
      <c r="I8" s="185" t="s">
        <v>214</v>
      </c>
    </row>
    <row r="9" spans="1:14" ht="28.5" customHeight="1" thickBot="1" x14ac:dyDescent="0.25">
      <c r="A9" s="171" t="s">
        <v>215</v>
      </c>
      <c r="C9" s="86">
        <f>+'Capacidad Financiera'!B12</f>
        <v>1</v>
      </c>
      <c r="D9" s="87" t="str">
        <f>IF(ISERROR(VLOOKUP(C9,'Capacidad Financiera'!$B$12:$AC$59119,2,0)),"",VLOOKUP(C9,'Capacidad Financiera'!$B$12:$AC$59119,2,0))</f>
        <v>JORGE EIVAR TULCAN LOSADA</v>
      </c>
      <c r="E9" s="88">
        <f>IF(ISERROR(VLOOKUP(C9,'Capacidad Financiera'!$B$12:$AC$59119,3,0)),"",VLOOKUP(C9,'Capacidad Financiera'!$B$12:$AC$59119,3,0))</f>
        <v>1</v>
      </c>
      <c r="F9" s="89">
        <v>37687101918</v>
      </c>
      <c r="G9" s="89">
        <f>IF(OR(D9="",E9="",F9=""),"",IF(C10="",IF(C9&lt;&gt;"",IF(ISERROR(VLOOKUP($A$10,POA!$A$2:$D$16,2,0)),"",VLOOKUP($A$10,POA!$A$2:$D$16,2,0)),""),""))</f>
        <v>765000000</v>
      </c>
      <c r="H9" s="181">
        <f>IF(OR(D9="",E9="",F9=""),"",IF(C10="",IF(C9&lt;&gt;"",F9/G9,""),""))</f>
        <v>49.264185513725494</v>
      </c>
      <c r="I9" s="177">
        <f>IF(C10="",IF(F9="","",IF(AND(H9&gt;0,H9&lt;=Experiencia1),Puntajes!$D$4,IF(AND(H9&gt;Experiencia1,H9&lt;=Experiencia2),Puntajes!$D$5,IF(AND(H9&gt;Experiencia2,H9&lt;=Experiencia3),Puntajes!$D$6,IF(H9&gt;Experiencia3,Puntajes!$D$7,0))))),"")</f>
        <v>120</v>
      </c>
      <c r="K9" s="155"/>
      <c r="L9" s="156"/>
      <c r="M9" s="143"/>
      <c r="N9" s="143"/>
    </row>
    <row r="10" spans="1:14" ht="34.5" customHeight="1" thickBot="1" x14ac:dyDescent="0.25">
      <c r="A10" s="180">
        <v>1</v>
      </c>
      <c r="C10" s="91"/>
      <c r="D10" s="123"/>
      <c r="E10" s="123"/>
      <c r="F10" s="123"/>
      <c r="G10" s="123"/>
      <c r="H10" s="123"/>
      <c r="I10" s="123"/>
    </row>
    <row r="11" spans="1:14" x14ac:dyDescent="0.2">
      <c r="C11" s="86">
        <v>2</v>
      </c>
      <c r="D11" s="87" t="str">
        <f>IF(ISERROR(VLOOKUP(C11,'Capacidad Financiera'!$B$12:$AC$59119,2,0)),"",VLOOKUP(C11,'Capacidad Financiera'!$B$12:$AC$59119,2,0))</f>
        <v>CESAR ANTONIO PADRON TORRES</v>
      </c>
      <c r="E11" s="88">
        <f>IF(ISERROR(VLOOKUP(C11,'Capacidad Financiera'!$B$12:$AC$59119,3,0)),"",VLOOKUP(C11,'Capacidad Financiera'!$B$12:$AC$59119,3,0))</f>
        <v>1</v>
      </c>
      <c r="F11" s="89">
        <v>31991158550</v>
      </c>
      <c r="G11" s="89">
        <f>IF(OR(D11="",E11="",F11=""),"",IF(C12="",IF(C11&lt;&gt;"",IF(ISERROR(VLOOKUP($A$10,POA!$A$2:$D$16,2,0)),"",VLOOKUP($A$10,POA!$A$2:$D$16,2,0)),""),""))</f>
        <v>765000000</v>
      </c>
      <c r="H11" s="181">
        <f>IF(OR(D11="",E11="",F11=""),"",IF(C12="",IF(C11&lt;&gt;"",F11/G11,""),""))</f>
        <v>41.818507908496734</v>
      </c>
      <c r="I11" s="177">
        <f>IF(C12="",IF(F11="","",IF(AND(H11&gt;0,H11&lt;=Experiencia1),Puntajes!$D$4,IF(AND(H11&gt;Experiencia1,H11&lt;=Experiencia2),Puntajes!$D$5,IF(AND(H11&gt;Experiencia2,H11&lt;=Experiencia3),Puntajes!$D$6,IF(H11&gt;Experiencia3,Puntajes!$D$7,0))))),"")</f>
        <v>120</v>
      </c>
    </row>
    <row r="12" spans="1:14" ht="13.5" thickBot="1" x14ac:dyDescent="0.25">
      <c r="C12" s="91"/>
      <c r="D12" s="123"/>
      <c r="E12" s="123"/>
      <c r="F12" s="123"/>
      <c r="G12" s="123"/>
      <c r="H12" s="123"/>
      <c r="I12" s="123"/>
    </row>
    <row r="13" spans="1:14" x14ac:dyDescent="0.2">
      <c r="C13" s="86">
        <v>3</v>
      </c>
      <c r="D13" s="87" t="str">
        <f>IF(ISERROR(VLOOKUP(C13,'Capacidad Financiera'!$B$12:$AC$59119,2,0)),"",VLOOKUP(C13,'Capacidad Financiera'!$B$12:$AC$59119,2,0))</f>
        <v>CONSORCIO LANDA</v>
      </c>
      <c r="E13" s="88">
        <f>IF(ISERROR(VLOOKUP(C13,'Capacidad Financiera'!$B$12:$AC$59119,3,0)),"",VLOOKUP(C13,'Capacidad Financiera'!$B$12:$AC$59119,3,0))</f>
        <v>1</v>
      </c>
      <c r="F13" s="89">
        <f>+F14+F15</f>
        <v>15355652130</v>
      </c>
      <c r="G13" s="89">
        <f>IF(OR(D13="",E13="",F13=""),"",IF(C16="",IF(C13&lt;&gt;"",IF(ISERROR(VLOOKUP($A$10,POA!$A$2:$D$16,2,0)),"",VLOOKUP($A$10,POA!$A$2:$D$16,2,0)),""),""))</f>
        <v>765000000</v>
      </c>
      <c r="H13" s="181">
        <f>IF(OR(D13="",E13="",F13=""),"",IF(C16="",IF(C13&lt;&gt;"",F13/G13,""),""))</f>
        <v>20.072747882352942</v>
      </c>
      <c r="I13" s="177">
        <f>IF(C16="",IF(F13="","",IF(AND(H13&gt;0,H13&lt;=Experiencia1),Puntajes!$D$4,IF(AND(H13&gt;Experiencia1,H13&lt;=Experiencia2),Puntajes!$D$5,IF(AND(H13&gt;Experiencia2,H13&lt;=Experiencia3),Puntajes!$D$6,IF(H13&gt;Experiencia3,Puntajes!$D$7,0))))),"")</f>
        <v>120</v>
      </c>
    </row>
    <row r="14" spans="1:14" x14ac:dyDescent="0.2">
      <c r="C14" s="274"/>
      <c r="D14" s="275"/>
      <c r="E14" s="276"/>
      <c r="F14" s="277">
        <v>10537359430</v>
      </c>
      <c r="G14" s="277"/>
      <c r="H14" s="278"/>
      <c r="I14" s="279"/>
    </row>
    <row r="15" spans="1:14" x14ac:dyDescent="0.2">
      <c r="C15" s="274"/>
      <c r="D15" s="275"/>
      <c r="E15" s="276"/>
      <c r="F15" s="277">
        <v>4818292700</v>
      </c>
      <c r="G15" s="277"/>
      <c r="H15" s="278"/>
      <c r="I15" s="279"/>
    </row>
    <row r="16" spans="1:14" x14ac:dyDescent="0.2">
      <c r="C16" s="91"/>
      <c r="D16" s="123"/>
      <c r="E16" s="123"/>
      <c r="F16" s="123"/>
      <c r="G16" s="123" t="str">
        <f>IF(OR(D16="",E16="",F16=""),"",IF(C16&lt;&gt;"",IF(ISERROR(VLOOKUP($A$10,POA!$A$2:$D$16,2,0)),"",VLOOKUP($A$10,POA!$A$2:$D$16,2,0)/SALACTUAL),""))</f>
        <v/>
      </c>
      <c r="H16" s="123"/>
      <c r="I16" s="123" t="str">
        <f>IF(OR(D16="",E16="",F16=""),"",IF(AND(H16&gt;0,H16&lt;=Experiencia1),Puntajes!$D$4,IF(AND(H16&gt;Experiencia1,H16&lt;=Experiencia2),Puntajes!$D$5,IF(AND(H16&gt;Experiencia2,H16&lt;=Experiencia3),Puntajes!$D$6,IF(H16&gt;Experiencia3,Puntajes!$D$7,0)))))</f>
        <v/>
      </c>
    </row>
    <row r="17" spans="3:9" hidden="1" x14ac:dyDescent="0.2">
      <c r="C17" s="86">
        <v>4</v>
      </c>
      <c r="D17" s="87">
        <f>IF(ISERROR(VLOOKUP(C17,'Capacidad Financiera'!$B$12:$AC$59119,2,0)),"",VLOOKUP(C17,'Capacidad Financiera'!$B$12:$AC$59119,2,0))</f>
        <v>0</v>
      </c>
      <c r="E17" s="88">
        <f>IF(ISERROR(VLOOKUP(C17,'Capacidad Financiera'!$B$12:$AC$59119,3,0)),"",VLOOKUP(C17,'Capacidad Financiera'!$B$12:$AC$59119,3,0))</f>
        <v>0</v>
      </c>
      <c r="F17" s="89"/>
      <c r="G17" s="89" t="str">
        <f>IF(OR(D17="",E17="",F17=""),"",IF(C18="",IF(C17&lt;&gt;"",IF(ISERROR(VLOOKUP($A$10,POA!$A$2:$D$16,2,0)),"",VLOOKUP($A$10,POA!$A$2:$D$16,2,0)),""),""))</f>
        <v/>
      </c>
      <c r="H17" s="181" t="str">
        <f t="shared" ref="H17" si="0">IF(OR(D17="",E17="",F17=""),"",IF(C18="",IF(C17&lt;&gt;"",F17/G17,""),""))</f>
        <v/>
      </c>
      <c r="I17" s="177" t="str">
        <f>IF(C18="",IF(F17="","",IF(AND(H17&gt;0,H17&lt;=Experiencia1),Puntajes!$D$4,IF(AND(H17&gt;Experiencia1,H17&lt;=Experiencia2),Puntajes!$D$5,IF(AND(H17&gt;Experiencia2,H17&lt;=Experiencia3),Puntajes!$D$6,IF(H17&gt;Experiencia3,Puntajes!$D$7,0))))),"")</f>
        <v/>
      </c>
    </row>
    <row r="18" spans="3:9" ht="13.5" hidden="1" thickBot="1" x14ac:dyDescent="0.25">
      <c r="C18" s="91"/>
      <c r="D18" s="123"/>
      <c r="E18" s="123"/>
      <c r="F18" s="123"/>
      <c r="G18" s="123" t="str">
        <f>IF(OR(D18="",E18="",F18=""),"",IF(C18&lt;&gt;"",IF(ISERROR(VLOOKUP($A$10,POA!$A$2:$D$16,2,0)),"",VLOOKUP($A$10,POA!$A$2:$D$16,2,0)/SALACTUAL),""))</f>
        <v/>
      </c>
      <c r="H18" s="123"/>
      <c r="I18" s="123" t="str">
        <f>IF(OR(D18="",E18="",F18=""),"",IF(AND(H18&gt;0,H18&lt;=Experiencia1),Puntajes!$D$4,IF(AND(H18&gt;Experiencia1,H18&lt;=Experiencia2),Puntajes!$D$5,IF(AND(H18&gt;Experiencia2,H18&lt;=Experiencia3),Puntajes!$D$6,IF(H18&gt;Experiencia3,Puntajes!$D$7,0)))))</f>
        <v/>
      </c>
    </row>
    <row r="19" spans="3:9" hidden="1" x14ac:dyDescent="0.2">
      <c r="C19" s="86">
        <v>5</v>
      </c>
      <c r="D19" s="87">
        <f>IF(ISERROR(VLOOKUP(C19,'Capacidad Financiera'!$B$12:$AC$59119,2,0)),"",VLOOKUP(C19,'Capacidad Financiera'!$B$12:$AC$59119,2,0))</f>
        <v>0</v>
      </c>
      <c r="E19" s="88" t="str">
        <f>IF(ISERROR(VLOOKUP(C19,'Capacidad Financiera'!$B$12:$AC$59119,3,0)),"",VLOOKUP(C19,'Capacidad Financiera'!$B$12:$AC$59119,3,0))</f>
        <v/>
      </c>
      <c r="F19" s="89"/>
      <c r="G19" s="89" t="str">
        <f>IF(OR(D19="",E19="",F19=""),"",IF(C20="",IF(C19&lt;&gt;"",IF(ISERROR(VLOOKUP($A$10,POA!$A$2:$D$16,2,0)),"",VLOOKUP($A$10,POA!$A$2:$D$16,2,0)),""),""))</f>
        <v/>
      </c>
      <c r="H19" s="181" t="str">
        <f t="shared" ref="H19" si="1">IF(OR(D19="",E19="",F19=""),"",IF(C20="",IF(C19&lt;&gt;"",F19/G19,""),""))</f>
        <v/>
      </c>
      <c r="I19" s="177" t="str">
        <f>IF(C20="",IF(F19="","",IF(AND(H19&gt;0,H19&lt;=Experiencia1),Puntajes!$D$4,IF(AND(H19&gt;Experiencia1,H19&lt;=Experiencia2),Puntajes!$D$5,IF(AND(H19&gt;Experiencia2,H19&lt;=Experiencia3),Puntajes!$D$6,IF(H19&gt;Experiencia3,Puntajes!$D$7,0))))),"")</f>
        <v/>
      </c>
    </row>
    <row r="20" spans="3:9" ht="13.5" hidden="1" thickBot="1" x14ac:dyDescent="0.25">
      <c r="C20" s="91"/>
      <c r="D20" s="123"/>
      <c r="E20" s="123"/>
      <c r="F20" s="123"/>
      <c r="G20" s="123" t="str">
        <f>IF(OR(D20="",E20="",F20=""),"",IF(C20&lt;&gt;"",IF(ISERROR(VLOOKUP($A$10,POA!$A$2:$D$16,2,0)),"",VLOOKUP($A$10,POA!$A$2:$D$16,2,0)/SALACTUAL),""))</f>
        <v/>
      </c>
      <c r="H20" s="123"/>
      <c r="I20" s="123" t="str">
        <f>IF(OR(D20="",E20="",F20=""),"",IF(AND(H20&gt;0,H20&lt;=Experiencia1),Puntajes!$D$4,IF(AND(H20&gt;Experiencia1,H20&lt;=Experiencia2),Puntajes!$D$5,IF(AND(H20&gt;Experiencia2,H20&lt;=Experiencia3),Puntajes!$D$6,IF(H20&gt;Experiencia3,Puntajes!$D$7,0)))))</f>
        <v/>
      </c>
    </row>
    <row r="21" spans="3:9" hidden="1" x14ac:dyDescent="0.2">
      <c r="C21" s="86">
        <v>6</v>
      </c>
      <c r="D21" s="87">
        <f>IF(ISERROR(VLOOKUP(C21,'Capacidad Financiera'!$B$12:$AC$59119,2,0)),"",VLOOKUP(C21,'Capacidad Financiera'!$B$12:$AC$59119,2,0))</f>
        <v>0</v>
      </c>
      <c r="E21" s="88">
        <f>IF(ISERROR(VLOOKUP(C21,'Capacidad Financiera'!$B$12:$AC$59119,3,0)),"",VLOOKUP(C21,'Capacidad Financiera'!$B$12:$AC$59119,3,0))</f>
        <v>1</v>
      </c>
      <c r="F21" s="89"/>
      <c r="G21" s="89" t="str">
        <f>IF(OR(D21="",E21="",F21=""),"",IF(C22="",IF(C21&lt;&gt;"",IF(ISERROR(VLOOKUP($A$10,POA!$A$2:$D$16,2,0)),"",VLOOKUP($A$10,POA!$A$2:$D$16,2,0)),""),""))</f>
        <v/>
      </c>
      <c r="H21" s="181" t="str">
        <f t="shared" ref="H21" si="2">IF(OR(D21="",E21="",F21=""),"",IF(C22="",IF(C21&lt;&gt;"",F21/G21,""),""))</f>
        <v/>
      </c>
      <c r="I21" s="177" t="str">
        <f>IF(C22="",IF(F21="","",IF(AND(H21&gt;0,H21&lt;=Experiencia1),Puntajes!$D$4,IF(AND(H21&gt;Experiencia1,H21&lt;=Experiencia2),Puntajes!$D$5,IF(AND(H21&gt;Experiencia2,H21&lt;=Experiencia3),Puntajes!$D$6,IF(H21&gt;Experiencia3,Puntajes!$D$7,0))))),"")</f>
        <v/>
      </c>
    </row>
    <row r="22" spans="3:9" ht="13.5" hidden="1" thickBot="1" x14ac:dyDescent="0.25">
      <c r="C22" s="91"/>
      <c r="D22" s="123"/>
      <c r="E22" s="123"/>
      <c r="F22" s="123"/>
      <c r="G22" s="123" t="str">
        <f>IF(OR(D22="",E22="",F22=""),"",IF(C22&lt;&gt;"",IF(ISERROR(VLOOKUP($A$10,POA!$A$2:$D$16,2,0)),"",VLOOKUP($A$10,POA!$A$2:$D$16,2,0)/SALACTUAL),""))</f>
        <v/>
      </c>
      <c r="H22" s="123"/>
      <c r="I22" s="123" t="str">
        <f>IF(OR(D22="",E22="",F22=""),"",IF(AND(H22&gt;0,H22&lt;=Experiencia1),Puntajes!$D$4,IF(AND(H22&gt;Experiencia1,H22&lt;=Experiencia2),Puntajes!$D$5,IF(AND(H22&gt;Experiencia2,H22&lt;=Experiencia3),Puntajes!$D$6,IF(H22&gt;Experiencia3,Puntajes!$D$7,0)))))</f>
        <v/>
      </c>
    </row>
    <row r="23" spans="3:9" hidden="1" x14ac:dyDescent="0.2">
      <c r="C23" s="86">
        <v>7</v>
      </c>
      <c r="D23" s="87">
        <f>IF(ISERROR(VLOOKUP(C23,'Capacidad Financiera'!$B$12:$AC$59119,2,0)),"",VLOOKUP(C23,'Capacidad Financiera'!$B$12:$AC$59119,2,0))</f>
        <v>0</v>
      </c>
      <c r="E23" s="88" t="str">
        <f>IF(ISERROR(VLOOKUP(C23,'Capacidad Financiera'!$B$12:$AC$59119,3,0)),"",VLOOKUP(C23,'Capacidad Financiera'!$B$12:$AC$59119,3,0))</f>
        <v/>
      </c>
      <c r="F23" s="89"/>
      <c r="G23" s="89" t="str">
        <f>IF(OR(D23="",E23="",F23=""),"",IF(C24="",IF(C23&lt;&gt;"",IF(ISERROR(VLOOKUP($A$10,POA!$A$2:$D$16,2,0)),"",VLOOKUP($A$10,POA!$A$2:$D$16,2,0)),""),""))</f>
        <v/>
      </c>
      <c r="H23" s="181" t="str">
        <f t="shared" ref="H23" si="3">IF(OR(D23="",E23="",F23=""),"",IF(C24="",IF(C23&lt;&gt;"",F23/G23,""),""))</f>
        <v/>
      </c>
      <c r="I23" s="177" t="str">
        <f>IF(C24="",IF(F23="","",IF(AND(H23&gt;0,H23&lt;=Experiencia1),Puntajes!$D$4,IF(AND(H23&gt;Experiencia1,H23&lt;=Experiencia2),Puntajes!$D$5,IF(AND(H23&gt;Experiencia2,H23&lt;=Experiencia3),Puntajes!$D$6,IF(H23&gt;Experiencia3,Puntajes!$D$7,0))))),"")</f>
        <v/>
      </c>
    </row>
    <row r="24" spans="3:9" ht="13.5" hidden="1" thickBot="1" x14ac:dyDescent="0.25">
      <c r="C24" s="91"/>
      <c r="D24" s="123"/>
      <c r="E24" s="123"/>
      <c r="F24" s="123"/>
      <c r="G24" s="123" t="str">
        <f>IF(OR(D24="",E24="",F24=""),"",IF(C24&lt;&gt;"",IF(ISERROR(VLOOKUP($A$10,POA!$A$2:$D$16,2,0)),"",VLOOKUP($A$10,POA!$A$2:$D$16,2,0)/SALACTUAL),""))</f>
        <v/>
      </c>
      <c r="H24" s="123"/>
      <c r="I24" s="123" t="str">
        <f>IF(OR(D24="",E24="",F24=""),"",IF(AND(H24&gt;0,H24&lt;=Experiencia1),Puntajes!$D$4,IF(AND(H24&gt;Experiencia1,H24&lt;=Experiencia2),Puntajes!$D$5,IF(AND(H24&gt;Experiencia2,H24&lt;=Experiencia3),Puntajes!$D$6,IF(H24&gt;Experiencia3,Puntajes!$D$7,0)))))</f>
        <v/>
      </c>
    </row>
    <row r="25" spans="3:9" hidden="1" x14ac:dyDescent="0.2">
      <c r="C25" s="86">
        <v>8</v>
      </c>
      <c r="D25" s="87">
        <f>IF(ISERROR(VLOOKUP(C25,'Capacidad Financiera'!$B$12:$AC$59119,2,0)),"",VLOOKUP(C25,'Capacidad Financiera'!$B$12:$AC$59119,2,0))</f>
        <v>0</v>
      </c>
      <c r="E25" s="88" t="str">
        <f>IF(ISERROR(VLOOKUP(C25,'Capacidad Financiera'!$B$12:$AC$59119,3,0)),"",VLOOKUP(C25,'Capacidad Financiera'!$B$12:$AC$59119,3,0))</f>
        <v/>
      </c>
      <c r="F25" s="89"/>
      <c r="G25" s="89" t="str">
        <f>IF(OR(D25="",E25="",F25=""),"",IF(C26="",IF(C25&lt;&gt;"",IF(ISERROR(VLOOKUP($A$10,POA!$A$2:$D$16,2,0)),"",VLOOKUP($A$10,POA!$A$2:$D$16,2,0)),""),""))</f>
        <v/>
      </c>
      <c r="H25" s="181" t="str">
        <f t="shared" ref="H25" si="4">IF(OR(D25="",E25="",F25=""),"",IF(C26="",IF(C25&lt;&gt;"",F25/G25,""),""))</f>
        <v/>
      </c>
      <c r="I25" s="177" t="str">
        <f>IF(C26="",IF(F25="","",IF(AND(H25&gt;0,H25&lt;=Experiencia1),Puntajes!$D$4,IF(AND(H25&gt;Experiencia1,H25&lt;=Experiencia2),Puntajes!$D$5,IF(AND(H25&gt;Experiencia2,H25&lt;=Experiencia3),Puntajes!$D$6,IF(H25&gt;Experiencia3,Puntajes!$D$7,0))))),"")</f>
        <v/>
      </c>
    </row>
    <row r="26" spans="3:9" hidden="1" x14ac:dyDescent="0.2">
      <c r="C26" s="91"/>
      <c r="D26" s="123"/>
      <c r="E26" s="123"/>
      <c r="F26" s="123"/>
      <c r="G26" s="123" t="str">
        <f>IF(OR(D26="",E26="",F26=""),"",IF(C26&lt;&gt;"",IF(ISERROR(VLOOKUP($A$10,POA!$A$2:$D$16,2,0)),"",VLOOKUP($A$10,POA!$A$2:$D$16,2,0)/SALACTUAL),""))</f>
        <v/>
      </c>
      <c r="H26" s="123"/>
      <c r="I26" s="123" t="str">
        <f>IF(OR(D26="",E26="",F26=""),"",IF(AND(H26&gt;0,H26&lt;=Experiencia1),Puntajes!$D$4,IF(AND(H26&gt;Experiencia1,H26&lt;=Experiencia2),Puntajes!$D$5,IF(AND(H26&gt;Experiencia2,H26&lt;=Experiencia3),Puntajes!$D$6,IF(H26&gt;Experiencia3,Puntajes!$D$7,0)))))</f>
        <v/>
      </c>
    </row>
  </sheetData>
  <sheetProtection formatCells="0" formatColumns="0" formatRows="0" insertColumns="0" insertRows="0" insertHyperlinks="0" deleteColumns="0" deleteRows="0" sort="0" autoFilter="0" pivotTables="0"/>
  <mergeCells count="10">
    <mergeCell ref="H7:I7"/>
    <mergeCell ref="C2:I2"/>
    <mergeCell ref="C3:I3"/>
    <mergeCell ref="C4:I4"/>
    <mergeCell ref="C5:I5"/>
    <mergeCell ref="C7:C8"/>
    <mergeCell ref="D7:D8"/>
    <mergeCell ref="E7:E8"/>
    <mergeCell ref="F7:F8"/>
    <mergeCell ref="G7:G8"/>
  </mergeCells>
  <conditionalFormatting sqref="E6:G6">
    <cfRule type="expression" dxfId="196" priority="1175" stopIfTrue="1">
      <formula>IF($B6-INT($B6)&gt;0,TRUE,FALSE)</formula>
    </cfRule>
  </conditionalFormatting>
  <conditionalFormatting sqref="D6 H6:I6 D10:I10 D12:I12 E16:I16 E18:I18 E20:I20 E22:I22 E24:I24 D9:D26 E26:I26">
    <cfRule type="cellIs" dxfId="195" priority="1176" stopIfTrue="1" operator="equal">
      <formula>"NO ADMISIBLE"</formula>
    </cfRule>
  </conditionalFormatting>
  <conditionalFormatting sqref="E10 H10:I10">
    <cfRule type="expression" dxfId="194" priority="1170" stopIfTrue="1">
      <formula>IF($B2-INT($B2)&gt;0,TRUE,FALSE)</formula>
    </cfRule>
  </conditionalFormatting>
  <conditionalFormatting sqref="E9 G9:I9">
    <cfRule type="expression" dxfId="193" priority="1177" stopIfTrue="1">
      <formula>IF(#REF!-INT(#REF!)&gt;0,TRUE,FALSE)</formula>
    </cfRule>
  </conditionalFormatting>
  <conditionalFormatting sqref="G10">
    <cfRule type="expression" dxfId="192" priority="1169" stopIfTrue="1">
      <formula>IF(#REF!-INT(#REF!)&gt;0,TRUE,FALSE)</formula>
    </cfRule>
  </conditionalFormatting>
  <conditionalFormatting sqref="F9">
    <cfRule type="expression" dxfId="191" priority="1166" stopIfTrue="1">
      <formula>IF(#REF!-INT(#REF!)&gt;0,TRUE,FALSE)</formula>
    </cfRule>
  </conditionalFormatting>
  <conditionalFormatting sqref="F10">
    <cfRule type="expression" dxfId="190" priority="1165" stopIfTrue="1">
      <formula>IF(#REF!-INT(#REF!)&gt;0,TRUE,FALSE)</formula>
    </cfRule>
  </conditionalFormatting>
  <conditionalFormatting sqref="H12:I12 E12">
    <cfRule type="expression" dxfId="189" priority="27" stopIfTrue="1">
      <formula>IF(#REF!-INT(#REF!)&gt;0,TRUE,FALSE)</formula>
    </cfRule>
  </conditionalFormatting>
  <conditionalFormatting sqref="E11 H11:I11">
    <cfRule type="expression" dxfId="188" priority="29" stopIfTrue="1">
      <formula>IF(#REF!-INT(#REF!)&gt;0,TRUE,FALSE)</formula>
    </cfRule>
  </conditionalFormatting>
  <conditionalFormatting sqref="G12">
    <cfRule type="expression" dxfId="187" priority="26" stopIfTrue="1">
      <formula>IF(#REF!-INT(#REF!)&gt;0,TRUE,FALSE)</formula>
    </cfRule>
  </conditionalFormatting>
  <conditionalFormatting sqref="F11">
    <cfRule type="expression" dxfId="186" priority="25" stopIfTrue="1">
      <formula>IF(#REF!-INT(#REF!)&gt;0,TRUE,FALSE)</formula>
    </cfRule>
  </conditionalFormatting>
  <conditionalFormatting sqref="F12">
    <cfRule type="expression" dxfId="185" priority="24" stopIfTrue="1">
      <formula>IF(#REF!-INT(#REF!)&gt;0,TRUE,FALSE)</formula>
    </cfRule>
  </conditionalFormatting>
  <conditionalFormatting sqref="H13:I15">
    <cfRule type="expression" dxfId="184" priority="20" stopIfTrue="1">
      <formula>IF(#REF!-INT(#REF!)&gt;0,TRUE,FALSE)</formula>
    </cfRule>
  </conditionalFormatting>
  <conditionalFormatting sqref="F13:F15">
    <cfRule type="expression" dxfId="183" priority="16" stopIfTrue="1">
      <formula>IF(#REF!-INT(#REF!)&gt;0,TRUE,FALSE)</formula>
    </cfRule>
  </conditionalFormatting>
  <conditionalFormatting sqref="E13:E15">
    <cfRule type="expression" dxfId="182" priority="13" stopIfTrue="1">
      <formula>IF(#REF!-INT(#REF!)&gt;0,TRUE,FALSE)</formula>
    </cfRule>
  </conditionalFormatting>
  <conditionalFormatting sqref="G11">
    <cfRule type="expression" dxfId="181" priority="12" stopIfTrue="1">
      <formula>IF(#REF!-INT(#REF!)&gt;0,TRUE,FALSE)</formula>
    </cfRule>
  </conditionalFormatting>
  <conditionalFormatting sqref="G13:G15">
    <cfRule type="expression" dxfId="180" priority="10" stopIfTrue="1">
      <formula>IF(#REF!-INT(#REF!)&gt;0,TRUE,FALSE)</formula>
    </cfRule>
  </conditionalFormatting>
  <conditionalFormatting sqref="H17:I17 H19:I19 H21:I21 H23:I23">
    <cfRule type="expression" dxfId="179" priority="8" stopIfTrue="1">
      <formula>IF(#REF!-INT(#REF!)&gt;0,TRUE,FALSE)</formula>
    </cfRule>
  </conditionalFormatting>
  <conditionalFormatting sqref="F17 F19 F21 F23">
    <cfRule type="expression" dxfId="178" priority="7" stopIfTrue="1">
      <formula>IF(#REF!-INT(#REF!)&gt;0,TRUE,FALSE)</formula>
    </cfRule>
  </conditionalFormatting>
  <conditionalFormatting sqref="E17 E19 E21 E23">
    <cfRule type="expression" dxfId="177" priority="6" stopIfTrue="1">
      <formula>IF(#REF!-INT(#REF!)&gt;0,TRUE,FALSE)</formula>
    </cfRule>
  </conditionalFormatting>
  <conditionalFormatting sqref="G17 G19 G21 G23">
    <cfRule type="expression" dxfId="176" priority="5" stopIfTrue="1">
      <formula>IF(#REF!-INT(#REF!)&gt;0,TRUE,FALSE)</formula>
    </cfRule>
  </conditionalFormatting>
  <conditionalFormatting sqref="H25:I25">
    <cfRule type="expression" dxfId="175" priority="4" stopIfTrue="1">
      <formula>IF(#REF!-INT(#REF!)&gt;0,TRUE,FALSE)</formula>
    </cfRule>
  </conditionalFormatting>
  <conditionalFormatting sqref="F25">
    <cfRule type="expression" dxfId="174" priority="3" stopIfTrue="1">
      <formula>IF(#REF!-INT(#REF!)&gt;0,TRUE,FALSE)</formula>
    </cfRule>
  </conditionalFormatting>
  <conditionalFormatting sqref="E25">
    <cfRule type="expression" dxfId="173" priority="2" stopIfTrue="1">
      <formula>IF(#REF!-INT(#REF!)&gt;0,TRUE,FALSE)</formula>
    </cfRule>
  </conditionalFormatting>
  <conditionalFormatting sqref="G25">
    <cfRule type="expression" dxfId="172" priority="1" stopIfTrue="1">
      <formula>IF(#REF!-INT(#REF!)&gt;0,TRUE,FALSE)</formula>
    </cfRule>
  </conditionalFormatting>
  <dataValidations count="1">
    <dataValidation type="list" allowBlank="1" showInputMessage="1" showErrorMessage="1" sqref="D6 D9:D26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24"/>
  <sheetViews>
    <sheetView topLeftCell="C5" workbookViewId="0">
      <selection activeCell="C15" sqref="A15:XFD24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35" style="141" customWidth="1"/>
    <col min="6" max="6" width="35" style="174" customWidth="1"/>
    <col min="7" max="7" width="11.42578125" style="142"/>
    <col min="8" max="8" width="13.85546875" style="153" customWidth="1"/>
    <col min="9" max="9" width="9.7109375" style="154" customWidth="1"/>
    <col min="10" max="10" width="12.5703125" style="142" customWidth="1"/>
    <col min="11" max="11" width="12.7109375" style="142" customWidth="1"/>
    <col min="12" max="16384" width="11.42578125" style="142"/>
  </cols>
  <sheetData>
    <row r="2" spans="3:11" s="144" customFormat="1" ht="20.25" customHeight="1" x14ac:dyDescent="0.2">
      <c r="C2" s="349" t="s">
        <v>195</v>
      </c>
      <c r="D2" s="349"/>
      <c r="E2" s="349"/>
      <c r="F2" s="349"/>
      <c r="H2" s="145"/>
      <c r="I2" s="146"/>
    </row>
    <row r="3" spans="3:11" s="144" customFormat="1" ht="18" customHeight="1" x14ac:dyDescent="0.2">
      <c r="C3" s="350" t="s">
        <v>209</v>
      </c>
      <c r="D3" s="350"/>
      <c r="E3" s="350"/>
      <c r="F3" s="350"/>
      <c r="H3" s="145"/>
      <c r="I3" s="146"/>
    </row>
    <row r="4" spans="3:11" s="144" customFormat="1" ht="13.5" customHeight="1" x14ac:dyDescent="0.2">
      <c r="C4" s="351" t="str">
        <f>'Capacidad Financiera'!B4</f>
        <v>SA-MC-DT-VAL-005-2024</v>
      </c>
      <c r="D4" s="351"/>
      <c r="E4" s="351"/>
      <c r="F4" s="351"/>
      <c r="H4" s="145"/>
      <c r="I4" s="146"/>
    </row>
    <row r="5" spans="3:11" s="144" customFormat="1" ht="13.5" customHeight="1" x14ac:dyDescent="0.2">
      <c r="C5" s="351" t="s">
        <v>208</v>
      </c>
      <c r="D5" s="351"/>
      <c r="E5" s="351"/>
      <c r="F5" s="351"/>
      <c r="H5" s="145"/>
      <c r="I5" s="146"/>
    </row>
    <row r="6" spans="3:11" s="144" customFormat="1" ht="14.25" thickBot="1" x14ac:dyDescent="0.25">
      <c r="C6" s="147"/>
      <c r="D6" s="147"/>
      <c r="E6" s="150"/>
      <c r="F6" s="151"/>
      <c r="H6" s="145"/>
      <c r="I6" s="146"/>
    </row>
    <row r="7" spans="3:11" ht="19.5" customHeight="1" x14ac:dyDescent="0.2">
      <c r="C7" s="352" t="s">
        <v>157</v>
      </c>
      <c r="D7" s="354" t="s">
        <v>156</v>
      </c>
      <c r="E7" s="182" t="s">
        <v>198</v>
      </c>
      <c r="F7" s="183" t="s">
        <v>208</v>
      </c>
    </row>
    <row r="8" spans="3:11" ht="67.5" customHeight="1" thickBot="1" x14ac:dyDescent="0.25">
      <c r="C8" s="353"/>
      <c r="D8" s="355"/>
      <c r="E8" s="184" t="s">
        <v>199</v>
      </c>
      <c r="F8" s="185" t="s">
        <v>210</v>
      </c>
    </row>
    <row r="9" spans="3:11" x14ac:dyDescent="0.2">
      <c r="C9" s="86">
        <f>+'Capacidad Financiera'!B12</f>
        <v>1</v>
      </c>
      <c r="D9" s="87" t="str">
        <f>IF(ISERROR(VLOOKUP(C9,'Capacidad Financiera'!$B$12:$AC$59119,2,0)),"",VLOOKUP(C9,'Capacidad Financiera'!$B$12:$AC$59119,2,0))</f>
        <v>JORGE EIVAR TULCAN LOSADA</v>
      </c>
      <c r="E9" s="175">
        <v>6</v>
      </c>
      <c r="F9" s="176">
        <f>IF(C10="",IF(E9="","",IF(AND(E9&gt;0,E9&lt;=CapTecnica1),Puntajes!$H$4,IF(AND(E9&gt;CapTecnica1,E9&lt;=CapTecnica2),Puntajes!$H$5,IF(E9&gt;CapTecnica2,Puntajes!$H$6,0)))),"")</f>
        <v>30</v>
      </c>
      <c r="H9" s="155"/>
      <c r="I9" s="156"/>
      <c r="J9" s="143"/>
      <c r="K9" s="143"/>
    </row>
    <row r="10" spans="3:11" ht="13.5" thickBot="1" x14ac:dyDescent="0.25">
      <c r="C10" s="232"/>
      <c r="D10" s="123"/>
      <c r="E10" s="233"/>
      <c r="F10" s="234" t="str">
        <f>IF(OR(D10="",E10=""),"",IF(AND(E10&gt;0,E10&lt;=CapTecnica1),Puntajes!$H$4,IF(AND(E10&gt;CapTecnica1,E10&lt;=CapTecnica2),Puntajes!$H$5,IF(E10&gt;CapTecnica2,Puntajes!$H$6,0))))</f>
        <v/>
      </c>
    </row>
    <row r="11" spans="3:11" x14ac:dyDescent="0.2">
      <c r="C11" s="86">
        <v>2</v>
      </c>
      <c r="D11" s="87" t="str">
        <f>IF(ISERROR(VLOOKUP(C11,'Capacidad Financiera'!$B$12:$AC$59119,2,0)),"",VLOOKUP(C11,'Capacidad Financiera'!$B$12:$AC$59119,2,0))</f>
        <v>CESAR ANTONIO PADRON TORRES</v>
      </c>
      <c r="E11" s="175">
        <v>1</v>
      </c>
      <c r="F11" s="176">
        <f>IF(C12="",IF(E11="","",IF(AND(E11&gt;0,E11&lt;=CapTecnica1),Puntajes!$H$4,IF(AND(E11&gt;CapTecnica1,E11&lt;=CapTecnica2),Puntajes!$H$5,IF(E11&gt;CapTecnica2,Puntajes!$H$6,0)))),"")</f>
        <v>20</v>
      </c>
    </row>
    <row r="12" spans="3:11" ht="13.5" thickBot="1" x14ac:dyDescent="0.25">
      <c r="C12" s="232"/>
      <c r="D12" s="123"/>
      <c r="E12" s="233"/>
      <c r="F12" s="234" t="str">
        <f>IF(OR(D12="",E12=""),"",IF(AND(E12&gt;0,E12&lt;=CapTecnica1),Puntajes!$H$4,IF(AND(E12&gt;CapTecnica1,E12&lt;=CapTecnica2),Puntajes!$H$5,IF(E12&gt;CapTecnica2,Puntajes!$H$6,0))))</f>
        <v/>
      </c>
    </row>
    <row r="13" spans="3:11" x14ac:dyDescent="0.2">
      <c r="C13" s="86">
        <v>3</v>
      </c>
      <c r="D13" s="87" t="str">
        <f>IF(ISERROR(VLOOKUP(C13,'Capacidad Financiera'!$B$12:$AC$59119,2,0)),"",VLOOKUP(C13,'Capacidad Financiera'!$B$12:$AC$59119,2,0))</f>
        <v>CONSORCIO LANDA</v>
      </c>
      <c r="E13" s="175">
        <v>2</v>
      </c>
      <c r="F13" s="176">
        <f>IF(C14="",IF(E13="","",IF(AND(E13&gt;0,E13&lt;=CapTecnica1),Puntajes!$H$4,IF(AND(E13&gt;CapTecnica1,E13&lt;=CapTecnica2),Puntajes!$H$5,IF(E13&gt;CapTecnica2,Puntajes!$H$6,0)))),"")</f>
        <v>20</v>
      </c>
    </row>
    <row r="14" spans="3:11" x14ac:dyDescent="0.2">
      <c r="C14" s="232"/>
      <c r="D14" s="123"/>
      <c r="E14" s="233"/>
      <c r="F14" s="234" t="str">
        <f>IF(OR(D14="",E14=""),"",IF(AND(E14&gt;0,E14&lt;=CapTecnica1),Puntajes!$H$4,IF(AND(E14&gt;CapTecnica1,E14&lt;=CapTecnica2),Puntajes!$H$5,IF(E14&gt;CapTecnica2,Puntajes!$H$6,0))))</f>
        <v/>
      </c>
    </row>
    <row r="15" spans="3:11" hidden="1" x14ac:dyDescent="0.2">
      <c r="C15" s="86">
        <v>4</v>
      </c>
      <c r="D15" s="87">
        <f>IF(ISERROR(VLOOKUP(C15,'Capacidad Financiera'!$B$12:$AC$59119,2,0)),"",VLOOKUP(C15,'Capacidad Financiera'!$B$12:$AC$59119,2,0))</f>
        <v>0</v>
      </c>
      <c r="E15" s="175"/>
      <c r="F15" s="176" t="str">
        <f>IF(C16="",IF(E15="","",IF(AND(E15&gt;0,E15&lt;=CapTecnica1),Puntajes!$H$4,IF(AND(E15&gt;CapTecnica1,E15&lt;=CapTecnica2),Puntajes!$H$5,IF(E15&gt;CapTecnica2,Puntajes!$H$6,0)))),"")</f>
        <v/>
      </c>
    </row>
    <row r="16" spans="3:11" ht="13.5" hidden="1" thickBot="1" x14ac:dyDescent="0.25">
      <c r="C16" s="232"/>
      <c r="D16" s="123"/>
      <c r="E16" s="233"/>
      <c r="F16" s="234" t="str">
        <f>IF(OR(D16="",E16=""),"",IF(AND(E16&gt;0,E16&lt;=CapTecnica1),Puntajes!$H$4,IF(AND(E16&gt;CapTecnica1,E16&lt;=CapTecnica2),Puntajes!$H$5,IF(E16&gt;CapTecnica2,Puntajes!$H$6,0))))</f>
        <v/>
      </c>
    </row>
    <row r="17" spans="3:6" hidden="1" x14ac:dyDescent="0.2">
      <c r="C17" s="86">
        <v>5</v>
      </c>
      <c r="D17" s="87">
        <f>IF(ISERROR(VLOOKUP(C17,'Capacidad Financiera'!$B$12:$AC$59119,2,0)),"",VLOOKUP(C17,'Capacidad Financiera'!$B$12:$AC$59119,2,0))</f>
        <v>0</v>
      </c>
      <c r="E17" s="175"/>
      <c r="F17" s="176" t="str">
        <f>IF(C18="",IF(E17="","",IF(AND(E17&gt;0,E17&lt;=CapTecnica1),Puntajes!$H$4,IF(AND(E17&gt;CapTecnica1,E17&lt;=CapTecnica2),Puntajes!$H$5,IF(E17&gt;CapTecnica2,Puntajes!$H$6,0)))),"")</f>
        <v/>
      </c>
    </row>
    <row r="18" spans="3:6" ht="13.5" hidden="1" thickBot="1" x14ac:dyDescent="0.25">
      <c r="C18" s="232"/>
      <c r="D18" s="123"/>
      <c r="E18" s="233"/>
      <c r="F18" s="234" t="str">
        <f>IF(OR(D18="",E18=""),"",IF(AND(E18&gt;0,E18&lt;=CapTecnica1),Puntajes!$H$4,IF(AND(E18&gt;CapTecnica1,E18&lt;=CapTecnica2),Puntajes!$H$5,IF(E18&gt;CapTecnica2,Puntajes!$H$6,0))))</f>
        <v/>
      </c>
    </row>
    <row r="19" spans="3:6" hidden="1" x14ac:dyDescent="0.2">
      <c r="C19" s="86">
        <v>6</v>
      </c>
      <c r="D19" s="87">
        <f>IF(ISERROR(VLOOKUP(C19,'Capacidad Financiera'!$B$12:$AC$59119,2,0)),"",VLOOKUP(C19,'Capacidad Financiera'!$B$12:$AC$59119,2,0))</f>
        <v>0</v>
      </c>
      <c r="E19" s="175"/>
      <c r="F19" s="176" t="str">
        <f>IF(C20="",IF(E19="","",IF(AND(E19&gt;0,E19&lt;=CapTecnica1),Puntajes!$H$4,IF(AND(E19&gt;CapTecnica1,E19&lt;=CapTecnica2),Puntajes!$H$5,IF(E19&gt;CapTecnica2,Puntajes!$H$6,0)))),"")</f>
        <v/>
      </c>
    </row>
    <row r="20" spans="3:6" ht="13.5" hidden="1" thickBot="1" x14ac:dyDescent="0.25">
      <c r="C20" s="232"/>
      <c r="D20" s="123"/>
      <c r="E20" s="233"/>
      <c r="F20" s="234" t="str">
        <f>IF(OR(D20="",E20=""),"",IF(AND(E20&gt;0,E20&lt;=CapTecnica1),Puntajes!$H$4,IF(AND(E20&gt;CapTecnica1,E20&lt;=CapTecnica2),Puntajes!$H$5,IF(E20&gt;CapTecnica2,Puntajes!$H$6,0))))</f>
        <v/>
      </c>
    </row>
    <row r="21" spans="3:6" hidden="1" x14ac:dyDescent="0.2">
      <c r="C21" s="86">
        <v>7</v>
      </c>
      <c r="D21" s="87">
        <f>IF(ISERROR(VLOOKUP(C21,'Capacidad Financiera'!$B$12:$AC$59119,2,0)),"",VLOOKUP(C21,'Capacidad Financiera'!$B$12:$AC$59119,2,0))</f>
        <v>0</v>
      </c>
      <c r="E21" s="175"/>
      <c r="F21" s="176" t="str">
        <f>IF(C22="",IF(E21="","",IF(AND(E21&gt;0,E21&lt;=CapTecnica1),Puntajes!$H$4,IF(AND(E21&gt;CapTecnica1,E21&lt;=CapTecnica2),Puntajes!$H$5,IF(E21&gt;CapTecnica2,Puntajes!$H$6,0)))),"")</f>
        <v/>
      </c>
    </row>
    <row r="22" spans="3:6" ht="13.5" hidden="1" thickBot="1" x14ac:dyDescent="0.25">
      <c r="C22" s="232"/>
      <c r="D22" s="123"/>
      <c r="E22" s="233"/>
      <c r="F22" s="234" t="str">
        <f>IF(OR(D22="",E22=""),"",IF(AND(E22&gt;0,E22&lt;=CapTecnica1),Puntajes!$H$4,IF(AND(E22&gt;CapTecnica1,E22&lt;=CapTecnica2),Puntajes!$H$5,IF(E22&gt;CapTecnica2,Puntajes!$H$6,0))))</f>
        <v/>
      </c>
    </row>
    <row r="23" spans="3:6" hidden="1" x14ac:dyDescent="0.2">
      <c r="C23" s="86">
        <v>8</v>
      </c>
      <c r="D23" s="87">
        <f>IF(ISERROR(VLOOKUP(C23,'Capacidad Financiera'!$B$12:$AC$59119,2,0)),"",VLOOKUP(C23,'Capacidad Financiera'!$B$12:$AC$59119,2,0))</f>
        <v>0</v>
      </c>
      <c r="E23" s="175"/>
      <c r="F23" s="176" t="str">
        <f>IF(C24="",IF(E23="","",IF(AND(E23&gt;0,E23&lt;=CapTecnica1),Puntajes!$H$4,IF(AND(E23&gt;CapTecnica1,E23&lt;=CapTecnica2),Puntajes!$H$5,IF(E23&gt;CapTecnica2,Puntajes!$H$6,0)))),"")</f>
        <v/>
      </c>
    </row>
    <row r="24" spans="3:6" hidden="1" x14ac:dyDescent="0.2">
      <c r="C24" s="232"/>
      <c r="D24" s="123"/>
      <c r="E24" s="233"/>
      <c r="F24" s="234" t="str">
        <f>IF(OR(D24="",E24=""),"",IF(AND(E24&gt;0,E24&lt;=CapTecnica1),Puntajes!$H$4,IF(AND(E24&gt;CapTecnica1,E24&lt;=CapTecnica2),Puntajes!$H$5,IF(E24&gt;CapTecnica2,Puntajes!$H$6,0))))</f>
        <v/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71" priority="265" stopIfTrue="1">
      <formula>IF($B6-INT($B6)&gt;0,TRUE,FALSE)</formula>
    </cfRule>
  </conditionalFormatting>
  <conditionalFormatting sqref="D6 F6 D9:D24">
    <cfRule type="cellIs" dxfId="170" priority="266" stopIfTrue="1" operator="equal">
      <formula>"NO ADMISIBLE"</formula>
    </cfRule>
  </conditionalFormatting>
  <conditionalFormatting sqref="F10">
    <cfRule type="expression" dxfId="169" priority="260" stopIfTrue="1">
      <formula>IF($B2-INT($B2)&gt;0,TRUE,FALSE)</formula>
    </cfRule>
  </conditionalFormatting>
  <conditionalFormatting sqref="E9:F9 E10">
    <cfRule type="expression" dxfId="168" priority="267" stopIfTrue="1">
      <formula>IF(#REF!-INT(#REF!)&gt;0,TRUE,FALSE)</formula>
    </cfRule>
  </conditionalFormatting>
  <conditionalFormatting sqref="E11:F11 E12">
    <cfRule type="expression" dxfId="167" priority="10" stopIfTrue="1">
      <formula>IF(#REF!-INT(#REF!)&gt;0,TRUE,FALSE)</formula>
    </cfRule>
  </conditionalFormatting>
  <conditionalFormatting sqref="E13:F13 E14">
    <cfRule type="expression" dxfId="166" priority="8" stopIfTrue="1">
      <formula>IF(#REF!-INT(#REF!)&gt;0,TRUE,FALSE)</formula>
    </cfRule>
  </conditionalFormatting>
  <conditionalFormatting sqref="F12 F14">
    <cfRule type="expression" dxfId="165" priority="8199" stopIfTrue="1">
      <formula>IF(#REF!-INT(#REF!)&gt;0,TRUE,FALSE)</formula>
    </cfRule>
  </conditionalFormatting>
  <conditionalFormatting sqref="E15:F15 E17:F17 E19:F19 E21:F21 E16 E18 E20 E22">
    <cfRule type="expression" dxfId="164" priority="3" stopIfTrue="1">
      <formula>IF(#REF!-INT(#REF!)&gt;0,TRUE,FALSE)</formula>
    </cfRule>
  </conditionalFormatting>
  <conditionalFormatting sqref="F16 F18 F20 F22">
    <cfRule type="expression" dxfId="163" priority="4" stopIfTrue="1">
      <formula>IF(#REF!-INT(#REF!)&gt;0,TRUE,FALSE)</formula>
    </cfRule>
  </conditionalFormatting>
  <conditionalFormatting sqref="E23:F23 E24">
    <cfRule type="expression" dxfId="162" priority="1" stopIfTrue="1">
      <formula>IF(#REF!-INT(#REF!)&gt;0,TRUE,FALSE)</formula>
    </cfRule>
  </conditionalFormatting>
  <conditionalFormatting sqref="F24">
    <cfRule type="expression" dxfId="161" priority="2" stopIfTrue="1">
      <formula>IF(#REF!-INT(#REF!)&gt;0,TRUE,FALSE)</formula>
    </cfRule>
  </conditionalFormatting>
  <dataValidations count="1">
    <dataValidation type="list" allowBlank="1" showInputMessage="1" showErrorMessage="1" sqref="D6 D9:D24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26"/>
  <sheetViews>
    <sheetView topLeftCell="A7" workbookViewId="0">
      <selection activeCell="E39" sqref="E39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6" width="18.7109375" style="131" customWidth="1"/>
    <col min="7" max="7" width="14.7109375" style="131" bestFit="1" customWidth="1"/>
    <col min="8" max="8" width="42.42578125" style="131" customWidth="1"/>
    <col min="9" max="9" width="11.42578125" style="142"/>
    <col min="10" max="10" width="13.85546875" style="153" customWidth="1"/>
    <col min="11" max="11" width="9.7109375" style="154" customWidth="1"/>
    <col min="12" max="12" width="12.5703125" style="142" customWidth="1"/>
    <col min="13" max="13" width="12.7109375" style="142" customWidth="1"/>
    <col min="14" max="16384" width="11.42578125" style="142"/>
  </cols>
  <sheetData>
    <row r="2" spans="3:13" s="144" customFormat="1" ht="20.25" customHeight="1" x14ac:dyDescent="0.2">
      <c r="C2" s="349" t="s">
        <v>195</v>
      </c>
      <c r="D2" s="349"/>
      <c r="E2" s="349"/>
      <c r="F2" s="349"/>
      <c r="G2" s="349"/>
      <c r="H2" s="349"/>
      <c r="J2" s="145"/>
      <c r="K2" s="146"/>
    </row>
    <row r="3" spans="3:13" s="144" customFormat="1" ht="18" customHeight="1" x14ac:dyDescent="0.2">
      <c r="C3" s="350" t="s">
        <v>209</v>
      </c>
      <c r="D3" s="350"/>
      <c r="E3" s="350"/>
      <c r="F3" s="350"/>
      <c r="G3" s="350"/>
      <c r="H3" s="350"/>
      <c r="J3" s="145"/>
      <c r="K3" s="146"/>
    </row>
    <row r="4" spans="3:13" s="144" customFormat="1" ht="13.5" customHeight="1" x14ac:dyDescent="0.2">
      <c r="C4" s="351" t="str">
        <f>'Capacidad Financiera'!B4</f>
        <v>SA-MC-DT-VAL-005-2024</v>
      </c>
      <c r="D4" s="351"/>
      <c r="E4" s="351"/>
      <c r="F4" s="351"/>
      <c r="G4" s="351"/>
      <c r="H4" s="351"/>
      <c r="J4" s="145"/>
      <c r="K4" s="146"/>
    </row>
    <row r="5" spans="3:13" s="144" customFormat="1" ht="13.5" customHeight="1" x14ac:dyDescent="0.2">
      <c r="C5" s="351" t="s">
        <v>216</v>
      </c>
      <c r="D5" s="351"/>
      <c r="E5" s="351"/>
      <c r="F5" s="351"/>
      <c r="G5" s="351"/>
      <c r="H5" s="351"/>
      <c r="J5" s="145"/>
      <c r="K5" s="146"/>
    </row>
    <row r="6" spans="3:13" s="144" customFormat="1" ht="14.25" thickBot="1" x14ac:dyDescent="0.25">
      <c r="C6" s="147"/>
      <c r="D6" s="147"/>
      <c r="E6" s="151"/>
      <c r="F6" s="151"/>
      <c r="G6" s="151"/>
      <c r="H6" s="151"/>
      <c r="J6" s="145"/>
      <c r="K6" s="146"/>
    </row>
    <row r="7" spans="3:13" ht="43.5" customHeight="1" x14ac:dyDescent="0.2">
      <c r="C7" s="352" t="s">
        <v>157</v>
      </c>
      <c r="D7" s="354" t="s">
        <v>156</v>
      </c>
      <c r="E7" s="356" t="s">
        <v>217</v>
      </c>
      <c r="F7" s="358" t="s">
        <v>218</v>
      </c>
      <c r="G7" s="358" t="s">
        <v>219</v>
      </c>
      <c r="H7" s="183" t="s">
        <v>216</v>
      </c>
    </row>
    <row r="8" spans="3:13" ht="84.75" customHeight="1" thickBot="1" x14ac:dyDescent="0.25">
      <c r="C8" s="353"/>
      <c r="D8" s="355"/>
      <c r="E8" s="357"/>
      <c r="F8" s="359"/>
      <c r="G8" s="359"/>
      <c r="H8" s="185" t="s">
        <v>220</v>
      </c>
    </row>
    <row r="9" spans="3:13" x14ac:dyDescent="0.2">
      <c r="C9" s="86">
        <f>+'Capacidad Financiera'!B12</f>
        <v>1</v>
      </c>
      <c r="D9" s="87" t="str">
        <f>IF(ISERROR(VLOOKUP(C9,'Capacidad Financiera'!$B$12:$AC$59119,2,0)),"",VLOOKUP(C9,'Capacidad Financiera'!$B$12:$AC$59119,2,0))</f>
        <v>JORGE EIVAR TULCAN LOSADA</v>
      </c>
      <c r="E9" s="186">
        <f>IF(C10="",IF(C9&lt;&gt;"",IF(ISERROR(VLOOKUP(D9,'Capacidad Financiera'!$C$12:$H$50,3,0)),"",VLOOKUP(D9,'Capacidad Financiera'!$C$12:$H$50,3,0))),"")</f>
        <v>508279981</v>
      </c>
      <c r="F9" s="186">
        <f>IF(C10="",IF(C9&lt;&gt;"",IF(ISERROR(VLOOKUP(D9,'Capacidad Financiera'!$C$12:$H$50,5,0)),"",VLOOKUP(D9,'Capacidad Financiera'!$C$12:$H$50,5,0))),"")</f>
        <v>28210788</v>
      </c>
      <c r="G9" s="120">
        <f>IF(OR(D9="",E9="",F9=""),"",IF(OR(E9=0,F9=0),0,E9/F9))</f>
        <v>18.017220256307624</v>
      </c>
      <c r="H9" s="177">
        <f>IF(C10="",IF(AND(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,"")</f>
        <v>40</v>
      </c>
      <c r="J9" s="155"/>
      <c r="K9" s="156"/>
      <c r="L9" s="143"/>
      <c r="M9" s="143"/>
    </row>
    <row r="10" spans="3:13" x14ac:dyDescent="0.2">
      <c r="C10" s="91"/>
      <c r="D10" s="123" t="str">
        <f>IF(ISERROR(VLOOKUP(C10,'Capacidad Financiera'!$B$12:$AC$59119,2,0)),"",VLOOKUP(C10,'Capacidad Financiera'!$B$12:$AC$59119,2,0))</f>
        <v/>
      </c>
      <c r="E10" s="187" t="str">
        <f>IF(OR(C10="",D10=""),"",IF(ISERROR(VLOOKUP(D10,'Capacidad Financiera'!$C$13:$AC$59119,3,0)),"",VLOOKUP(D10,'Capacidad Financiera'!$C$13:$AC$59119,3,0)))</f>
        <v/>
      </c>
      <c r="F10" s="187" t="str">
        <f>IF(OR(C10="",D10=""),"",IF(ISERROR(VLOOKUP(D10,'Capacidad Financiera'!$C$13:$AC$59119,5,0)),"",VLOOKUP(D10,'Capacidad Financiera'!$C$13:$AC$59119,5,0)))</f>
        <v/>
      </c>
      <c r="G10" s="189" t="str">
        <f t="shared" ref="G10:G11" si="0">IF(OR(D10="",E10="",F10=""),"",IF(OR(E10=0,F10=0),0,E10/F10))</f>
        <v/>
      </c>
      <c r="H10" s="191" t="str">
        <f>IF(OR(D10="",E10="",F10=""),"",IF(AND(G10&gt;0,G10&lt;=CapFinanciera1),Puntajes!$D$12,IF(AND(G10&gt;CapFinanciera1,G10&lt;=CapFinanciera2),Puntajes!$D$13,IF(AND(G10&gt;CapFinanciera2,G10&lt;=CapFinanciera3),Puntajes!$D$14,IF(AND(G10&gt;CapFinanciera3,G10&lt;=CapFinanciera4),Puntajes!$D$15,IF(G10&gt;CapFinanciera4,Puntajes!$D$16,0))))))</f>
        <v/>
      </c>
    </row>
    <row r="11" spans="3:13" ht="13.5" thickBot="1" x14ac:dyDescent="0.25">
      <c r="C11" s="92"/>
      <c r="D11" s="93"/>
      <c r="E11" s="188" t="str">
        <f>IF(OR(C11="",D11=""),"",IF(ISERROR(VLOOKUP(D11,'Capacidad Financiera'!$C$13:$AC$59119,3,0)),"",VLOOKUP(D11,'Capacidad Financiera'!$C$13:$AC$59119,3,0)))</f>
        <v/>
      </c>
      <c r="F11" s="188" t="str">
        <f>IF(OR(C11="",D11=""),"",IF(ISERROR(VLOOKUP(D11,'Capacidad Financiera'!$C$13:$AC$59119,5,0)),"",VLOOKUP(D11,'Capacidad Financiera'!$C$13:$AC$59119,5,0)))</f>
        <v/>
      </c>
      <c r="G11" s="190" t="str">
        <f t="shared" si="0"/>
        <v/>
      </c>
      <c r="H11" s="192" t="str">
        <f>IF(OR(D11="",E11="",F11=""),"",IF(AND(G11&gt;0,G11&lt;=CapFinanciera1),Puntajes!$D$12,IF(AND(G11&gt;CapFinanciera1,G11&lt;=CapFinanciera2),Puntajes!$D$13,IF(AND(G11&gt;CapFinanciera2,G11&lt;=CapFinanciera3),Puntajes!$D$14,IF(AND(G11&gt;CapFinanciera3,G11&lt;=CapFinanciera4),Puntajes!$D$15,IF(G11&gt;CapFinanciera4,Puntajes!$D$16,0))))))</f>
        <v/>
      </c>
    </row>
    <row r="12" spans="3:13" x14ac:dyDescent="0.2">
      <c r="C12" s="86">
        <v>2</v>
      </c>
      <c r="D12" s="87" t="str">
        <f>IF(ISERROR(VLOOKUP(C12,'Capacidad Financiera'!$B$12:$AC$59119,2,0)),"",VLOOKUP(C12,'Capacidad Financiera'!$B$12:$AC$59119,2,0))</f>
        <v>CESAR ANTONIO PADRON TORRES</v>
      </c>
      <c r="E12" s="186">
        <f>IF(C13="",IF(C12&lt;&gt;"",IF(ISERROR(VLOOKUP(D12,'Capacidad Financiera'!$C$12:$H$50,3,0)),"",VLOOKUP(D12,'Capacidad Financiera'!$C$12:$H$50,3,0))),"")</f>
        <v>1793857441</v>
      </c>
      <c r="F12" s="186">
        <f>IF(C13="",IF(C12&lt;&gt;"",IF(ISERROR(VLOOKUP(D12,'Capacidad Financiera'!$C$12:$H$50,5,0)),"",VLOOKUP(D12,'Capacidad Financiera'!$C$12:$H$50,5,0))),"")</f>
        <v>179144200</v>
      </c>
      <c r="G12" s="120">
        <f>IF(OR(D12="",E12="",F12=""),"",IF(OR(E12=0,F12=0),0,E12/F12))</f>
        <v>10.013483221896104</v>
      </c>
      <c r="H12" s="177">
        <f>IF(C13="",IF(AND(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,"")</f>
        <v>40</v>
      </c>
    </row>
    <row r="13" spans="3:13" x14ac:dyDescent="0.2">
      <c r="C13" s="91"/>
      <c r="D13" s="123" t="str">
        <f>IF(ISERROR(VLOOKUP(C13,'Capacidad Financiera'!$B$12:$AC$59119,2,0)),"",VLOOKUP(C13,'Capacidad Financiera'!$B$12:$AC$59119,2,0))</f>
        <v/>
      </c>
      <c r="E13" s="187" t="str">
        <f>IF(OR(C13="",D13=""),"",IF(ISERROR(VLOOKUP(D13,'Capacidad Financiera'!$C$13:$AC$59119,3,0)),"",VLOOKUP(D13,'Capacidad Financiera'!$C$13:$AC$59119,3,0)))</f>
        <v/>
      </c>
      <c r="F13" s="187" t="str">
        <f>IF(OR(C13="",D13=""),"",IF(ISERROR(VLOOKUP(D13,'Capacidad Financiera'!$C$13:$AC$59119,5,0)),"",VLOOKUP(D13,'Capacidad Financiera'!$C$13:$AC$59119,5,0)))</f>
        <v/>
      </c>
      <c r="G13" s="189" t="str">
        <f t="shared" ref="G13" si="1">IF(OR(D13="",E13="",F13=""),"",IF(OR(E13=0,F13=0),0,E13/F13))</f>
        <v/>
      </c>
      <c r="H13" s="191" t="str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/>
      </c>
    </row>
    <row r="14" spans="3:13" ht="13.5" thickBot="1" x14ac:dyDescent="0.25">
      <c r="C14" s="92"/>
      <c r="D14" s="93"/>
      <c r="E14" s="188"/>
      <c r="F14" s="188"/>
      <c r="G14" s="190"/>
      <c r="H14" s="192"/>
    </row>
    <row r="15" spans="3:13" x14ac:dyDescent="0.2">
      <c r="C15" s="86">
        <v>3</v>
      </c>
      <c r="D15" s="87" t="str">
        <f>IF(ISERROR(VLOOKUP(C15,'Capacidad Financiera'!$B$12:$AC$59119,2,0)),"",VLOOKUP(C15,'Capacidad Financiera'!$B$12:$AC$59119,2,0))</f>
        <v>CONSORCIO LANDA</v>
      </c>
      <c r="E15" s="186">
        <f>IF(C16="",IF(C15&lt;&gt;"",IF(ISERROR(VLOOKUP(D15,'Capacidad Financiera'!$C$12:$H$50,3,0)),"",VLOOKUP(D15,'Capacidad Financiera'!$C$12:$H$50,3,0))),"")</f>
        <v>568303966</v>
      </c>
      <c r="F15" s="186">
        <f>IF(C16="",IF(C15&lt;&gt;"",IF(ISERROR(VLOOKUP(D15,'Capacidad Financiera'!$C$12:$H$50,5,0)),"",VLOOKUP(D15,'Capacidad Financiera'!$C$12:$H$50,5,0))),"")</f>
        <v>25369642</v>
      </c>
      <c r="G15" s="120">
        <f>IF(OR(D15="",E15="",F15=""),"",IF(OR(E15=0,F15=0),0,E15/F15))</f>
        <v>22.400945429186585</v>
      </c>
      <c r="H15" s="177">
        <f>IF(C16="",IF(AND(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,"")</f>
        <v>40</v>
      </c>
    </row>
    <row r="16" spans="3:13" x14ac:dyDescent="0.2">
      <c r="C16" s="91"/>
      <c r="D16" s="123" t="str">
        <f>IF(ISERROR(VLOOKUP(C16,'Capacidad Financiera'!$B$12:$AC$59119,2,0)),"",VLOOKUP(C16,'Capacidad Financiera'!$B$12:$AC$59119,2,0))</f>
        <v/>
      </c>
      <c r="E16" s="187" t="str">
        <f>IF(OR(C16="",D16=""),"",IF(ISERROR(VLOOKUP(D16,'Capacidad Financiera'!$C$13:$AC$59119,3,0)),"",VLOOKUP(D16,'Capacidad Financiera'!$C$13:$AC$59119,3,0)))</f>
        <v/>
      </c>
      <c r="F16" s="187" t="str">
        <f>IF(OR(C16="",D16=""),"",IF(ISERROR(VLOOKUP(D16,'Capacidad Financiera'!$C$13:$AC$59119,5,0)),"",VLOOKUP(D16,'Capacidad Financiera'!$C$13:$AC$59119,5,0)))</f>
        <v/>
      </c>
      <c r="G16" s="189" t="str">
        <f t="shared" ref="G16" si="2">IF(OR(D16="",E16="",F16=""),"",IF(OR(E16=0,F16=0),0,E16/F16))</f>
        <v/>
      </c>
      <c r="H16" s="191" t="str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/>
      </c>
    </row>
    <row r="17" spans="3:8" hidden="1" x14ac:dyDescent="0.2">
      <c r="C17" s="86">
        <v>4</v>
      </c>
      <c r="D17" s="87">
        <f>IF(ISERROR(VLOOKUP(C17,'Capacidad Financiera'!$B$12:$AC$59119,2,0)),"",VLOOKUP(C17,'Capacidad Financiera'!$B$12:$AC$59119,2,0))</f>
        <v>0</v>
      </c>
      <c r="E17" s="186">
        <f>IF(C18="",IF(C17&lt;&gt;"",IF(ISERROR(VLOOKUP(D17,'Capacidad Financiera'!$C$12:$H$50,3,0)),"",VLOOKUP(D17,'Capacidad Financiera'!$C$12:$H$50,3,0))),"")</f>
        <v>0</v>
      </c>
      <c r="F17" s="186">
        <f>IF(C18="",IF(C17&lt;&gt;"",IF(ISERROR(VLOOKUP(D17,'Capacidad Financiera'!$C$12:$H$50,5,0)),"",VLOOKUP(D17,'Capacidad Financiera'!$C$12:$H$50,5,0))),"")</f>
        <v>0</v>
      </c>
      <c r="G17" s="120">
        <f>IF(OR(D17="",E17="",F17=""),"",IF(OR(E17=0,F17=0),0,E17/F17))</f>
        <v>0</v>
      </c>
      <c r="H17" s="177">
        <f>IF(C18="",IF(AND(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,"")</f>
        <v>0</v>
      </c>
    </row>
    <row r="18" spans="3:8" ht="13.5" hidden="1" thickBot="1" x14ac:dyDescent="0.25">
      <c r="C18" s="91"/>
      <c r="D18" s="123" t="str">
        <f>IF(ISERROR(VLOOKUP(C18,'Capacidad Financiera'!$B$12:$AC$59119,2,0)),"",VLOOKUP(C18,'Capacidad Financiera'!$B$12:$AC$59119,2,0))</f>
        <v/>
      </c>
      <c r="E18" s="187" t="str">
        <f>IF(OR(C18="",D18=""),"",IF(ISERROR(VLOOKUP(D18,'Capacidad Financiera'!$C$13:$AC$59119,3,0)),"",VLOOKUP(D18,'Capacidad Financiera'!$C$13:$AC$59119,3,0)))</f>
        <v/>
      </c>
      <c r="F18" s="187" t="str">
        <f>IF(OR(C18="",D18=""),"",IF(ISERROR(VLOOKUP(D18,'Capacidad Financiera'!$C$13:$AC$59119,5,0)),"",VLOOKUP(D18,'Capacidad Financiera'!$C$13:$AC$59119,5,0)))</f>
        <v/>
      </c>
      <c r="G18" s="189" t="str">
        <f t="shared" ref="G18" si="3">IF(OR(D18="",E18="",F18=""),"",IF(OR(E18=0,F18=0),0,E18/F18))</f>
        <v/>
      </c>
      <c r="H18" s="191" t="str">
        <f>IF(OR(D18="",E18="",F18=""),"",IF(AND(G18&gt;0,G18&lt;=CapFinanciera1),Puntajes!$D$12,IF(AND(G18&gt;CapFinanciera1,G18&lt;=CapFinanciera2),Puntajes!$D$13,IF(AND(G18&gt;CapFinanciera2,G18&lt;=CapFinanciera3),Puntajes!$D$14,IF(AND(G18&gt;CapFinanciera3,G18&lt;=CapFinanciera4),Puntajes!$D$15,IF(G18&gt;CapFinanciera4,Puntajes!$D$16,0))))))</f>
        <v/>
      </c>
    </row>
    <row r="19" spans="3:8" hidden="1" x14ac:dyDescent="0.2">
      <c r="C19" s="86">
        <v>5</v>
      </c>
      <c r="D19" s="87">
        <f>IF(ISERROR(VLOOKUP(C19,'Capacidad Financiera'!$B$12:$AC$59119,2,0)),"",VLOOKUP(C19,'Capacidad Financiera'!$B$12:$AC$59119,2,0))</f>
        <v>0</v>
      </c>
      <c r="E19" s="186">
        <f>IF(C20="",IF(C19&lt;&gt;"",IF(ISERROR(VLOOKUP(D19,'Capacidad Financiera'!$C$12:$H$50,3,0)),"",VLOOKUP(D19,'Capacidad Financiera'!$C$12:$H$50,3,0))),"")</f>
        <v>0</v>
      </c>
      <c r="F19" s="186">
        <f>IF(C20="",IF(C19&lt;&gt;"",IF(ISERROR(VLOOKUP(D19,'Capacidad Financiera'!$C$12:$H$50,5,0)),"",VLOOKUP(D19,'Capacidad Financiera'!$C$12:$H$50,5,0))),"")</f>
        <v>0</v>
      </c>
      <c r="G19" s="120">
        <f>IF(OR(D19="",E19="",F19=""),"",IF(OR(E19=0,F19=0),0,E19/F19))</f>
        <v>0</v>
      </c>
      <c r="H19" s="177">
        <f>IF(C20="",IF(AND(E19="",F19=""),"",IF(AND(G19&gt;0,G19&lt;=CapFinanciera1),Puntajes!$D$12,IF(AND(G19&gt;CapFinanciera1,G19&lt;=CapFinanciera2),Puntajes!$D$13,IF(AND(G19&gt;CapFinanciera2,G19&lt;=CapFinanciera3),Puntajes!$D$14,IF(AND(G19&gt;CapFinanciera3,G19&lt;=CapFinanciera4),Puntajes!$D$15,IF(G19&gt;CapFinanciera4,Puntajes!$D$16,0)))))),"")</f>
        <v>0</v>
      </c>
    </row>
    <row r="20" spans="3:8" ht="13.5" hidden="1" thickBot="1" x14ac:dyDescent="0.25">
      <c r="C20" s="91"/>
      <c r="D20" s="123" t="str">
        <f>IF(ISERROR(VLOOKUP(C20,'Capacidad Financiera'!$B$12:$AC$59119,2,0)),"",VLOOKUP(C20,'Capacidad Financiera'!$B$12:$AC$59119,2,0))</f>
        <v/>
      </c>
      <c r="E20" s="187" t="str">
        <f>IF(OR(C20="",D20=""),"",IF(ISERROR(VLOOKUP(D20,'Capacidad Financiera'!$C$13:$AC$59119,3,0)),"",VLOOKUP(D20,'Capacidad Financiera'!$C$13:$AC$59119,3,0)))</f>
        <v/>
      </c>
      <c r="F20" s="187" t="str">
        <f>IF(OR(C20="",D20=""),"",IF(ISERROR(VLOOKUP(D20,'Capacidad Financiera'!$C$13:$AC$59119,5,0)),"",VLOOKUP(D20,'Capacidad Financiera'!$C$13:$AC$59119,5,0)))</f>
        <v/>
      </c>
      <c r="G20" s="189" t="str">
        <f t="shared" ref="G20" si="4">IF(OR(D20="",E20="",F20=""),"",IF(OR(E20=0,F20=0),0,E20/F20))</f>
        <v/>
      </c>
      <c r="H20" s="191" t="str">
        <f>IF(OR(D20="",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</f>
        <v/>
      </c>
    </row>
    <row r="21" spans="3:8" hidden="1" x14ac:dyDescent="0.2">
      <c r="C21" s="86">
        <v>6</v>
      </c>
      <c r="D21" s="87">
        <f>IF(ISERROR(VLOOKUP(C21,'Capacidad Financiera'!$B$12:$AC$59119,2,0)),"",VLOOKUP(C21,'Capacidad Financiera'!$B$12:$AC$59119,2,0))</f>
        <v>0</v>
      </c>
      <c r="E21" s="186">
        <f>IF(C22="",IF(C21&lt;&gt;"",IF(ISERROR(VLOOKUP(D21,'Capacidad Financiera'!$C$12:$H$50,3,0)),"",VLOOKUP(D21,'Capacidad Financiera'!$C$12:$H$50,3,0))),"")</f>
        <v>0</v>
      </c>
      <c r="F21" s="186">
        <f>IF(C22="",IF(C21&lt;&gt;"",IF(ISERROR(VLOOKUP(D21,'Capacidad Financiera'!$C$12:$H$50,5,0)),"",VLOOKUP(D21,'Capacidad Financiera'!$C$12:$H$50,5,0))),"")</f>
        <v>0</v>
      </c>
      <c r="G21" s="120">
        <f>IF(OR(D21="",E21="",F21=""),"",IF(OR(E21=0,F21=0),0,E21/F21))</f>
        <v>0</v>
      </c>
      <c r="H21" s="177">
        <f>IF(C22="",IF(AND(E21="",F21=""),"",IF(AND(G21&gt;0,G21&lt;=CapFinanciera1),Puntajes!$D$12,IF(AND(G21&gt;CapFinanciera1,G21&lt;=CapFinanciera2),Puntajes!$D$13,IF(AND(G21&gt;CapFinanciera2,G21&lt;=CapFinanciera3),Puntajes!$D$14,IF(AND(G21&gt;CapFinanciera3,G21&lt;=CapFinanciera4),Puntajes!$D$15,IF(G21&gt;CapFinanciera4,Puntajes!$D$16,0)))))),"")</f>
        <v>0</v>
      </c>
    </row>
    <row r="22" spans="3:8" ht="13.5" hidden="1" thickBot="1" x14ac:dyDescent="0.25">
      <c r="C22" s="91"/>
      <c r="D22" s="123" t="str">
        <f>IF(ISERROR(VLOOKUP(C22,'Capacidad Financiera'!$B$12:$AC$59119,2,0)),"",VLOOKUP(C22,'Capacidad Financiera'!$B$12:$AC$59119,2,0))</f>
        <v/>
      </c>
      <c r="E22" s="187" t="str">
        <f>IF(OR(C22="",D22=""),"",IF(ISERROR(VLOOKUP(D22,'Capacidad Financiera'!$C$13:$AC$59119,3,0)),"",VLOOKUP(D22,'Capacidad Financiera'!$C$13:$AC$59119,3,0)))</f>
        <v/>
      </c>
      <c r="F22" s="187" t="str">
        <f>IF(OR(C22="",D22=""),"",IF(ISERROR(VLOOKUP(D22,'Capacidad Financiera'!$C$13:$AC$59119,5,0)),"",VLOOKUP(D22,'Capacidad Financiera'!$C$13:$AC$59119,5,0)))</f>
        <v/>
      </c>
      <c r="G22" s="189" t="str">
        <f t="shared" ref="G22" si="5">IF(OR(D22="",E22="",F22=""),"",IF(OR(E22=0,F22=0),0,E22/F22))</f>
        <v/>
      </c>
      <c r="H22" s="191" t="str">
        <f>IF(OR(D22="",E22="",F22=""),"",IF(AND(G22&gt;0,G22&lt;=CapFinanciera1),Puntajes!$D$12,IF(AND(G22&gt;CapFinanciera1,G22&lt;=CapFinanciera2),Puntajes!$D$13,IF(AND(G22&gt;CapFinanciera2,G22&lt;=CapFinanciera3),Puntajes!$D$14,IF(AND(G22&gt;CapFinanciera3,G22&lt;=CapFinanciera4),Puntajes!$D$15,IF(G22&gt;CapFinanciera4,Puntajes!$D$16,0))))))</f>
        <v/>
      </c>
    </row>
    <row r="23" spans="3:8" hidden="1" x14ac:dyDescent="0.2">
      <c r="C23" s="86">
        <v>7</v>
      </c>
      <c r="D23" s="87">
        <f>IF(ISERROR(VLOOKUP(C23,'Capacidad Financiera'!$B$12:$AC$59119,2,0)),"",VLOOKUP(C23,'Capacidad Financiera'!$B$12:$AC$59119,2,0))</f>
        <v>0</v>
      </c>
      <c r="E23" s="186">
        <f>IF(C24="",IF(C23&lt;&gt;"",IF(ISERROR(VLOOKUP(D23,'Capacidad Financiera'!$C$12:$H$50,3,0)),"",VLOOKUP(D23,'Capacidad Financiera'!$C$12:$H$50,3,0))),"")</f>
        <v>0</v>
      </c>
      <c r="F23" s="186">
        <f>IF(C24="",IF(C23&lt;&gt;"",IF(ISERROR(VLOOKUP(D23,'Capacidad Financiera'!$C$12:$H$50,5,0)),"",VLOOKUP(D23,'Capacidad Financiera'!$C$12:$H$50,5,0))),"")</f>
        <v>0</v>
      </c>
      <c r="G23" s="120">
        <f>IF(OR(D23="",E23="",F23=""),"",IF(OR(E23=0,F23=0),0,E23/F23))</f>
        <v>0</v>
      </c>
      <c r="H23" s="177">
        <f>IF(C24="",IF(AND(E23="",F23=""),"",IF(AND(G23&gt;0,G23&lt;=CapFinanciera1),Puntajes!$D$12,IF(AND(G23&gt;CapFinanciera1,G23&lt;=CapFinanciera2),Puntajes!$D$13,IF(AND(G23&gt;CapFinanciera2,G23&lt;=CapFinanciera3),Puntajes!$D$14,IF(AND(G23&gt;CapFinanciera3,G23&lt;=CapFinanciera4),Puntajes!$D$15,IF(G23&gt;CapFinanciera4,Puntajes!$D$16,0)))))),"")</f>
        <v>0</v>
      </c>
    </row>
    <row r="24" spans="3:8" ht="13.5" hidden="1" thickBot="1" x14ac:dyDescent="0.25">
      <c r="C24" s="91"/>
      <c r="D24" s="123" t="str">
        <f>IF(ISERROR(VLOOKUP(C24,'Capacidad Financiera'!$B$12:$AC$59119,2,0)),"",VLOOKUP(C24,'Capacidad Financiera'!$B$12:$AC$59119,2,0))</f>
        <v/>
      </c>
      <c r="E24" s="187" t="str">
        <f>IF(OR(C24="",D24=""),"",IF(ISERROR(VLOOKUP(D24,'Capacidad Financiera'!$C$13:$AC$59119,3,0)),"",VLOOKUP(D24,'Capacidad Financiera'!$C$13:$AC$59119,3,0)))</f>
        <v/>
      </c>
      <c r="F24" s="187" t="str">
        <f>IF(OR(C24="",D24=""),"",IF(ISERROR(VLOOKUP(D24,'Capacidad Financiera'!$C$13:$AC$59119,5,0)),"",VLOOKUP(D24,'Capacidad Financiera'!$C$13:$AC$59119,5,0)))</f>
        <v/>
      </c>
      <c r="G24" s="189" t="str">
        <f t="shared" ref="G24" si="6">IF(OR(D24="",E24="",F24=""),"",IF(OR(E24=0,F24=0),0,E24/F24))</f>
        <v/>
      </c>
      <c r="H24" s="191" t="str">
        <f>IF(OR(D24="",E24="",F24=""),"",IF(AND(G24&gt;0,G24&lt;=CapFinanciera1),Puntajes!$D$12,IF(AND(G24&gt;CapFinanciera1,G24&lt;=CapFinanciera2),Puntajes!$D$13,IF(AND(G24&gt;CapFinanciera2,G24&lt;=CapFinanciera3),Puntajes!$D$14,IF(AND(G24&gt;CapFinanciera3,G24&lt;=CapFinanciera4),Puntajes!$D$15,IF(G24&gt;CapFinanciera4,Puntajes!$D$16,0))))))</f>
        <v/>
      </c>
    </row>
    <row r="25" spans="3:8" hidden="1" x14ac:dyDescent="0.2">
      <c r="C25" s="86">
        <v>8</v>
      </c>
      <c r="D25" s="87">
        <f>IF(ISERROR(VLOOKUP(C25,'Capacidad Financiera'!$B$12:$AC$59119,2,0)),"",VLOOKUP(C25,'Capacidad Financiera'!$B$12:$AC$59119,2,0))</f>
        <v>0</v>
      </c>
      <c r="E25" s="186">
        <f>IF(C26="",IF(C25&lt;&gt;"",IF(ISERROR(VLOOKUP(D25,'Capacidad Financiera'!$C$12:$H$56,3,0)),"",VLOOKUP(D25,'Capacidad Financiera'!$C$12:$H$56,3,0))),"")</f>
        <v>0</v>
      </c>
      <c r="F25" s="186">
        <f>IF(C26="",IF(C25&lt;&gt;"",IF(ISERROR(VLOOKUP(D25,'Capacidad Financiera'!$C$12:$H$56,5,0)),"",VLOOKUP(D25,'Capacidad Financiera'!$C$12:$H$56,5,0))),"")</f>
        <v>0</v>
      </c>
      <c r="G25" s="120">
        <f>IF(OR(D25="",E25="",F25=""),"",IF(OR(E25=0,F25=0),0,E25/F25))</f>
        <v>0</v>
      </c>
      <c r="H25" s="177">
        <f>IF(C26="",IF(AND(E25="",F25=""),"",IF(AND(G25&gt;0,G25&lt;=CapFinanciera1),Puntajes!$D$12,IF(AND(G25&gt;CapFinanciera1,G25&lt;=CapFinanciera2),Puntajes!$D$13,IF(AND(G25&gt;CapFinanciera2,G25&lt;=CapFinanciera3),Puntajes!$D$14,IF(AND(G25&gt;CapFinanciera3,G25&lt;=CapFinanciera4),Puntajes!$D$15,IF(G25&gt;CapFinanciera4,Puntajes!$D$16,0)))))),"")</f>
        <v>0</v>
      </c>
    </row>
    <row r="26" spans="3:8" hidden="1" x14ac:dyDescent="0.2">
      <c r="C26" s="91"/>
      <c r="D26" s="123" t="str">
        <f>IF(ISERROR(VLOOKUP(C26,'Capacidad Financiera'!$B$12:$AC$59119,2,0)),"",VLOOKUP(C26,'Capacidad Financiera'!$B$12:$AC$59119,2,0))</f>
        <v/>
      </c>
      <c r="E26" s="187" t="str">
        <f>IF(OR(C26="",D26=""),"",IF(ISERROR(VLOOKUP(D26,'Capacidad Financiera'!$C$13:$AC$59119,3,0)),"",VLOOKUP(D26,'Capacidad Financiera'!$C$13:$AC$59119,3,0)))</f>
        <v/>
      </c>
      <c r="F26" s="187" t="str">
        <f>IF(OR(C26="",D26=""),"",IF(ISERROR(VLOOKUP(D26,'Capacidad Financiera'!$C$13:$AC$59119,5,0)),"",VLOOKUP(D26,'Capacidad Financiera'!$C$13:$AC$59119,5,0)))</f>
        <v/>
      </c>
      <c r="G26" s="189" t="str">
        <f t="shared" ref="G26" si="7">IF(OR(D26="",E26="",F26=""),"",IF(OR(E26=0,F26=0),0,E26/F26))</f>
        <v/>
      </c>
      <c r="H26" s="191" t="str">
        <f>IF(OR(D26="",E26="",F26=""),"",IF(AND(G26&gt;0,G26&lt;=CapFinanciera1),Puntajes!$D$12,IF(AND(G26&gt;CapFinanciera1,G26&lt;=CapFinanciera2),Puntajes!$D$13,IF(AND(G26&gt;CapFinanciera2,G26&lt;=CapFinanciera3),Puntajes!$D$14,IF(AND(G26&gt;CapFinanciera3,G26&lt;=CapFinanciera4),Puntajes!$D$15,IF(G26&gt;CapFinanciera4,Puntajes!$D$16,0))))))</f>
        <v/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6:H6 D9:D26">
    <cfRule type="cellIs" dxfId="160" priority="572" stopIfTrue="1" operator="equal">
      <formula>"NO ADMISIBLE"</formula>
    </cfRule>
  </conditionalFormatting>
  <conditionalFormatting sqref="E10:H10">
    <cfRule type="expression" dxfId="159" priority="566" stopIfTrue="1">
      <formula>IF($B2-INT($B2)&gt;0,TRUE,FALSE)</formula>
    </cfRule>
  </conditionalFormatting>
  <conditionalFormatting sqref="E9:H9">
    <cfRule type="expression" dxfId="158" priority="573" stopIfTrue="1">
      <formula>IF(#REF!-INT(#REF!)&gt;0,TRUE,FALSE)</formula>
    </cfRule>
  </conditionalFormatting>
  <conditionalFormatting sqref="E13:H13">
    <cfRule type="expression" dxfId="157" priority="66" stopIfTrue="1">
      <formula>IF(#REF!-INT(#REF!)&gt;0,TRUE,FALSE)</formula>
    </cfRule>
  </conditionalFormatting>
  <conditionalFormatting sqref="G12:H12">
    <cfRule type="expression" dxfId="156" priority="68" stopIfTrue="1">
      <formula>IF(#REF!-INT(#REF!)&gt;0,TRUE,FALSE)</formula>
    </cfRule>
  </conditionalFormatting>
  <conditionalFormatting sqref="E16:H16">
    <cfRule type="expression" dxfId="155" priority="61" stopIfTrue="1">
      <formula>IF(#REF!-INT(#REF!)&gt;0,TRUE,FALSE)</formula>
    </cfRule>
  </conditionalFormatting>
  <conditionalFormatting sqref="G15">
    <cfRule type="expression" dxfId="154" priority="53" stopIfTrue="1">
      <formula>IF(#REF!-INT(#REF!)&gt;0,TRUE,FALSE)</formula>
    </cfRule>
  </conditionalFormatting>
  <conditionalFormatting sqref="H15">
    <cfRule type="expression" dxfId="153" priority="51" stopIfTrue="1">
      <formula>IF(#REF!-INT(#REF!)&gt;0,TRUE,FALSE)</formula>
    </cfRule>
  </conditionalFormatting>
  <conditionalFormatting sqref="E11:H11 E14:H14">
    <cfRule type="expression" dxfId="152" priority="8248" stopIfTrue="1">
      <formula>IF(#REF!-INT(#REF!)&gt;0,TRUE,FALSE)</formula>
    </cfRule>
  </conditionalFormatting>
  <conditionalFormatting sqref="E18:H18">
    <cfRule type="expression" dxfId="151" priority="43" stopIfTrue="1">
      <formula>IF(#REF!-INT(#REF!)&gt;0,TRUE,FALSE)</formula>
    </cfRule>
  </conditionalFormatting>
  <conditionalFormatting sqref="G17">
    <cfRule type="expression" dxfId="150" priority="42" stopIfTrue="1">
      <formula>IF(#REF!-INT(#REF!)&gt;0,TRUE,FALSE)</formula>
    </cfRule>
  </conditionalFormatting>
  <conditionalFormatting sqref="H17">
    <cfRule type="expression" dxfId="149" priority="41" stopIfTrue="1">
      <formula>IF(#REF!-INT(#REF!)&gt;0,TRUE,FALSE)</formula>
    </cfRule>
  </conditionalFormatting>
  <conditionalFormatting sqref="E20:H20">
    <cfRule type="expression" dxfId="148" priority="39" stopIfTrue="1">
      <formula>IF(#REF!-INT(#REF!)&gt;0,TRUE,FALSE)</formula>
    </cfRule>
  </conditionalFormatting>
  <conditionalFormatting sqref="G19">
    <cfRule type="expression" dxfId="147" priority="38" stopIfTrue="1">
      <formula>IF(#REF!-INT(#REF!)&gt;0,TRUE,FALSE)</formula>
    </cfRule>
  </conditionalFormatting>
  <conditionalFormatting sqref="H19">
    <cfRule type="expression" dxfId="146" priority="37" stopIfTrue="1">
      <formula>IF(#REF!-INT(#REF!)&gt;0,TRUE,FALSE)</formula>
    </cfRule>
  </conditionalFormatting>
  <conditionalFormatting sqref="E22:H22">
    <cfRule type="expression" dxfId="145" priority="35" stopIfTrue="1">
      <formula>IF(#REF!-INT(#REF!)&gt;0,TRUE,FALSE)</formula>
    </cfRule>
  </conditionalFormatting>
  <conditionalFormatting sqref="G21">
    <cfRule type="expression" dxfId="144" priority="34" stopIfTrue="1">
      <formula>IF(#REF!-INT(#REF!)&gt;0,TRUE,FALSE)</formula>
    </cfRule>
  </conditionalFormatting>
  <conditionalFormatting sqref="H21">
    <cfRule type="expression" dxfId="143" priority="33" stopIfTrue="1">
      <formula>IF(#REF!-INT(#REF!)&gt;0,TRUE,FALSE)</formula>
    </cfRule>
  </conditionalFormatting>
  <conditionalFormatting sqref="E24:H24">
    <cfRule type="expression" dxfId="142" priority="31" stopIfTrue="1">
      <formula>IF(#REF!-INT(#REF!)&gt;0,TRUE,FALSE)</formula>
    </cfRule>
  </conditionalFormatting>
  <conditionalFormatting sqref="G23">
    <cfRule type="expression" dxfId="141" priority="30" stopIfTrue="1">
      <formula>IF(#REF!-INT(#REF!)&gt;0,TRUE,FALSE)</formula>
    </cfRule>
  </conditionalFormatting>
  <conditionalFormatting sqref="H23">
    <cfRule type="expression" dxfId="140" priority="29" stopIfTrue="1">
      <formula>IF(#REF!-INT(#REF!)&gt;0,TRUE,FALSE)</formula>
    </cfRule>
  </conditionalFormatting>
  <conditionalFormatting sqref="E12">
    <cfRule type="expression" dxfId="139" priority="17" stopIfTrue="1">
      <formula>IF(#REF!-INT(#REF!)&gt;0,TRUE,FALSE)</formula>
    </cfRule>
  </conditionalFormatting>
  <conditionalFormatting sqref="E15">
    <cfRule type="expression" dxfId="138" priority="16" stopIfTrue="1">
      <formula>IF(#REF!-INT(#REF!)&gt;0,TRUE,FALSE)</formula>
    </cfRule>
  </conditionalFormatting>
  <conditionalFormatting sqref="E17">
    <cfRule type="expression" dxfId="137" priority="15" stopIfTrue="1">
      <formula>IF(#REF!-INT(#REF!)&gt;0,TRUE,FALSE)</formula>
    </cfRule>
  </conditionalFormatting>
  <conditionalFormatting sqref="E19">
    <cfRule type="expression" dxfId="136" priority="14" stopIfTrue="1">
      <formula>IF(#REF!-INT(#REF!)&gt;0,TRUE,FALSE)</formula>
    </cfRule>
  </conditionalFormatting>
  <conditionalFormatting sqref="E21">
    <cfRule type="expression" dxfId="135" priority="13" stopIfTrue="1">
      <formula>IF(#REF!-INT(#REF!)&gt;0,TRUE,FALSE)</formula>
    </cfRule>
  </conditionalFormatting>
  <conditionalFormatting sqref="E23">
    <cfRule type="expression" dxfId="134" priority="12" stopIfTrue="1">
      <formula>IF(#REF!-INT(#REF!)&gt;0,TRUE,FALSE)</formula>
    </cfRule>
  </conditionalFormatting>
  <conditionalFormatting sqref="F12">
    <cfRule type="expression" dxfId="133" priority="11" stopIfTrue="1">
      <formula>IF(#REF!-INT(#REF!)&gt;0,TRUE,FALSE)</formula>
    </cfRule>
  </conditionalFormatting>
  <conditionalFormatting sqref="F15">
    <cfRule type="expression" dxfId="132" priority="10" stopIfTrue="1">
      <formula>IF(#REF!-INT(#REF!)&gt;0,TRUE,FALSE)</formula>
    </cfRule>
  </conditionalFormatting>
  <conditionalFormatting sqref="F17">
    <cfRule type="expression" dxfId="131" priority="9" stopIfTrue="1">
      <formula>IF(#REF!-INT(#REF!)&gt;0,TRUE,FALSE)</formula>
    </cfRule>
  </conditionalFormatting>
  <conditionalFormatting sqref="F19">
    <cfRule type="expression" dxfId="130" priority="8" stopIfTrue="1">
      <formula>IF(#REF!-INT(#REF!)&gt;0,TRUE,FALSE)</formula>
    </cfRule>
  </conditionalFormatting>
  <conditionalFormatting sqref="F21">
    <cfRule type="expression" dxfId="129" priority="7" stopIfTrue="1">
      <formula>IF(#REF!-INT(#REF!)&gt;0,TRUE,FALSE)</formula>
    </cfRule>
  </conditionalFormatting>
  <conditionalFormatting sqref="F23">
    <cfRule type="expression" dxfId="128" priority="6" stopIfTrue="1">
      <formula>IF(#REF!-INT(#REF!)&gt;0,TRUE,FALSE)</formula>
    </cfRule>
  </conditionalFormatting>
  <conditionalFormatting sqref="E26:H26">
    <cfRule type="expression" dxfId="127" priority="5" stopIfTrue="1">
      <formula>IF(#REF!-INT(#REF!)&gt;0,TRUE,FALSE)</formula>
    </cfRule>
  </conditionalFormatting>
  <conditionalFormatting sqref="G25">
    <cfRule type="expression" dxfId="126" priority="4" stopIfTrue="1">
      <formula>IF(#REF!-INT(#REF!)&gt;0,TRUE,FALSE)</formula>
    </cfRule>
  </conditionalFormatting>
  <conditionalFormatting sqref="H25">
    <cfRule type="expression" dxfId="125" priority="3" stopIfTrue="1">
      <formula>IF(#REF!-INT(#REF!)&gt;0,TRUE,FALSE)</formula>
    </cfRule>
  </conditionalFormatting>
  <conditionalFormatting sqref="E25">
    <cfRule type="expression" dxfId="124" priority="2" stopIfTrue="1">
      <formula>IF(#REF!-INT(#REF!)&gt;0,TRUE,FALSE)</formula>
    </cfRule>
  </conditionalFormatting>
  <conditionalFormatting sqref="F25">
    <cfRule type="expression" dxfId="123" priority="1" stopIfTrue="1">
      <formula>IF(#REF!-INT(#REF!)&gt;0,TRUE,FALSE)</formula>
    </cfRule>
  </conditionalFormatting>
  <dataValidations count="1">
    <dataValidation type="list" allowBlank="1" showInputMessage="1" showErrorMessage="1" sqref="D6 D9:D26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33"/>
  <sheetViews>
    <sheetView topLeftCell="B9" workbookViewId="0">
      <selection activeCell="B19" sqref="A19:XFD33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34.140625" style="142" customWidth="1"/>
    <col min="5" max="5" width="42" style="131" customWidth="1"/>
    <col min="6" max="6" width="11.42578125" style="142"/>
    <col min="7" max="7" width="13.85546875" style="153" customWidth="1"/>
    <col min="8" max="8" width="9.7109375" style="154" customWidth="1"/>
    <col min="9" max="9" width="12.5703125" style="142" customWidth="1"/>
    <col min="10" max="10" width="12.7109375" style="142" customWidth="1"/>
    <col min="11" max="16384" width="11.42578125" style="142"/>
  </cols>
  <sheetData>
    <row r="2" spans="3:10" s="144" customFormat="1" ht="20.25" customHeight="1" x14ac:dyDescent="0.2">
      <c r="C2" s="349" t="s">
        <v>195</v>
      </c>
      <c r="D2" s="349"/>
      <c r="E2" s="349"/>
      <c r="G2" s="145"/>
      <c r="H2" s="146"/>
    </row>
    <row r="3" spans="3:10" s="144" customFormat="1" ht="18" customHeight="1" x14ac:dyDescent="0.2">
      <c r="C3" s="350" t="s">
        <v>209</v>
      </c>
      <c r="D3" s="350"/>
      <c r="E3" s="350"/>
      <c r="G3" s="145"/>
      <c r="H3" s="146"/>
    </row>
    <row r="4" spans="3:10" s="144" customFormat="1" ht="13.5" customHeight="1" x14ac:dyDescent="0.2">
      <c r="C4" s="351" t="str">
        <f>'Capacidad Financiera'!B4</f>
        <v>SA-MC-DT-VAL-005-2024</v>
      </c>
      <c r="D4" s="351"/>
      <c r="E4" s="351"/>
      <c r="G4" s="145"/>
      <c r="H4" s="146"/>
    </row>
    <row r="5" spans="3:10" s="144" customFormat="1" ht="13.5" customHeight="1" x14ac:dyDescent="0.2">
      <c r="C5" s="351" t="s">
        <v>221</v>
      </c>
      <c r="D5" s="351"/>
      <c r="E5" s="351"/>
      <c r="G5" s="145"/>
      <c r="H5" s="146"/>
    </row>
    <row r="6" spans="3:10" s="144" customFormat="1" ht="14.25" thickBot="1" x14ac:dyDescent="0.25">
      <c r="C6" s="147"/>
      <c r="D6" s="147"/>
      <c r="E6" s="151"/>
      <c r="G6" s="145"/>
      <c r="H6" s="146"/>
    </row>
    <row r="7" spans="3:10" ht="36" customHeight="1" x14ac:dyDescent="0.2">
      <c r="C7" s="352" t="s">
        <v>157</v>
      </c>
      <c r="D7" s="354" t="s">
        <v>156</v>
      </c>
      <c r="E7" s="360" t="s">
        <v>222</v>
      </c>
    </row>
    <row r="8" spans="3:10" ht="36" customHeight="1" thickBot="1" x14ac:dyDescent="0.25">
      <c r="C8" s="353"/>
      <c r="D8" s="355"/>
      <c r="E8" s="361"/>
    </row>
    <row r="9" spans="3:10" x14ac:dyDescent="0.2">
      <c r="C9" s="86">
        <f>+'Capacidad Financiera'!B12</f>
        <v>1</v>
      </c>
      <c r="D9" s="87" t="str">
        <f>IF(ISERROR(VLOOKUP(C9,'Capacidad Financiera'!$B$12:$AC$59119,2,0)),"",VLOOKUP(C9,'Capacidad Financiera'!$B$12:$AC$59119,2,0))</f>
        <v>JORGE EIVAR TULCAN LOSADA</v>
      </c>
      <c r="E9" s="177">
        <v>316727092.80000001</v>
      </c>
      <c r="G9" s="155"/>
      <c r="H9" s="156"/>
      <c r="I9" s="143"/>
      <c r="J9" s="143"/>
    </row>
    <row r="10" spans="3:10" x14ac:dyDescent="0.2">
      <c r="C10" s="91"/>
      <c r="D10" s="123" t="str">
        <f>IF(ISERROR(VLOOKUP(C10,'Capacidad Financiera'!$B$12:$AC$59119,2,0)),"",VLOOKUP(C10,'Capacidad Financiera'!$B$12:$AC$59119,2,0))</f>
        <v/>
      </c>
      <c r="E10" s="178"/>
    </row>
    <row r="11" spans="3:10" ht="13.5" thickBot="1" x14ac:dyDescent="0.25">
      <c r="C11" s="92"/>
      <c r="D11" s="93"/>
      <c r="E11" s="179"/>
    </row>
    <row r="12" spans="3:10" x14ac:dyDescent="0.2">
      <c r="C12" s="86">
        <v>2</v>
      </c>
      <c r="D12" s="87" t="str">
        <f>IF(ISERROR(VLOOKUP(C12,'Capacidad Financiera'!$B$12:$AC$59119,2,0)),"",VLOOKUP(C12,'Capacidad Financiera'!$B$12:$AC$59119,2,0))</f>
        <v>CESAR ANTONIO PADRON TORRES</v>
      </c>
      <c r="E12" s="177">
        <v>764316181.20000005</v>
      </c>
    </row>
    <row r="13" spans="3:10" x14ac:dyDescent="0.2">
      <c r="C13" s="91"/>
      <c r="D13" s="123"/>
      <c r="E13" s="123"/>
    </row>
    <row r="14" spans="3:10" ht="13.5" thickBot="1" x14ac:dyDescent="0.25">
      <c r="C14" s="92"/>
      <c r="D14" s="93"/>
      <c r="E14" s="179"/>
    </row>
    <row r="15" spans="3:10" x14ac:dyDescent="0.2">
      <c r="C15" s="86">
        <v>3</v>
      </c>
      <c r="D15" s="87" t="str">
        <f>IF(ISERROR(VLOOKUP(C15,'Capacidad Financiera'!$B$12:$AC$59119,2,0)),"",VLOOKUP(C15,'Capacidad Financiera'!$B$12:$AC$59119,2,0))</f>
        <v>CONSORCIO LANDA</v>
      </c>
      <c r="E15" s="177">
        <f>+E16+E17</f>
        <v>381631766</v>
      </c>
    </row>
    <row r="16" spans="3:10" x14ac:dyDescent="0.2">
      <c r="C16" s="91"/>
      <c r="D16" s="123" t="s">
        <v>268</v>
      </c>
      <c r="E16" s="178">
        <v>119756648</v>
      </c>
    </row>
    <row r="17" spans="3:5" ht="13.5" thickBot="1" x14ac:dyDescent="0.25">
      <c r="C17" s="92"/>
      <c r="D17" s="93" t="s">
        <v>269</v>
      </c>
      <c r="E17" s="179">
        <v>261875118</v>
      </c>
    </row>
    <row r="18" spans="3:5" x14ac:dyDescent="0.2">
      <c r="C18" s="271"/>
      <c r="D18" s="272"/>
      <c r="E18" s="273"/>
    </row>
    <row r="19" spans="3:5" hidden="1" x14ac:dyDescent="0.2">
      <c r="C19" s="86">
        <v>4</v>
      </c>
      <c r="D19" s="87">
        <f>IF(ISERROR(VLOOKUP(C19,'Capacidad Financiera'!$B$12:$AC$59119,2,0)),"",VLOOKUP(C19,'Capacidad Financiera'!$B$12:$AC$59119,2,0))</f>
        <v>0</v>
      </c>
      <c r="E19" s="177"/>
    </row>
    <row r="20" spans="3:5" hidden="1" x14ac:dyDescent="0.2">
      <c r="C20" s="91"/>
      <c r="D20" s="123"/>
      <c r="E20" s="178"/>
    </row>
    <row r="21" spans="3:5" ht="13.5" hidden="1" thickBot="1" x14ac:dyDescent="0.25">
      <c r="C21" s="92"/>
      <c r="D21" s="93"/>
      <c r="E21" s="179"/>
    </row>
    <row r="22" spans="3:5" hidden="1" x14ac:dyDescent="0.2">
      <c r="C22" s="86">
        <v>5</v>
      </c>
      <c r="D22" s="87">
        <f>IF(ISERROR(VLOOKUP(C22,'Capacidad Financiera'!$B$12:$AC$59119,2,0)),"",VLOOKUP(C22,'Capacidad Financiera'!$B$12:$AC$59119,2,0))</f>
        <v>0</v>
      </c>
      <c r="E22" s="177"/>
    </row>
    <row r="23" spans="3:5" hidden="1" x14ac:dyDescent="0.2">
      <c r="C23" s="91"/>
      <c r="D23" s="123"/>
      <c r="E23" s="178"/>
    </row>
    <row r="24" spans="3:5" ht="13.5" hidden="1" thickBot="1" x14ac:dyDescent="0.25">
      <c r="C24" s="92"/>
      <c r="D24" s="93"/>
      <c r="E24" s="179"/>
    </row>
    <row r="25" spans="3:5" hidden="1" x14ac:dyDescent="0.2">
      <c r="C25" s="86">
        <v>6</v>
      </c>
      <c r="D25" s="87">
        <f>IF(ISERROR(VLOOKUP(C25,'Capacidad Financiera'!$B$12:$AC$59119,2,0)),"",VLOOKUP(C25,'Capacidad Financiera'!$B$12:$AC$59119,2,0))</f>
        <v>0</v>
      </c>
      <c r="E25" s="177"/>
    </row>
    <row r="26" spans="3:5" hidden="1" x14ac:dyDescent="0.2">
      <c r="C26" s="91"/>
      <c r="D26" s="123"/>
      <c r="E26" s="178"/>
    </row>
    <row r="27" spans="3:5" ht="13.5" hidden="1" thickBot="1" x14ac:dyDescent="0.25">
      <c r="C27" s="92"/>
      <c r="D27" s="93"/>
      <c r="E27" s="179"/>
    </row>
    <row r="28" spans="3:5" hidden="1" x14ac:dyDescent="0.2">
      <c r="C28" s="86">
        <v>7</v>
      </c>
      <c r="D28" s="87">
        <f>IF(ISERROR(VLOOKUP(C28,'Capacidad Financiera'!$B$12:$AC$59119,2,0)),"",VLOOKUP(C28,'Capacidad Financiera'!$B$12:$AC$59119,2,0))</f>
        <v>0</v>
      </c>
      <c r="E28" s="177">
        <v>0</v>
      </c>
    </row>
    <row r="29" spans="3:5" hidden="1" x14ac:dyDescent="0.2">
      <c r="C29" s="91"/>
      <c r="D29" s="123"/>
      <c r="E29" s="178"/>
    </row>
    <row r="30" spans="3:5" ht="13.5" hidden="1" thickBot="1" x14ac:dyDescent="0.25">
      <c r="C30" s="92"/>
      <c r="D30" s="93"/>
      <c r="E30" s="179"/>
    </row>
    <row r="31" spans="3:5" hidden="1" x14ac:dyDescent="0.2">
      <c r="C31" s="86">
        <v>8</v>
      </c>
      <c r="D31" s="87">
        <f>IF(ISERROR(VLOOKUP(C31,'Capacidad Financiera'!$B$12:$AC$59119,2,0)),"",VLOOKUP(C31,'Capacidad Financiera'!$B$12:$AC$59119,2,0))</f>
        <v>0</v>
      </c>
      <c r="E31" s="177"/>
    </row>
    <row r="32" spans="3:5" hidden="1" x14ac:dyDescent="0.2">
      <c r="C32" s="91"/>
      <c r="D32" s="123"/>
      <c r="E32" s="178"/>
    </row>
    <row r="33" spans="3:5" ht="13.5" hidden="1" thickBot="1" x14ac:dyDescent="0.25">
      <c r="C33" s="92"/>
      <c r="D33" s="93"/>
      <c r="E33" s="179"/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6:E6 D9:D33">
    <cfRule type="cellIs" dxfId="122" priority="537" stopIfTrue="1" operator="equal">
      <formula>"NO ADMISIBLE"</formula>
    </cfRule>
  </conditionalFormatting>
  <conditionalFormatting sqref="E10">
    <cfRule type="expression" dxfId="121" priority="531" stopIfTrue="1">
      <formula>IF($B2-INT($B2)&gt;0,TRUE,FALSE)</formula>
    </cfRule>
  </conditionalFormatting>
  <conditionalFormatting sqref="E9">
    <cfRule type="expression" dxfId="120" priority="538" stopIfTrue="1">
      <formula>IF(#REF!-INT(#REF!)&gt;0,TRUE,FALSE)</formula>
    </cfRule>
  </conditionalFormatting>
  <conditionalFormatting sqref="E12">
    <cfRule type="expression" dxfId="119" priority="29" stopIfTrue="1">
      <formula>IF(#REF!-INT(#REF!)&gt;0,TRUE,FALSE)</formula>
    </cfRule>
  </conditionalFormatting>
  <conditionalFormatting sqref="E16">
    <cfRule type="expression" dxfId="118" priority="22" stopIfTrue="1">
      <formula>IF(#REF!-INT(#REF!)&gt;0,TRUE,FALSE)</formula>
    </cfRule>
  </conditionalFormatting>
  <conditionalFormatting sqref="E15">
    <cfRule type="expression" dxfId="117" priority="24" stopIfTrue="1">
      <formula>IF(#REF!-INT(#REF!)&gt;0,TRUE,FALSE)</formula>
    </cfRule>
  </conditionalFormatting>
  <conditionalFormatting sqref="E11 E14 E17:E18">
    <cfRule type="expression" dxfId="116" priority="8218" stopIfTrue="1">
      <formula>IF(#REF!-INT(#REF!)&gt;0,TRUE,FALSE)</formula>
    </cfRule>
  </conditionalFormatting>
  <conditionalFormatting sqref="E13">
    <cfRule type="cellIs" dxfId="115" priority="16" stopIfTrue="1" operator="equal">
      <formula>"NO ADMISIBLE"</formula>
    </cfRule>
  </conditionalFormatting>
  <conditionalFormatting sqref="E20">
    <cfRule type="expression" dxfId="114" priority="13" stopIfTrue="1">
      <formula>IF(#REF!-INT(#REF!)&gt;0,TRUE,FALSE)</formula>
    </cfRule>
  </conditionalFormatting>
  <conditionalFormatting sqref="E19">
    <cfRule type="expression" dxfId="113" priority="14" stopIfTrue="1">
      <formula>IF(#REF!-INT(#REF!)&gt;0,TRUE,FALSE)</formula>
    </cfRule>
  </conditionalFormatting>
  <conditionalFormatting sqref="E21">
    <cfRule type="expression" dxfId="112" priority="15" stopIfTrue="1">
      <formula>IF(#REF!-INT(#REF!)&gt;0,TRUE,FALSE)</formula>
    </cfRule>
  </conditionalFormatting>
  <conditionalFormatting sqref="E23">
    <cfRule type="expression" dxfId="111" priority="10" stopIfTrue="1">
      <formula>IF(#REF!-INT(#REF!)&gt;0,TRUE,FALSE)</formula>
    </cfRule>
  </conditionalFormatting>
  <conditionalFormatting sqref="E22">
    <cfRule type="expression" dxfId="110" priority="11" stopIfTrue="1">
      <formula>IF(#REF!-INT(#REF!)&gt;0,TRUE,FALSE)</formula>
    </cfRule>
  </conditionalFormatting>
  <conditionalFormatting sqref="E24">
    <cfRule type="expression" dxfId="109" priority="12" stopIfTrue="1">
      <formula>IF(#REF!-INT(#REF!)&gt;0,TRUE,FALSE)</formula>
    </cfRule>
  </conditionalFormatting>
  <conditionalFormatting sqref="E26">
    <cfRule type="expression" dxfId="108" priority="7" stopIfTrue="1">
      <formula>IF(#REF!-INT(#REF!)&gt;0,TRUE,FALSE)</formula>
    </cfRule>
  </conditionalFormatting>
  <conditionalFormatting sqref="E25">
    <cfRule type="expression" dxfId="107" priority="8" stopIfTrue="1">
      <formula>IF(#REF!-INT(#REF!)&gt;0,TRUE,FALSE)</formula>
    </cfRule>
  </conditionalFormatting>
  <conditionalFormatting sqref="E27">
    <cfRule type="expression" dxfId="106" priority="9" stopIfTrue="1">
      <formula>IF(#REF!-INT(#REF!)&gt;0,TRUE,FALSE)</formula>
    </cfRule>
  </conditionalFormatting>
  <conditionalFormatting sqref="E29">
    <cfRule type="expression" dxfId="105" priority="4" stopIfTrue="1">
      <formula>IF(#REF!-INT(#REF!)&gt;0,TRUE,FALSE)</formula>
    </cfRule>
  </conditionalFormatting>
  <conditionalFormatting sqref="E28">
    <cfRule type="expression" dxfId="104" priority="5" stopIfTrue="1">
      <formula>IF(#REF!-INT(#REF!)&gt;0,TRUE,FALSE)</formula>
    </cfRule>
  </conditionalFormatting>
  <conditionalFormatting sqref="E30">
    <cfRule type="expression" dxfId="103" priority="6" stopIfTrue="1">
      <formula>IF(#REF!-INT(#REF!)&gt;0,TRUE,FALSE)</formula>
    </cfRule>
  </conditionalFormatting>
  <conditionalFormatting sqref="E32">
    <cfRule type="expression" dxfId="102" priority="1" stopIfTrue="1">
      <formula>IF(#REF!-INT(#REF!)&gt;0,TRUE,FALSE)</formula>
    </cfRule>
  </conditionalFormatting>
  <conditionalFormatting sqref="E31">
    <cfRule type="expression" dxfId="101" priority="2" stopIfTrue="1">
      <formula>IF(#REF!-INT(#REF!)&gt;0,TRUE,FALSE)</formula>
    </cfRule>
  </conditionalFormatting>
  <conditionalFormatting sqref="E33">
    <cfRule type="expression" dxfId="100" priority="3" stopIfTrue="1">
      <formula>IF(#REF!-INT(#REF!)&gt;0,TRUE,FALSE)</formula>
    </cfRule>
  </conditionalFormatting>
  <dataValidations count="1">
    <dataValidation type="list" allowBlank="1" showInputMessage="1" showErrorMessage="1" sqref="D6 D9:D33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K29"/>
  <sheetViews>
    <sheetView workbookViewId="0">
      <selection activeCell="F36" sqref="F36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35.140625" style="142" customWidth="1"/>
    <col min="5" max="6" width="65.5703125" style="131" customWidth="1"/>
    <col min="7" max="7" width="16.5703125" style="142" bestFit="1" customWidth="1"/>
    <col min="8" max="8" width="13.85546875" style="153" customWidth="1"/>
    <col min="9" max="9" width="9.7109375" style="154" customWidth="1"/>
    <col min="10" max="10" width="12.5703125" style="142" customWidth="1"/>
    <col min="11" max="11" width="12.7109375" style="142" customWidth="1"/>
    <col min="12" max="16384" width="11.42578125" style="142"/>
  </cols>
  <sheetData>
    <row r="2" spans="3:11" s="144" customFormat="1" ht="20.25" customHeight="1" x14ac:dyDescent="0.2">
      <c r="C2" s="349" t="s">
        <v>195</v>
      </c>
      <c r="D2" s="349"/>
      <c r="E2" s="349"/>
      <c r="F2" s="250"/>
      <c r="H2" s="145"/>
      <c r="I2" s="146"/>
    </row>
    <row r="3" spans="3:11" s="144" customFormat="1" ht="18" customHeight="1" x14ac:dyDescent="0.2">
      <c r="C3" s="350" t="s">
        <v>209</v>
      </c>
      <c r="D3" s="350"/>
      <c r="E3" s="350"/>
      <c r="F3" s="251"/>
      <c r="H3" s="145"/>
      <c r="I3" s="146"/>
    </row>
    <row r="4" spans="3:11" s="144" customFormat="1" ht="13.5" customHeight="1" x14ac:dyDescent="0.2">
      <c r="C4" s="351" t="str">
        <f>'Capacidad Financiera'!B4</f>
        <v>SA-MC-DT-VAL-005-2024</v>
      </c>
      <c r="D4" s="351"/>
      <c r="E4" s="351"/>
      <c r="F4" s="206"/>
      <c r="H4" s="145"/>
      <c r="I4" s="146"/>
    </row>
    <row r="5" spans="3:11" s="144" customFormat="1" ht="13.5" customHeight="1" x14ac:dyDescent="0.2">
      <c r="C5" s="351" t="s">
        <v>223</v>
      </c>
      <c r="D5" s="351"/>
      <c r="E5" s="351"/>
      <c r="F5" s="206"/>
      <c r="H5" s="145"/>
      <c r="I5" s="146"/>
    </row>
    <row r="6" spans="3:11" s="144" customFormat="1" ht="14.25" thickBot="1" x14ac:dyDescent="0.25">
      <c r="C6" s="147"/>
      <c r="D6" s="147"/>
      <c r="E6" s="151"/>
      <c r="F6" s="151"/>
      <c r="H6" s="145"/>
      <c r="I6" s="146"/>
    </row>
    <row r="7" spans="3:11" ht="23.25" customHeight="1" x14ac:dyDescent="0.2">
      <c r="C7" s="352" t="s">
        <v>157</v>
      </c>
      <c r="D7" s="354" t="s">
        <v>156</v>
      </c>
      <c r="E7" s="183" t="s">
        <v>224</v>
      </c>
      <c r="F7" s="183"/>
    </row>
    <row r="8" spans="3:11" ht="66" customHeight="1" thickBot="1" x14ac:dyDescent="0.25">
      <c r="C8" s="353"/>
      <c r="D8" s="355"/>
      <c r="E8" s="185" t="s">
        <v>228</v>
      </c>
      <c r="F8" s="185" t="s">
        <v>255</v>
      </c>
    </row>
    <row r="9" spans="3:11" x14ac:dyDescent="0.2">
      <c r="C9" s="86">
        <f>+'Capacidad Financiera'!B12</f>
        <v>1</v>
      </c>
      <c r="D9" s="87" t="str">
        <f>IF(ISERROR(VLOOKUP(C9,'Capacidad Financiera'!$B$12:$AC$59119,2,0)),"",VLOOKUP(C9,'Capacidad Financiera'!$B$12:$AC$59119,2,0))</f>
        <v>JORGE EIVAR TULCAN LOSADA</v>
      </c>
      <c r="E9" s="177">
        <f>+E10+E11</f>
        <v>4632231758</v>
      </c>
      <c r="F9" s="177"/>
      <c r="H9" s="155"/>
      <c r="I9" s="156"/>
      <c r="J9" s="143"/>
      <c r="K9" s="143"/>
    </row>
    <row r="10" spans="3:11" ht="13.5" thickBot="1" x14ac:dyDescent="0.25">
      <c r="C10" s="91"/>
      <c r="D10" s="222"/>
      <c r="E10" s="239">
        <v>4632231758</v>
      </c>
      <c r="F10" s="270" t="s">
        <v>265</v>
      </c>
      <c r="G10" s="231"/>
      <c r="H10" s="230"/>
    </row>
    <row r="11" spans="3:11" ht="13.5" thickBot="1" x14ac:dyDescent="0.25">
      <c r="C11" s="92"/>
      <c r="D11" s="222"/>
      <c r="E11" s="240"/>
      <c r="F11" s="270"/>
    </row>
    <row r="12" spans="3:11" x14ac:dyDescent="0.2">
      <c r="C12" s="86">
        <v>2</v>
      </c>
      <c r="D12" s="87" t="str">
        <f>IF(ISERROR(VLOOKUP(C12,'Capacidad Financiera'!$B$12:$AC$59119,2,0)),"",VLOOKUP(C12,'Capacidad Financiera'!$B$12:$AC$59119,2,0))</f>
        <v>CESAR ANTONIO PADRON TORRES</v>
      </c>
      <c r="E12" s="177">
        <f>+E13+E15+E14</f>
        <v>1298859480</v>
      </c>
      <c r="F12" s="177"/>
    </row>
    <row r="13" spans="3:11" ht="18.75" customHeight="1" thickBot="1" x14ac:dyDescent="0.25">
      <c r="C13" s="91"/>
      <c r="D13" s="228"/>
      <c r="E13" s="229">
        <v>1298859480</v>
      </c>
      <c r="F13" s="268"/>
      <c r="G13" s="241"/>
    </row>
    <row r="14" spans="3:11" x14ac:dyDescent="0.2">
      <c r="C14" s="91"/>
      <c r="D14" s="228"/>
      <c r="E14" s="229"/>
      <c r="F14" s="229"/>
      <c r="G14" s="241"/>
    </row>
    <row r="15" spans="3:11" ht="13.5" thickBot="1" x14ac:dyDescent="0.25">
      <c r="C15" s="91"/>
      <c r="D15" s="228"/>
      <c r="E15" s="229">
        <v>0</v>
      </c>
      <c r="F15" s="229"/>
      <c r="G15" s="241"/>
    </row>
    <row r="16" spans="3:11" x14ac:dyDescent="0.2">
      <c r="C16" s="86">
        <v>3</v>
      </c>
      <c r="D16" s="87" t="str">
        <f>IF(ISERROR(VLOOKUP(C16,'Capacidad Financiera'!$B$12:$AC$59119,2,0)),"",VLOOKUP(C16,'Capacidad Financiera'!$B$12:$AC$59119,2,0))</f>
        <v>CONSORCIO LANDA</v>
      </c>
      <c r="E16" s="177">
        <f>+E17+E18</f>
        <v>2066157937</v>
      </c>
      <c r="F16" s="177"/>
    </row>
    <row r="17" spans="3:7" x14ac:dyDescent="0.2">
      <c r="C17" s="91"/>
      <c r="D17" s="222" t="s">
        <v>259</v>
      </c>
      <c r="E17" s="220">
        <v>1317950136</v>
      </c>
      <c r="F17" s="269" t="s">
        <v>266</v>
      </c>
      <c r="G17" s="241"/>
    </row>
    <row r="18" spans="3:7" ht="24" x14ac:dyDescent="0.2">
      <c r="C18" s="91"/>
      <c r="D18" s="222" t="s">
        <v>260</v>
      </c>
      <c r="E18" s="220">
        <v>748207801</v>
      </c>
      <c r="F18" s="269" t="s">
        <v>267</v>
      </c>
      <c r="G18" s="241"/>
    </row>
    <row r="19" spans="3:7" hidden="1" x14ac:dyDescent="0.2">
      <c r="C19" s="86">
        <v>4</v>
      </c>
      <c r="D19" s="87">
        <f>IF(ISERROR(VLOOKUP(C19,'Capacidad Financiera'!$B$12:$AC$59119,2,0)),"",VLOOKUP(C19,'Capacidad Financiera'!$B$12:$AC$59119,2,0))</f>
        <v>0</v>
      </c>
      <c r="E19" s="177">
        <f>+E21</f>
        <v>0</v>
      </c>
      <c r="F19" s="177"/>
    </row>
    <row r="20" spans="3:7" ht="57" hidden="1" customHeight="1" x14ac:dyDescent="0.2">
      <c r="C20" s="91"/>
      <c r="D20" s="123"/>
      <c r="E20" s="220"/>
      <c r="F20" s="269"/>
      <c r="G20" s="253"/>
    </row>
    <row r="21" spans="3:7" hidden="1" x14ac:dyDescent="0.2">
      <c r="C21" s="91"/>
      <c r="D21" s="123"/>
      <c r="E21" s="220"/>
      <c r="F21" s="220"/>
      <c r="G21" s="241"/>
    </row>
    <row r="22" spans="3:7" hidden="1" x14ac:dyDescent="0.2">
      <c r="C22" s="86">
        <v>5</v>
      </c>
      <c r="D22" s="87">
        <f>IF(ISERROR(VLOOKUP(C22,'Capacidad Financiera'!$B$12:$AC$59119,2,0)),"",VLOOKUP(C22,'Capacidad Financiera'!$B$12:$AC$59119,2,0))</f>
        <v>0</v>
      </c>
      <c r="E22" s="177"/>
      <c r="F22" s="177"/>
    </row>
    <row r="23" spans="3:7" ht="13.5" hidden="1" thickBot="1" x14ac:dyDescent="0.25">
      <c r="C23" s="91"/>
      <c r="D23" s="123"/>
      <c r="E23" s="220"/>
      <c r="F23" s="220"/>
      <c r="G23" s="241"/>
    </row>
    <row r="24" spans="3:7" hidden="1" x14ac:dyDescent="0.2">
      <c r="C24" s="86">
        <v>6</v>
      </c>
      <c r="D24" s="87">
        <f>IF(ISERROR(VLOOKUP(C24,'Capacidad Financiera'!$B$12:$AC$59119,2,0)),"",VLOOKUP(C24,'Capacidad Financiera'!$B$12:$AC$59119,2,0))</f>
        <v>0</v>
      </c>
      <c r="E24" s="177">
        <f>+E25</f>
        <v>0</v>
      </c>
      <c r="F24" s="177"/>
    </row>
    <row r="25" spans="3:7" ht="13.5" hidden="1" thickBot="1" x14ac:dyDescent="0.25">
      <c r="C25" s="91"/>
      <c r="D25" s="123"/>
      <c r="E25" s="220"/>
      <c r="F25" s="220"/>
    </row>
    <row r="26" spans="3:7" hidden="1" x14ac:dyDescent="0.2">
      <c r="C26" s="86">
        <v>7</v>
      </c>
      <c r="D26" s="87">
        <f>IF(ISERROR(VLOOKUP(C26,'Capacidad Financiera'!$B$12:$AC$59119,2,0)),"",VLOOKUP(C26,'Capacidad Financiera'!$B$12:$AC$59119,2,0))</f>
        <v>0</v>
      </c>
      <c r="E26" s="177">
        <f>+E27</f>
        <v>0</v>
      </c>
      <c r="F26" s="177"/>
    </row>
    <row r="27" spans="3:7" ht="13.5" hidden="1" thickBot="1" x14ac:dyDescent="0.25">
      <c r="C27" s="91"/>
      <c r="D27" s="123"/>
      <c r="E27" s="220"/>
      <c r="F27" s="220"/>
    </row>
    <row r="28" spans="3:7" hidden="1" x14ac:dyDescent="0.2">
      <c r="C28" s="86">
        <v>8</v>
      </c>
      <c r="D28" s="87">
        <f>IF(ISERROR(VLOOKUP(C28,'Capacidad Financiera'!$B$12:$AC$59119,2,0)),"",VLOOKUP(C28,'Capacidad Financiera'!$B$12:$AC$59119,2,0))</f>
        <v>0</v>
      </c>
      <c r="E28" s="177">
        <f>+E29</f>
        <v>0</v>
      </c>
      <c r="F28" s="177"/>
    </row>
    <row r="29" spans="3:7" hidden="1" x14ac:dyDescent="0.2">
      <c r="C29" s="91"/>
      <c r="D29" s="123"/>
      <c r="E29" s="220"/>
      <c r="F29" s="220"/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9 D12 D16 D6:F6 D19:D29">
    <cfRule type="cellIs" dxfId="99" priority="366" stopIfTrue="1" operator="equal">
      <formula>"NO ADMISIBLE"</formula>
    </cfRule>
  </conditionalFormatting>
  <conditionalFormatting sqref="E9:F9">
    <cfRule type="expression" dxfId="98" priority="367" stopIfTrue="1">
      <formula>IF(#REF!-INT(#REF!)&gt;0,TRUE,FALSE)</formula>
    </cfRule>
  </conditionalFormatting>
  <conditionalFormatting sqref="E12:F12">
    <cfRule type="expression" dxfId="97" priority="14" stopIfTrue="1">
      <formula>IF(#REF!-INT(#REF!)&gt;0,TRUE,FALSE)</formula>
    </cfRule>
  </conditionalFormatting>
  <conditionalFormatting sqref="E16:F16">
    <cfRule type="expression" dxfId="96" priority="12" stopIfTrue="1">
      <formula>IF(#REF!-INT(#REF!)&gt;0,TRUE,FALSE)</formula>
    </cfRule>
  </conditionalFormatting>
  <conditionalFormatting sqref="E10">
    <cfRule type="expression" dxfId="95" priority="8" stopIfTrue="1">
      <formula>IF($B2-INT($B2)&gt;0,TRUE,FALSE)</formula>
    </cfRule>
  </conditionalFormatting>
  <conditionalFormatting sqref="E11:F11 E13:F15">
    <cfRule type="expression" dxfId="94" priority="8212" stopIfTrue="1">
      <formula>IF(#REF!-INT(#REF!)&gt;0,TRUE,FALSE)</formula>
    </cfRule>
  </conditionalFormatting>
  <conditionalFormatting sqref="E19:F19">
    <cfRule type="expression" dxfId="93" priority="7" stopIfTrue="1">
      <formula>IF(#REF!-INT(#REF!)&gt;0,TRUE,FALSE)</formula>
    </cfRule>
  </conditionalFormatting>
  <conditionalFormatting sqref="E22:F22">
    <cfRule type="expression" dxfId="92" priority="6" stopIfTrue="1">
      <formula>IF(#REF!-INT(#REF!)&gt;0,TRUE,FALSE)</formula>
    </cfRule>
  </conditionalFormatting>
  <conditionalFormatting sqref="E24:F24">
    <cfRule type="expression" dxfId="91" priority="5" stopIfTrue="1">
      <formula>IF(#REF!-INT(#REF!)&gt;0,TRUE,FALSE)</formula>
    </cfRule>
  </conditionalFormatting>
  <conditionalFormatting sqref="E26:F26">
    <cfRule type="expression" dxfId="90" priority="4" stopIfTrue="1">
      <formula>IF(#REF!-INT(#REF!)&gt;0,TRUE,FALSE)</formula>
    </cfRule>
  </conditionalFormatting>
  <conditionalFormatting sqref="E28:F28">
    <cfRule type="expression" dxfId="89" priority="3" stopIfTrue="1">
      <formula>IF(#REF!-INT(#REF!)&gt;0,TRUE,FALSE)</formula>
    </cfRule>
  </conditionalFormatting>
  <conditionalFormatting sqref="F10">
    <cfRule type="expression" dxfId="88" priority="1" stopIfTrue="1">
      <formula>IF(#REF!-INT(#REF!)&gt;0,TRUE,FALSE)</formula>
    </cfRule>
  </conditionalFormatting>
  <dataValidations count="1">
    <dataValidation type="list" allowBlank="1" showInputMessage="1" showErrorMessage="1" sqref="D6 D9 D12 D16 D19:D29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40"/>
  <sheetViews>
    <sheetView tabSelected="1" workbookViewId="0">
      <selection activeCell="K44" sqref="K44"/>
    </sheetView>
  </sheetViews>
  <sheetFormatPr baseColWidth="10" defaultColWidth="11.42578125" defaultRowHeight="12.75" x14ac:dyDescent="0.2"/>
  <cols>
    <col min="1" max="1" width="11.42578125" style="142" customWidth="1"/>
    <col min="2" max="2" width="11.28515625" style="142" customWidth="1"/>
    <col min="3" max="3" width="3.85546875" style="142" customWidth="1"/>
    <col min="4" max="4" width="29.42578125" style="142" customWidth="1"/>
    <col min="5" max="5" width="11.5703125" style="142" customWidth="1"/>
    <col min="6" max="6" width="5.42578125" style="142" customWidth="1"/>
    <col min="7" max="7" width="17" style="142" customWidth="1"/>
    <col min="8" max="8" width="15.5703125" style="142" customWidth="1"/>
    <col min="9" max="9" width="4.7109375" style="142" bestFit="1" customWidth="1"/>
    <col min="10" max="10" width="29" style="142" customWidth="1"/>
    <col min="11" max="11" width="16.5703125" style="131" customWidth="1"/>
    <col min="12" max="12" width="14.5703125" style="131" customWidth="1"/>
    <col min="13" max="13" width="8.85546875" style="131" hidden="1" customWidth="1"/>
    <col min="14" max="14" width="14.5703125" style="131" hidden="1" customWidth="1"/>
    <col min="15" max="15" width="13.140625" style="131" customWidth="1"/>
    <col min="16" max="16" width="13.85546875" style="131" bestFit="1" customWidth="1"/>
    <col min="17" max="17" width="20.7109375" style="131" customWidth="1"/>
    <col min="18" max="18" width="26.42578125" style="131" customWidth="1"/>
    <col min="19" max="19" width="29.42578125" style="142" customWidth="1"/>
    <col min="20" max="20" width="11.42578125" style="142"/>
    <col min="21" max="21" width="13.85546875" style="153" customWidth="1"/>
    <col min="22" max="22" width="9.7109375" style="154" customWidth="1"/>
    <col min="23" max="23" width="12.5703125" style="142" customWidth="1"/>
    <col min="24" max="24" width="12.7109375" style="142" customWidth="1"/>
    <col min="25" max="16384" width="11.42578125" style="142"/>
  </cols>
  <sheetData>
    <row r="2" spans="3:24" s="144" customFormat="1" ht="20.25" customHeight="1" x14ac:dyDescent="0.2">
      <c r="C2" s="349" t="s">
        <v>195</v>
      </c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U2" s="145"/>
      <c r="V2" s="146"/>
    </row>
    <row r="3" spans="3:24" s="144" customFormat="1" ht="18" customHeight="1" x14ac:dyDescent="0.2">
      <c r="C3" s="350" t="s">
        <v>209</v>
      </c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U3" s="145"/>
      <c r="V3" s="146"/>
    </row>
    <row r="4" spans="3:24" s="144" customFormat="1" ht="13.5" customHeight="1" x14ac:dyDescent="0.2">
      <c r="C4" s="351" t="str">
        <f>'Capacidad Financiera'!B4</f>
        <v>SA-MC-DT-VAL-005-2024</v>
      </c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1"/>
      <c r="U4" s="145"/>
      <c r="V4" s="146"/>
    </row>
    <row r="5" spans="3:24" s="144" customFormat="1" ht="13.5" customHeight="1" x14ac:dyDescent="0.2">
      <c r="C5" s="351" t="s">
        <v>196</v>
      </c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S5" s="351"/>
      <c r="U5" s="145"/>
      <c r="V5" s="146"/>
    </row>
    <row r="6" spans="3:24" s="144" customFormat="1" ht="14.25" thickBot="1" x14ac:dyDescent="0.25">
      <c r="C6" s="147"/>
      <c r="D6" s="147"/>
      <c r="E6" s="148"/>
      <c r="F6" s="148"/>
      <c r="G6" s="149"/>
      <c r="H6" s="149"/>
      <c r="I6" s="247"/>
      <c r="J6" s="150"/>
      <c r="L6" s="151"/>
      <c r="M6" s="151"/>
      <c r="N6" s="151"/>
      <c r="O6" s="151"/>
      <c r="P6" s="151"/>
      <c r="Q6" s="151"/>
      <c r="R6" s="151"/>
      <c r="S6" s="152"/>
      <c r="U6" s="145"/>
      <c r="V6" s="146"/>
    </row>
    <row r="7" spans="3:24" ht="54" customHeight="1" x14ac:dyDescent="0.2">
      <c r="C7" s="362" t="s">
        <v>157</v>
      </c>
      <c r="D7" s="365" t="s">
        <v>156</v>
      </c>
      <c r="E7" s="82" t="s">
        <v>200</v>
      </c>
      <c r="F7" s="370" t="s">
        <v>162</v>
      </c>
      <c r="G7" s="82" t="s">
        <v>186</v>
      </c>
      <c r="H7" s="82" t="s">
        <v>187</v>
      </c>
      <c r="I7" s="373" t="s">
        <v>1</v>
      </c>
      <c r="J7" s="118" t="s">
        <v>188</v>
      </c>
      <c r="K7" s="82" t="s">
        <v>189</v>
      </c>
      <c r="L7" s="82" t="s">
        <v>190</v>
      </c>
      <c r="M7" s="325" t="s">
        <v>168</v>
      </c>
      <c r="N7" s="333" t="s">
        <v>169</v>
      </c>
      <c r="O7" s="82" t="s">
        <v>205</v>
      </c>
      <c r="P7" s="83" t="s">
        <v>191</v>
      </c>
      <c r="Q7" s="119" t="s">
        <v>226</v>
      </c>
      <c r="R7" s="122" t="s">
        <v>192</v>
      </c>
      <c r="S7" s="195" t="s">
        <v>227</v>
      </c>
    </row>
    <row r="8" spans="3:24" x14ac:dyDescent="0.2">
      <c r="C8" s="363"/>
      <c r="D8" s="366"/>
      <c r="E8" s="368" t="s">
        <v>2</v>
      </c>
      <c r="F8" s="371"/>
      <c r="G8" s="368" t="s">
        <v>3</v>
      </c>
      <c r="H8" s="368" t="s">
        <v>3</v>
      </c>
      <c r="I8" s="374"/>
      <c r="J8" s="378" t="s">
        <v>194</v>
      </c>
      <c r="K8" s="380" t="s">
        <v>225</v>
      </c>
      <c r="L8" s="380" t="s">
        <v>202</v>
      </c>
      <c r="M8" s="326"/>
      <c r="N8" s="307"/>
      <c r="O8" s="380" t="s">
        <v>202</v>
      </c>
      <c r="P8" s="380" t="s">
        <v>202</v>
      </c>
      <c r="Q8" s="380" t="s">
        <v>225</v>
      </c>
      <c r="R8" s="378" t="s">
        <v>193</v>
      </c>
      <c r="S8" s="376" t="s">
        <v>235</v>
      </c>
    </row>
    <row r="9" spans="3:24" ht="51" customHeight="1" thickBot="1" x14ac:dyDescent="0.25">
      <c r="C9" s="364"/>
      <c r="D9" s="367"/>
      <c r="E9" s="369"/>
      <c r="F9" s="372"/>
      <c r="G9" s="369"/>
      <c r="H9" s="369"/>
      <c r="I9" s="375"/>
      <c r="J9" s="379"/>
      <c r="K9" s="381"/>
      <c r="L9" s="381"/>
      <c r="M9" s="327"/>
      <c r="N9" s="334"/>
      <c r="O9" s="381"/>
      <c r="P9" s="381"/>
      <c r="Q9" s="381"/>
      <c r="R9" s="379"/>
      <c r="S9" s="377"/>
    </row>
    <row r="10" spans="3:24" x14ac:dyDescent="0.2">
      <c r="C10" s="86">
        <f>+'Capacidad Financiera'!B12</f>
        <v>1</v>
      </c>
      <c r="D10" s="87" t="str">
        <f>IF(ISERROR(VLOOKUP(C10,'Capacidad Financiera'!$B$12:$AC$59119,2,0)),"",VLOOKUP(C10,'Capacidad Financiera'!$B$12:$AC$59119,2,0))</f>
        <v>JORGE EIVAR TULCAN LOSADA</v>
      </c>
      <c r="E10" s="88">
        <f>IF(ISERROR(VLOOKUP(C10,'Capacidad Financiera'!$B$12:$AC$59119,3,0)),"",VLOOKUP(C10,'Capacidad Financiera'!$B$12:$AC$59119,3,0))</f>
        <v>1</v>
      </c>
      <c r="F10" s="90">
        <f>'Capacidad Financiera'!N12</f>
        <v>1</v>
      </c>
      <c r="G10" s="89">
        <f>IF(ISERROR(VLOOKUP(F10,POA!$A$2:$D$16,2,0)),"",VLOOKUP(F10,POA!$A$2:$D$16,2,0))</f>
        <v>765000000</v>
      </c>
      <c r="H10" s="89">
        <f>IF(ISERROR(VLOOKUP(F10,POA!$A$2:$D$16,3,0)),"",VLOOKUP(F10,POA!$A$2:$D$16,4,0))</f>
        <v>0</v>
      </c>
      <c r="I10" s="243">
        <f>IF(ISERROR(VLOOKUP(F10,POA!$A$2:$D$2,3,0)),"",VLOOKUP(F10,POA!$A$2:$D$2,3,0))</f>
        <v>5</v>
      </c>
      <c r="J10" s="87">
        <f>IF(I10="","",IF(I10&lt;12,(G10-H10),IF(I10&gt;=12,(((G10-H10)/I10)*12),"")))</f>
        <v>765000000</v>
      </c>
      <c r="K10" s="90"/>
      <c r="L10" s="87"/>
      <c r="M10" s="87"/>
      <c r="N10" s="87">
        <f>+SUM(N11:N12)</f>
        <v>0</v>
      </c>
      <c r="O10" s="90" t="str">
        <f>IF(ISERROR(VLOOKUP(K10,POA!$A$2:$C$2,3,0)),"",VLOOKUP(K10,POA!$A$2:$C$2,3,0))</f>
        <v/>
      </c>
      <c r="P10" s="87" t="str">
        <f>IF(ISERROR(+L10/O10),"",(L10/O10))</f>
        <v/>
      </c>
      <c r="Q10" s="120"/>
      <c r="R10" s="120">
        <f>+R11</f>
        <v>8484513247.3999987</v>
      </c>
      <c r="S10" s="202" t="str">
        <f>+IF(OR(R10=0,F10=""),"",IF(R10&gt;=J10,"CUMPLE","NO CUMPLE"))</f>
        <v>CUMPLE</v>
      </c>
      <c r="U10" s="155"/>
      <c r="V10" s="156"/>
      <c r="W10" s="143"/>
      <c r="X10" s="143"/>
    </row>
    <row r="11" spans="3:24" x14ac:dyDescent="0.2">
      <c r="C11" s="91"/>
      <c r="D11" s="85"/>
      <c r="E11" s="84"/>
      <c r="F11" s="125">
        <f>'Capacidad Financiera'!N12</f>
        <v>1</v>
      </c>
      <c r="G11" s="160">
        <f>IF(ISERROR(VLOOKUP(F11,POA!$A$2:$D$16,2,0)),"",VLOOKUP(F11,POA!$A$2:$D$16,2,0))</f>
        <v>765000000</v>
      </c>
      <c r="H11" s="160">
        <f>IF(ISERROR(VLOOKUP(F11,POA!$A$2:$D$16,3,0)),"",VLOOKUP(F11,POA!$A$2:$D$16,4,0))</f>
        <v>0</v>
      </c>
      <c r="I11" s="244">
        <f>IF(ISERROR(VLOOKUP(F11,POA!$A$2:$D$2,3,0)),"",VLOOKUP(F11,POA!$A$2:$D$2,3,0))</f>
        <v>5</v>
      </c>
      <c r="J11" s="124">
        <f>IF(I11="","",IF(I11&lt;12,(G11-H11),IF(I11&gt;=12,(((G11-H11)/I11)*12),"")))</f>
        <v>765000000</v>
      </c>
      <c r="K11" s="196">
        <f>+'Cap Organización'!E9</f>
        <v>4632231758</v>
      </c>
      <c r="L11" s="193">
        <f>+'Puntaje Exp'!I9</f>
        <v>120</v>
      </c>
      <c r="M11" s="193">
        <f>+'Capacidad Financiera'!P13</f>
        <v>0</v>
      </c>
      <c r="N11" s="193" t="str">
        <f>IF(ISERROR(VLOOKUP(M11,POA!$A$2:$F$16,6,0)),"",VLOOKUP(M11,POA!$A$2:$F$16,6,0))</f>
        <v/>
      </c>
      <c r="O11" s="193">
        <f>+'Puntaje CT'!F9</f>
        <v>30</v>
      </c>
      <c r="P11" s="193">
        <f>+'Puntaje CF'!H9</f>
        <v>40</v>
      </c>
      <c r="Q11" s="194">
        <f>+'Saldo CtosEjecución'!E9</f>
        <v>316727092.80000001</v>
      </c>
      <c r="R11" s="121">
        <f>IF(OR(K11="",L11="",O11="",P11="",Q11=""),"",(K11*((L11+O11+P11)/100))-Q11)</f>
        <v>8484513247.3999987</v>
      </c>
      <c r="S11" s="201"/>
    </row>
    <row r="12" spans="3:24" x14ac:dyDescent="0.2">
      <c r="C12" s="91"/>
      <c r="D12" s="85"/>
      <c r="E12" s="84"/>
      <c r="F12" s="125">
        <f>'Capacidad Financiera'!N16</f>
        <v>0</v>
      </c>
      <c r="G12" s="160" t="str">
        <f>IF(ISERROR(VLOOKUP(F12,POA!$A$2:$D$16,2,0)),"",VLOOKUP(F12,POA!$A$2:$D$16,2,0))</f>
        <v/>
      </c>
      <c r="H12" s="160" t="str">
        <f>IF(ISERROR(VLOOKUP(F12,POA!$A$2:$D$16,3,0)),"",VLOOKUP(F12,POA!$A$2:$D$16,4,0))</f>
        <v/>
      </c>
      <c r="I12" s="244" t="str">
        <f>IF(ISERROR(VLOOKUP(F12,POA!$A$2:$D$2,3,0)),"",VLOOKUP(F12,POA!$A$2:$D$2,3,0))</f>
        <v/>
      </c>
      <c r="J12" s="124" t="str">
        <f>IF(I12="","",IF(I12&lt;12,(G12-H12),IF(I12&gt;=12,(((G12-H12)/I12)*12),"")))</f>
        <v/>
      </c>
      <c r="K12" s="196" t="str">
        <f>IF(IF(ISERROR(VLOOKUP(C12,'Cap Organización'!$C$10:$J$1048576,3,0)),"",VLOOKUP(C12,'Cap Organización'!$C$10:$J$1048576,3,0))=0,"",IF(ISERROR(VLOOKUP(C12,'Cap Organización'!$C$10:$J$1048576,3,0)),"",VLOOKUP(C12,'Cap Organización'!$C$10:$J$1048576,3,0)))</f>
        <v/>
      </c>
      <c r="L12" s="193" t="str">
        <f>IF(ISERROR(VLOOKUP(C12,'Puntaje Exp'!$C$10:$I$1048576,8,0)),"",VLOOKUP(C12,'Puntaje Exp'!$C$10:$I$1048576,8,0))</f>
        <v/>
      </c>
      <c r="M12" s="193">
        <f>+'Capacidad Financiera'!P16</f>
        <v>0</v>
      </c>
      <c r="N12" s="193" t="str">
        <f>IF(ISERROR(VLOOKUP(M12,POA!$A$2:$F$16,6,0)),"",VLOOKUP(M12,POA!$A$2:$F$16,6,0))</f>
        <v/>
      </c>
      <c r="O12" s="193" t="str">
        <f>IF(ISERROR(VLOOKUP(C12,'Puntaje CT'!$C$10:$I$1048576,4,0)),"",VLOOKUP(C12,'Puntaje CT'!$C$10:$I$1048576,4,0))</f>
        <v/>
      </c>
      <c r="P12" s="193" t="str">
        <f>IF(ISERROR(VLOOKUP(C12,'Puntaje CF'!$C$10:$I$1048576,6,0)),"",VLOOKUP(C12,'Puntaje CF'!$C$10:$I$1048576,6,0))</f>
        <v/>
      </c>
      <c r="Q12" s="194">
        <v>0</v>
      </c>
      <c r="R12" s="121" t="str">
        <f>IF(OR(K12="",L12="",O12="",P12="",Q12=""),"",(K12*((L12+O12+P12)/100))-Q12)</f>
        <v/>
      </c>
      <c r="S12" s="201"/>
    </row>
    <row r="13" spans="3:24" ht="13.5" thickBot="1" x14ac:dyDescent="0.25">
      <c r="I13" s="248"/>
    </row>
    <row r="14" spans="3:24" x14ac:dyDescent="0.2">
      <c r="C14" s="86">
        <v>2</v>
      </c>
      <c r="D14" s="87" t="str">
        <f>IF(ISERROR(VLOOKUP(C14,'Capacidad Financiera'!$B$12:$AC$59119,2,0)),"",VLOOKUP(C14,'Capacidad Financiera'!$B$12:$AC$59119,2,0))</f>
        <v>CESAR ANTONIO PADRON TORRES</v>
      </c>
      <c r="E14" s="88">
        <f>IF(ISERROR(VLOOKUP(C14,'Capacidad Financiera'!$B$12:$AC$59119,3,0)),"",VLOOKUP(C14,'Capacidad Financiera'!$B$12:$AC$59119,3,0))</f>
        <v>1</v>
      </c>
      <c r="F14" s="90">
        <f>'Capacidad Financiera'!N17</f>
        <v>1</v>
      </c>
      <c r="G14" s="89">
        <f>IF(ISERROR(VLOOKUP(F14,POA!$A$2:$D$16,2,0)),"",VLOOKUP(F14,POA!$A$2:$D$16,2,0))</f>
        <v>765000000</v>
      </c>
      <c r="H14" s="89">
        <f>IF(ISERROR(VLOOKUP(F14,POA!$A$2:$D$16,3,0)),"",VLOOKUP(F14,POA!$A$2:$D$16,4,0))</f>
        <v>0</v>
      </c>
      <c r="I14" s="243">
        <f>IF(ISERROR(VLOOKUP(F14,POA!$A$2:$D$2,3,0)),"",VLOOKUP(F14,POA!$A$2:$D$2,3,0))</f>
        <v>5</v>
      </c>
      <c r="J14" s="87">
        <f>IF(I14="","",IF(I14&lt;12,(G14-H14),IF(I14&gt;=12,(((G14-H14)/I14)*12),"")))</f>
        <v>765000000</v>
      </c>
      <c r="K14" s="90"/>
      <c r="L14" s="87"/>
      <c r="M14" s="87"/>
      <c r="N14" s="87">
        <f>+SUM(N15:N16)</f>
        <v>0</v>
      </c>
      <c r="O14" s="90" t="str">
        <f>IF(ISERROR(VLOOKUP(K14,POA!$A$2:$C$2,3,0)),"",VLOOKUP(K14,POA!$A$2:$C$2,3,0))</f>
        <v/>
      </c>
      <c r="P14" s="87" t="str">
        <f>IF(ISERROR(+L14/O14),"",(L14/O14))</f>
        <v/>
      </c>
      <c r="Q14" s="120"/>
      <c r="R14" s="120">
        <f>+R15</f>
        <v>1573630882.8</v>
      </c>
      <c r="S14" s="202" t="str">
        <f>+IF(OR(R14=0,F14=""),"",IF(R14&gt;=J14,"CUMPLE","NO CUMPLE"))</f>
        <v>CUMPLE</v>
      </c>
    </row>
    <row r="15" spans="3:24" x14ac:dyDescent="0.2">
      <c r="C15" s="91"/>
      <c r="D15" s="85" t="str">
        <f>IF(ISERROR(VLOOKUP(C15,'Capacidad Financiera'!$B$12:$AC$59119,2,0)),"",VLOOKUP(C15,'Capacidad Financiera'!$B$12:$AC$59119,2,0))</f>
        <v/>
      </c>
      <c r="E15" s="84" t="str">
        <f>IF(ISERROR(VLOOKUP(C15,'Capacidad Financiera'!$B$12:$AC$59119,3,0)),"",VLOOKUP(C15,'Capacidad Financiera'!$B$12:$AC$59119,3,0))</f>
        <v/>
      </c>
      <c r="F15" s="85">
        <f>'Capacidad Financiera'!N17</f>
        <v>1</v>
      </c>
      <c r="G15" s="85">
        <f>IF(ISERROR(VLOOKUP(F15,POA!$A$2:$D$16,2,0)),"",VLOOKUP(F15,POA!$A$2:$D$16,2,0))</f>
        <v>765000000</v>
      </c>
      <c r="H15" s="85">
        <f>IF(ISERROR(VLOOKUP(F15,POA!$A$2:$D$16,3,0)),"",VLOOKUP(F15,POA!$A$2:$D$16,4,0))</f>
        <v>0</v>
      </c>
      <c r="I15" s="245">
        <f>IF(ISERROR(VLOOKUP(F15,POA!$A$2:$D$2,3,0)),"",VLOOKUP(F15,POA!$A$2:$D$2,3,0))</f>
        <v>5</v>
      </c>
      <c r="J15" s="85">
        <f>IF(I15="","",IF(I15&lt;12,(G15-H15),IF(I15&gt;=12,(((G15-H15)/I15)*12),"")))</f>
        <v>765000000</v>
      </c>
      <c r="K15" s="196">
        <f>+'Cap Organización'!E12</f>
        <v>1298859480</v>
      </c>
      <c r="L15" s="193">
        <f>+'Puntaje Exp'!I11</f>
        <v>120</v>
      </c>
      <c r="M15" s="193">
        <f>+'Capacidad Financiera'!P21</f>
        <v>0</v>
      </c>
      <c r="N15" s="193" t="str">
        <f>IF(ISERROR(VLOOKUP(M15,POA!$A$2:$F$16,6,0)),"",VLOOKUP(M15,POA!$A$2:$F$16,6,0))</f>
        <v/>
      </c>
      <c r="O15" s="193">
        <f>+'Puntaje CT'!F11</f>
        <v>20</v>
      </c>
      <c r="P15" s="193">
        <f>+'Puntaje CF'!H12</f>
        <v>40</v>
      </c>
      <c r="Q15" s="194">
        <f>+'Saldo CtosEjecución'!E12</f>
        <v>764316181.20000005</v>
      </c>
      <c r="R15" s="121">
        <f>IF(OR(K15="",L15="",O15="",P15="",Q15=""),"",(K15*((L15+O15+P15)/100))-Q15)</f>
        <v>1573630882.8</v>
      </c>
      <c r="S15" s="85"/>
    </row>
    <row r="16" spans="3:24" ht="17.25" customHeight="1" x14ac:dyDescent="0.2">
      <c r="C16" s="91"/>
      <c r="D16" s="85"/>
      <c r="E16" s="84"/>
      <c r="F16" s="85"/>
      <c r="G16" s="85"/>
      <c r="H16" s="85"/>
      <c r="I16" s="245"/>
      <c r="J16" s="85"/>
      <c r="K16" s="85"/>
      <c r="L16" s="85"/>
      <c r="M16" s="85"/>
      <c r="N16" s="85"/>
      <c r="O16" s="85"/>
      <c r="P16" s="85"/>
      <c r="Q16" s="85"/>
      <c r="R16" s="85"/>
      <c r="S16" s="85"/>
    </row>
    <row r="17" spans="3:19" ht="13.5" thickBot="1" x14ac:dyDescent="0.25">
      <c r="I17" s="248"/>
    </row>
    <row r="18" spans="3:19" x14ac:dyDescent="0.2">
      <c r="C18" s="86">
        <v>3</v>
      </c>
      <c r="D18" s="87" t="str">
        <f>IF(ISERROR(VLOOKUP(C18,'Capacidad Financiera'!$B$12:$AC$59119,2,0)),"",VLOOKUP(C18,'Capacidad Financiera'!$B$12:$AC$59119,2,0))</f>
        <v>CONSORCIO LANDA</v>
      </c>
      <c r="E18" s="88">
        <f>IF(ISERROR(VLOOKUP(C18,'Capacidad Financiera'!$B$12:$AC$59119,3,0)),"",VLOOKUP(C18,'Capacidad Financiera'!$B$12:$AC$59119,3,0))</f>
        <v>1</v>
      </c>
      <c r="F18" s="90">
        <f>'Capacidad Financiera'!N22</f>
        <v>1</v>
      </c>
      <c r="G18" s="89">
        <f>IF(ISERROR(VLOOKUP(F18,POA!$A$2:$D$16,2,0)),"",VLOOKUP(F18,POA!$A$2:$D$16,2,0))</f>
        <v>765000000</v>
      </c>
      <c r="H18" s="89">
        <f>IF(ISERROR(VLOOKUP(F18,POA!$A$2:$D$16,3,0)),"",VLOOKUP(F18,POA!$A$2:$D$16,4,0))</f>
        <v>0</v>
      </c>
      <c r="I18" s="243">
        <f>IF(ISERROR(VLOOKUP(F18,POA!$A$2:$D$2,3,0)),"",VLOOKUP(F18,POA!$A$2:$D$2,3,0))</f>
        <v>5</v>
      </c>
      <c r="J18" s="87">
        <f>IF(I18="","",IF(I18&lt;12,(G18-H18),IF(I18&gt;=12,(((G18-H18)/I18)*12),"")))</f>
        <v>765000000</v>
      </c>
      <c r="K18" s="90"/>
      <c r="L18" s="87"/>
      <c r="M18" s="87"/>
      <c r="N18" s="87">
        <f>+SUM(N19:N20)</f>
        <v>0</v>
      </c>
      <c r="O18" s="90" t="str">
        <f>IF(ISERROR(VLOOKUP(K18,POA!$A$2:$C$2,3,0)),"",VLOOKUP(K18,POA!$A$2:$C$2,3,0))</f>
        <v/>
      </c>
      <c r="P18" s="87" t="str">
        <f t="shared" ref="P18" si="0">IF(ISERROR(+L18/O18),"",(L18/O18))</f>
        <v/>
      </c>
      <c r="Q18" s="120"/>
      <c r="R18" s="120">
        <f>SUM(R19:R20)</f>
        <v>3337452520.5999999</v>
      </c>
      <c r="S18" s="202" t="str">
        <f>+IF(OR(R18=0,F18=""),"",IF(R18&gt;=J18,"CUMPLE","NO CUMPLE"))</f>
        <v>CUMPLE</v>
      </c>
    </row>
    <row r="19" spans="3:19" x14ac:dyDescent="0.2">
      <c r="C19" s="91"/>
      <c r="D19" s="85"/>
      <c r="E19" s="84"/>
      <c r="F19" s="242">
        <f>'Capacidad Financiera'!N22</f>
        <v>1</v>
      </c>
      <c r="G19" s="85">
        <f>IF(ISERROR(VLOOKUP(F19,POA!$A$2:$D$16,2,0)),"",VLOOKUP(F19,POA!$A$2:$D$16,2,0))</f>
        <v>765000000</v>
      </c>
      <c r="H19" s="85">
        <f>IF(ISERROR(VLOOKUP(F19,POA!$A$2:$D$16,3,0)),"",VLOOKUP(F19,POA!$A$2:$D$16,4,0))</f>
        <v>0</v>
      </c>
      <c r="I19" s="246">
        <f>IF(ISERROR(VLOOKUP(F19,POA!$A$2:$D$2,3,0)),"",VLOOKUP(F19,POA!$A$2:$D$2,3,0))</f>
        <v>5</v>
      </c>
      <c r="J19" s="85">
        <f>IF(I19="","",IF(I19&lt;12,(G19-H19),IF(I19&gt;=12,(((G19-H19)/I19)*12),"")))</f>
        <v>765000000</v>
      </c>
      <c r="K19" s="196">
        <f>+'Cap Organización'!E16</f>
        <v>2066157937</v>
      </c>
      <c r="L19" s="193">
        <f>+'Puntaje Exp'!I13</f>
        <v>120</v>
      </c>
      <c r="M19" s="193">
        <f>+'Capacidad Financiera'!P25</f>
        <v>0</v>
      </c>
      <c r="N19" s="193" t="str">
        <f>IF(ISERROR(VLOOKUP(M19,POA!$A$2:$F$16,6,0)),"",VLOOKUP(M19,POA!$A$2:$F$16,6,0))</f>
        <v/>
      </c>
      <c r="O19" s="193">
        <f>+'Puntaje CT'!F13</f>
        <v>20</v>
      </c>
      <c r="P19" s="193">
        <f>+'Puntaje CF'!H15</f>
        <v>40</v>
      </c>
      <c r="Q19" s="194">
        <f>+'Saldo CtosEjecución'!E15</f>
        <v>381631766</v>
      </c>
      <c r="R19" s="121">
        <f>IF(OR(K19="",L19="",O19="",P19="",Q19=""),"",(K19*((L19+O19+P19)/100))-Q19)</f>
        <v>3337452520.5999999</v>
      </c>
      <c r="S19" s="85"/>
    </row>
    <row r="20" spans="3:19" x14ac:dyDescent="0.2">
      <c r="C20" s="91"/>
      <c r="D20" s="85"/>
      <c r="E20" s="84"/>
      <c r="F20" s="85">
        <f>'Capacidad Financiera'!N24</f>
        <v>0</v>
      </c>
      <c r="G20" s="85" t="str">
        <f>IF(ISERROR(VLOOKUP(F20,POA!$A$2:$D$16,2,0)),"",VLOOKUP(F20,POA!$A$2:$D$16,2,0))</f>
        <v/>
      </c>
      <c r="H20" s="85" t="str">
        <f>IF(ISERROR(VLOOKUP(F20,POA!$A$2:$D$16,3,0)),"",VLOOKUP(F20,POA!$A$2:$D$16,4,0))</f>
        <v/>
      </c>
      <c r="I20" s="245" t="str">
        <f>IF(ISERROR(VLOOKUP(F20,POA!$A$2:$D$2,3,0)),"",VLOOKUP(F20,POA!$A$2:$D$2,3,0))</f>
        <v/>
      </c>
      <c r="J20" s="85" t="str">
        <f>IF(I20="","",IF(I20&lt;12,(G20-H20),IF(I20&gt;=12,(((G20-H20)/I20)*12),"")))</f>
        <v/>
      </c>
      <c r="K20" s="85" t="str">
        <f>IF(IF(ISERROR(VLOOKUP(C20,'Cap Organización'!$C$10:$J$1048576,3,0)),"",VLOOKUP(C20,'Cap Organización'!$C$10:$J$1048576,3,0))=0,"",IF(ISERROR(VLOOKUP(C20,'Cap Organización'!$C$10:$J$1048576,3,0)),"",VLOOKUP(C20,'Cap Organización'!$C$10:$J$1048576,3,0)))</f>
        <v/>
      </c>
      <c r="L20" s="85" t="str">
        <f>IF(ISERROR(VLOOKUP(C20,'Puntaje Exp'!$C$10:$I$1048576,8,0)),"",VLOOKUP(C20,'Puntaje Exp'!$C$10:$I$1048576,8,0))</f>
        <v/>
      </c>
      <c r="M20" s="85">
        <f>+'Capacidad Financiera'!P24</f>
        <v>0</v>
      </c>
      <c r="N20" s="85" t="str">
        <f>IF(ISERROR(VLOOKUP(M20,POA!$A$2:$F$16,6,0)),"",VLOOKUP(M20,POA!$A$2:$F$16,6,0))</f>
        <v/>
      </c>
      <c r="O20" s="85" t="str">
        <f>IF(ISERROR(VLOOKUP(C20,'Puntaje CT'!$C$10:$I$1048576,4,0)),"",VLOOKUP(C20,'Puntaje CT'!$C$10:$I$1048576,4,0))</f>
        <v/>
      </c>
      <c r="P20" s="85" t="str">
        <f>IF(ISERROR(VLOOKUP(C20,'Puntaje CF'!$C$10:$I$1048576,6,0)),"",VLOOKUP(C20,'Puntaje CF'!$C$10:$I$1048576,6,0))</f>
        <v/>
      </c>
      <c r="Q20" s="85" t="str">
        <f>IF(IF(ISERROR(VLOOKUP(C20,'Saldo CtosEjecución'!$C$10:$I$1048576,3,0)),"",VLOOKUP(C20,'Saldo CtosEjecución'!$C$10:$I$1048576,3,0))=0,"",IF(ISERROR(VLOOKUP(C20,'Saldo CtosEjecución'!$C$10:$I$1048576,3,0)),"",VLOOKUP(C20,'Saldo CtosEjecución'!$C$10:$I$1048576,3,0)))</f>
        <v/>
      </c>
      <c r="R20" s="85" t="str">
        <f>IF(OR(K20="",L20="",O20="",P20="",Q20=""),"",(K20*((L20+O20+P20)/100))-Q20)</f>
        <v/>
      </c>
      <c r="S20" s="85"/>
    </row>
    <row r="21" spans="3:19" x14ac:dyDescent="0.2">
      <c r="I21" s="248"/>
    </row>
    <row r="22" spans="3:19" hidden="1" x14ac:dyDescent="0.2">
      <c r="C22" s="86">
        <v>4</v>
      </c>
      <c r="D22" s="87">
        <f>IF(ISERROR(VLOOKUP(C22,'Capacidad Financiera'!$B$12:$AC$59119,2,0)),"",VLOOKUP(C22,'Capacidad Financiera'!$B$12:$AC$59119,2,0))</f>
        <v>0</v>
      </c>
      <c r="E22" s="88">
        <f>IF(ISERROR(VLOOKUP(C22,'Capacidad Financiera'!$B$12:$AC$59119,3,0)),"",VLOOKUP(C22,'Capacidad Financiera'!$B$12:$AC$59119,3,0))</f>
        <v>0</v>
      </c>
      <c r="F22" s="90">
        <f>+'Capacidad Financiera'!N28</f>
        <v>1</v>
      </c>
      <c r="G22" s="89">
        <f>IF(ISERROR(VLOOKUP(F22,POA!$A$2:$D$16,2,0)),"",VLOOKUP(F22,POA!$A$2:$D$16,2,0))</f>
        <v>765000000</v>
      </c>
      <c r="H22" s="89">
        <f>IF(ISERROR(VLOOKUP(F22,POA!$A$2:$D$16,3,0)),"",VLOOKUP(F22,POA!$A$2:$D$16,4,0))</f>
        <v>0</v>
      </c>
      <c r="I22" s="243">
        <f>IF(ISERROR(VLOOKUP(F22,POA!$A$2:$D$2,3,0)),"",VLOOKUP(F22,POA!$A$2:$D$2,3,0))</f>
        <v>5</v>
      </c>
      <c r="J22" s="87">
        <f>IF(I22="","",IF(I22&lt;12,(G22-H22),IF(I22&gt;=12,(((G22-H22)/I22)*12),"")))</f>
        <v>765000000</v>
      </c>
      <c r="K22" s="90"/>
      <c r="L22" s="87"/>
      <c r="M22" s="87"/>
      <c r="N22" s="87">
        <f>+SUM(N23:N24)</f>
        <v>0</v>
      </c>
      <c r="O22" s="90" t="str">
        <f>IF(ISERROR(VLOOKUP(K22,POA!$A$2:$C$2,3,0)),"",VLOOKUP(K22,POA!$A$2:$C$2,3,0))</f>
        <v/>
      </c>
      <c r="P22" s="87" t="str">
        <f t="shared" ref="P22" si="1">IF(ISERROR(+L22/O22),"",(L22/O22))</f>
        <v/>
      </c>
      <c r="Q22" s="120"/>
      <c r="R22" s="120">
        <f>SUM(R23:R24)</f>
        <v>0</v>
      </c>
      <c r="S22" s="202" t="str">
        <f>+IF(OR(R22=0,F22=""),"",IF(R22&gt;=J22,"CUMPLE","NO CUMPLE"))</f>
        <v/>
      </c>
    </row>
    <row r="23" spans="3:19" hidden="1" x14ac:dyDescent="0.2">
      <c r="C23" s="91"/>
      <c r="D23" s="85"/>
      <c r="E23" s="84"/>
      <c r="F23" s="85">
        <f>'Capacidad Financiera'!N28</f>
        <v>1</v>
      </c>
      <c r="G23" s="85">
        <f>IF(ISERROR(VLOOKUP(F23,POA!$A$2:$D$16,2,0)),"",VLOOKUP(F23,POA!$A$2:$D$16,2,0))</f>
        <v>765000000</v>
      </c>
      <c r="H23" s="85">
        <f>IF(ISERROR(VLOOKUP(F23,POA!$A$2:$D$16,3,0)),"",VLOOKUP(F23,POA!$A$2:$D$16,4,0))</f>
        <v>0</v>
      </c>
      <c r="I23" s="245">
        <f>IF(ISERROR(VLOOKUP(F23,POA!$A$2:$D$2,3,0)),"",VLOOKUP(F23,POA!$A$2:$D$2,3,0))</f>
        <v>5</v>
      </c>
      <c r="J23" s="85">
        <f>IF(I23="","",IF(I23&lt;12,(G23-H23),IF(I23&gt;=12,(((G23-H23)/I23)*12),"")))</f>
        <v>765000000</v>
      </c>
      <c r="K23" s="196">
        <f>+'Cap Organización'!E19</f>
        <v>0</v>
      </c>
      <c r="L23" s="193" t="str">
        <f>+'Puntaje Exp'!I17</f>
        <v/>
      </c>
      <c r="M23" s="193">
        <f>+'Capacidad Financiera'!P29</f>
        <v>0</v>
      </c>
      <c r="N23" s="193" t="str">
        <f>IF(ISERROR(VLOOKUP(M23,POA!$A$2:$F$16,6,0)),"",VLOOKUP(M23,POA!$A$2:$F$16,6,0))</f>
        <v/>
      </c>
      <c r="O23" s="193" t="str">
        <f>+'Puntaje CT'!F15</f>
        <v/>
      </c>
      <c r="P23" s="193">
        <f>+'Puntaje CF'!H17</f>
        <v>0</v>
      </c>
      <c r="Q23" s="194">
        <f>+'Saldo CtosEjecución'!E19</f>
        <v>0</v>
      </c>
      <c r="R23" s="121" t="str">
        <f>IF(OR(K23="",L23="",O23="",P23="",Q23=""),"",(K23*((L23+O23+P23)/100))-Q23)</f>
        <v/>
      </c>
      <c r="S23" s="85"/>
    </row>
    <row r="24" spans="3:19" hidden="1" x14ac:dyDescent="0.2">
      <c r="C24" s="91"/>
      <c r="D24" s="85"/>
      <c r="E24" s="84"/>
      <c r="F24" s="242"/>
      <c r="G24" s="85"/>
      <c r="H24" s="85" t="str">
        <f>IF(ISERROR(VLOOKUP(F24,POA!$A$2:$D$16,3,0)),"",VLOOKUP(F24,POA!$A$2:$D$16,4,0))</f>
        <v/>
      </c>
      <c r="I24" s="246" t="str">
        <f>IF(ISERROR(VLOOKUP(F24,POA!$A$2:$D$2,3,0)),"",VLOOKUP(F24,POA!$A$2:$D$2,3,0))</f>
        <v/>
      </c>
      <c r="J24" s="85" t="str">
        <f>IF(I24="","",IF(I24&lt;12,(G24-H24),IF(I24&gt;=12,(((G24-H24)/I24)*12),"")))</f>
        <v/>
      </c>
      <c r="K24" s="85" t="str">
        <f>IF(IF(ISERROR(VLOOKUP(C24,'Cap Organización'!$C$10:$J$1048576,3,0)),"",VLOOKUP(C24,'Cap Organización'!$C$10:$J$1048576,3,0))=0,"",IF(ISERROR(VLOOKUP(C24,'Cap Organización'!$C$10:$J$1048576,3,0)),"",VLOOKUP(C24,'Cap Organización'!$C$10:$J$1048576,3,0)))</f>
        <v/>
      </c>
      <c r="L24" s="85" t="str">
        <f>IF(ISERROR(VLOOKUP(C24,'Puntaje Exp'!$C$10:$I$1048576,8,0)),"",VLOOKUP(C24,'Puntaje Exp'!$C$10:$I$1048576,8,0))</f>
        <v/>
      </c>
      <c r="M24" s="85">
        <f>+'Capacidad Financiera'!P28</f>
        <v>0</v>
      </c>
      <c r="N24" s="85" t="str">
        <f>IF(ISERROR(VLOOKUP(M24,POA!$A$2:$F$16,6,0)),"",VLOOKUP(M24,POA!$A$2:$F$16,6,0))</f>
        <v/>
      </c>
      <c r="O24" s="85" t="str">
        <f>IF(ISERROR(VLOOKUP(C24,'Puntaje CT'!$C$10:$I$1048576,4,0)),"",VLOOKUP(C24,'Puntaje CT'!$C$10:$I$1048576,4,0))</f>
        <v/>
      </c>
      <c r="P24" s="85" t="str">
        <f>IF(ISERROR(VLOOKUP(C24,'Puntaje CF'!$C$10:$I$1048576,6,0)),"",VLOOKUP(C24,'Puntaje CF'!$C$10:$I$1048576,6,0))</f>
        <v/>
      </c>
      <c r="Q24" s="85" t="str">
        <f>IF(IF(ISERROR(VLOOKUP(C24,'Saldo CtosEjecución'!$C$10:$I$1048576,3,0)),"",VLOOKUP(C24,'Saldo CtosEjecución'!$C$10:$I$1048576,3,0))=0,"",IF(ISERROR(VLOOKUP(C24,'Saldo CtosEjecución'!$C$10:$I$1048576,3,0)),"",VLOOKUP(C24,'Saldo CtosEjecución'!$C$10:$I$1048576,3,0)))</f>
        <v/>
      </c>
      <c r="R24" s="85" t="str">
        <f>IF(OR(K24="",L24="",O24="",P24="",Q24=""),"",(K24*((L24+O24+P24)/100))-Q24)</f>
        <v/>
      </c>
      <c r="S24" s="85"/>
    </row>
    <row r="25" spans="3:19" x14ac:dyDescent="0.2">
      <c r="I25" s="248"/>
    </row>
    <row r="26" spans="3:19" hidden="1" x14ac:dyDescent="0.2">
      <c r="C26" s="86">
        <v>5</v>
      </c>
      <c r="D26" s="87">
        <f>IF(ISERROR(VLOOKUP(C26,'Capacidad Financiera'!$B$12:$AC$59119,2,0)),"",VLOOKUP(C26,'Capacidad Financiera'!$B$12:$AC$59119,2,0))</f>
        <v>0</v>
      </c>
      <c r="E26" s="88" t="str">
        <f>IF(ISERROR(VLOOKUP(C26,'Capacidad Financiera'!$B$12:$AC$59119,3,0)),"",VLOOKUP(C26,'Capacidad Financiera'!$B$12:$AC$59119,3,0))</f>
        <v/>
      </c>
      <c r="F26" s="90">
        <f>'Capacidad Financiera'!N33</f>
        <v>1</v>
      </c>
      <c r="G26" s="89">
        <f>IF(ISERROR(VLOOKUP(F26,POA!$A$2:$D$16,2,0)),"",VLOOKUP(F26,POA!$A$2:$D$16,2,0))</f>
        <v>765000000</v>
      </c>
      <c r="H26" s="89">
        <f>IF(ISERROR(VLOOKUP(F26,POA!$A$2:$D$16,3,0)),"",VLOOKUP(F26,POA!$A$2:$D$16,4,0))</f>
        <v>0</v>
      </c>
      <c r="I26" s="243">
        <f>IF(ISERROR(VLOOKUP(F26,POA!$A$2:$D$2,3,0)),"",VLOOKUP(F26,POA!$A$2:$D$2,3,0))</f>
        <v>5</v>
      </c>
      <c r="J26" s="87">
        <f>IF(I26="","",IF(I26&lt;12,(G26-H26),IF(I26&gt;=12,(((G26-H26)/I26)*12),"")))</f>
        <v>765000000</v>
      </c>
      <c r="K26" s="90"/>
      <c r="L26" s="87"/>
      <c r="M26" s="87"/>
      <c r="N26" s="87">
        <f>+SUM(N27:N28)</f>
        <v>0</v>
      </c>
      <c r="O26" s="90" t="str">
        <f>IF(ISERROR(VLOOKUP(K26,POA!$A$2:$C$2,3,0)),"",VLOOKUP(K26,POA!$A$2:$C$2,3,0))</f>
        <v/>
      </c>
      <c r="P26" s="87" t="str">
        <f t="shared" ref="P26" si="2">IF(ISERROR(+L26/O26),"",(L26/O26))</f>
        <v/>
      </c>
      <c r="Q26" s="120"/>
      <c r="R26" s="120">
        <f>SUM(R27:R28)</f>
        <v>0</v>
      </c>
      <c r="S26" s="202" t="str">
        <f>+IF(OR(R26=0,F26=""),"",IF(R26&gt;=J26,"CUMPLE","NO CUMPLE"))</f>
        <v/>
      </c>
    </row>
    <row r="27" spans="3:19" hidden="1" x14ac:dyDescent="0.2">
      <c r="C27" s="91"/>
      <c r="D27" s="85"/>
      <c r="E27" s="84"/>
      <c r="F27" s="85">
        <f>'Capacidad Financiera'!N33</f>
        <v>1</v>
      </c>
      <c r="G27" s="85">
        <f>IF(ISERROR(VLOOKUP(F27,POA!$A$2:$D$16,2,0)),"",VLOOKUP(F27,POA!$A$2:$D$16,2,0))</f>
        <v>765000000</v>
      </c>
      <c r="H27" s="85">
        <f>IF(ISERROR(VLOOKUP(F27,POA!$A$2:$D$16,3,0)),"",VLOOKUP(F27,POA!$A$2:$D$16,4,0))</f>
        <v>0</v>
      </c>
      <c r="I27" s="245">
        <f>IF(ISERROR(VLOOKUP(F27,POA!$A$2:$D$2,3,0)),"",VLOOKUP(F27,POA!$A$2:$D$2,3,0))</f>
        <v>5</v>
      </c>
      <c r="J27" s="85">
        <f>IF(I27="","",IF(I27&lt;12,(G27-H27),IF(I27&gt;=12,(((G27-H27)/I27)*12),"")))</f>
        <v>765000000</v>
      </c>
      <c r="K27" s="196">
        <f>+'Cap Organización'!E22</f>
        <v>0</v>
      </c>
      <c r="L27" s="193" t="str">
        <f>+'Puntaje Exp'!I19</f>
        <v/>
      </c>
      <c r="M27" s="193">
        <f>+'Capacidad Financiera'!P33</f>
        <v>0</v>
      </c>
      <c r="N27" s="193" t="str">
        <f>IF(ISERROR(VLOOKUP(M27,POA!$A$2:$F$16,6,0)),"",VLOOKUP(M27,POA!$A$2:$F$16,6,0))</f>
        <v/>
      </c>
      <c r="O27" s="193" t="str">
        <f>+'Puntaje CT'!F17</f>
        <v/>
      </c>
      <c r="P27" s="193">
        <f>+'Puntaje CF'!H19</f>
        <v>0</v>
      </c>
      <c r="Q27" s="194">
        <f>+'Saldo CtosEjecución'!E22</f>
        <v>0</v>
      </c>
      <c r="R27" s="121" t="str">
        <f>IF(OR(K27="",L27="",O27="",P27="",Q27=""),"",(K27*((L27+O27+P27)/100))-Q27)</f>
        <v/>
      </c>
      <c r="S27" s="85"/>
    </row>
    <row r="28" spans="3:19" hidden="1" x14ac:dyDescent="0.2">
      <c r="C28" s="91"/>
      <c r="D28" s="85"/>
      <c r="E28" s="84"/>
      <c r="F28" s="242"/>
      <c r="G28" s="85"/>
      <c r="H28" s="85"/>
      <c r="I28" s="246"/>
      <c r="J28" s="85"/>
      <c r="K28" s="85" t="str">
        <f>IF(IF(ISERROR(VLOOKUP(C28,'Cap Organización'!$C$10:$J$1048576,3,0)),"",VLOOKUP(C28,'Cap Organización'!$C$10:$J$1048576,3,0))=0,"",IF(ISERROR(VLOOKUP(C28,'Cap Organización'!$C$10:$J$1048576,3,0)),"",VLOOKUP(C28,'Cap Organización'!$C$10:$J$1048576,3,0)))</f>
        <v/>
      </c>
      <c r="L28" s="85" t="str">
        <f>IF(ISERROR(VLOOKUP(C28,'Puntaje Exp'!$C$10:$I$1048576,8,0)),"",VLOOKUP(C28,'Puntaje Exp'!$C$10:$I$1048576,8,0))</f>
        <v/>
      </c>
      <c r="M28" s="85">
        <f>+'Capacidad Financiera'!P32</f>
        <v>0</v>
      </c>
      <c r="N28" s="85" t="str">
        <f>IF(ISERROR(VLOOKUP(M28,POA!$A$2:$F$16,6,0)),"",VLOOKUP(M28,POA!$A$2:$F$16,6,0))</f>
        <v/>
      </c>
      <c r="O28" s="85" t="str">
        <f>IF(ISERROR(VLOOKUP(C28,'Puntaje CT'!$C$10:$I$1048576,4,0)),"",VLOOKUP(C28,'Puntaje CT'!$C$10:$I$1048576,4,0))</f>
        <v/>
      </c>
      <c r="P28" s="85" t="str">
        <f>IF(ISERROR(VLOOKUP(C28,'Puntaje CF'!$C$10:$I$1048576,6,0)),"",VLOOKUP(C28,'Puntaje CF'!$C$10:$I$1048576,6,0))</f>
        <v/>
      </c>
      <c r="Q28" s="85" t="str">
        <f>IF(IF(ISERROR(VLOOKUP(C28,'Saldo CtosEjecución'!$C$10:$I$1048576,3,0)),"",VLOOKUP(C28,'Saldo CtosEjecución'!$C$10:$I$1048576,3,0))=0,"",IF(ISERROR(VLOOKUP(C28,'Saldo CtosEjecución'!$C$10:$I$1048576,3,0)),"",VLOOKUP(C28,'Saldo CtosEjecución'!$C$10:$I$1048576,3,0)))</f>
        <v/>
      </c>
      <c r="R28" s="85" t="str">
        <f>IF(OR(K28="",L28="",O28="",P28="",Q28=""),"",(K28*((L28+O28+P28)/100))-Q28)</f>
        <v/>
      </c>
      <c r="S28" s="85"/>
    </row>
    <row r="29" spans="3:19" ht="13.5" hidden="1" thickBot="1" x14ac:dyDescent="0.25">
      <c r="I29" s="248"/>
    </row>
    <row r="30" spans="3:19" hidden="1" x14ac:dyDescent="0.2">
      <c r="C30" s="86">
        <v>6</v>
      </c>
      <c r="D30" s="87">
        <f>IF(ISERROR(VLOOKUP(C30,'Capacidad Financiera'!$B$12:$AC$59119,2,0)),"",VLOOKUP(C30,'Capacidad Financiera'!$B$12:$AC$59119,2,0))</f>
        <v>0</v>
      </c>
      <c r="E30" s="88">
        <f>IF(ISERROR(VLOOKUP(C30,'Capacidad Financiera'!$B$12:$AC$59119,3,0)),"",VLOOKUP(C30,'Capacidad Financiera'!$B$12:$AC$59119,3,0))</f>
        <v>1</v>
      </c>
      <c r="F30" s="90">
        <f>'Capacidad Financiera'!N39</f>
        <v>1</v>
      </c>
      <c r="G30" s="89">
        <f>IF(ISERROR(VLOOKUP(F30,POA!$A$2:$D$16,2,0)),"",VLOOKUP(F30,POA!$A$2:$D$16,2,0))</f>
        <v>765000000</v>
      </c>
      <c r="H30" s="89">
        <f>IF(ISERROR(VLOOKUP(F30,POA!$A$2:$D$16,3,0)),"",VLOOKUP(F30,POA!$A$2:$D$16,4,0))</f>
        <v>0</v>
      </c>
      <c r="I30" s="243">
        <f>IF(ISERROR(VLOOKUP(F30,POA!$A$2:$D$2,3,0)),"",VLOOKUP(F30,POA!$A$2:$D$2,3,0))</f>
        <v>5</v>
      </c>
      <c r="J30" s="87">
        <f>IF(I30="","",IF(I30&lt;12,(G30-H30),IF(I30&gt;=12,(((G30-H30)/I30)*12),"")))</f>
        <v>765000000</v>
      </c>
      <c r="K30" s="90"/>
      <c r="L30" s="87"/>
      <c r="M30" s="87"/>
      <c r="N30" s="87">
        <f>+SUM(N31:N32)</f>
        <v>0</v>
      </c>
      <c r="O30" s="90" t="str">
        <f>IF(ISERROR(VLOOKUP(K30,POA!$A$2:$C$2,3,0)),"",VLOOKUP(K30,POA!$A$2:$C$2,3,0))</f>
        <v/>
      </c>
      <c r="P30" s="87" t="str">
        <f t="shared" ref="P30" si="3">IF(ISERROR(+L30/O30),"",(L30/O30))</f>
        <v/>
      </c>
      <c r="Q30" s="120"/>
      <c r="R30" s="120">
        <f>SUM(R31:R32)</f>
        <v>0</v>
      </c>
      <c r="S30" s="202" t="str">
        <f>+IF(OR(R30=0,F30=""),"",IF(R30&gt;=J30,"CUMPLE","NO CUMPLE"))</f>
        <v/>
      </c>
    </row>
    <row r="31" spans="3:19" hidden="1" x14ac:dyDescent="0.2">
      <c r="C31" s="91"/>
      <c r="D31" s="85"/>
      <c r="E31" s="84"/>
      <c r="F31" s="85">
        <f>'Capacidad Financiera'!N39</f>
        <v>1</v>
      </c>
      <c r="G31" s="85">
        <f>IF(ISERROR(VLOOKUP(F31,POA!$A$2:$D$16,2,0)),"",VLOOKUP(F31,POA!$A$2:$D$16,2,0))</f>
        <v>765000000</v>
      </c>
      <c r="H31" s="85">
        <f>IF(ISERROR(VLOOKUP(F31,POA!$A$2:$D$16,3,0)),"",VLOOKUP(F31,POA!$A$2:$D$16,4,0))</f>
        <v>0</v>
      </c>
      <c r="I31" s="245">
        <f>IF(ISERROR(VLOOKUP(F31,POA!$A$2:$D$2,3,0)),"",VLOOKUP(F31,POA!$A$2:$D$2,3,0))</f>
        <v>5</v>
      </c>
      <c r="J31" s="85">
        <f>IF(I31="","",IF(I31&lt;12,(G31-H31),IF(I31&gt;=12,(((G31-H31)/I31)*12),"")))</f>
        <v>765000000</v>
      </c>
      <c r="K31" s="196">
        <f>+'Cap Organización'!E24</f>
        <v>0</v>
      </c>
      <c r="L31" s="193" t="str">
        <f>+'Puntaje Exp'!I21</f>
        <v/>
      </c>
      <c r="M31" s="193">
        <f>+'Capacidad Financiera'!P37</f>
        <v>0</v>
      </c>
      <c r="N31" s="193" t="str">
        <f>IF(ISERROR(VLOOKUP(M31,POA!$A$2:$F$16,6,0)),"",VLOOKUP(M31,POA!$A$2:$F$16,6,0))</f>
        <v/>
      </c>
      <c r="O31" s="193" t="str">
        <f>+'Puntaje CT'!F19</f>
        <v/>
      </c>
      <c r="P31" s="193">
        <f>+'Puntaje CF'!H21</f>
        <v>0</v>
      </c>
      <c r="Q31" s="194">
        <f>+'Saldo CtosEjecución'!E25</f>
        <v>0</v>
      </c>
      <c r="R31" s="121" t="str">
        <f>IF(OR(K31="",L31="",O31="",P31="",Q31=""),"",(K31*((L31+O31+P31)/100))-Q31)</f>
        <v/>
      </c>
      <c r="S31" s="85"/>
    </row>
    <row r="32" spans="3:19" hidden="1" x14ac:dyDescent="0.2">
      <c r="C32" s="91"/>
      <c r="D32" s="85"/>
      <c r="E32" s="84"/>
      <c r="F32" s="242"/>
      <c r="G32" s="85"/>
      <c r="H32" s="85"/>
      <c r="I32" s="246"/>
      <c r="J32" s="85"/>
      <c r="K32" s="85" t="str">
        <f>IF(IF(ISERROR(VLOOKUP(C32,'Cap Organización'!$C$10:$J$1048576,3,0)),"",VLOOKUP(C32,'Cap Organización'!$C$10:$J$1048576,3,0))=0,"",IF(ISERROR(VLOOKUP(C32,'Cap Organización'!$C$10:$J$1048576,3,0)),"",VLOOKUP(C32,'Cap Organización'!$C$10:$J$1048576,3,0)))</f>
        <v/>
      </c>
      <c r="L32" s="85" t="str">
        <f>IF(ISERROR(VLOOKUP(C32,'Puntaje Exp'!$C$10:$I$1048576,8,0)),"",VLOOKUP(C32,'Puntaje Exp'!$C$10:$I$1048576,8,0))</f>
        <v/>
      </c>
      <c r="M32" s="85">
        <f>+'Capacidad Financiera'!P36</f>
        <v>0</v>
      </c>
      <c r="N32" s="85" t="str">
        <f>IF(ISERROR(VLOOKUP(M32,POA!$A$2:$F$16,6,0)),"",VLOOKUP(M32,POA!$A$2:$F$16,6,0))</f>
        <v/>
      </c>
      <c r="O32" s="85" t="str">
        <f>IF(ISERROR(VLOOKUP(C32,'Puntaje CT'!$C$10:$I$1048576,4,0)),"",VLOOKUP(C32,'Puntaje CT'!$C$10:$I$1048576,4,0))</f>
        <v/>
      </c>
      <c r="P32" s="85" t="str">
        <f>IF(ISERROR(VLOOKUP(C32,'Puntaje CF'!$C$10:$I$1048576,6,0)),"",VLOOKUP(C32,'Puntaje CF'!$C$10:$I$1048576,6,0))</f>
        <v/>
      </c>
      <c r="Q32" s="85" t="str">
        <f>IF(IF(ISERROR(VLOOKUP(C32,'Saldo CtosEjecución'!$C$10:$I$1048576,3,0)),"",VLOOKUP(C32,'Saldo CtosEjecución'!$C$10:$I$1048576,3,0))=0,"",IF(ISERROR(VLOOKUP(C32,'Saldo CtosEjecución'!$C$10:$I$1048576,3,0)),"",VLOOKUP(C32,'Saldo CtosEjecución'!$C$10:$I$1048576,3,0)))</f>
        <v/>
      </c>
      <c r="R32" s="85" t="str">
        <f>IF(OR(K32="",L32="",O32="",P32="",Q32=""),"",(K32*((L32+O32+P32)/100))-Q32)</f>
        <v/>
      </c>
      <c r="S32" s="85"/>
    </row>
    <row r="33" spans="3:19" ht="13.5" hidden="1" thickBot="1" x14ac:dyDescent="0.25">
      <c r="I33" s="248"/>
    </row>
    <row r="34" spans="3:19" hidden="1" x14ac:dyDescent="0.2">
      <c r="C34" s="86">
        <v>7</v>
      </c>
      <c r="D34" s="87">
        <f>IF(ISERROR(VLOOKUP(C34,'Capacidad Financiera'!$B$12:$AC$59119,2,0)),"",VLOOKUP(C34,'Capacidad Financiera'!$B$12:$AC$59119,2,0))</f>
        <v>0</v>
      </c>
      <c r="E34" s="88" t="str">
        <f>IF(ISERROR(VLOOKUP(C34,'Capacidad Financiera'!$B$12:$AC$59119,3,0)),"",VLOOKUP(C34,'Capacidad Financiera'!$B$12:$AC$59119,3,0))</f>
        <v/>
      </c>
      <c r="F34" s="90">
        <f>'Capacidad Financiera'!N45</f>
        <v>1</v>
      </c>
      <c r="G34" s="89">
        <f>IF(ISERROR(VLOOKUP(F34,POA!$A$2:$D$16,2,0)),"",VLOOKUP(F34,POA!$A$2:$D$16,2,0))</f>
        <v>765000000</v>
      </c>
      <c r="H34" s="89">
        <f>IF(ISERROR(VLOOKUP(F34,POA!$A$2:$D$16,3,0)),"",VLOOKUP(F34,POA!$A$2:$D$16,4,0))</f>
        <v>0</v>
      </c>
      <c r="I34" s="243">
        <f>IF(ISERROR(VLOOKUP(F34,POA!$A$2:$D$2,3,0)),"",VLOOKUP(F34,POA!$A$2:$D$2,3,0))</f>
        <v>5</v>
      </c>
      <c r="J34" s="87">
        <f>IF(I34="","",IF(I34&lt;12,(G34-H34),IF(I34&gt;=12,(((G34-H34)/I34)*12),"")))</f>
        <v>765000000</v>
      </c>
      <c r="K34" s="90"/>
      <c r="L34" s="87"/>
      <c r="M34" s="87"/>
      <c r="N34" s="87">
        <f>+SUM(N35:N36)</f>
        <v>0</v>
      </c>
      <c r="O34" s="90" t="str">
        <f>IF(ISERROR(VLOOKUP(K34,POA!$A$2:$C$2,3,0)),"",VLOOKUP(K34,POA!$A$2:$C$2,3,0))</f>
        <v/>
      </c>
      <c r="P34" s="87" t="str">
        <f t="shared" ref="P34" si="4">IF(ISERROR(+L34/O34),"",(L34/O34))</f>
        <v/>
      </c>
      <c r="Q34" s="120"/>
      <c r="R34" s="120">
        <f>SUM(R35:R36)</f>
        <v>0</v>
      </c>
      <c r="S34" s="202" t="str">
        <f>+IF(OR(R34=0,F34=""),"",IF(R34&gt;=J34,"CUMPLE","NO CUMPLE"))</f>
        <v/>
      </c>
    </row>
    <row r="35" spans="3:19" hidden="1" x14ac:dyDescent="0.2">
      <c r="C35" s="91"/>
      <c r="D35" s="85"/>
      <c r="E35" s="84"/>
      <c r="F35" s="242">
        <f>'Capacidad Financiera'!N45</f>
        <v>1</v>
      </c>
      <c r="G35" s="85">
        <f>IF(ISERROR(VLOOKUP(F35,POA!$A$2:$D$16,2,0)),"",VLOOKUP(F35,POA!$A$2:$D$16,2,0))</f>
        <v>765000000</v>
      </c>
      <c r="H35" s="85">
        <f>IF(ISERROR(VLOOKUP(F35,POA!$A$2:$D$16,3,0)),"",VLOOKUP(F35,POA!$A$2:$D$16,4,0))</f>
        <v>0</v>
      </c>
      <c r="I35" s="246">
        <f>IF(ISERROR(VLOOKUP(F35,POA!$A$2:$D$2,3,0)),"",VLOOKUP(F35,POA!$A$2:$D$2,3,0))</f>
        <v>5</v>
      </c>
      <c r="J35" s="85">
        <f>IF(I35="","",IF(I35&lt;12,(G35-H35),IF(I35&gt;=12,(((G35-H35)/I35)*12),"")))</f>
        <v>765000000</v>
      </c>
      <c r="K35" s="196">
        <f>+'Cap Organización'!E26</f>
        <v>0</v>
      </c>
      <c r="L35" s="193" t="str">
        <f>+'Puntaje Exp'!I23</f>
        <v/>
      </c>
      <c r="M35" s="193">
        <f>+'Capacidad Financiera'!P41</f>
        <v>0</v>
      </c>
      <c r="N35" s="193" t="str">
        <f>IF(ISERROR(VLOOKUP(M35,POA!$A$2:$F$16,6,0)),"",VLOOKUP(M35,POA!$A$2:$F$16,6,0))</f>
        <v/>
      </c>
      <c r="O35" s="193" t="str">
        <f>+'Puntaje CT'!F21</f>
        <v/>
      </c>
      <c r="P35" s="193">
        <f>+'Puntaje CF'!H23</f>
        <v>0</v>
      </c>
      <c r="Q35" s="194">
        <f>+'Saldo CtosEjecución'!E28</f>
        <v>0</v>
      </c>
      <c r="R35" s="121" t="str">
        <f>IF(OR(K35="",L35="",O35="",P35="",Q35=""),"",(K35*((L35+O35+P35)/100))-Q35)</f>
        <v/>
      </c>
      <c r="S35" s="85"/>
    </row>
    <row r="36" spans="3:19" hidden="1" x14ac:dyDescent="0.2">
      <c r="C36" s="91"/>
      <c r="D36" s="85"/>
      <c r="E36" s="84"/>
      <c r="F36" s="85"/>
      <c r="G36" s="85"/>
      <c r="H36" s="85"/>
      <c r="I36" s="245"/>
      <c r="J36" s="85"/>
      <c r="K36" s="85" t="str">
        <f>IF(IF(ISERROR(VLOOKUP(C36,'Cap Organización'!$C$10:$J$1048576,3,0)),"",VLOOKUP(C36,'Cap Organización'!$C$10:$J$1048576,3,0))=0,"",IF(ISERROR(VLOOKUP(C36,'Cap Organización'!$C$10:$J$1048576,3,0)),"",VLOOKUP(C36,'Cap Organización'!$C$10:$J$1048576,3,0)))</f>
        <v/>
      </c>
      <c r="L36" s="85" t="str">
        <f>IF(ISERROR(VLOOKUP(C36,'Puntaje Exp'!$C$10:$I$1048576,8,0)),"",VLOOKUP(C36,'Puntaje Exp'!$C$10:$I$1048576,8,0))</f>
        <v/>
      </c>
      <c r="M36" s="85">
        <f>+'Capacidad Financiera'!P40</f>
        <v>0</v>
      </c>
      <c r="N36" s="85" t="str">
        <f>IF(ISERROR(VLOOKUP(M36,POA!$A$2:$F$16,6,0)),"",VLOOKUP(M36,POA!$A$2:$F$16,6,0))</f>
        <v/>
      </c>
      <c r="O36" s="85" t="str">
        <f>IF(ISERROR(VLOOKUP(C36,'Puntaje CT'!$C$10:$I$1048576,4,0)),"",VLOOKUP(C36,'Puntaje CT'!$C$10:$I$1048576,4,0))</f>
        <v/>
      </c>
      <c r="P36" s="85" t="str">
        <f>IF(ISERROR(VLOOKUP(C36,'Puntaje CF'!$C$10:$I$1048576,6,0)),"",VLOOKUP(C36,'Puntaje CF'!$C$10:$I$1048576,6,0))</f>
        <v/>
      </c>
      <c r="Q36" s="85" t="str">
        <f>IF(IF(ISERROR(VLOOKUP(C36,'Saldo CtosEjecución'!$C$10:$I$1048576,3,0)),"",VLOOKUP(C36,'Saldo CtosEjecución'!$C$10:$I$1048576,3,0))=0,"",IF(ISERROR(VLOOKUP(C36,'Saldo CtosEjecución'!$C$10:$I$1048576,3,0)),"",VLOOKUP(C36,'Saldo CtosEjecución'!$C$10:$I$1048576,3,0)))</f>
        <v/>
      </c>
      <c r="R36" s="85" t="str">
        <f>IF(OR(K36="",L36="",O36="",P36="",Q36=""),"",(K36*((L36+O36+P36)/100))-Q36)</f>
        <v/>
      </c>
      <c r="S36" s="85"/>
    </row>
    <row r="37" spans="3:19" ht="13.5" hidden="1" thickBot="1" x14ac:dyDescent="0.25"/>
    <row r="38" spans="3:19" hidden="1" x14ac:dyDescent="0.2">
      <c r="C38" s="86">
        <v>8</v>
      </c>
      <c r="D38" s="87">
        <f>IF(ISERROR(VLOOKUP(C38,'Capacidad Financiera'!$B$12:$AC$59119,2,0)),"",VLOOKUP(C38,'Capacidad Financiera'!$B$12:$AC$59119,2,0))</f>
        <v>0</v>
      </c>
      <c r="E38" s="88" t="str">
        <f>IF(ISERROR(VLOOKUP(C38,'Capacidad Financiera'!$B$12:$AC$59119,3,0)),"",VLOOKUP(C38,'Capacidad Financiera'!$B$12:$AC$59119,3,0))</f>
        <v/>
      </c>
      <c r="F38" s="90">
        <f>'Capacidad Financiera'!N51</f>
        <v>1</v>
      </c>
      <c r="G38" s="89">
        <f>IF(ISERROR(VLOOKUP(F38,POA!$A$2:$D$16,2,0)),"",VLOOKUP(F38,POA!$A$2:$D$16,2,0))</f>
        <v>765000000</v>
      </c>
      <c r="H38" s="89">
        <f>IF(ISERROR(VLOOKUP(F38,POA!$A$2:$D$16,3,0)),"",VLOOKUP(F38,POA!$A$2:$D$16,4,0))</f>
        <v>0</v>
      </c>
      <c r="I38" s="243">
        <f>IF(ISERROR(VLOOKUP(F38,POA!$A$2:$D$2,3,0)),"",VLOOKUP(F38,POA!$A$2:$D$2,3,0))</f>
        <v>5</v>
      </c>
      <c r="J38" s="87">
        <f>IF(I38="","",IF(I38&lt;12,(G38-H38),IF(I38&gt;=12,(((G38-H38)/I38)*12),"")))</f>
        <v>765000000</v>
      </c>
      <c r="K38" s="90"/>
      <c r="L38" s="87"/>
      <c r="M38" s="87"/>
      <c r="N38" s="87">
        <f>+SUM(N39:N40)</f>
        <v>0</v>
      </c>
      <c r="O38" s="90" t="str">
        <f>IF(ISERROR(VLOOKUP(K38,POA!$A$2:$C$2,3,0)),"",VLOOKUP(K38,POA!$A$2:$C$2,3,0))</f>
        <v/>
      </c>
      <c r="P38" s="87" t="str">
        <f t="shared" ref="P38" si="5">IF(ISERROR(+L38/O38),"",(L38/O38))</f>
        <v/>
      </c>
      <c r="Q38" s="120"/>
      <c r="R38" s="120">
        <f>SUM(R39:R40)</f>
        <v>0</v>
      </c>
      <c r="S38" s="202" t="str">
        <f>+IF(OR(R38=0,F38=""),"",IF(R38&gt;=J38,"CUMPLE","NO CUMPLE"))</f>
        <v/>
      </c>
    </row>
    <row r="39" spans="3:19" hidden="1" x14ac:dyDescent="0.2">
      <c r="C39" s="91"/>
      <c r="D39" s="85"/>
      <c r="E39" s="84"/>
      <c r="F39" s="242">
        <f>'Capacidad Financiera'!N51</f>
        <v>1</v>
      </c>
      <c r="G39" s="85">
        <f>IF(ISERROR(VLOOKUP(F39,POA!$A$2:$D$16,2,0)),"",VLOOKUP(F39,POA!$A$2:$D$16,2,0))</f>
        <v>765000000</v>
      </c>
      <c r="H39" s="85">
        <f>IF(ISERROR(VLOOKUP(F39,POA!$A$2:$D$16,3,0)),"",VLOOKUP(F39,POA!$A$2:$D$16,4,0))</f>
        <v>0</v>
      </c>
      <c r="I39" s="246">
        <f>IF(ISERROR(VLOOKUP(F39,POA!$A$2:$D$2,3,0)),"",VLOOKUP(F39,POA!$A$2:$D$2,3,0))</f>
        <v>5</v>
      </c>
      <c r="J39" s="85">
        <f>IF(I39="","",IF(I39&lt;12,(G39-H39),IF(I39&gt;=12,(((G39-H39)/I39)*12),"")))</f>
        <v>765000000</v>
      </c>
      <c r="K39" s="196">
        <f>+'Cap Organización'!E28</f>
        <v>0</v>
      </c>
      <c r="L39" s="193" t="str">
        <f>+'Puntaje Exp'!I25</f>
        <v/>
      </c>
      <c r="M39" s="193">
        <f>+'Capacidad Financiera'!P45</f>
        <v>0</v>
      </c>
      <c r="N39" s="193" t="str">
        <f>IF(ISERROR(VLOOKUP(M39,POA!$A$2:$F$16,6,0)),"",VLOOKUP(M39,POA!$A$2:$F$16,6,0))</f>
        <v/>
      </c>
      <c r="O39" s="193" t="str">
        <f>+'Puntaje CT'!F23</f>
        <v/>
      </c>
      <c r="P39" s="193">
        <f>+'Puntaje CF'!H25</f>
        <v>0</v>
      </c>
      <c r="Q39" s="194">
        <f>+'Saldo CtosEjecución'!E31</f>
        <v>0</v>
      </c>
      <c r="R39" s="121" t="str">
        <f>IF(OR(K39="",L39="",O39="",P39="",Q39=""),"",(K39*((L39+O39+P39)/100))-Q39)</f>
        <v/>
      </c>
      <c r="S39" s="85"/>
    </row>
    <row r="40" spans="3:19" hidden="1" x14ac:dyDescent="0.2">
      <c r="C40" s="91"/>
      <c r="D40" s="85"/>
      <c r="E40" s="84"/>
      <c r="F40" s="85"/>
      <c r="G40" s="85"/>
      <c r="H40" s="85"/>
      <c r="I40" s="245"/>
      <c r="J40" s="85"/>
      <c r="K40" s="85" t="str">
        <f>IF(IF(ISERROR(VLOOKUP(C40,'Cap Organización'!$C$10:$J$1048576,3,0)),"",VLOOKUP(C40,'Cap Organización'!$C$10:$J$1048576,3,0))=0,"",IF(ISERROR(VLOOKUP(C40,'Cap Organización'!$C$10:$J$1048576,3,0)),"",VLOOKUP(C40,'Cap Organización'!$C$10:$J$1048576,3,0)))</f>
        <v/>
      </c>
      <c r="L40" s="85" t="str">
        <f>IF(ISERROR(VLOOKUP(C40,'Puntaje Exp'!$C$10:$I$1048576,8,0)),"",VLOOKUP(C40,'Puntaje Exp'!$C$10:$I$1048576,8,0))</f>
        <v/>
      </c>
      <c r="M40" s="85">
        <f>+'Capacidad Financiera'!P44</f>
        <v>0</v>
      </c>
      <c r="N40" s="85" t="str">
        <f>IF(ISERROR(VLOOKUP(M40,POA!$A$2:$F$16,6,0)),"",VLOOKUP(M40,POA!$A$2:$F$16,6,0))</f>
        <v/>
      </c>
      <c r="O40" s="85" t="str">
        <f>IF(ISERROR(VLOOKUP(C40,'Puntaje CT'!$C$10:$I$1048576,4,0)),"",VLOOKUP(C40,'Puntaje CT'!$C$10:$I$1048576,4,0))</f>
        <v/>
      </c>
      <c r="P40" s="85" t="str">
        <f>IF(ISERROR(VLOOKUP(C40,'Puntaje CF'!$C$10:$I$1048576,6,0)),"",VLOOKUP(C40,'Puntaje CF'!$C$10:$I$1048576,6,0))</f>
        <v/>
      </c>
      <c r="Q40" s="85" t="str">
        <f>IF(IF(ISERROR(VLOOKUP(C40,'Saldo CtosEjecución'!$C$10:$I$1048576,3,0)),"",VLOOKUP(C40,'Saldo CtosEjecución'!$C$10:$I$1048576,3,0))=0,"",IF(ISERROR(VLOOKUP(C40,'Saldo CtosEjecución'!$C$10:$I$1048576,3,0)),"",VLOOKUP(C40,'Saldo CtosEjecución'!$C$10:$I$1048576,3,0)))</f>
        <v/>
      </c>
      <c r="R40" s="85" t="str">
        <f>IF(OR(K40="",L40="",O40="",P40="",Q40=""),"",(K40*((L40+O40+P40)/100))-Q40)</f>
        <v/>
      </c>
      <c r="S40" s="85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87" priority="3934" stopIfTrue="1">
      <formula>IF($B6-INT($B6)&gt;0,TRUE,FALSE)</formula>
    </cfRule>
  </conditionalFormatting>
  <conditionalFormatting sqref="D6 L6:R6 D10:D12">
    <cfRule type="cellIs" dxfId="86" priority="3935" stopIfTrue="1" operator="equal">
      <formula>"NO ADMISIBLE"</formula>
    </cfRule>
  </conditionalFormatting>
  <conditionalFormatting sqref="S10:S12">
    <cfRule type="cellIs" dxfId="85" priority="3930" stopIfTrue="1" operator="equal">
      <formula>"NO ADMISIBLE"</formula>
    </cfRule>
    <cfRule type="cellIs" dxfId="84" priority="3931" stopIfTrue="1" operator="equal">
      <formula>"ADMISIBLE"</formula>
    </cfRule>
  </conditionalFormatting>
  <conditionalFormatting sqref="S10:S12">
    <cfRule type="cellIs" dxfId="83" priority="3929" stopIfTrue="1" operator="equal">
      <formula>"PENDIENTE"</formula>
    </cfRule>
  </conditionalFormatting>
  <conditionalFormatting sqref="E11:E12 K12:P12 R11:R12 L11:P11">
    <cfRule type="expression" dxfId="82" priority="3924" stopIfTrue="1">
      <formula>IF($B2-INT($B2)&gt;0,TRUE,FALSE)</formula>
    </cfRule>
  </conditionalFormatting>
  <conditionalFormatting sqref="E10:R10 J11:J12 F11:F12">
    <cfRule type="expression" dxfId="81" priority="3939" stopIfTrue="1">
      <formula>IF(#REF!-INT(#REF!)&gt;0,TRUE,FALSE)</formula>
    </cfRule>
  </conditionalFormatting>
  <conditionalFormatting sqref="G11:G12">
    <cfRule type="expression" dxfId="80" priority="1432" stopIfTrue="1">
      <formula>IF(#REF!-INT(#REF!)&gt;0,TRUE,FALSE)</formula>
    </cfRule>
  </conditionalFormatting>
  <conditionalFormatting sqref="H11:H12">
    <cfRule type="expression" dxfId="79" priority="1431" stopIfTrue="1">
      <formula>IF(#REF!-INT(#REF!)&gt;0,TRUE,FALSE)</formula>
    </cfRule>
  </conditionalFormatting>
  <conditionalFormatting sqref="I11:I12">
    <cfRule type="expression" dxfId="78" priority="1430" stopIfTrue="1">
      <formula>IF(#REF!-INT(#REF!)&gt;0,TRUE,FALSE)</formula>
    </cfRule>
  </conditionalFormatting>
  <conditionalFormatting sqref="Q11:Q12">
    <cfRule type="expression" dxfId="77" priority="8089" stopIfTrue="1">
      <formula>IF($B3-INT($B3)&gt;0,TRUE,FALSE)</formula>
    </cfRule>
  </conditionalFormatting>
  <conditionalFormatting sqref="D14:D16">
    <cfRule type="cellIs" dxfId="76" priority="104" stopIfTrue="1" operator="equal">
      <formula>"NO ADMISIBLE"</formula>
    </cfRule>
  </conditionalFormatting>
  <conditionalFormatting sqref="S14">
    <cfRule type="cellIs" dxfId="75" priority="101" stopIfTrue="1" operator="equal">
      <formula>"NO ADMISIBLE"</formula>
    </cfRule>
    <cfRule type="cellIs" dxfId="74" priority="102" stopIfTrue="1" operator="equal">
      <formula>"ADMISIBLE"</formula>
    </cfRule>
  </conditionalFormatting>
  <conditionalFormatting sqref="S14">
    <cfRule type="cellIs" dxfId="73" priority="100" stopIfTrue="1" operator="equal">
      <formula>"PENDIENTE"</formula>
    </cfRule>
  </conditionalFormatting>
  <conditionalFormatting sqref="E15:E16">
    <cfRule type="expression" dxfId="72" priority="99" stopIfTrue="1">
      <formula>IF(#REF!-INT(#REF!)&gt;0,TRUE,FALSE)</formula>
    </cfRule>
  </conditionalFormatting>
  <conditionalFormatting sqref="E14:J14">
    <cfRule type="expression" dxfId="71" priority="105" stopIfTrue="1">
      <formula>IF(#REF!-INT(#REF!)&gt;0,TRUE,FALSE)</formula>
    </cfRule>
  </conditionalFormatting>
  <conditionalFormatting sqref="D18:D20">
    <cfRule type="cellIs" dxfId="70" priority="91" stopIfTrue="1" operator="equal">
      <formula>"NO ADMISIBLE"</formula>
    </cfRule>
  </conditionalFormatting>
  <conditionalFormatting sqref="E19:E20">
    <cfRule type="expression" dxfId="69" priority="86" stopIfTrue="1">
      <formula>IF(#REF!-INT(#REF!)&gt;0,TRUE,FALSE)</formula>
    </cfRule>
  </conditionalFormatting>
  <conditionalFormatting sqref="E18:R18">
    <cfRule type="expression" dxfId="68" priority="92" stopIfTrue="1">
      <formula>IF(#REF!-INT(#REF!)&gt;0,TRUE,FALSE)</formula>
    </cfRule>
  </conditionalFormatting>
  <conditionalFormatting sqref="K11">
    <cfRule type="expression" dxfId="67" priority="69" stopIfTrue="1">
      <formula>IF(#REF!-INT(#REF!)&gt;0,TRUE,FALSE)</formula>
    </cfRule>
  </conditionalFormatting>
  <conditionalFormatting sqref="F16:S16 F15:J15 S15">
    <cfRule type="cellIs" dxfId="66" priority="68" stopIfTrue="1" operator="equal">
      <formula>"NO ADMISIBLE"</formula>
    </cfRule>
  </conditionalFormatting>
  <conditionalFormatting sqref="F20:S20 G19:J19 S19">
    <cfRule type="cellIs" dxfId="65" priority="67" stopIfTrue="1" operator="equal">
      <formula>"NO ADMISIBLE"</formula>
    </cfRule>
  </conditionalFormatting>
  <conditionalFormatting sqref="R15 L15:P15">
    <cfRule type="expression" dxfId="64" priority="64" stopIfTrue="1">
      <formula>IF($B6-INT($B6)&gt;0,TRUE,FALSE)</formula>
    </cfRule>
  </conditionalFormatting>
  <conditionalFormatting sqref="K14:R14">
    <cfRule type="expression" dxfId="63" priority="65" stopIfTrue="1">
      <formula>IF(#REF!-INT(#REF!)&gt;0,TRUE,FALSE)</formula>
    </cfRule>
  </conditionalFormatting>
  <conditionalFormatting sqref="Q15">
    <cfRule type="expression" dxfId="62" priority="66" stopIfTrue="1">
      <formula>IF($B7-INT($B7)&gt;0,TRUE,FALSE)</formula>
    </cfRule>
  </conditionalFormatting>
  <conditionalFormatting sqref="K15">
    <cfRule type="expression" dxfId="61" priority="63" stopIfTrue="1">
      <formula>IF(#REF!-INT(#REF!)&gt;0,TRUE,FALSE)</formula>
    </cfRule>
  </conditionalFormatting>
  <conditionalFormatting sqref="R19 L19:P19">
    <cfRule type="expression" dxfId="60" priority="61" stopIfTrue="1">
      <formula>IF($B10-INT($B10)&gt;0,TRUE,FALSE)</formula>
    </cfRule>
  </conditionalFormatting>
  <conditionalFormatting sqref="Q19">
    <cfRule type="expression" dxfId="59" priority="62" stopIfTrue="1">
      <formula>IF($B11-INT($B11)&gt;0,TRUE,FALSE)</formula>
    </cfRule>
  </conditionalFormatting>
  <conditionalFormatting sqref="K19">
    <cfRule type="expression" dxfId="58" priority="60" stopIfTrue="1">
      <formula>IF(#REF!-INT(#REF!)&gt;0,TRUE,FALSE)</formula>
    </cfRule>
  </conditionalFormatting>
  <conditionalFormatting sqref="S18">
    <cfRule type="cellIs" dxfId="57" priority="58" stopIfTrue="1" operator="equal">
      <formula>"NO ADMISIBLE"</formula>
    </cfRule>
    <cfRule type="cellIs" dxfId="56" priority="59" stopIfTrue="1" operator="equal">
      <formula>"ADMISIBLE"</formula>
    </cfRule>
  </conditionalFormatting>
  <conditionalFormatting sqref="S18">
    <cfRule type="cellIs" dxfId="55" priority="57" stopIfTrue="1" operator="equal">
      <formula>"PENDIENTE"</formula>
    </cfRule>
  </conditionalFormatting>
  <conditionalFormatting sqref="D22:D24">
    <cfRule type="cellIs" dxfId="54" priority="55" stopIfTrue="1" operator="equal">
      <formula>"NO ADMISIBLE"</formula>
    </cfRule>
  </conditionalFormatting>
  <conditionalFormatting sqref="E23:E24">
    <cfRule type="expression" dxfId="53" priority="54" stopIfTrue="1">
      <formula>IF(#REF!-INT(#REF!)&gt;0,TRUE,FALSE)</formula>
    </cfRule>
  </conditionalFormatting>
  <conditionalFormatting sqref="E22:R22">
    <cfRule type="expression" dxfId="52" priority="56" stopIfTrue="1">
      <formula>IF(#REF!-INT(#REF!)&gt;0,TRUE,FALSE)</formula>
    </cfRule>
  </conditionalFormatting>
  <conditionalFormatting sqref="F24:S24 F23:J23 S23">
    <cfRule type="cellIs" dxfId="51" priority="53" stopIfTrue="1" operator="equal">
      <formula>"NO ADMISIBLE"</formula>
    </cfRule>
  </conditionalFormatting>
  <conditionalFormatting sqref="R23 L23:P23">
    <cfRule type="expression" dxfId="50" priority="51" stopIfTrue="1">
      <formula>IF($B14-INT($B14)&gt;0,TRUE,FALSE)</formula>
    </cfRule>
  </conditionalFormatting>
  <conditionalFormatting sqref="Q23">
    <cfRule type="expression" dxfId="49" priority="52" stopIfTrue="1">
      <formula>IF($B15-INT($B15)&gt;0,TRUE,FALSE)</formula>
    </cfRule>
  </conditionalFormatting>
  <conditionalFormatting sqref="K23">
    <cfRule type="expression" dxfId="48" priority="50" stopIfTrue="1">
      <formula>IF(#REF!-INT(#REF!)&gt;0,TRUE,FALSE)</formula>
    </cfRule>
  </conditionalFormatting>
  <conditionalFormatting sqref="S22">
    <cfRule type="cellIs" dxfId="47" priority="48" stopIfTrue="1" operator="equal">
      <formula>"NO ADMISIBLE"</formula>
    </cfRule>
    <cfRule type="cellIs" dxfId="46" priority="49" stopIfTrue="1" operator="equal">
      <formula>"ADMISIBLE"</formula>
    </cfRule>
  </conditionalFormatting>
  <conditionalFormatting sqref="S22">
    <cfRule type="cellIs" dxfId="45" priority="47" stopIfTrue="1" operator="equal">
      <formula>"PENDIENTE"</formula>
    </cfRule>
  </conditionalFormatting>
  <conditionalFormatting sqref="D26:D28">
    <cfRule type="cellIs" dxfId="44" priority="45" stopIfTrue="1" operator="equal">
      <formula>"NO ADMISIBLE"</formula>
    </cfRule>
  </conditionalFormatting>
  <conditionalFormatting sqref="E27:E28">
    <cfRule type="expression" dxfId="43" priority="44" stopIfTrue="1">
      <formula>IF(#REF!-INT(#REF!)&gt;0,TRUE,FALSE)</formula>
    </cfRule>
  </conditionalFormatting>
  <conditionalFormatting sqref="E26:R26">
    <cfRule type="expression" dxfId="42" priority="46" stopIfTrue="1">
      <formula>IF(#REF!-INT(#REF!)&gt;0,TRUE,FALSE)</formula>
    </cfRule>
  </conditionalFormatting>
  <conditionalFormatting sqref="F28:S28 S27">
    <cfRule type="cellIs" dxfId="41" priority="43" stopIfTrue="1" operator="equal">
      <formula>"NO ADMISIBLE"</formula>
    </cfRule>
  </conditionalFormatting>
  <conditionalFormatting sqref="L27:P27">
    <cfRule type="expression" dxfId="40" priority="41" stopIfTrue="1">
      <formula>IF($B18-INT($B18)&gt;0,TRUE,FALSE)</formula>
    </cfRule>
  </conditionalFormatting>
  <conditionalFormatting sqref="Q27">
    <cfRule type="expression" dxfId="39" priority="42" stopIfTrue="1">
      <formula>IF($B19-INT($B19)&gt;0,TRUE,FALSE)</formula>
    </cfRule>
  </conditionalFormatting>
  <conditionalFormatting sqref="K27">
    <cfRule type="expression" dxfId="38" priority="40" stopIfTrue="1">
      <formula>IF(#REF!-INT(#REF!)&gt;0,TRUE,FALSE)</formula>
    </cfRule>
  </conditionalFormatting>
  <conditionalFormatting sqref="S26">
    <cfRule type="cellIs" dxfId="37" priority="38" stopIfTrue="1" operator="equal">
      <formula>"NO ADMISIBLE"</formula>
    </cfRule>
    <cfRule type="cellIs" dxfId="36" priority="39" stopIfTrue="1" operator="equal">
      <formula>"ADMISIBLE"</formula>
    </cfRule>
  </conditionalFormatting>
  <conditionalFormatting sqref="S26">
    <cfRule type="cellIs" dxfId="35" priority="37" stopIfTrue="1" operator="equal">
      <formula>"PENDIENTE"</formula>
    </cfRule>
  </conditionalFormatting>
  <conditionalFormatting sqref="D30:D32">
    <cfRule type="cellIs" dxfId="34" priority="35" stopIfTrue="1" operator="equal">
      <formula>"NO ADMISIBLE"</formula>
    </cfRule>
  </conditionalFormatting>
  <conditionalFormatting sqref="E31:E32">
    <cfRule type="expression" dxfId="33" priority="34" stopIfTrue="1">
      <formula>IF(#REF!-INT(#REF!)&gt;0,TRUE,FALSE)</formula>
    </cfRule>
  </conditionalFormatting>
  <conditionalFormatting sqref="E30:R30">
    <cfRule type="expression" dxfId="32" priority="36" stopIfTrue="1">
      <formula>IF(#REF!-INT(#REF!)&gt;0,TRUE,FALSE)</formula>
    </cfRule>
  </conditionalFormatting>
  <conditionalFormatting sqref="F32:S32 S31">
    <cfRule type="cellIs" dxfId="31" priority="33" stopIfTrue="1" operator="equal">
      <formula>"NO ADMISIBLE"</formula>
    </cfRule>
  </conditionalFormatting>
  <conditionalFormatting sqref="L31:P31">
    <cfRule type="expression" dxfId="30" priority="31" stopIfTrue="1">
      <formula>IF($B22-INT($B22)&gt;0,TRUE,FALSE)</formula>
    </cfRule>
  </conditionalFormatting>
  <conditionalFormatting sqref="Q31">
    <cfRule type="expression" dxfId="29" priority="32" stopIfTrue="1">
      <formula>IF($B23-INT($B23)&gt;0,TRUE,FALSE)</formula>
    </cfRule>
  </conditionalFormatting>
  <conditionalFormatting sqref="S30">
    <cfRule type="cellIs" dxfId="28" priority="28" stopIfTrue="1" operator="equal">
      <formula>"NO ADMISIBLE"</formula>
    </cfRule>
    <cfRule type="cellIs" dxfId="27" priority="29" stopIfTrue="1" operator="equal">
      <formula>"ADMISIBLE"</formula>
    </cfRule>
  </conditionalFormatting>
  <conditionalFormatting sqref="S30">
    <cfRule type="cellIs" dxfId="26" priority="27" stopIfTrue="1" operator="equal">
      <formula>"PENDIENTE"</formula>
    </cfRule>
  </conditionalFormatting>
  <conditionalFormatting sqref="D34:D36">
    <cfRule type="cellIs" dxfId="25" priority="25" stopIfTrue="1" operator="equal">
      <formula>"NO ADMISIBLE"</formula>
    </cfRule>
  </conditionalFormatting>
  <conditionalFormatting sqref="E35:E36">
    <cfRule type="expression" dxfId="24" priority="24" stopIfTrue="1">
      <formula>IF(#REF!-INT(#REF!)&gt;0,TRUE,FALSE)</formula>
    </cfRule>
  </conditionalFormatting>
  <conditionalFormatting sqref="E34:R34">
    <cfRule type="expression" dxfId="23" priority="26" stopIfTrue="1">
      <formula>IF(#REF!-INT(#REF!)&gt;0,TRUE,FALSE)</formula>
    </cfRule>
  </conditionalFormatting>
  <conditionalFormatting sqref="F36:S36 F35:J35 S35">
    <cfRule type="cellIs" dxfId="22" priority="23" stopIfTrue="1" operator="equal">
      <formula>"NO ADMISIBLE"</formula>
    </cfRule>
  </conditionalFormatting>
  <conditionalFormatting sqref="R35 L35:P35">
    <cfRule type="expression" dxfId="21" priority="21" stopIfTrue="1">
      <formula>IF($B26-INT($B26)&gt;0,TRUE,FALSE)</formula>
    </cfRule>
  </conditionalFormatting>
  <conditionalFormatting sqref="Q35">
    <cfRule type="expression" dxfId="20" priority="22" stopIfTrue="1">
      <formula>IF($B27-INT($B27)&gt;0,TRUE,FALSE)</formula>
    </cfRule>
  </conditionalFormatting>
  <conditionalFormatting sqref="K35">
    <cfRule type="expression" dxfId="19" priority="20" stopIfTrue="1">
      <formula>IF(#REF!-INT(#REF!)&gt;0,TRUE,FALSE)</formula>
    </cfRule>
  </conditionalFormatting>
  <conditionalFormatting sqref="S34">
    <cfRule type="cellIs" dxfId="18" priority="18" stopIfTrue="1" operator="equal">
      <formula>"NO ADMISIBLE"</formula>
    </cfRule>
    <cfRule type="cellIs" dxfId="17" priority="19" stopIfTrue="1" operator="equal">
      <formula>"ADMISIBLE"</formula>
    </cfRule>
  </conditionalFormatting>
  <conditionalFormatting sqref="S34">
    <cfRule type="cellIs" dxfId="16" priority="17" stopIfTrue="1" operator="equal">
      <formula>"PENDIENTE"</formula>
    </cfRule>
  </conditionalFormatting>
  <conditionalFormatting sqref="F19">
    <cfRule type="cellIs" dxfId="15" priority="16" stopIfTrue="1" operator="equal">
      <formula>"NO ADMISIBLE"</formula>
    </cfRule>
  </conditionalFormatting>
  <conditionalFormatting sqref="K31">
    <cfRule type="expression" dxfId="14" priority="15" stopIfTrue="1">
      <formula>IF(#REF!-INT(#REF!)&gt;0,TRUE,FALSE)</formula>
    </cfRule>
  </conditionalFormatting>
  <conditionalFormatting sqref="D38:D40">
    <cfRule type="cellIs" dxfId="13" priority="13" stopIfTrue="1" operator="equal">
      <formula>"NO ADMISIBLE"</formula>
    </cfRule>
  </conditionalFormatting>
  <conditionalFormatting sqref="E39:E40">
    <cfRule type="expression" dxfId="12" priority="12" stopIfTrue="1">
      <formula>IF(#REF!-INT(#REF!)&gt;0,TRUE,FALSE)</formula>
    </cfRule>
  </conditionalFormatting>
  <conditionalFormatting sqref="E38:R38">
    <cfRule type="expression" dxfId="11" priority="14" stopIfTrue="1">
      <formula>IF(#REF!-INT(#REF!)&gt;0,TRUE,FALSE)</formula>
    </cfRule>
  </conditionalFormatting>
  <conditionalFormatting sqref="F40:S40 F39:J39 S39">
    <cfRule type="cellIs" dxfId="10" priority="11" stopIfTrue="1" operator="equal">
      <formula>"NO ADMISIBLE"</formula>
    </cfRule>
  </conditionalFormatting>
  <conditionalFormatting sqref="R39 L39:P39">
    <cfRule type="expression" dxfId="9" priority="9" stopIfTrue="1">
      <formula>IF($B30-INT($B30)&gt;0,TRUE,FALSE)</formula>
    </cfRule>
  </conditionalFormatting>
  <conditionalFormatting sqref="Q39">
    <cfRule type="expression" dxfId="8" priority="10" stopIfTrue="1">
      <formula>IF($B31-INT($B31)&gt;0,TRUE,FALSE)</formula>
    </cfRule>
  </conditionalFormatting>
  <conditionalFormatting sqref="K39">
    <cfRule type="expression" dxfId="7" priority="8" stopIfTrue="1">
      <formula>IF(#REF!-INT(#REF!)&gt;0,TRUE,FALSE)</formula>
    </cfRule>
  </conditionalFormatting>
  <conditionalFormatting sqref="S38">
    <cfRule type="cellIs" dxfId="6" priority="6" stopIfTrue="1" operator="equal">
      <formula>"NO ADMISIBLE"</formula>
    </cfRule>
    <cfRule type="cellIs" dxfId="5" priority="7" stopIfTrue="1" operator="equal">
      <formula>"ADMISIBLE"</formula>
    </cfRule>
  </conditionalFormatting>
  <conditionalFormatting sqref="S38">
    <cfRule type="cellIs" dxfId="4" priority="5" stopIfTrue="1" operator="equal">
      <formula>"PENDIENTE"</formula>
    </cfRule>
  </conditionalFormatting>
  <conditionalFormatting sqref="R27">
    <cfRule type="expression" dxfId="3" priority="4" stopIfTrue="1">
      <formula>IF($B18-INT($B18)&gt;0,TRUE,FALSE)</formula>
    </cfRule>
  </conditionalFormatting>
  <conditionalFormatting sqref="R31">
    <cfRule type="expression" dxfId="2" priority="3" stopIfTrue="1">
      <formula>IF($B22-INT($B22)&gt;0,TRUE,FALSE)</formula>
    </cfRule>
  </conditionalFormatting>
  <conditionalFormatting sqref="F27:J27">
    <cfRule type="cellIs" dxfId="1" priority="2" stopIfTrue="1" operator="equal">
      <formula>"NO ADMISIBLE"</formula>
    </cfRule>
  </conditionalFormatting>
  <conditionalFormatting sqref="F31:J31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D6 D10:D12 D14:D16 D18:D20 D22:D24 D26:D28 D30:D32 D34:D36 D38:D40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7</v>
      </c>
    </row>
    <row r="3" spans="1:2" ht="27" x14ac:dyDescent="0.2">
      <c r="A3" s="13" t="s">
        <v>8</v>
      </c>
      <c r="B3" s="14" t="s">
        <v>9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114</v>
      </c>
      <c r="B5" s="18">
        <v>16097532669.306931</v>
      </c>
    </row>
    <row r="6" spans="1:2" s="19" customFormat="1" ht="13.5" outlineLevel="1" x14ac:dyDescent="0.2">
      <c r="A6" s="17" t="s">
        <v>115</v>
      </c>
      <c r="B6" s="18">
        <v>18724260670</v>
      </c>
    </row>
    <row r="7" spans="1:2" s="19" customFormat="1" ht="13.5" outlineLevel="1" x14ac:dyDescent="0.2">
      <c r="A7" s="17" t="s">
        <v>116</v>
      </c>
      <c r="B7" s="18">
        <v>15886461489</v>
      </c>
    </row>
    <row r="8" spans="1:2" s="19" customFormat="1" ht="13.5" outlineLevel="1" x14ac:dyDescent="0.2">
      <c r="A8" s="17" t="s">
        <v>117</v>
      </c>
      <c r="B8" s="18">
        <v>18533406621</v>
      </c>
    </row>
    <row r="9" spans="1:2" s="19" customFormat="1" ht="13.5" outlineLevel="1" x14ac:dyDescent="0.2">
      <c r="A9" s="17" t="s">
        <v>118</v>
      </c>
      <c r="B9" s="18">
        <v>14971945628</v>
      </c>
    </row>
    <row r="10" spans="1:2" s="19" customFormat="1" ht="13.5" outlineLevel="1" x14ac:dyDescent="0.2">
      <c r="A10" s="17" t="s">
        <v>119</v>
      </c>
      <c r="B10" s="18">
        <v>16484340849</v>
      </c>
    </row>
    <row r="11" spans="1:2" s="19" customFormat="1" ht="13.5" outlineLevel="1" x14ac:dyDescent="0.2">
      <c r="A11" s="17" t="s">
        <v>120</v>
      </c>
      <c r="B11" s="18">
        <v>16686919713.999998</v>
      </c>
    </row>
    <row r="12" spans="1:2" s="19" customFormat="1" ht="13.5" outlineLevel="1" x14ac:dyDescent="0.2">
      <c r="A12" s="17" t="s">
        <v>121</v>
      </c>
      <c r="B12" s="18">
        <v>11566305868</v>
      </c>
    </row>
    <row r="13" spans="1:2" s="19" customFormat="1" ht="13.5" outlineLevel="1" x14ac:dyDescent="0.2">
      <c r="A13" s="17" t="s">
        <v>122</v>
      </c>
      <c r="B13" s="18">
        <v>6300474910</v>
      </c>
    </row>
    <row r="14" spans="1:2" s="19" customFormat="1" ht="13.5" outlineLevel="1" x14ac:dyDescent="0.2">
      <c r="A14" s="17" t="s">
        <v>10</v>
      </c>
      <c r="B14" s="18">
        <v>1428162158.4158416</v>
      </c>
    </row>
    <row r="15" spans="1:2" s="19" customFormat="1" ht="13.5" outlineLevel="1" x14ac:dyDescent="0.2">
      <c r="A15" s="17" t="s">
        <v>11</v>
      </c>
      <c r="B15" s="18">
        <v>1292851961.3861387</v>
      </c>
    </row>
    <row r="16" spans="1:2" s="19" customFormat="1" ht="13.5" outlineLevel="1" x14ac:dyDescent="0.2">
      <c r="A16" s="17" t="s">
        <v>12</v>
      </c>
      <c r="B16" s="36">
        <v>14200237260</v>
      </c>
    </row>
    <row r="17" spans="1:2" s="19" customFormat="1" ht="13.5" outlineLevel="1" x14ac:dyDescent="0.2">
      <c r="A17" s="17" t="s">
        <v>13</v>
      </c>
      <c r="B17" s="18">
        <v>14388115033</v>
      </c>
    </row>
    <row r="18" spans="1:2" s="19" customFormat="1" ht="13.5" outlineLevel="1" x14ac:dyDescent="0.2">
      <c r="A18" s="17" t="s">
        <v>14</v>
      </c>
      <c r="B18" s="18">
        <v>7076050599</v>
      </c>
    </row>
    <row r="19" spans="1:2" s="19" customFormat="1" ht="13.5" outlineLevel="1" x14ac:dyDescent="0.2">
      <c r="A19" s="17" t="s">
        <v>15</v>
      </c>
      <c r="B19" s="18">
        <v>20893814942</v>
      </c>
    </row>
    <row r="20" spans="1:2" s="19" customFormat="1" ht="13.5" outlineLevel="1" x14ac:dyDescent="0.2">
      <c r="A20" s="17" t="s">
        <v>16</v>
      </c>
      <c r="B20" s="36">
        <v>8810989120</v>
      </c>
    </row>
    <row r="21" spans="1:2" s="19" customFormat="1" ht="13.5" outlineLevel="1" x14ac:dyDescent="0.2">
      <c r="A21" s="17" t="s">
        <v>17</v>
      </c>
      <c r="B21" s="18">
        <v>5818381842</v>
      </c>
    </row>
    <row r="22" spans="1:2" s="19" customFormat="1" ht="13.5" outlineLevel="1" x14ac:dyDescent="0.2">
      <c r="A22" s="17" t="s">
        <v>18</v>
      </c>
      <c r="B22" s="18">
        <v>9650261634</v>
      </c>
    </row>
    <row r="23" spans="1:2" s="19" customFormat="1" ht="13.5" outlineLevel="1" x14ac:dyDescent="0.2">
      <c r="A23" s="17" t="s">
        <v>19</v>
      </c>
      <c r="B23" s="18">
        <v>5385776414</v>
      </c>
    </row>
    <row r="24" spans="1:2" s="19" customFormat="1" ht="13.5" outlineLevel="1" x14ac:dyDescent="0.2">
      <c r="A24" s="17" t="s">
        <v>20</v>
      </c>
      <c r="B24" s="18">
        <v>5759505844</v>
      </c>
    </row>
    <row r="25" spans="1:2" s="19" customFormat="1" ht="13.5" outlineLevel="1" x14ac:dyDescent="0.2">
      <c r="A25" s="17" t="s">
        <v>21</v>
      </c>
      <c r="B25" s="18">
        <v>11365045650</v>
      </c>
    </row>
    <row r="26" spans="1:2" s="19" customFormat="1" ht="13.5" outlineLevel="1" x14ac:dyDescent="0.2">
      <c r="A26" s="17" t="s">
        <v>22</v>
      </c>
      <c r="B26" s="18">
        <v>15652530637</v>
      </c>
    </row>
    <row r="27" spans="1:2" s="19" customFormat="1" ht="13.5" outlineLevel="1" x14ac:dyDescent="0.2">
      <c r="A27" s="17" t="s">
        <v>23</v>
      </c>
      <c r="B27" s="18">
        <v>5772808797</v>
      </c>
    </row>
    <row r="28" spans="1:2" s="19" customFormat="1" ht="13.5" outlineLevel="1" x14ac:dyDescent="0.2">
      <c r="A28" s="17" t="s">
        <v>24</v>
      </c>
      <c r="B28" s="18">
        <v>7512106130</v>
      </c>
    </row>
    <row r="29" spans="1:2" s="19" customFormat="1" ht="13.5" outlineLevel="1" x14ac:dyDescent="0.2">
      <c r="A29" s="17" t="s">
        <v>25</v>
      </c>
      <c r="B29" s="18">
        <v>9347559589</v>
      </c>
    </row>
    <row r="30" spans="1:2" s="19" customFormat="1" ht="13.5" outlineLevel="1" x14ac:dyDescent="0.2">
      <c r="A30" s="17" t="s">
        <v>26</v>
      </c>
      <c r="B30" s="18">
        <v>19825977010</v>
      </c>
    </row>
    <row r="31" spans="1:2" s="19" customFormat="1" ht="13.5" outlineLevel="1" x14ac:dyDescent="0.2">
      <c r="A31" s="17" t="s">
        <v>27</v>
      </c>
      <c r="B31" s="18">
        <v>9200191515</v>
      </c>
    </row>
    <row r="32" spans="1:2" s="19" customFormat="1" ht="13.5" outlineLevel="1" x14ac:dyDescent="0.2">
      <c r="A32" s="17" t="s">
        <v>28</v>
      </c>
      <c r="B32" s="18">
        <v>18743806542</v>
      </c>
    </row>
    <row r="33" spans="1:2" s="19" customFormat="1" ht="13.5" outlineLevel="1" x14ac:dyDescent="0.2">
      <c r="A33" s="17" t="s">
        <v>29</v>
      </c>
      <c r="B33" s="18">
        <v>12488203547</v>
      </c>
    </row>
    <row r="34" spans="1:2" s="19" customFormat="1" ht="13.5" outlineLevel="1" x14ac:dyDescent="0.2">
      <c r="A34" s="17" t="s">
        <v>30</v>
      </c>
      <c r="B34" s="18">
        <v>12337277639</v>
      </c>
    </row>
    <row r="35" spans="1:2" s="19" customFormat="1" ht="13.5" outlineLevel="1" x14ac:dyDescent="0.2">
      <c r="A35" s="17" t="s">
        <v>31</v>
      </c>
      <c r="B35" s="18">
        <v>16198497482.999998</v>
      </c>
    </row>
    <row r="36" spans="1:2" s="19" customFormat="1" ht="13.5" outlineLevel="1" x14ac:dyDescent="0.2">
      <c r="A36" s="17" t="s">
        <v>32</v>
      </c>
      <c r="B36" s="18">
        <v>17764576319</v>
      </c>
    </row>
    <row r="37" spans="1:2" s="19" customFormat="1" ht="13.5" outlineLevel="1" x14ac:dyDescent="0.2">
      <c r="A37" s="17" t="s">
        <v>33</v>
      </c>
      <c r="B37" s="18">
        <v>22882731815</v>
      </c>
    </row>
    <row r="38" spans="1:2" s="19" customFormat="1" ht="13.5" outlineLevel="1" x14ac:dyDescent="0.2">
      <c r="A38" s="17" t="s">
        <v>34</v>
      </c>
      <c r="B38" s="18">
        <v>7383905477</v>
      </c>
    </row>
    <row r="39" spans="1:2" s="19" customFormat="1" ht="13.5" outlineLevel="1" x14ac:dyDescent="0.2">
      <c r="A39" s="17" t="s">
        <v>35</v>
      </c>
      <c r="B39" s="18">
        <v>12423743774</v>
      </c>
    </row>
    <row r="40" spans="1:2" s="19" customFormat="1" ht="13.5" outlineLevel="1" x14ac:dyDescent="0.2">
      <c r="A40" s="17" t="s">
        <v>36</v>
      </c>
      <c r="B40" s="18">
        <v>14187262851</v>
      </c>
    </row>
    <row r="41" spans="1:2" s="19" customFormat="1" ht="13.5" outlineLevel="1" x14ac:dyDescent="0.2">
      <c r="A41" s="17" t="s">
        <v>37</v>
      </c>
      <c r="B41" s="18">
        <v>9099377756</v>
      </c>
    </row>
    <row r="42" spans="1:2" s="19" customFormat="1" ht="13.5" outlineLevel="1" x14ac:dyDescent="0.2">
      <c r="A42" s="17" t="s">
        <v>38</v>
      </c>
      <c r="B42" s="18">
        <v>7416098511</v>
      </c>
    </row>
    <row r="43" spans="1:2" s="19" customFormat="1" ht="13.5" outlineLevel="1" x14ac:dyDescent="0.2">
      <c r="A43" s="17" t="s">
        <v>39</v>
      </c>
      <c r="B43" s="18">
        <v>16654736652</v>
      </c>
    </row>
    <row r="44" spans="1:2" s="19" customFormat="1" ht="13.5" outlineLevel="1" x14ac:dyDescent="0.2">
      <c r="A44" s="17" t="s">
        <v>40</v>
      </c>
      <c r="B44" s="18">
        <v>12006016561</v>
      </c>
    </row>
    <row r="45" spans="1:2" s="19" customFormat="1" ht="13.5" outlineLevel="1" x14ac:dyDescent="0.2">
      <c r="A45" s="17" t="s">
        <v>41</v>
      </c>
      <c r="B45" s="18">
        <v>14602426835</v>
      </c>
    </row>
    <row r="46" spans="1:2" s="19" customFormat="1" ht="13.5" outlineLevel="1" x14ac:dyDescent="0.2">
      <c r="A46" s="17" t="s">
        <v>42</v>
      </c>
      <c r="B46" s="18">
        <v>16600395825</v>
      </c>
    </row>
    <row r="47" spans="1:2" s="19" customFormat="1" ht="13.5" outlineLevel="1" x14ac:dyDescent="0.2">
      <c r="A47" s="17" t="s">
        <v>43</v>
      </c>
      <c r="B47" s="18">
        <v>9490692823</v>
      </c>
    </row>
    <row r="48" spans="1:2" s="19" customFormat="1" ht="13.5" outlineLevel="1" x14ac:dyDescent="0.2">
      <c r="A48" s="17" t="s">
        <v>44</v>
      </c>
      <c r="B48" s="18">
        <v>14966356774</v>
      </c>
    </row>
    <row r="49" spans="1:2" s="19" customFormat="1" ht="13.5" outlineLevel="1" x14ac:dyDescent="0.2">
      <c r="A49" s="17" t="s">
        <v>45</v>
      </c>
      <c r="B49" s="18">
        <v>16628059484</v>
      </c>
    </row>
    <row r="50" spans="1:2" s="19" customFormat="1" ht="13.5" outlineLevel="1" x14ac:dyDescent="0.2">
      <c r="A50" s="17" t="s">
        <v>46</v>
      </c>
      <c r="B50" s="18">
        <v>11545020876</v>
      </c>
    </row>
    <row r="51" spans="1:2" s="19" customFormat="1" ht="13.5" outlineLevel="1" x14ac:dyDescent="0.2">
      <c r="A51" s="17" t="s">
        <v>47</v>
      </c>
      <c r="B51" s="18">
        <v>11069859631</v>
      </c>
    </row>
    <row r="52" spans="1:2" s="19" customFormat="1" ht="13.5" outlineLevel="1" x14ac:dyDescent="0.2">
      <c r="A52" s="17" t="s">
        <v>48</v>
      </c>
      <c r="B52" s="18">
        <v>16462254401</v>
      </c>
    </row>
    <row r="53" spans="1:2" s="19" customFormat="1" ht="13.5" outlineLevel="1" x14ac:dyDescent="0.2">
      <c r="A53" s="17" t="s">
        <v>49</v>
      </c>
      <c r="B53" s="18">
        <v>29122451003</v>
      </c>
    </row>
    <row r="54" spans="1:2" s="19" customFormat="1" ht="13.5" outlineLevel="1" x14ac:dyDescent="0.2">
      <c r="A54" s="17" t="s">
        <v>50</v>
      </c>
      <c r="B54" s="18">
        <v>19110837484</v>
      </c>
    </row>
    <row r="55" spans="1:2" s="19" customFormat="1" ht="13.5" outlineLevel="1" x14ac:dyDescent="0.2">
      <c r="A55" s="17" t="s">
        <v>51</v>
      </c>
      <c r="B55" s="18">
        <v>14355039068</v>
      </c>
    </row>
    <row r="56" spans="1:2" s="19" customFormat="1" ht="13.5" outlineLevel="1" x14ac:dyDescent="0.2">
      <c r="A56" s="17" t="s">
        <v>52</v>
      </c>
      <c r="B56" s="18">
        <v>10742553232</v>
      </c>
    </row>
    <row r="57" spans="1:2" s="19" customFormat="1" ht="13.5" outlineLevel="1" x14ac:dyDescent="0.2">
      <c r="A57" s="17" t="s">
        <v>53</v>
      </c>
      <c r="B57" s="18">
        <v>12944688820</v>
      </c>
    </row>
    <row r="58" spans="1:2" s="19" customFormat="1" ht="13.5" outlineLevel="1" x14ac:dyDescent="0.2">
      <c r="A58" s="17" t="s">
        <v>54</v>
      </c>
      <c r="B58" s="18">
        <v>11689433662</v>
      </c>
    </row>
    <row r="59" spans="1:2" s="19" customFormat="1" ht="13.5" outlineLevel="1" x14ac:dyDescent="0.2">
      <c r="A59" s="17" t="s">
        <v>55</v>
      </c>
      <c r="B59" s="18">
        <v>11397659254</v>
      </c>
    </row>
    <row r="60" spans="1:2" s="19" customFormat="1" ht="13.5" outlineLevel="1" x14ac:dyDescent="0.2">
      <c r="A60" s="17" t="s">
        <v>56</v>
      </c>
      <c r="B60" s="18">
        <v>16236395384</v>
      </c>
    </row>
    <row r="61" spans="1:2" s="19" customFormat="1" ht="13.5" outlineLevel="1" x14ac:dyDescent="0.2">
      <c r="A61" s="17" t="s">
        <v>57</v>
      </c>
      <c r="B61" s="18">
        <v>6151462908.9075203</v>
      </c>
    </row>
    <row r="62" spans="1:2" s="19" customFormat="1" ht="13.5" outlineLevel="1" x14ac:dyDescent="0.2">
      <c r="A62" s="17" t="s">
        <v>58</v>
      </c>
      <c r="B62" s="18">
        <v>24188206629</v>
      </c>
    </row>
    <row r="63" spans="1:2" s="19" customFormat="1" ht="13.5" outlineLevel="1" x14ac:dyDescent="0.2">
      <c r="A63" s="17" t="s">
        <v>59</v>
      </c>
      <c r="B63" s="18">
        <v>22229863427</v>
      </c>
    </row>
    <row r="64" spans="1:2" s="19" customFormat="1" ht="13.5" outlineLevel="1" x14ac:dyDescent="0.2">
      <c r="A64" s="17" t="s">
        <v>60</v>
      </c>
      <c r="B64" s="18">
        <v>23200278421</v>
      </c>
    </row>
    <row r="65" spans="1:2" s="19" customFormat="1" ht="13.5" outlineLevel="1" x14ac:dyDescent="0.2">
      <c r="A65" s="17" t="s">
        <v>61</v>
      </c>
      <c r="B65" s="18">
        <v>33729146012</v>
      </c>
    </row>
    <row r="66" spans="1:2" s="19" customFormat="1" ht="13.5" outlineLevel="1" x14ac:dyDescent="0.2">
      <c r="A66" s="17" t="s">
        <v>62</v>
      </c>
      <c r="B66" s="18">
        <v>25741331764</v>
      </c>
    </row>
    <row r="67" spans="1:2" s="19" customFormat="1" ht="13.5" outlineLevel="1" x14ac:dyDescent="0.2">
      <c r="A67" s="17" t="s">
        <v>63</v>
      </c>
      <c r="B67" s="18">
        <v>10895316694.06304</v>
      </c>
    </row>
    <row r="68" spans="1:2" s="19" customFormat="1" ht="13.5" outlineLevel="1" x14ac:dyDescent="0.2">
      <c r="A68" s="17" t="s">
        <v>64</v>
      </c>
      <c r="B68" s="18">
        <v>15574902572</v>
      </c>
    </row>
    <row r="69" spans="1:2" s="16" customFormat="1" ht="13.5" outlineLevel="1" x14ac:dyDescent="0.2">
      <c r="A69" s="17" t="s">
        <v>65</v>
      </c>
      <c r="B69" s="18">
        <v>11085498362</v>
      </c>
    </row>
    <row r="70" spans="1:2" s="19" customFormat="1" ht="13.5" outlineLevel="1" x14ac:dyDescent="0.2">
      <c r="A70" s="17" t="s">
        <v>66</v>
      </c>
      <c r="B70" s="18">
        <v>15569378930</v>
      </c>
    </row>
    <row r="71" spans="1:2" s="19" customFormat="1" ht="13.5" outlineLevel="1" x14ac:dyDescent="0.2">
      <c r="A71" s="17" t="s">
        <v>67</v>
      </c>
      <c r="B71" s="18">
        <v>19872456988.21376</v>
      </c>
    </row>
    <row r="72" spans="1:2" s="19" customFormat="1" ht="13.5" outlineLevel="1" x14ac:dyDescent="0.2">
      <c r="A72" s="17" t="s">
        <v>68</v>
      </c>
      <c r="B72" s="18">
        <v>9279916346</v>
      </c>
    </row>
    <row r="73" spans="1:2" s="19" customFormat="1" ht="13.5" outlineLevel="1" x14ac:dyDescent="0.2">
      <c r="A73" s="17" t="s">
        <v>69</v>
      </c>
      <c r="B73" s="18">
        <v>11879598172</v>
      </c>
    </row>
    <row r="74" spans="1:2" s="19" customFormat="1" ht="13.5" outlineLevel="1" x14ac:dyDescent="0.2">
      <c r="A74" s="17" t="s">
        <v>70</v>
      </c>
      <c r="B74" s="18">
        <v>14944234555</v>
      </c>
    </row>
    <row r="75" spans="1:2" s="19" customFormat="1" ht="13.5" outlineLevel="1" x14ac:dyDescent="0.2">
      <c r="A75" s="17" t="s">
        <v>71</v>
      </c>
      <c r="B75" s="18">
        <v>8486287813</v>
      </c>
    </row>
    <row r="76" spans="1:2" s="19" customFormat="1" ht="13.5" outlineLevel="1" x14ac:dyDescent="0.2">
      <c r="A76" s="17" t="s">
        <v>72</v>
      </c>
      <c r="B76" s="18">
        <v>7048832262</v>
      </c>
    </row>
    <row r="77" spans="1:2" s="19" customFormat="1" ht="13.5" outlineLevel="1" x14ac:dyDescent="0.2">
      <c r="A77" s="17" t="s">
        <v>73</v>
      </c>
      <c r="B77" s="18">
        <v>5348779190</v>
      </c>
    </row>
    <row r="78" spans="1:2" s="19" customFormat="1" ht="13.5" outlineLevel="1" x14ac:dyDescent="0.2">
      <c r="A78" s="17" t="s">
        <v>74</v>
      </c>
      <c r="B78" s="18">
        <v>5466387046</v>
      </c>
    </row>
    <row r="79" spans="1:2" s="19" customFormat="1" ht="13.5" outlineLevel="1" x14ac:dyDescent="0.2">
      <c r="A79" s="17" t="s">
        <v>75</v>
      </c>
      <c r="B79" s="18">
        <v>16518448889</v>
      </c>
    </row>
    <row r="80" spans="1:2" s="19" customFormat="1" ht="13.5" outlineLevel="1" x14ac:dyDescent="0.2">
      <c r="A80" s="17" t="s">
        <v>76</v>
      </c>
      <c r="B80" s="18">
        <v>8675202615</v>
      </c>
    </row>
    <row r="81" spans="1:2" s="19" customFormat="1" ht="13.5" outlineLevel="1" x14ac:dyDescent="0.2">
      <c r="A81" s="17" t="s">
        <v>77</v>
      </c>
      <c r="B81" s="18">
        <v>16760013498</v>
      </c>
    </row>
    <row r="82" spans="1:2" s="19" customFormat="1" ht="13.5" outlineLevel="1" x14ac:dyDescent="0.2">
      <c r="A82" s="17" t="s">
        <v>78</v>
      </c>
      <c r="B82" s="18">
        <v>12438755743</v>
      </c>
    </row>
    <row r="83" spans="1:2" s="19" customFormat="1" ht="13.5" outlineLevel="1" x14ac:dyDescent="0.2">
      <c r="A83" s="17" t="s">
        <v>79</v>
      </c>
      <c r="B83" s="18">
        <v>14593425402</v>
      </c>
    </row>
    <row r="84" spans="1:2" s="19" customFormat="1" ht="13.5" outlineLevel="1" x14ac:dyDescent="0.2">
      <c r="A84" s="17" t="s">
        <v>80</v>
      </c>
      <c r="B84" s="18">
        <v>6689468251</v>
      </c>
    </row>
    <row r="85" spans="1:2" s="19" customFormat="1" ht="13.5" outlineLevel="1" x14ac:dyDescent="0.2">
      <c r="A85" s="17" t="s">
        <v>81</v>
      </c>
      <c r="B85" s="18">
        <v>8186369892</v>
      </c>
    </row>
    <row r="86" spans="1:2" s="19" customFormat="1" ht="13.5" outlineLevel="1" x14ac:dyDescent="0.2">
      <c r="A86" s="17" t="s">
        <v>82</v>
      </c>
      <c r="B86" s="18">
        <v>28561249598</v>
      </c>
    </row>
    <row r="87" spans="1:2" s="19" customFormat="1" ht="13.5" outlineLevel="1" x14ac:dyDescent="0.2">
      <c r="A87" s="17" t="s">
        <v>83</v>
      </c>
      <c r="B87" s="18">
        <v>34980509996</v>
      </c>
    </row>
    <row r="88" spans="1:2" s="19" customFormat="1" ht="13.5" outlineLevel="1" x14ac:dyDescent="0.2">
      <c r="A88" s="17" t="s">
        <v>84</v>
      </c>
      <c r="B88" s="18">
        <v>6950846586</v>
      </c>
    </row>
    <row r="89" spans="1:2" s="19" customFormat="1" ht="13.5" outlineLevel="1" x14ac:dyDescent="0.2">
      <c r="A89" s="17" t="s">
        <v>85</v>
      </c>
      <c r="B89" s="18">
        <v>11116163961</v>
      </c>
    </row>
    <row r="90" spans="1:2" s="19" customFormat="1" ht="13.5" outlineLevel="1" x14ac:dyDescent="0.2">
      <c r="A90" s="17" t="s">
        <v>86</v>
      </c>
      <c r="B90" s="18">
        <v>21274070645</v>
      </c>
    </row>
    <row r="91" spans="1:2" s="19" customFormat="1" ht="13.5" outlineLevel="1" x14ac:dyDescent="0.2">
      <c r="A91" s="17" t="s">
        <v>87</v>
      </c>
      <c r="B91" s="18">
        <v>2826770201</v>
      </c>
    </row>
    <row r="92" spans="1:2" s="19" customFormat="1" ht="13.5" outlineLevel="1" x14ac:dyDescent="0.2">
      <c r="A92" s="17" t="s">
        <v>88</v>
      </c>
      <c r="B92" s="18">
        <v>4775546619</v>
      </c>
    </row>
    <row r="93" spans="1:2" s="19" customFormat="1" ht="13.5" outlineLevel="1" x14ac:dyDescent="0.2">
      <c r="A93" s="17" t="s">
        <v>89</v>
      </c>
      <c r="B93" s="18">
        <v>23755514236</v>
      </c>
    </row>
    <row r="94" spans="1:2" s="19" customFormat="1" ht="13.5" outlineLevel="1" x14ac:dyDescent="0.2">
      <c r="A94" s="17" t="s">
        <v>90</v>
      </c>
      <c r="B94" s="18">
        <v>22463613073</v>
      </c>
    </row>
    <row r="95" spans="1:2" s="19" customFormat="1" ht="13.5" outlineLevel="1" x14ac:dyDescent="0.2">
      <c r="A95" s="17" t="s">
        <v>91</v>
      </c>
      <c r="B95" s="18">
        <v>20949816946</v>
      </c>
    </row>
    <row r="96" spans="1:2" s="19" customFormat="1" ht="13.5" outlineLevel="1" x14ac:dyDescent="0.2">
      <c r="A96" s="17" t="s">
        <v>92</v>
      </c>
      <c r="B96" s="18">
        <v>14104036918</v>
      </c>
    </row>
    <row r="97" spans="1:2" s="19" customFormat="1" ht="13.5" outlineLevel="1" x14ac:dyDescent="0.2">
      <c r="A97" s="17" t="s">
        <v>93</v>
      </c>
      <c r="B97" s="18">
        <v>1396272140.5940592</v>
      </c>
    </row>
    <row r="98" spans="1:2" s="19" customFormat="1" ht="13.5" outlineLevel="1" x14ac:dyDescent="0.2">
      <c r="A98" s="17" t="s">
        <v>94</v>
      </c>
      <c r="B98" s="18">
        <v>1211346171.2871287</v>
      </c>
    </row>
    <row r="99" spans="1:2" s="19" customFormat="1" ht="13.5" outlineLevel="1" x14ac:dyDescent="0.2">
      <c r="A99" s="17" t="s">
        <v>95</v>
      </c>
      <c r="B99" s="18">
        <v>1239693623.7623763</v>
      </c>
    </row>
    <row r="100" spans="1:2" s="19" customFormat="1" ht="13.5" outlineLevel="1" x14ac:dyDescent="0.2">
      <c r="A100" s="17" t="s">
        <v>96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19</vt:i4>
      </vt:variant>
    </vt:vector>
  </HeadingPairs>
  <TitlesOfParts>
    <vt:vector size="30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Leidy Vanesa Casilimas Pabon</cp:lastModifiedBy>
  <cp:lastPrinted>2014-04-30T17:21:41Z</cp:lastPrinted>
  <dcterms:created xsi:type="dcterms:W3CDTF">2005-03-19T14:11:58Z</dcterms:created>
  <dcterms:modified xsi:type="dcterms:W3CDTF">2024-07-29T14:35:36Z</dcterms:modified>
</cp:coreProperties>
</file>