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.carlos.silva\Downloads\"/>
    </mc:Choice>
  </mc:AlternateContent>
  <bookViews>
    <workbookView xWindow="0" yWindow="0" windowWidth="23040" windowHeight="8904" firstSheet="1" activeTab="1"/>
  </bookViews>
  <sheets>
    <sheet name="REFERENCIA" sheetId="1" state="hidden" r:id="rId1"/>
    <sheet name="PRESUPUESTO OFICIAL" sheetId="7" r:id="rId2"/>
    <sheet name="FACTOR MULTIPICADOR " sheetId="3" r:id="rId3"/>
    <sheet name="Costos Proyectados " sheetId="5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" l="1"/>
  <c r="H5" i="7" l="1"/>
  <c r="H4" i="7"/>
  <c r="H6" i="7" l="1"/>
  <c r="H7" i="7" s="1"/>
  <c r="H8" i="7" s="1"/>
  <c r="H9" i="7" s="1"/>
  <c r="D35" i="3" l="1"/>
  <c r="G26" i="5" l="1"/>
  <c r="H26" i="5"/>
  <c r="M26" i="5"/>
  <c r="N26" i="5"/>
  <c r="O26" i="5"/>
  <c r="V26" i="5"/>
  <c r="W26" i="5"/>
  <c r="G24" i="5"/>
  <c r="H24" i="5"/>
  <c r="G4" i="5"/>
  <c r="H4" i="5"/>
  <c r="M4" i="5"/>
  <c r="N4" i="5"/>
  <c r="O4" i="5"/>
  <c r="G5" i="5"/>
  <c r="H5" i="5"/>
  <c r="M5" i="5"/>
  <c r="G6" i="5"/>
  <c r="H6" i="5"/>
  <c r="M6" i="5"/>
  <c r="G7" i="5"/>
  <c r="H7" i="5"/>
  <c r="M7" i="5"/>
  <c r="M8" i="5"/>
  <c r="M9" i="5"/>
  <c r="G14" i="5"/>
  <c r="H14" i="5"/>
  <c r="M14" i="5"/>
  <c r="H15" i="5"/>
  <c r="M15" i="5"/>
  <c r="H16" i="5"/>
  <c r="M16" i="5"/>
  <c r="H17" i="5"/>
  <c r="M17" i="5"/>
  <c r="H19" i="5"/>
  <c r="M19" i="5"/>
  <c r="M20" i="5"/>
  <c r="M24" i="5"/>
  <c r="G27" i="5"/>
  <c r="H27" i="5"/>
  <c r="M27" i="5"/>
  <c r="G28" i="5"/>
  <c r="H28" i="5"/>
  <c r="M28" i="5"/>
  <c r="G29" i="5"/>
  <c r="H29" i="5"/>
  <c r="M29" i="5"/>
  <c r="G30" i="5"/>
  <c r="H30" i="5"/>
  <c r="M30" i="5"/>
  <c r="M31" i="5"/>
  <c r="N8" i="5"/>
  <c r="O8" i="5"/>
  <c r="V8" i="5"/>
  <c r="N19" i="5"/>
  <c r="O19" i="5"/>
  <c r="V19" i="5"/>
  <c r="N17" i="5"/>
  <c r="O17" i="5"/>
  <c r="V17" i="5"/>
  <c r="N16" i="5"/>
  <c r="O16" i="5"/>
  <c r="V16" i="5"/>
  <c r="N15" i="5"/>
  <c r="O15" i="5"/>
  <c r="V15" i="5"/>
  <c r="P8" i="5"/>
  <c r="R8" i="5"/>
  <c r="I8" i="5"/>
  <c r="I16" i="5"/>
  <c r="I17" i="5"/>
  <c r="I15" i="5"/>
  <c r="I19" i="5"/>
  <c r="W8" i="5"/>
  <c r="Q8" i="5"/>
  <c r="D7" i="3"/>
  <c r="D12" i="3"/>
  <c r="P19" i="5"/>
  <c r="P17" i="5"/>
  <c r="P16" i="5"/>
  <c r="P15" i="5"/>
  <c r="N27" i="5"/>
  <c r="O27" i="5"/>
  <c r="V27" i="5"/>
  <c r="N14" i="5"/>
  <c r="O14" i="5"/>
  <c r="V14" i="5"/>
  <c r="N5" i="5"/>
  <c r="O5" i="5"/>
  <c r="V5" i="5"/>
  <c r="I4" i="5"/>
  <c r="D20" i="3"/>
  <c r="I26" i="5"/>
  <c r="Q19" i="5"/>
  <c r="Q17" i="5"/>
  <c r="Q16" i="5"/>
  <c r="Q15" i="5"/>
  <c r="I5" i="5"/>
  <c r="I27" i="5"/>
  <c r="G8" i="5"/>
  <c r="N28" i="5"/>
  <c r="O28" i="5"/>
  <c r="V28" i="5"/>
  <c r="N6" i="5"/>
  <c r="O6" i="5"/>
  <c r="V6" i="5"/>
  <c r="N30" i="5"/>
  <c r="O30" i="5"/>
  <c r="V30" i="5"/>
  <c r="I30" i="5"/>
  <c r="N24" i="5"/>
  <c r="O24" i="5"/>
  <c r="V24" i="5"/>
  <c r="I24" i="5"/>
  <c r="N29" i="5"/>
  <c r="O29" i="5"/>
  <c r="V29" i="5"/>
  <c r="I29" i="5"/>
  <c r="V4" i="5"/>
  <c r="P4" i="5"/>
  <c r="N7" i="5"/>
  <c r="O7" i="5"/>
  <c r="V7" i="5"/>
  <c r="I7" i="5"/>
  <c r="P27" i="5"/>
  <c r="P26" i="5"/>
  <c r="W19" i="5"/>
  <c r="R19" i="5"/>
  <c r="R17" i="5"/>
  <c r="W17" i="5"/>
  <c r="R16" i="5"/>
  <c r="W16" i="5"/>
  <c r="R15" i="5"/>
  <c r="W15" i="5"/>
  <c r="P14" i="5"/>
  <c r="P20" i="5"/>
  <c r="P5" i="5"/>
  <c r="I28" i="5"/>
  <c r="I14" i="5"/>
  <c r="I20" i="5"/>
  <c r="P24" i="5"/>
  <c r="I31" i="5"/>
  <c r="Q4" i="5"/>
  <c r="P30" i="5"/>
  <c r="P29" i="5"/>
  <c r="P28" i="5"/>
  <c r="Q27" i="5"/>
  <c r="Q26" i="5"/>
  <c r="Q24" i="5"/>
  <c r="Q14" i="5"/>
  <c r="Q20" i="5"/>
  <c r="P7" i="5"/>
  <c r="Q5" i="5"/>
  <c r="R4" i="5"/>
  <c r="W4" i="5"/>
  <c r="I6" i="5"/>
  <c r="I9" i="5"/>
  <c r="P31" i="5"/>
  <c r="W27" i="5"/>
  <c r="R27" i="5"/>
  <c r="Q29" i="5"/>
  <c r="Q28" i="5"/>
  <c r="Q30" i="5"/>
  <c r="R26" i="5"/>
  <c r="R24" i="5"/>
  <c r="W24" i="5"/>
  <c r="W14" i="5"/>
  <c r="W20" i="5"/>
  <c r="R14" i="5"/>
  <c r="R20" i="5"/>
  <c r="R5" i="5"/>
  <c r="W5" i="5"/>
  <c r="Q7" i="5"/>
  <c r="P6" i="5"/>
  <c r="P9" i="5"/>
  <c r="D35" i="1"/>
  <c r="D8" i="1"/>
  <c r="D14" i="1"/>
  <c r="D27" i="1"/>
  <c r="D17" i="1"/>
  <c r="D38" i="1"/>
  <c r="D40" i="1"/>
  <c r="Q31" i="5"/>
  <c r="W29" i="5"/>
  <c r="R29" i="5"/>
  <c r="R30" i="5"/>
  <c r="W30" i="5"/>
  <c r="W28" i="5"/>
  <c r="R28" i="5"/>
  <c r="Q6" i="5"/>
  <c r="Q9" i="5"/>
  <c r="Q11" i="5"/>
  <c r="Q21" i="5"/>
  <c r="W7" i="5"/>
  <c r="R7" i="5"/>
  <c r="D28" i="1"/>
  <c r="W31" i="5"/>
  <c r="R31" i="5"/>
  <c r="Q32" i="5"/>
  <c r="Q33" i="5"/>
  <c r="Q34" i="5"/>
  <c r="W6" i="5"/>
  <c r="W9" i="5"/>
  <c r="W11" i="5"/>
  <c r="W21" i="5"/>
  <c r="R6" i="5"/>
  <c r="R9" i="5"/>
  <c r="R11" i="5"/>
  <c r="R21" i="5"/>
  <c r="W32" i="5"/>
  <c r="W33" i="5"/>
  <c r="W34" i="5"/>
  <c r="R32" i="5"/>
  <c r="R33" i="5"/>
  <c r="R34" i="5"/>
  <c r="D5" i="3" l="1"/>
  <c r="D40" i="3" s="1"/>
  <c r="P10" i="5"/>
  <c r="P11" i="5" s="1"/>
  <c r="P21" i="5" s="1"/>
  <c r="P32" i="5" s="1"/>
  <c r="I10" i="5"/>
  <c r="I11" i="5" s="1"/>
  <c r="I21" i="5" s="1"/>
  <c r="I32" i="5" s="1"/>
  <c r="M10" i="5" l="1"/>
  <c r="M11" i="5" s="1"/>
  <c r="M21" i="5" s="1"/>
  <c r="M32" i="5" s="1"/>
  <c r="M33" i="5" s="1"/>
  <c r="M34" i="5" s="1"/>
  <c r="I33" i="5"/>
  <c r="I34" i="5" s="1"/>
  <c r="P33" i="5"/>
  <c r="P34" i="5" s="1"/>
  <c r="W35" i="5" l="1"/>
  <c r="W36" i="5" s="1"/>
  <c r="W37" i="5" s="1"/>
</calcChain>
</file>

<file path=xl/comments1.xml><?xml version="1.0" encoding="utf-8"?>
<comments xmlns="http://schemas.openxmlformats.org/spreadsheetml/2006/main">
  <authors>
    <author>Administrador</author>
  </authors>
  <commentList>
    <comment ref="D15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revisar con SST </t>
        </r>
      </text>
    </comment>
  </commentList>
</comments>
</file>

<file path=xl/sharedStrings.xml><?xml version="1.0" encoding="utf-8"?>
<sst xmlns="http://schemas.openxmlformats.org/spreadsheetml/2006/main" count="268" uniqueCount="176">
  <si>
    <t>CALCULO DETALLADO DEL VALOR DE LA INTERVENTORIA</t>
  </si>
  <si>
    <t>ITEM</t>
  </si>
  <si>
    <t>DESCRIPCION</t>
  </si>
  <si>
    <t>%</t>
  </si>
  <si>
    <t>A</t>
  </si>
  <si>
    <t>SALARIO BASICO</t>
  </si>
  <si>
    <t>B</t>
  </si>
  <si>
    <t>PRESTACIONES SOCIALES</t>
  </si>
  <si>
    <t>Prima anual</t>
  </si>
  <si>
    <t>Cesantía Anual</t>
  </si>
  <si>
    <t>Intereses a las cesantías</t>
  </si>
  <si>
    <t>Vacaciones anuales</t>
  </si>
  <si>
    <t>C</t>
  </si>
  <si>
    <t>SISTEMA DE SEGURIDAD SOCIAL INTEGRAL</t>
  </si>
  <si>
    <t>EPS (salud, pensión, ARP)</t>
  </si>
  <si>
    <t>D</t>
  </si>
  <si>
    <t>OTROS</t>
  </si>
  <si>
    <t>Subsidio familiar</t>
  </si>
  <si>
    <t>Sena</t>
  </si>
  <si>
    <t>ICBF</t>
  </si>
  <si>
    <t>Seguro de ley</t>
  </si>
  <si>
    <t>Indemnización de ley</t>
  </si>
  <si>
    <t>Otros (Incapacidad no cubierta por EPS y medicina</t>
  </si>
  <si>
    <t>prepagada, Dotación, Auxilios varios, Pretaciones</t>
  </si>
  <si>
    <t>extralegales)</t>
  </si>
  <si>
    <t>Subtotal (B+C)</t>
  </si>
  <si>
    <t>Sutotal (A+B+C+D)</t>
  </si>
  <si>
    <t>E</t>
  </si>
  <si>
    <t>COSTOS INDIRECTOS</t>
  </si>
  <si>
    <t>E1</t>
  </si>
  <si>
    <t>GASTOS GENERALES</t>
  </si>
  <si>
    <t>E2</t>
  </si>
  <si>
    <t>OTROS GASTOS</t>
  </si>
  <si>
    <t>Subtotal (E1+E2)</t>
  </si>
  <si>
    <t>F</t>
  </si>
  <si>
    <t>HONORARIOS</t>
  </si>
  <si>
    <t>FACTOR MULTIPLICADOR (A+B+C+D+E+F)</t>
  </si>
  <si>
    <t>APROXIMACION</t>
  </si>
  <si>
    <t xml:space="preserve">ELABORADO POR </t>
  </si>
  <si>
    <t>JEISSON ANDRES OTALORA VARGAS</t>
  </si>
  <si>
    <t>ING CIVIL</t>
  </si>
  <si>
    <t>TP. 25202-349806 CND</t>
  </si>
  <si>
    <t>Gastos Bancarios</t>
  </si>
  <si>
    <t>Gastos de Representación</t>
  </si>
  <si>
    <t>COSTOS DIRECTOS No Reembolsables</t>
  </si>
  <si>
    <t>Póliza de Calidad</t>
  </si>
  <si>
    <t>Póliza Salarios y prestaciones sociales</t>
  </si>
  <si>
    <t>SALARIO BÁSICO</t>
  </si>
  <si>
    <t>SALARIOS BÁSICOS, PRESTACIONES SOCIALES Y SISTEMA DE SEGURIDAD SOCIAL INTEGRAL</t>
  </si>
  <si>
    <t>1.1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</si>
  <si>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</si>
  <si>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</si>
  <si>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</si>
  <si>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</si>
  <si>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</si>
  <si>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</si>
  <si>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</si>
  <si>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</si>
  <si>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1.3.3</t>
  </si>
  <si>
    <t>1.3.4</t>
  </si>
  <si>
    <t>1.3.5</t>
  </si>
  <si>
    <t>2.2</t>
  </si>
  <si>
    <t>3.1</t>
  </si>
  <si>
    <t>3.2</t>
  </si>
  <si>
    <t>3.3</t>
  </si>
  <si>
    <t>3.4</t>
  </si>
  <si>
    <t>3.5</t>
  </si>
  <si>
    <t>3.6</t>
  </si>
  <si>
    <t>% PARTICIPACIÓN</t>
  </si>
  <si>
    <t>CANT.</t>
  </si>
  <si>
    <t>DESCRIPCIÓN</t>
  </si>
  <si>
    <t>Director de Interventoría</t>
  </si>
  <si>
    <t>Profesional - Producción</t>
  </si>
  <si>
    <t>Profesional - Financiero</t>
  </si>
  <si>
    <t>Profesional - Publicidad, Promoción, Mercadeo</t>
  </si>
  <si>
    <t>Secretaria - Auxiliar contable</t>
  </si>
  <si>
    <t>SUB TOTAL COSTO DE PERSONAL</t>
  </si>
  <si>
    <t>FACTOR MULTIMPLICADOR</t>
  </si>
  <si>
    <t>OTROS COSTOS DIRECTOS</t>
  </si>
  <si>
    <t>Pruebas de laboratorio (Mínimo 1 mensual)</t>
  </si>
  <si>
    <t>N/A</t>
  </si>
  <si>
    <t>Alquiler Vehículo mensual (incluye conductor, mantenimiento y combustible)</t>
  </si>
  <si>
    <t>Arriendo oficina (mantenimiento, dotación y servicios públicos)</t>
  </si>
  <si>
    <t>Alquiler de equipos de computo</t>
  </si>
  <si>
    <t>Comunicaciones</t>
  </si>
  <si>
    <t>IVA 19%</t>
  </si>
  <si>
    <t>Caja de Compensación Familiar</t>
  </si>
  <si>
    <t>ARP</t>
  </si>
  <si>
    <t>Estampilla Pro Usco</t>
  </si>
  <si>
    <t>Estampilla Pro Cultura</t>
  </si>
  <si>
    <t>HONORARIOS (Utilidad del consultor y costos no previos)</t>
  </si>
  <si>
    <t>3.7</t>
  </si>
  <si>
    <t>3.8</t>
  </si>
  <si>
    <t>Póliza de Cumplimiento</t>
  </si>
  <si>
    <t>1.3.6</t>
  </si>
  <si>
    <t>Estampilla Pro Desarrollo</t>
  </si>
  <si>
    <t xml:space="preserve">Rete fuente </t>
  </si>
  <si>
    <t>Rete ICA</t>
  </si>
  <si>
    <t>Asesoría Contable Tributaria y Jurídica</t>
  </si>
  <si>
    <t>Papelería y demás gastos de oficina</t>
  </si>
  <si>
    <t>PROYECCIÓN DE COSTOS CONTRATO DE INTERVENTORÍA
Seguimiento y Control al contrato de concesión DOBLE ANIS AÑO 2020</t>
  </si>
  <si>
    <t xml:space="preserve">Otros </t>
  </si>
  <si>
    <t>2.1</t>
  </si>
  <si>
    <t>2.3</t>
  </si>
  <si>
    <t>Por mes</t>
  </si>
  <si>
    <t>COSTOS DE PERSONAL (Costos fijos)</t>
  </si>
  <si>
    <t>EQUIPOS (Costo Directo Variable)</t>
  </si>
  <si>
    <t>GASTOS DE OFICINA (Costo Directo No variable)</t>
  </si>
  <si>
    <t>VIÁTICOS Y TRANSPORTE (Costo Directo Variable)</t>
  </si>
  <si>
    <t>VEHÍCULOS (Costo Directo No variable)</t>
  </si>
  <si>
    <t>TOTAL COSTO DE PERSONAL</t>
  </si>
  <si>
    <t>SUBTOTAL DE OTROS COSTOS DIRECTOS NO VARIABLES</t>
  </si>
  <si>
    <t>SUBTOTAL COSTOS DE PERSONAL + OTROS COSTOS DIRECTOS NO VARIABLES</t>
  </si>
  <si>
    <t>SUBTOTAL COSTOS REEMBOLSABLES</t>
  </si>
  <si>
    <t>COSTOS DIRECTOS VARIABLES REEMBOLSABLES</t>
  </si>
  <si>
    <t>SUBTOTAL COSTOS (A+B)</t>
  </si>
  <si>
    <t>1.3.7</t>
  </si>
  <si>
    <t>Pensión 16% - Aporte patronal 12%</t>
  </si>
  <si>
    <t>EPS salud 12,5% Aporte patronal 8,5%</t>
  </si>
  <si>
    <t>3.9</t>
  </si>
  <si>
    <t>Estampilla Pro Deporte</t>
  </si>
  <si>
    <t xml:space="preserve">COSTOS 2021
 (4meses) </t>
  </si>
  <si>
    <t>Transporte Profesional - Producción - Desplazamiento a la FLA ( 1 viaje por mes)</t>
  </si>
  <si>
    <t>Viáticos Profesional - Producción - Desplazamiento a la FLA (1 viaje por mes)</t>
  </si>
  <si>
    <t>Transporte Director de Interventoría - Desplazamiento a la FLA ( 1 viaje bimestral)</t>
  </si>
  <si>
    <t>Viáticos Director de Interventoría - Desplazamiento a la FLA (1 viaje bimestral)</t>
  </si>
  <si>
    <t>COSTO TOTAL (4 MESES)</t>
  </si>
  <si>
    <t>Viáticos - Profesional - Publicidad, Promoción, Mercadeo (5 salidas por mes x 3 mercaderistas x 4 meses )</t>
  </si>
  <si>
    <t>Viáticos - Profesional - Publicidad, Promoción, Mercadeo (5 salidas por mes x 3 mercaderistas x 12 meses )</t>
  </si>
  <si>
    <t xml:space="preserve">COSTOS 2022
 (12 meses) </t>
  </si>
  <si>
    <t>PLAZO</t>
  </si>
  <si>
    <t xml:space="preserve">COSTOS 2023
 (12 meses) </t>
  </si>
  <si>
    <t xml:space="preserve">COSTOS 2024
 (12 meses) </t>
  </si>
  <si>
    <t xml:space="preserve">COSTOS 2025
 (8 meses) </t>
  </si>
  <si>
    <t>Viáticos - Profesional - Publicidad, Promoción, Mercadeo (5 salidas por mes x 3 mercaderistas x 8 meses )</t>
  </si>
  <si>
    <t>COSTO TOTAL 4 AÑOS</t>
  </si>
  <si>
    <t>SUELDO MENSUAL Y/O VALOR OTROS COSTOS
2017
  (Base contrato 2017)</t>
  </si>
  <si>
    <t>SUELDO MENSUAL Y/O VALOR OTROS COSTOS 
2018 
(Base contrato 2017 ajustado a 2018)</t>
  </si>
  <si>
    <t>SUELDO MENSUAL Y/O VALOR OTROS COSTOS 2019
  (Base contrato 2018 ajustado 2019)</t>
  </si>
  <si>
    <t>SUELDO MENSUAL Y/O VALOR OTROS COSTOS 
2020
 (Base contrato 2019 ajustado a 2020)</t>
  </si>
  <si>
    <t>SUELDO MENSUAL Y/O VALOR OTROS COSTOS 2021
  (Base contrato 2020 + IPC 2021)</t>
  </si>
  <si>
    <t>SUELDO MENSUAL Y/O VALOR OTROS COSTOS 2022
 (Base contrato 2021 + IPC 2,6)</t>
  </si>
  <si>
    <t>SUELDO MENSUAL Y/O VALOR OTROS COSTOS
2023  
(Base contrato 2022 + IPC 2,6)</t>
  </si>
  <si>
    <t>SUELDO MENSUAL Y/O VALOR OTROS COSTOS  2024
(Base contrato 2023 + IPC 2,6)</t>
  </si>
  <si>
    <t>COSTO TOTAL (12 MESES)</t>
  </si>
  <si>
    <t>COSTO TOTAL (8 MESES)</t>
  </si>
  <si>
    <t>SUELDO MENSUAL Y/O VALOR OTROS COSTOS  2025
(Base contrato 2024 + IPC 2,6)</t>
  </si>
  <si>
    <t>EL 15%</t>
  </si>
  <si>
    <t>TOTAL - 2021</t>
  </si>
  <si>
    <t>GASTOS DE DESPLAZAMIENTO, ALOJAMIENTO Y MANUTENCIÓN</t>
  </si>
  <si>
    <t>4.1</t>
  </si>
  <si>
    <t>4.2</t>
  </si>
  <si>
    <t>4.3</t>
  </si>
  <si>
    <t>DESPLAZAMIENTO</t>
  </si>
  <si>
    <t>ALOJAMIENTO</t>
  </si>
  <si>
    <t>MANUETENCION</t>
  </si>
  <si>
    <t>FACTOR MULTIPLICADOR (1+2+3+4+5)</t>
  </si>
  <si>
    <t>FACTOR MULTIPLICADOR APROXIMADO</t>
  </si>
  <si>
    <t>FACTOR MULTIPLICADOR APLICABLE A COSTOS DE PERSONAL PROCESO  INTERVENTORIA MOBILIARIO 2021</t>
  </si>
  <si>
    <t>ÍTEM</t>
  </si>
  <si>
    <t>CONCEPTO</t>
  </si>
  <si>
    <t>CANT</t>
  </si>
  <si>
    <t>VALOR UNITARIO</t>
  </si>
  <si>
    <t>DEDICACIÓN</t>
  </si>
  <si>
    <t>No. DE MESES</t>
  </si>
  <si>
    <t>VALOR TOTAL</t>
  </si>
  <si>
    <t>PERSONAL</t>
  </si>
  <si>
    <t>Director de interventoría</t>
  </si>
  <si>
    <t>SUBTOTAL</t>
  </si>
  <si>
    <t>IVA (19%)</t>
  </si>
  <si>
    <t>TOTAL</t>
  </si>
  <si>
    <t>F.M (2,04)</t>
  </si>
  <si>
    <t xml:space="preserve">Técnico profesional de Apoyo en la recepción de mobiliario escolar en cada institución beneficiada con el fin de verificar la calidad, cantidades e instalación                      </t>
  </si>
  <si>
    <t>ALFONSO MONROY ZUÑIGA</t>
  </si>
  <si>
    <t>Profesional Universtiario</t>
  </si>
  <si>
    <t>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</si>
</sst>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\ #,##0;[Red]\-&quot;$&quot;\ #,##0"/>
    <numFmt numFmtId="8" formatCode="&quot;$&quot;\ #,##0.00;[Red]\-&quot;$&quot;\ #,##0.00"/>
    <numFmt numFmtId="164" formatCode="_-&quot;$&quot;* #,##0.00_-;\-&quot;$&quot;* #,##0.00_-;_-&quot;$&quot;* &quot;-&quot;??_-;_-@_-"/>
    <numFmt numFmtId="165" formatCode="0.0%"/>
    <numFmt numFmtId="166" formatCode="_-&quot;$&quot;* #,##0_-;\-&quot;$&quot;* #,##0_-;_-&quot;$&quot;* &quot;-&quot;??_-;_-@_-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4"/>
      <name val="Aharoni"/>
      <charset val="177"/>
    </font>
    <font>
      <sz val="16"/>
      <name val="Aharoni"/>
      <charset val="177"/>
    </font>
    <font>
      <sz val="8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4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71">
    <xf numFmtId="0" fontId="0" fillId="0" borderId="0" xfId="0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1" fillId="0" borderId="8" xfId="0" applyFont="1" applyBorder="1"/>
    <xf numFmtId="9" fontId="0" fillId="0" borderId="9" xfId="1" applyFont="1" applyBorder="1"/>
    <xf numFmtId="10" fontId="1" fillId="0" borderId="9" xfId="1" applyNumberFormat="1" applyFont="1" applyBorder="1"/>
    <xf numFmtId="0" fontId="0" fillId="0" borderId="8" xfId="0" applyBorder="1"/>
    <xf numFmtId="10" fontId="0" fillId="0" borderId="9" xfId="1" applyNumberFormat="1" applyFont="1" applyBorder="1"/>
    <xf numFmtId="0" fontId="1" fillId="0" borderId="8" xfId="0" applyFont="1" applyBorder="1" applyAlignment="1">
      <alignment wrapText="1"/>
    </xf>
    <xf numFmtId="9" fontId="1" fillId="0" borderId="9" xfId="1" applyFont="1" applyBorder="1"/>
    <xf numFmtId="4" fontId="0" fillId="0" borderId="9" xfId="0" applyNumberFormat="1" applyBorder="1"/>
    <xf numFmtId="0" fontId="0" fillId="0" borderId="8" xfId="0" applyBorder="1" applyAlignment="1">
      <alignment wrapText="1"/>
    </xf>
    <xf numFmtId="9" fontId="2" fillId="0" borderId="12" xfId="1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9" fontId="0" fillId="0" borderId="0" xfId="1" applyFont="1" applyBorder="1"/>
    <xf numFmtId="0" fontId="5" fillId="0" borderId="0" xfId="0" applyFont="1"/>
    <xf numFmtId="4" fontId="6" fillId="0" borderId="0" xfId="0" applyNumberFormat="1" applyFont="1"/>
    <xf numFmtId="0" fontId="7" fillId="0" borderId="13" xfId="2" applyFont="1" applyBorder="1"/>
    <xf numFmtId="0" fontId="1" fillId="0" borderId="0" xfId="0" applyFont="1" applyBorder="1"/>
    <xf numFmtId="0" fontId="8" fillId="0" borderId="0" xfId="0" applyFont="1" applyBorder="1" applyAlignment="1">
      <alignment vertical="center"/>
    </xf>
    <xf numFmtId="0" fontId="2" fillId="0" borderId="0" xfId="2" applyFont="1"/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/>
    <xf numFmtId="0" fontId="0" fillId="0" borderId="8" xfId="0" applyFont="1" applyBorder="1"/>
    <xf numFmtId="10" fontId="0" fillId="3" borderId="9" xfId="1" applyNumberFormat="1" applyFont="1" applyFill="1" applyBorder="1"/>
    <xf numFmtId="0" fontId="0" fillId="3" borderId="8" xfId="0" applyFill="1" applyBorder="1" applyAlignment="1">
      <alignment wrapText="1"/>
    </xf>
    <xf numFmtId="10" fontId="2" fillId="0" borderId="12" xfId="1" applyNumberFormat="1" applyFont="1" applyBorder="1" applyAlignment="1">
      <alignment horizontal="righ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wrapText="1"/>
    </xf>
    <xf numFmtId="10" fontId="1" fillId="4" borderId="6" xfId="0" applyNumberFormat="1" applyFont="1" applyFill="1" applyBorder="1"/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/>
    </xf>
    <xf numFmtId="10" fontId="1" fillId="4" borderId="9" xfId="1" applyNumberFormat="1" applyFont="1" applyFill="1" applyBorder="1"/>
    <xf numFmtId="0" fontId="1" fillId="4" borderId="8" xfId="0" applyFont="1" applyFill="1" applyBorder="1"/>
    <xf numFmtId="0" fontId="0" fillId="0" borderId="8" xfId="0" applyFont="1" applyBorder="1" applyAlignment="1">
      <alignment wrapText="1"/>
    </xf>
    <xf numFmtId="164" fontId="0" fillId="0" borderId="0" xfId="3" applyFont="1"/>
    <xf numFmtId="164" fontId="0" fillId="0" borderId="0" xfId="0" applyNumberFormat="1"/>
    <xf numFmtId="0" fontId="12" fillId="0" borderId="8" xfId="0" applyFont="1" applyBorder="1"/>
    <xf numFmtId="0" fontId="12" fillId="3" borderId="8" xfId="0" applyFont="1" applyFill="1" applyBorder="1"/>
    <xf numFmtId="0" fontId="12" fillId="0" borderId="17" xfId="0" applyFont="1" applyBorder="1" applyAlignment="1">
      <alignment horizontal="center" vertical="center" wrapText="1"/>
    </xf>
    <xf numFmtId="0" fontId="12" fillId="0" borderId="5" xfId="0" applyFont="1" applyBorder="1"/>
    <xf numFmtId="9" fontId="12" fillId="0" borderId="18" xfId="4" applyFont="1" applyBorder="1" applyAlignment="1">
      <alignment wrapText="1"/>
    </xf>
    <xf numFmtId="9" fontId="12" fillId="0" borderId="5" xfId="4" applyFont="1" applyFill="1" applyBorder="1" applyAlignment="1">
      <alignment wrapText="1"/>
    </xf>
    <xf numFmtId="3" fontId="12" fillId="0" borderId="5" xfId="0" applyNumberFormat="1" applyFont="1" applyBorder="1"/>
    <xf numFmtId="0" fontId="12" fillId="0" borderId="5" xfId="0" applyFont="1" applyFill="1" applyBorder="1" applyAlignment="1">
      <alignment wrapText="1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wrapText="1"/>
    </xf>
    <xf numFmtId="0" fontId="12" fillId="0" borderId="18" xfId="0" applyFont="1" applyFill="1" applyBorder="1" applyAlignment="1">
      <alignment wrapText="1"/>
    </xf>
    <xf numFmtId="3" fontId="12" fillId="0" borderId="18" xfId="0" applyNumberFormat="1" applyFont="1" applyBorder="1" applyAlignment="1">
      <alignment wrapText="1"/>
    </xf>
    <xf numFmtId="3" fontId="12" fillId="0" borderId="18" xfId="0" applyNumberFormat="1" applyFont="1" applyBorder="1"/>
    <xf numFmtId="3" fontId="12" fillId="0" borderId="18" xfId="0" applyNumberFormat="1" applyFont="1" applyFill="1" applyBorder="1" applyAlignment="1">
      <alignment wrapText="1"/>
    </xf>
    <xf numFmtId="3" fontId="12" fillId="0" borderId="5" xfId="0" applyNumberFormat="1" applyFont="1" applyFill="1" applyBorder="1" applyAlignment="1">
      <alignment wrapText="1"/>
    </xf>
    <xf numFmtId="3" fontId="12" fillId="0" borderId="5" xfId="0" applyNumberFormat="1" applyFont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17" xfId="0" applyFont="1" applyBorder="1"/>
    <xf numFmtId="0" fontId="3" fillId="0" borderId="18" xfId="0" applyFont="1" applyFill="1" applyBorder="1" applyAlignment="1">
      <alignment wrapText="1"/>
    </xf>
    <xf numFmtId="0" fontId="12" fillId="0" borderId="17" xfId="0" applyFont="1" applyBorder="1"/>
    <xf numFmtId="0" fontId="0" fillId="0" borderId="18" xfId="0" applyBorder="1"/>
    <xf numFmtId="9" fontId="0" fillId="0" borderId="18" xfId="4" applyFont="1" applyBorder="1"/>
    <xf numFmtId="3" fontId="0" fillId="0" borderId="18" xfId="0" applyNumberFormat="1" applyBorder="1"/>
    <xf numFmtId="0" fontId="14" fillId="4" borderId="8" xfId="0" applyFont="1" applyFill="1" applyBorder="1" applyAlignment="1">
      <alignment wrapText="1"/>
    </xf>
    <xf numFmtId="10" fontId="13" fillId="4" borderId="9" xfId="1" applyNumberFormat="1" applyFont="1" applyFill="1" applyBorder="1"/>
    <xf numFmtId="0" fontId="0" fillId="0" borderId="0" xfId="0" applyFill="1"/>
    <xf numFmtId="0" fontId="14" fillId="4" borderId="7" xfId="0" applyFont="1" applyFill="1" applyBorder="1" applyAlignment="1">
      <alignment horizontal="center" vertical="center"/>
    </xf>
    <xf numFmtId="4" fontId="12" fillId="2" borderId="8" xfId="0" applyNumberFormat="1" applyFont="1" applyFill="1" applyBorder="1" applyAlignment="1">
      <alignment wrapText="1"/>
    </xf>
    <xf numFmtId="0" fontId="12" fillId="3" borderId="18" xfId="0" applyFont="1" applyFill="1" applyBorder="1" applyAlignment="1">
      <alignment wrapText="1"/>
    </xf>
    <xf numFmtId="3" fontId="0" fillId="3" borderId="18" xfId="0" applyNumberFormat="1" applyFill="1" applyBorder="1"/>
    <xf numFmtId="0" fontId="12" fillId="0" borderId="18" xfId="0" applyFont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4" borderId="8" xfId="0" applyFont="1" applyFill="1" applyBorder="1" applyAlignment="1">
      <alignment wrapText="1"/>
    </xf>
    <xf numFmtId="0" fontId="12" fillId="3" borderId="17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 wrapText="1"/>
    </xf>
    <xf numFmtId="9" fontId="0" fillId="3" borderId="18" xfId="4" applyFont="1" applyFill="1" applyBorder="1"/>
    <xf numFmtId="0" fontId="3" fillId="3" borderId="18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9" fontId="0" fillId="3" borderId="18" xfId="4" applyFont="1" applyFill="1" applyBorder="1" applyAlignment="1">
      <alignment horizontal="right"/>
    </xf>
    <xf numFmtId="0" fontId="0" fillId="0" borderId="18" xfId="0" applyBorder="1" applyAlignment="1">
      <alignment horizontal="right"/>
    </xf>
    <xf numFmtId="0" fontId="12" fillId="4" borderId="8" xfId="0" applyFont="1" applyFill="1" applyBorder="1"/>
    <xf numFmtId="3" fontId="12" fillId="4" borderId="8" xfId="0" applyNumberFormat="1" applyFont="1" applyFill="1" applyBorder="1"/>
    <xf numFmtId="3" fontId="3" fillId="4" borderId="8" xfId="0" applyNumberFormat="1" applyFont="1" applyFill="1" applyBorder="1"/>
    <xf numFmtId="0" fontId="9" fillId="4" borderId="8" xfId="0" applyFont="1" applyFill="1" applyBorder="1" applyAlignment="1">
      <alignment wrapText="1"/>
    </xf>
    <xf numFmtId="9" fontId="17" fillId="4" borderId="8" xfId="4" applyFont="1" applyFill="1" applyBorder="1"/>
    <xf numFmtId="3" fontId="17" fillId="4" borderId="8" xfId="0" applyNumberFormat="1" applyFont="1" applyFill="1" applyBorder="1"/>
    <xf numFmtId="3" fontId="9" fillId="4" borderId="8" xfId="0" applyNumberFormat="1" applyFont="1" applyFill="1" applyBorder="1" applyAlignment="1">
      <alignment wrapText="1"/>
    </xf>
    <xf numFmtId="0" fontId="17" fillId="4" borderId="8" xfId="0" applyFont="1" applyFill="1" applyBorder="1"/>
    <xf numFmtId="3" fontId="18" fillId="4" borderId="8" xfId="0" applyNumberFormat="1" applyFont="1" applyFill="1" applyBorder="1"/>
    <xf numFmtId="0" fontId="18" fillId="4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/>
    </xf>
    <xf numFmtId="0" fontId="0" fillId="0" borderId="0" xfId="0" applyFill="1" applyAlignment="1">
      <alignment wrapText="1"/>
    </xf>
    <xf numFmtId="165" fontId="0" fillId="3" borderId="9" xfId="1" applyNumberFormat="1" applyFont="1" applyFill="1" applyBorder="1"/>
    <xf numFmtId="0" fontId="0" fillId="0" borderId="0" xfId="0" applyAlignment="1">
      <alignment wrapText="1"/>
    </xf>
    <xf numFmtId="0" fontId="1" fillId="4" borderId="0" xfId="0" applyFont="1" applyFill="1" applyBorder="1" applyAlignment="1">
      <alignment horizontal="center" wrapText="1"/>
    </xf>
    <xf numFmtId="3" fontId="0" fillId="6" borderId="18" xfId="0" applyNumberFormat="1" applyFill="1" applyBorder="1"/>
    <xf numFmtId="3" fontId="1" fillId="3" borderId="18" xfId="0" applyNumberFormat="1" applyFont="1" applyFill="1" applyBorder="1"/>
    <xf numFmtId="0" fontId="0" fillId="4" borderId="8" xfId="0" applyFill="1" applyBorder="1"/>
    <xf numFmtId="3" fontId="19" fillId="4" borderId="8" xfId="0" applyNumberFormat="1" applyFont="1" applyFill="1" applyBorder="1"/>
    <xf numFmtId="0" fontId="0" fillId="7" borderId="0" xfId="0" applyFill="1"/>
    <xf numFmtId="0" fontId="12" fillId="7" borderId="17" xfId="0" applyFont="1" applyFill="1" applyBorder="1" applyAlignment="1">
      <alignment horizontal="center" vertical="center" wrapText="1"/>
    </xf>
    <xf numFmtId="3" fontId="12" fillId="7" borderId="18" xfId="0" applyNumberFormat="1" applyFont="1" applyFill="1" applyBorder="1" applyAlignment="1">
      <alignment wrapText="1"/>
    </xf>
    <xf numFmtId="3" fontId="12" fillId="7" borderId="5" xfId="0" applyNumberFormat="1" applyFont="1" applyFill="1" applyBorder="1" applyAlignment="1">
      <alignment wrapText="1"/>
    </xf>
    <xf numFmtId="3" fontId="12" fillId="7" borderId="5" xfId="0" applyNumberFormat="1" applyFont="1" applyFill="1" applyBorder="1"/>
    <xf numFmtId="4" fontId="12" fillId="7" borderId="8" xfId="0" applyNumberFormat="1" applyFont="1" applyFill="1" applyBorder="1" applyAlignment="1">
      <alignment wrapText="1"/>
    </xf>
    <xf numFmtId="3" fontId="3" fillId="7" borderId="8" xfId="0" applyNumberFormat="1" applyFont="1" applyFill="1" applyBorder="1"/>
    <xf numFmtId="0" fontId="12" fillId="7" borderId="17" xfId="0" applyFont="1" applyFill="1" applyBorder="1"/>
    <xf numFmtId="3" fontId="0" fillId="7" borderId="18" xfId="0" applyNumberFormat="1" applyFill="1" applyBorder="1"/>
    <xf numFmtId="3" fontId="3" fillId="7" borderId="18" xfId="0" applyNumberFormat="1" applyFont="1" applyFill="1" applyBorder="1" applyAlignment="1">
      <alignment wrapText="1"/>
    </xf>
    <xf numFmtId="3" fontId="9" fillId="7" borderId="8" xfId="0" applyNumberFormat="1" applyFont="1" applyFill="1" applyBorder="1" applyAlignment="1">
      <alignment wrapText="1"/>
    </xf>
    <xf numFmtId="0" fontId="0" fillId="7" borderId="18" xfId="0" applyFill="1" applyBorder="1"/>
    <xf numFmtId="3" fontId="18" fillId="7" borderId="8" xfId="0" applyNumberFormat="1" applyFont="1" applyFill="1" applyBorder="1"/>
    <xf numFmtId="10" fontId="1" fillId="4" borderId="0" xfId="0" applyNumberFormat="1" applyFont="1" applyFill="1" applyBorder="1" applyAlignment="1">
      <alignment horizontal="center" wrapText="1"/>
    </xf>
    <xf numFmtId="166" fontId="19" fillId="4" borderId="8" xfId="3" applyNumberFormat="1" applyFont="1" applyFill="1" applyBorder="1"/>
    <xf numFmtId="3" fontId="0" fillId="0" borderId="0" xfId="0" applyNumberFormat="1"/>
    <xf numFmtId="10" fontId="0" fillId="0" borderId="9" xfId="1" applyNumberFormat="1" applyFont="1" applyFill="1" applyBorder="1"/>
    <xf numFmtId="0" fontId="0" fillId="4" borderId="7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vertical="center"/>
    </xf>
    <xf numFmtId="0" fontId="21" fillId="0" borderId="24" xfId="0" applyFont="1" applyBorder="1" applyAlignment="1">
      <alignment horizontal="center" vertical="center"/>
    </xf>
    <xf numFmtId="6" fontId="21" fillId="0" borderId="24" xfId="0" applyNumberFormat="1" applyFont="1" applyBorder="1" applyAlignment="1">
      <alignment horizontal="center" vertical="center"/>
    </xf>
    <xf numFmtId="9" fontId="21" fillId="0" borderId="24" xfId="0" applyNumberFormat="1" applyFont="1" applyBorder="1" applyAlignment="1">
      <alignment horizontal="center" vertical="center"/>
    </xf>
    <xf numFmtId="0" fontId="21" fillId="0" borderId="21" xfId="0" applyFont="1" applyBorder="1" applyAlignment="1">
      <alignment vertical="center" wrapText="1"/>
    </xf>
    <xf numFmtId="0" fontId="21" fillId="0" borderId="21" xfId="0" applyFont="1" applyBorder="1" applyAlignment="1">
      <alignment horizontal="center" vertical="center"/>
    </xf>
    <xf numFmtId="6" fontId="21" fillId="0" borderId="21" xfId="0" applyNumberFormat="1" applyFont="1" applyBorder="1" applyAlignment="1">
      <alignment horizontal="center" vertical="center"/>
    </xf>
    <xf numFmtId="9" fontId="21" fillId="0" borderId="21" xfId="0" applyNumberFormat="1" applyFont="1" applyBorder="1" applyAlignment="1">
      <alignment horizontal="center" vertical="center"/>
    </xf>
    <xf numFmtId="8" fontId="21" fillId="0" borderId="2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right" vertical="center"/>
    </xf>
    <xf numFmtId="0" fontId="20" fillId="0" borderId="26" xfId="0" applyFont="1" applyBorder="1" applyAlignment="1">
      <alignment horizontal="right" vertical="center"/>
    </xf>
    <xf numFmtId="0" fontId="20" fillId="0" borderId="27" xfId="0" applyFont="1" applyBorder="1" applyAlignment="1">
      <alignment horizontal="right" vertical="center"/>
    </xf>
    <xf numFmtId="0" fontId="20" fillId="0" borderId="25" xfId="0" applyFont="1" applyBorder="1" applyAlignment="1">
      <alignment horizontal="right" vertical="center" wrapText="1"/>
    </xf>
    <xf numFmtId="0" fontId="20" fillId="0" borderId="26" xfId="0" applyFont="1" applyBorder="1" applyAlignment="1">
      <alignment horizontal="right" vertical="center" wrapText="1"/>
    </xf>
    <xf numFmtId="0" fontId="20" fillId="0" borderId="22" xfId="0" applyFont="1" applyBorder="1" applyAlignment="1">
      <alignment horizontal="right" vertical="center" wrapText="1"/>
    </xf>
    <xf numFmtId="0" fontId="1" fillId="4" borderId="14" xfId="0" applyFont="1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 wrapText="1"/>
    </xf>
    <xf numFmtId="0" fontId="0" fillId="0" borderId="0" xfId="0" applyBorder="1" applyAlignment="1">
      <alignment horizontal="left" wrapText="1"/>
    </xf>
  </cellXfs>
  <cellStyles count="5">
    <cellStyle name="Moneda" xfId="3" builtinId="4"/>
    <cellStyle name="Normal" xfId="0" builtinId="0"/>
    <cellStyle name="Normal 2 10" xfId="2"/>
    <cellStyle name="Porcentaje" xfId="4" builtinId="5"/>
    <cellStyle name="Porcentaje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6"/>
  <sheetViews>
    <sheetView view="pageBreakPreview" topLeftCell="A4" zoomScale="90" zoomScaleNormal="100" zoomScaleSheetLayoutView="90" workbookViewId="0">
      <selection activeCell="C12" sqref="C12"/>
    </sheetView>
  </sheetViews>
  <sheetFormatPr baseColWidth="10" defaultColWidth="10.6640625" defaultRowHeight="14.4"/>
  <cols>
    <col min="1" max="1" width="14.6640625" customWidth="1"/>
    <col min="2" max="2" width="13.5546875" customWidth="1"/>
    <col min="3" max="3" width="45.109375" customWidth="1"/>
    <col min="4" max="4" width="10.88671875" customWidth="1"/>
    <col min="5" max="5" width="14" customWidth="1"/>
  </cols>
  <sheetData>
    <row r="2" spans="2:5">
      <c r="B2" s="144" t="s">
        <v>0</v>
      </c>
      <c r="C2" s="144"/>
      <c r="D2" s="144"/>
      <c r="E2" s="1"/>
    </row>
    <row r="3" spans="2:5">
      <c r="B3" s="145"/>
      <c r="C3" s="145"/>
      <c r="D3" s="145"/>
      <c r="E3" s="145"/>
    </row>
    <row r="4" spans="2:5" ht="15" thickBot="1">
      <c r="B4" s="2"/>
    </row>
    <row r="5" spans="2:5" ht="15.6" thickTop="1" thickBot="1">
      <c r="B5" s="3" t="s">
        <v>1</v>
      </c>
      <c r="C5" s="4" t="s">
        <v>2</v>
      </c>
      <c r="D5" s="5" t="s">
        <v>3</v>
      </c>
    </row>
    <row r="6" spans="2:5" ht="15" thickTop="1">
      <c r="B6" s="6"/>
      <c r="C6" s="7"/>
      <c r="D6" s="8"/>
    </row>
    <row r="7" spans="2:5">
      <c r="B7" s="9" t="s">
        <v>4</v>
      </c>
      <c r="C7" s="10" t="s">
        <v>5</v>
      </c>
      <c r="D7" s="11">
        <v>1</v>
      </c>
    </row>
    <row r="8" spans="2:5">
      <c r="B8" s="9" t="s">
        <v>6</v>
      </c>
      <c r="C8" s="10" t="s">
        <v>7</v>
      </c>
      <c r="D8" s="12">
        <f>SUM(D9:D12)</f>
        <v>0.24660000000000001</v>
      </c>
    </row>
    <row r="9" spans="2:5">
      <c r="B9" s="9"/>
      <c r="C9" s="13" t="s">
        <v>8</v>
      </c>
      <c r="D9" s="14">
        <v>8.3299999999999999E-2</v>
      </c>
    </row>
    <row r="10" spans="2:5">
      <c r="B10" s="9"/>
      <c r="C10" s="13" t="s">
        <v>9</v>
      </c>
      <c r="D10" s="14">
        <v>8.3299999999999999E-2</v>
      </c>
    </row>
    <row r="11" spans="2:5">
      <c r="B11" s="9"/>
      <c r="C11" s="13" t="s">
        <v>10</v>
      </c>
      <c r="D11" s="14">
        <v>0.04</v>
      </c>
    </row>
    <row r="12" spans="2:5">
      <c r="B12" s="9"/>
      <c r="C12" s="13" t="s">
        <v>11</v>
      </c>
      <c r="D12" s="14">
        <v>0.04</v>
      </c>
    </row>
    <row r="13" spans="2:5">
      <c r="B13" s="9"/>
      <c r="C13" s="13"/>
      <c r="D13" s="11"/>
    </row>
    <row r="14" spans="2:5" ht="30" customHeight="1">
      <c r="B14" s="9" t="s">
        <v>12</v>
      </c>
      <c r="C14" s="15" t="s">
        <v>13</v>
      </c>
      <c r="D14" s="12">
        <f>D15</f>
        <v>0.28460000000000002</v>
      </c>
    </row>
    <row r="15" spans="2:5">
      <c r="B15" s="9"/>
      <c r="C15" s="13" t="s">
        <v>14</v>
      </c>
      <c r="D15" s="14">
        <v>0.28460000000000002</v>
      </c>
    </row>
    <row r="16" spans="2:5">
      <c r="B16" s="9"/>
      <c r="C16" s="13"/>
      <c r="D16" s="11"/>
    </row>
    <row r="17" spans="2:4">
      <c r="B17" s="9" t="s">
        <v>15</v>
      </c>
      <c r="C17" s="10" t="s">
        <v>16</v>
      </c>
      <c r="D17" s="16">
        <f>SUM(D18:D25)</f>
        <v>0.46499999999999997</v>
      </c>
    </row>
    <row r="18" spans="2:4">
      <c r="B18" s="9"/>
      <c r="C18" s="13" t="s">
        <v>17</v>
      </c>
      <c r="D18" s="11">
        <v>0.04</v>
      </c>
    </row>
    <row r="19" spans="2:4">
      <c r="B19" s="9"/>
      <c r="C19" s="13" t="s">
        <v>18</v>
      </c>
      <c r="D19" s="11">
        <v>0.02</v>
      </c>
    </row>
    <row r="20" spans="2:4">
      <c r="B20" s="9"/>
      <c r="C20" s="13" t="s">
        <v>19</v>
      </c>
      <c r="D20" s="11">
        <v>0.03</v>
      </c>
    </row>
    <row r="21" spans="2:4">
      <c r="B21" s="9"/>
      <c r="C21" s="13" t="s">
        <v>20</v>
      </c>
      <c r="D21" s="11">
        <v>2.5000000000000001E-2</v>
      </c>
    </row>
    <row r="22" spans="2:4">
      <c r="B22" s="9"/>
      <c r="C22" s="13" t="s">
        <v>21</v>
      </c>
      <c r="D22" s="11">
        <v>0.1</v>
      </c>
    </row>
    <row r="23" spans="2:4">
      <c r="B23" s="9"/>
      <c r="C23" s="13" t="s">
        <v>22</v>
      </c>
      <c r="D23" s="11"/>
    </row>
    <row r="24" spans="2:4">
      <c r="B24" s="9"/>
      <c r="C24" s="13" t="s">
        <v>23</v>
      </c>
      <c r="D24" s="11"/>
    </row>
    <row r="25" spans="2:4">
      <c r="B25" s="9"/>
      <c r="C25" s="13" t="s">
        <v>24</v>
      </c>
      <c r="D25" s="11">
        <v>0.25</v>
      </c>
    </row>
    <row r="26" spans="2:4">
      <c r="B26" s="9"/>
      <c r="C26" s="13"/>
      <c r="D26" s="17"/>
    </row>
    <row r="27" spans="2:4">
      <c r="B27" s="9"/>
      <c r="C27" s="13" t="s">
        <v>25</v>
      </c>
      <c r="D27" s="16">
        <f>SUM(D8+D14)</f>
        <v>0.53120000000000001</v>
      </c>
    </row>
    <row r="28" spans="2:4">
      <c r="B28" s="9"/>
      <c r="C28" s="13" t="s">
        <v>26</v>
      </c>
      <c r="D28" s="16">
        <f>SUM(D7+D17+D27)</f>
        <v>1.9962</v>
      </c>
    </row>
    <row r="29" spans="2:4">
      <c r="B29" s="9"/>
      <c r="C29" s="13"/>
      <c r="D29" s="11"/>
    </row>
    <row r="30" spans="2:4">
      <c r="B30" s="9" t="s">
        <v>27</v>
      </c>
      <c r="C30" s="10" t="s">
        <v>28</v>
      </c>
      <c r="D30" s="11">
        <v>0.2</v>
      </c>
    </row>
    <row r="31" spans="2:4">
      <c r="B31" s="9" t="s">
        <v>29</v>
      </c>
      <c r="C31" s="10" t="s">
        <v>30</v>
      </c>
      <c r="D31" s="11">
        <v>0.1</v>
      </c>
    </row>
    <row r="32" spans="2:4">
      <c r="B32" s="9"/>
      <c r="C32" s="10"/>
      <c r="D32" s="11"/>
    </row>
    <row r="33" spans="2:7" ht="13.5" customHeight="1">
      <c r="B33" s="9" t="s">
        <v>31</v>
      </c>
      <c r="C33" s="15" t="s">
        <v>32</v>
      </c>
      <c r="D33" s="11">
        <v>0.1</v>
      </c>
    </row>
    <row r="34" spans="2:7">
      <c r="B34" s="9"/>
      <c r="C34" s="18"/>
      <c r="D34" s="11"/>
    </row>
    <row r="35" spans="2:7" ht="12.75" customHeight="1">
      <c r="B35" s="9"/>
      <c r="C35" s="18" t="s">
        <v>33</v>
      </c>
      <c r="D35" s="16">
        <f>SUM(D31+D33)</f>
        <v>0.2</v>
      </c>
    </row>
    <row r="36" spans="2:7" ht="13.5" customHeight="1">
      <c r="B36" s="9" t="s">
        <v>34</v>
      </c>
      <c r="C36" s="18" t="s">
        <v>35</v>
      </c>
      <c r="D36" s="16">
        <v>0.1</v>
      </c>
    </row>
    <row r="37" spans="2:7">
      <c r="B37" s="9"/>
      <c r="C37" s="13"/>
      <c r="D37" s="17"/>
    </row>
    <row r="38" spans="2:7" ht="15" thickBot="1">
      <c r="B38" s="146" t="s">
        <v>36</v>
      </c>
      <c r="C38" s="147"/>
      <c r="D38" s="19">
        <f>SUM(D7+D8+D14+D17+D30+D36)</f>
        <v>2.2962000000000002</v>
      </c>
    </row>
    <row r="39" spans="2:7" ht="15" thickTop="1">
      <c r="B39" s="20"/>
      <c r="C39" s="21"/>
      <c r="D39" s="22"/>
    </row>
    <row r="40" spans="2:7" ht="20.399999999999999">
      <c r="B40" s="2"/>
      <c r="C40" s="23" t="s">
        <v>37</v>
      </c>
      <c r="D40" s="24">
        <f>D38</f>
        <v>2.2962000000000002</v>
      </c>
      <c r="E40">
        <v>2.2999999999999998</v>
      </c>
    </row>
    <row r="43" spans="2:7" ht="15" thickBot="1">
      <c r="B43" s="25"/>
      <c r="C43" s="25"/>
      <c r="D43" s="26"/>
      <c r="E43" s="26"/>
      <c r="F43" s="26"/>
      <c r="G43" s="27"/>
    </row>
    <row r="44" spans="2:7" ht="15.6">
      <c r="B44" s="28" t="s">
        <v>38</v>
      </c>
      <c r="C44" s="28"/>
      <c r="D44" s="26"/>
      <c r="E44" s="26"/>
      <c r="F44" s="29"/>
      <c r="G44" s="27"/>
    </row>
    <row r="45" spans="2:7">
      <c r="B45" s="28" t="s">
        <v>39</v>
      </c>
      <c r="C45" s="28"/>
      <c r="D45" s="26"/>
      <c r="E45" s="26"/>
      <c r="F45" s="30"/>
      <c r="G45" s="27"/>
    </row>
    <row r="46" spans="2:7">
      <c r="B46" s="31" t="s">
        <v>40</v>
      </c>
      <c r="C46" s="31" t="s">
        <v>41</v>
      </c>
      <c r="D46" s="26"/>
      <c r="E46" s="26"/>
      <c r="F46" s="30"/>
      <c r="G46" s="27"/>
    </row>
  </sheetData>
  <mergeCells count="3">
    <mergeCell ref="B2:D2"/>
    <mergeCell ref="B3:E3"/>
    <mergeCell ref="B38:C38"/>
  </mergeCells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abSelected="1" workbookViewId="0">
      <selection activeCell="D20" sqref="D20"/>
    </sheetView>
  </sheetViews>
  <sheetFormatPr baseColWidth="10" defaultRowHeight="14.4"/>
  <cols>
    <col min="3" max="3" width="17.5546875" customWidth="1"/>
    <col min="8" max="8" width="17" customWidth="1"/>
  </cols>
  <sheetData>
    <row r="1" spans="2:8" ht="15" thickBot="1"/>
    <row r="2" spans="2:8" ht="28.2" thickBot="1">
      <c r="B2" s="132" t="s">
        <v>159</v>
      </c>
      <c r="C2" s="133" t="s">
        <v>160</v>
      </c>
      <c r="D2" s="133" t="s">
        <v>161</v>
      </c>
      <c r="E2" s="133" t="s">
        <v>162</v>
      </c>
      <c r="F2" s="133" t="s">
        <v>163</v>
      </c>
      <c r="G2" s="133" t="s">
        <v>164</v>
      </c>
      <c r="H2" s="133" t="s">
        <v>165</v>
      </c>
    </row>
    <row r="3" spans="2:8" ht="15" thickBot="1">
      <c r="B3" s="155" t="s">
        <v>166</v>
      </c>
      <c r="C3" s="156"/>
      <c r="D3" s="156"/>
      <c r="E3" s="156"/>
      <c r="F3" s="156"/>
      <c r="G3" s="156"/>
      <c r="H3" s="157"/>
    </row>
    <row r="4" spans="2:8" ht="15" thickBot="1">
      <c r="B4" s="134">
        <v>1</v>
      </c>
      <c r="C4" s="135" t="s">
        <v>167</v>
      </c>
      <c r="D4" s="136">
        <v>1</v>
      </c>
      <c r="E4" s="137">
        <v>3000000</v>
      </c>
      <c r="F4" s="138">
        <v>1</v>
      </c>
      <c r="G4" s="136">
        <v>4</v>
      </c>
      <c r="H4" s="137">
        <f>(E4*G4)</f>
        <v>12000000</v>
      </c>
    </row>
    <row r="5" spans="2:8" ht="97.2" thickBot="1">
      <c r="B5" s="134">
        <v>2</v>
      </c>
      <c r="C5" s="139" t="s">
        <v>172</v>
      </c>
      <c r="D5" s="140">
        <v>2</v>
      </c>
      <c r="E5" s="141">
        <v>1800000</v>
      </c>
      <c r="F5" s="142">
        <v>1</v>
      </c>
      <c r="G5" s="140">
        <v>4</v>
      </c>
      <c r="H5" s="137">
        <f>(E5*G5)*2</f>
        <v>14400000</v>
      </c>
    </row>
    <row r="6" spans="2:8" ht="15" thickBot="1">
      <c r="B6" s="158" t="s">
        <v>168</v>
      </c>
      <c r="C6" s="159"/>
      <c r="D6" s="159"/>
      <c r="E6" s="159"/>
      <c r="F6" s="159"/>
      <c r="G6" s="160"/>
      <c r="H6" s="143">
        <f>SUM(H4:H5)</f>
        <v>26400000</v>
      </c>
    </row>
    <row r="7" spans="2:8" ht="15" thickBot="1">
      <c r="B7" s="161" t="s">
        <v>171</v>
      </c>
      <c r="C7" s="162"/>
      <c r="D7" s="162"/>
      <c r="E7" s="162"/>
      <c r="F7" s="162"/>
      <c r="G7" s="163"/>
      <c r="H7" s="143">
        <f>H6*2.04</f>
        <v>53856000</v>
      </c>
    </row>
    <row r="8" spans="2:8" ht="15" thickBot="1">
      <c r="B8" s="164" t="s">
        <v>169</v>
      </c>
      <c r="C8" s="165"/>
      <c r="D8" s="165"/>
      <c r="E8" s="165"/>
      <c r="F8" s="165"/>
      <c r="G8" s="166"/>
      <c r="H8" s="143">
        <f>(H7*19)/100</f>
        <v>10232640</v>
      </c>
    </row>
    <row r="9" spans="2:8" ht="15" thickBot="1">
      <c r="B9" s="164" t="s">
        <v>170</v>
      </c>
      <c r="C9" s="165"/>
      <c r="D9" s="165"/>
      <c r="E9" s="165"/>
      <c r="F9" s="165"/>
      <c r="G9" s="166"/>
      <c r="H9" s="143">
        <f>SUM(H7+H8)</f>
        <v>64088640</v>
      </c>
    </row>
    <row r="12" spans="2:8">
      <c r="B12" s="31" t="s">
        <v>173</v>
      </c>
      <c r="C12" s="31"/>
    </row>
    <row r="13" spans="2:8">
      <c r="B13" t="s">
        <v>174</v>
      </c>
    </row>
    <row r="14" spans="2:8">
      <c r="B14" t="s">
        <v>175</v>
      </c>
    </row>
  </sheetData>
  <mergeCells count="5">
    <mergeCell ref="B3:H3"/>
    <mergeCell ref="B6:G6"/>
    <mergeCell ref="B7:G7"/>
    <mergeCell ref="B8:G8"/>
    <mergeCell ref="B9:G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G48"/>
  <sheetViews>
    <sheetView topLeftCell="A19" zoomScaleNormal="100" zoomScaleSheetLayoutView="110" workbookViewId="0">
      <selection activeCell="D42" sqref="D42"/>
    </sheetView>
  </sheetViews>
  <sheetFormatPr baseColWidth="10" defaultColWidth="10.6640625" defaultRowHeight="14.4"/>
  <cols>
    <col min="1" max="1" width="8.88671875" customWidth="1"/>
    <col min="2" max="2" width="16.109375" customWidth="1"/>
    <col min="3" max="3" width="47.6640625" customWidth="1"/>
    <col min="4" max="4" width="12.44140625" customWidth="1"/>
    <col min="5" max="5" width="19" customWidth="1"/>
    <col min="6" max="6" width="23.109375" customWidth="1"/>
    <col min="7" max="7" width="19.88671875" bestFit="1" customWidth="1"/>
  </cols>
  <sheetData>
    <row r="2" spans="2:5" ht="39.75" customHeight="1">
      <c r="B2" s="148" t="s">
        <v>158</v>
      </c>
      <c r="C2" s="149"/>
      <c r="D2" s="150"/>
      <c r="E2" s="1"/>
    </row>
    <row r="3" spans="2:5" ht="15" thickBot="1">
      <c r="B3" s="2"/>
    </row>
    <row r="4" spans="2:5" ht="15.6" thickTop="1" thickBot="1">
      <c r="B4" s="3" t="s">
        <v>1</v>
      </c>
      <c r="C4" s="4" t="s">
        <v>2</v>
      </c>
      <c r="D4" s="5" t="s">
        <v>3</v>
      </c>
    </row>
    <row r="5" spans="2:5" ht="29.4" thickTop="1">
      <c r="B5" s="36">
        <v>1</v>
      </c>
      <c r="C5" s="37" t="s">
        <v>48</v>
      </c>
      <c r="D5" s="38">
        <f>+D6+D7+D12</f>
        <v>1.5878999999999999</v>
      </c>
    </row>
    <row r="6" spans="2:5">
      <c r="B6" s="9" t="s">
        <v>49</v>
      </c>
      <c r="C6" s="10" t="s">
        <v>47</v>
      </c>
      <c r="D6" s="16">
        <v>1</v>
      </c>
    </row>
    <row r="7" spans="2:5">
      <c r="B7" s="9" t="s">
        <v>50</v>
      </c>
      <c r="C7" s="10" t="s">
        <v>7</v>
      </c>
      <c r="D7" s="12">
        <f>SUM(D8:D11)</f>
        <v>0.21829999999999999</v>
      </c>
    </row>
    <row r="8" spans="2:5">
      <c r="B8" s="9" t="s">
        <v>51</v>
      </c>
      <c r="C8" s="13" t="s">
        <v>8</v>
      </c>
      <c r="D8" s="33">
        <v>8.3299999999999999E-2</v>
      </c>
    </row>
    <row r="9" spans="2:5">
      <c r="B9" s="9" t="s">
        <v>52</v>
      </c>
      <c r="C9" s="13" t="s">
        <v>9</v>
      </c>
      <c r="D9" s="33">
        <v>8.3299999999999999E-2</v>
      </c>
    </row>
    <row r="10" spans="2:5">
      <c r="B10" s="9" t="s">
        <v>53</v>
      </c>
      <c r="C10" s="13" t="s">
        <v>10</v>
      </c>
      <c r="D10" s="33">
        <v>0.01</v>
      </c>
    </row>
    <row r="11" spans="2:5">
      <c r="B11" s="9" t="s">
        <v>54</v>
      </c>
      <c r="C11" s="13" t="s">
        <v>11</v>
      </c>
      <c r="D11" s="33">
        <v>4.1700000000000001E-2</v>
      </c>
    </row>
    <row r="12" spans="2:5" ht="17.25" customHeight="1">
      <c r="B12" s="9" t="s">
        <v>55</v>
      </c>
      <c r="C12" s="15" t="s">
        <v>13</v>
      </c>
      <c r="D12" s="12">
        <f>D13+D16+D18+D17+D19+D15+D14</f>
        <v>0.36959999999999998</v>
      </c>
    </row>
    <row r="13" spans="2:5">
      <c r="B13" s="9" t="s">
        <v>56</v>
      </c>
      <c r="C13" s="13" t="s">
        <v>118</v>
      </c>
      <c r="D13" s="14">
        <v>8.5000000000000006E-2</v>
      </c>
    </row>
    <row r="14" spans="2:5">
      <c r="B14" s="9" t="s">
        <v>57</v>
      </c>
      <c r="C14" s="13" t="s">
        <v>117</v>
      </c>
      <c r="D14" s="14">
        <v>0.12</v>
      </c>
    </row>
    <row r="15" spans="2:5">
      <c r="B15" s="9" t="s">
        <v>58</v>
      </c>
      <c r="C15" s="13" t="s">
        <v>87</v>
      </c>
      <c r="D15" s="128">
        <v>6.9599999999999995E-2</v>
      </c>
    </row>
    <row r="16" spans="2:5">
      <c r="B16" s="9" t="s">
        <v>59</v>
      </c>
      <c r="C16" s="13" t="s">
        <v>86</v>
      </c>
      <c r="D16" s="14">
        <v>0.04</v>
      </c>
    </row>
    <row r="17" spans="2:6">
      <c r="B17" s="9" t="s">
        <v>60</v>
      </c>
      <c r="C17" s="13" t="s">
        <v>18</v>
      </c>
      <c r="D17" s="14">
        <v>0.02</v>
      </c>
    </row>
    <row r="18" spans="2:6">
      <c r="B18" s="9" t="s">
        <v>94</v>
      </c>
      <c r="C18" s="13" t="s">
        <v>19</v>
      </c>
      <c r="D18" s="14">
        <v>0.03</v>
      </c>
    </row>
    <row r="19" spans="2:6" ht="17.25" customHeight="1">
      <c r="B19" s="9" t="s">
        <v>116</v>
      </c>
      <c r="C19" s="34" t="s">
        <v>101</v>
      </c>
      <c r="D19" s="33">
        <v>5.0000000000000001E-3</v>
      </c>
    </row>
    <row r="20" spans="2:6" ht="19.5" customHeight="1">
      <c r="B20" s="39">
        <v>2</v>
      </c>
      <c r="C20" s="40" t="s">
        <v>30</v>
      </c>
      <c r="D20" s="41">
        <f>+D21+D22+D23</f>
        <v>2.35E-2</v>
      </c>
    </row>
    <row r="21" spans="2:6">
      <c r="B21" s="9" t="s">
        <v>102</v>
      </c>
      <c r="C21" s="32" t="s">
        <v>98</v>
      </c>
      <c r="D21" s="33">
        <v>0.01</v>
      </c>
      <c r="E21" s="45"/>
    </row>
    <row r="22" spans="2:6">
      <c r="B22" s="9" t="s">
        <v>61</v>
      </c>
      <c r="C22" s="32" t="s">
        <v>42</v>
      </c>
      <c r="D22" s="33">
        <v>4.0000000000000001E-3</v>
      </c>
      <c r="E22" s="45"/>
    </row>
    <row r="23" spans="2:6">
      <c r="B23" s="9" t="s">
        <v>103</v>
      </c>
      <c r="C23" s="32" t="s">
        <v>43</v>
      </c>
      <c r="D23" s="14">
        <v>9.4999999999999998E-3</v>
      </c>
      <c r="E23" s="45"/>
    </row>
    <row r="25" spans="2:6">
      <c r="B25" s="39">
        <v>3</v>
      </c>
      <c r="C25" s="42" t="s">
        <v>44</v>
      </c>
      <c r="D25" s="41">
        <f>+D26+D27+D28+D33+D29+D30+D31+D34+D32</f>
        <v>0.21629999999999999</v>
      </c>
    </row>
    <row r="26" spans="2:6">
      <c r="B26" s="9" t="s">
        <v>62</v>
      </c>
      <c r="C26" s="32" t="s">
        <v>45</v>
      </c>
      <c r="D26" s="14">
        <v>5.3E-3</v>
      </c>
      <c r="E26" s="45"/>
    </row>
    <row r="27" spans="2:6">
      <c r="B27" s="9" t="s">
        <v>63</v>
      </c>
      <c r="C27" s="32" t="s">
        <v>93</v>
      </c>
      <c r="D27" s="14">
        <v>1.4999999999999999E-2</v>
      </c>
      <c r="E27" s="45"/>
    </row>
    <row r="28" spans="2:6">
      <c r="B28" s="9" t="s">
        <v>64</v>
      </c>
      <c r="C28" s="32" t="s">
        <v>46</v>
      </c>
      <c r="D28" s="14">
        <v>2.5999999999999999E-2</v>
      </c>
      <c r="E28" s="45"/>
    </row>
    <row r="29" spans="2:6">
      <c r="B29" s="9" t="s">
        <v>65</v>
      </c>
      <c r="C29" s="43" t="s">
        <v>89</v>
      </c>
      <c r="D29" s="33">
        <v>1.4999999999999999E-2</v>
      </c>
      <c r="E29" s="45"/>
      <c r="F29" s="72"/>
    </row>
    <row r="30" spans="2:6">
      <c r="B30" s="9" t="s">
        <v>66</v>
      </c>
      <c r="C30" s="43" t="s">
        <v>95</v>
      </c>
      <c r="D30" s="33">
        <v>0.02</v>
      </c>
      <c r="E30" s="45"/>
      <c r="F30" s="72"/>
    </row>
    <row r="31" spans="2:6">
      <c r="B31" s="9" t="s">
        <v>67</v>
      </c>
      <c r="C31" s="43" t="s">
        <v>88</v>
      </c>
      <c r="D31" s="33">
        <v>5.0000000000000001E-3</v>
      </c>
      <c r="E31" s="45"/>
      <c r="F31" s="72"/>
    </row>
    <row r="32" spans="2:6">
      <c r="B32" s="9" t="s">
        <v>91</v>
      </c>
      <c r="C32" s="43" t="s">
        <v>120</v>
      </c>
      <c r="D32" s="33">
        <v>1.4999999999999999E-2</v>
      </c>
      <c r="E32" s="45"/>
      <c r="F32" s="72"/>
    </row>
    <row r="33" spans="2:7">
      <c r="B33" s="9" t="s">
        <v>92</v>
      </c>
      <c r="C33" s="32" t="s">
        <v>96</v>
      </c>
      <c r="D33" s="105">
        <v>0.11</v>
      </c>
      <c r="E33" s="45"/>
      <c r="F33" s="72"/>
    </row>
    <row r="34" spans="2:7" ht="18.75" customHeight="1">
      <c r="B34" s="9" t="s">
        <v>119</v>
      </c>
      <c r="C34" s="32" t="s">
        <v>97</v>
      </c>
      <c r="D34" s="33">
        <v>5.0000000000000001E-3</v>
      </c>
      <c r="E34" s="45"/>
      <c r="F34" s="104"/>
    </row>
    <row r="35" spans="2:7" ht="27" customHeight="1">
      <c r="B35" s="129">
        <v>4</v>
      </c>
      <c r="C35" s="130" t="s">
        <v>149</v>
      </c>
      <c r="D35" s="41">
        <f>+D36+D37+D38</f>
        <v>0.11</v>
      </c>
      <c r="E35" s="45"/>
      <c r="F35" s="104"/>
    </row>
    <row r="36" spans="2:7" ht="18.75" customHeight="1">
      <c r="B36" s="9" t="s">
        <v>150</v>
      </c>
      <c r="C36" s="131" t="s">
        <v>153</v>
      </c>
      <c r="D36" s="128">
        <v>0.05</v>
      </c>
      <c r="E36" s="45"/>
      <c r="F36" s="104"/>
    </row>
    <row r="37" spans="2:7" ht="16.5" customHeight="1">
      <c r="B37" s="9" t="s">
        <v>151</v>
      </c>
      <c r="C37" s="131" t="s">
        <v>154</v>
      </c>
      <c r="D37" s="128">
        <v>0.03</v>
      </c>
      <c r="E37" s="45"/>
      <c r="F37" s="104"/>
    </row>
    <row r="38" spans="2:7" ht="16.5" customHeight="1">
      <c r="B38" s="9" t="s">
        <v>152</v>
      </c>
      <c r="C38" s="131" t="s">
        <v>155</v>
      </c>
      <c r="D38" s="128">
        <v>0.03</v>
      </c>
      <c r="E38" s="45"/>
      <c r="F38" s="104"/>
    </row>
    <row r="39" spans="2:7" ht="28.8">
      <c r="B39" s="73">
        <v>5</v>
      </c>
      <c r="C39" s="70" t="s">
        <v>90</v>
      </c>
      <c r="D39" s="71">
        <v>0.1</v>
      </c>
      <c r="E39" s="45"/>
      <c r="F39" s="72"/>
    </row>
    <row r="40" spans="2:7" ht="15" thickBot="1">
      <c r="B40" s="153" t="s">
        <v>156</v>
      </c>
      <c r="C40" s="154"/>
      <c r="D40" s="35">
        <f>SUM(D5+D20+D25+D35+D39)</f>
        <v>2.0377000000000001</v>
      </c>
      <c r="E40" s="45"/>
      <c r="F40" s="72"/>
    </row>
    <row r="41" spans="2:7" ht="15.6" thickTop="1" thickBot="1">
      <c r="B41" s="151" t="s">
        <v>157</v>
      </c>
      <c r="C41" s="152"/>
      <c r="D41" s="35">
        <v>2.0400000000000001E-2</v>
      </c>
      <c r="E41" s="45"/>
      <c r="G41" s="44"/>
    </row>
    <row r="42" spans="2:7" ht="40.5" customHeight="1" thickTop="1">
      <c r="B42" s="2"/>
      <c r="C42" s="23"/>
      <c r="D42" s="24"/>
    </row>
    <row r="43" spans="2:7">
      <c r="E43" s="26"/>
      <c r="F43" s="30"/>
      <c r="G43" s="27"/>
    </row>
    <row r="46" spans="2:7">
      <c r="B46" s="31" t="s">
        <v>173</v>
      </c>
      <c r="C46" s="31"/>
    </row>
    <row r="47" spans="2:7">
      <c r="B47" t="s">
        <v>174</v>
      </c>
    </row>
    <row r="48" spans="2:7">
      <c r="B48" t="s">
        <v>175</v>
      </c>
    </row>
  </sheetData>
  <mergeCells count="3">
    <mergeCell ref="B2:D2"/>
    <mergeCell ref="B41:C41"/>
    <mergeCell ref="B40:C40"/>
  </mergeCells>
  <pageMargins left="0.7" right="0.7" top="0.75" bottom="0.75" header="0.3" footer="0.3"/>
  <pageSetup paperSize="9" scale="86" orientation="portrait" r:id="rId1"/>
  <colBreaks count="1" manualBreakCount="1">
    <brk id="4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5"/>
  <sheetViews>
    <sheetView topLeftCell="Q22" zoomScaleNormal="100" workbookViewId="0">
      <selection activeCell="X37" sqref="X37"/>
    </sheetView>
  </sheetViews>
  <sheetFormatPr baseColWidth="10" defaultColWidth="10.6640625" defaultRowHeight="14.4"/>
  <cols>
    <col min="1" max="1" width="12.109375" customWidth="1"/>
    <col min="2" max="2" width="52.44140625" customWidth="1"/>
    <col min="3" max="3" width="14.6640625" customWidth="1"/>
    <col min="4" max="6" width="0" hidden="1" customWidth="1"/>
    <col min="7" max="7" width="14.109375" hidden="1" customWidth="1"/>
    <col min="8" max="8" width="14.109375" customWidth="1"/>
    <col min="9" max="9" width="15.88671875" style="112" customWidth="1"/>
    <col min="10" max="10" width="12.109375" customWidth="1"/>
    <col min="11" max="11" width="57.6640625" customWidth="1"/>
    <col min="12" max="12" width="14.6640625" customWidth="1"/>
    <col min="13" max="15" width="14.109375" customWidth="1"/>
    <col min="16" max="18" width="21.88671875" style="112" bestFit="1" customWidth="1"/>
    <col min="19" max="19" width="12.109375" customWidth="1"/>
    <col min="20" max="20" width="68.6640625" customWidth="1"/>
    <col min="21" max="21" width="14.6640625" customWidth="1"/>
    <col min="22" max="22" width="14.109375" customWidth="1"/>
    <col min="23" max="23" width="22.5546875" bestFit="1" customWidth="1"/>
    <col min="25" max="25" width="12.6640625" bestFit="1" customWidth="1"/>
  </cols>
  <sheetData>
    <row r="1" spans="1:23" ht="30" customHeight="1">
      <c r="A1" s="167" t="s">
        <v>100</v>
      </c>
      <c r="B1" s="168"/>
      <c r="C1" s="168"/>
      <c r="D1" s="168"/>
      <c r="E1" s="168"/>
      <c r="F1" s="168"/>
      <c r="G1" s="168"/>
      <c r="H1" s="168"/>
      <c r="I1" s="169"/>
      <c r="J1" s="125">
        <v>3.2000000000000001E-2</v>
      </c>
      <c r="K1" s="107"/>
      <c r="L1" s="107"/>
      <c r="M1" s="107"/>
      <c r="N1" s="107"/>
      <c r="O1" t="s">
        <v>130</v>
      </c>
      <c r="P1" s="112">
        <v>12</v>
      </c>
      <c r="S1" s="107"/>
      <c r="T1" s="107"/>
      <c r="U1" s="107"/>
      <c r="V1" t="s">
        <v>130</v>
      </c>
      <c r="W1">
        <v>8</v>
      </c>
    </row>
    <row r="2" spans="1:23" ht="126" customHeight="1">
      <c r="A2" s="85" t="s">
        <v>69</v>
      </c>
      <c r="B2" s="86" t="s">
        <v>70</v>
      </c>
      <c r="C2" s="86" t="s">
        <v>68</v>
      </c>
      <c r="D2" s="86" t="s">
        <v>136</v>
      </c>
      <c r="E2" s="86" t="s">
        <v>137</v>
      </c>
      <c r="F2" s="86" t="s">
        <v>138</v>
      </c>
      <c r="G2" s="86" t="s">
        <v>139</v>
      </c>
      <c r="H2" s="86" t="s">
        <v>140</v>
      </c>
      <c r="I2" s="113" t="s">
        <v>121</v>
      </c>
      <c r="J2" s="85" t="s">
        <v>69</v>
      </c>
      <c r="K2" s="86" t="s">
        <v>70</v>
      </c>
      <c r="L2" s="86" t="s">
        <v>68</v>
      </c>
      <c r="M2" s="86" t="s">
        <v>141</v>
      </c>
      <c r="N2" s="86" t="s">
        <v>142</v>
      </c>
      <c r="O2" s="86" t="s">
        <v>143</v>
      </c>
      <c r="P2" s="113" t="s">
        <v>129</v>
      </c>
      <c r="Q2" s="113" t="s">
        <v>131</v>
      </c>
      <c r="R2" s="113" t="s">
        <v>132</v>
      </c>
      <c r="S2" s="85" t="s">
        <v>69</v>
      </c>
      <c r="T2" s="86" t="s">
        <v>70</v>
      </c>
      <c r="U2" s="86" t="s">
        <v>68</v>
      </c>
      <c r="V2" s="86" t="s">
        <v>146</v>
      </c>
      <c r="W2" s="86" t="s">
        <v>133</v>
      </c>
    </row>
    <row r="3" spans="1:23" ht="27" customHeight="1">
      <c r="A3" s="54"/>
      <c r="B3" s="63" t="s">
        <v>105</v>
      </c>
      <c r="C3" s="48"/>
      <c r="D3" s="48"/>
      <c r="E3" s="48"/>
      <c r="F3" s="48"/>
      <c r="G3" s="84"/>
      <c r="H3" s="84"/>
      <c r="I3" s="113"/>
      <c r="J3" s="54"/>
      <c r="K3" s="63" t="s">
        <v>105</v>
      </c>
      <c r="L3" s="48"/>
      <c r="M3" s="84"/>
      <c r="N3" s="84"/>
      <c r="O3" s="84"/>
      <c r="P3" s="113"/>
      <c r="Q3" s="113"/>
      <c r="R3" s="113"/>
      <c r="S3" s="54"/>
      <c r="T3" s="63" t="s">
        <v>105</v>
      </c>
      <c r="U3" s="48"/>
      <c r="V3" s="84"/>
      <c r="W3" s="48"/>
    </row>
    <row r="4" spans="1:23">
      <c r="A4" s="77">
        <v>1</v>
      </c>
      <c r="B4" s="55" t="s">
        <v>71</v>
      </c>
      <c r="C4" s="50">
        <v>1</v>
      </c>
      <c r="D4" s="57">
        <v>4824178</v>
      </c>
      <c r="E4" s="57">
        <v>5021487</v>
      </c>
      <c r="F4" s="57">
        <v>5181170</v>
      </c>
      <c r="G4" s="57">
        <f>(F4*1.0219)</f>
        <v>5294637.6230000006</v>
      </c>
      <c r="H4" s="57">
        <f>+G4*(1+$J$1)</f>
        <v>5464066.0269360011</v>
      </c>
      <c r="I4" s="114">
        <f>(H4*4)</f>
        <v>21856264.107744005</v>
      </c>
      <c r="J4" s="77">
        <v>1</v>
      </c>
      <c r="K4" s="55" t="s">
        <v>71</v>
      </c>
      <c r="L4" s="50">
        <v>1</v>
      </c>
      <c r="M4" s="57">
        <f>+H4*(1+$J$1)</f>
        <v>5638916.139797953</v>
      </c>
      <c r="N4" s="57">
        <f>+M4*(1+$J$1)</f>
        <v>5819361.4562714873</v>
      </c>
      <c r="O4" s="57">
        <f>+N4*(1+$J$1)</f>
        <v>6005581.0228721751</v>
      </c>
      <c r="P4" s="114">
        <f>(M4*$P$1)</f>
        <v>67666993.677575439</v>
      </c>
      <c r="Q4" s="114">
        <f>(N4*$P$1)</f>
        <v>69832337.475257844</v>
      </c>
      <c r="R4" s="114">
        <f>(O4*$P$1)</f>
        <v>72066972.274466097</v>
      </c>
      <c r="S4" s="77">
        <v>1</v>
      </c>
      <c r="T4" s="55" t="s">
        <v>71</v>
      </c>
      <c r="U4" s="50">
        <v>1</v>
      </c>
      <c r="V4" s="57">
        <f>+O4*(1+$J$1)</f>
        <v>6197759.6156040849</v>
      </c>
      <c r="W4" s="57">
        <f>(V4*W1)</f>
        <v>49582076.924832679</v>
      </c>
    </row>
    <row r="5" spans="1:23">
      <c r="A5" s="77">
        <v>1</v>
      </c>
      <c r="B5" s="56" t="s">
        <v>72</v>
      </c>
      <c r="C5" s="50">
        <v>0.5</v>
      </c>
      <c r="D5" s="57">
        <v>4038846</v>
      </c>
      <c r="E5" s="57">
        <v>4204035</v>
      </c>
      <c r="F5" s="57">
        <v>4337723</v>
      </c>
      <c r="G5" s="57">
        <f>(F5*1.0219)</f>
        <v>4432719.1337000001</v>
      </c>
      <c r="H5" s="57">
        <f t="shared" ref="H5:H7" si="0">+G5*(1+$J$1)</f>
        <v>4574566.1459784005</v>
      </c>
      <c r="I5" s="114">
        <f>((H5/2)*4)</f>
        <v>9149132.291956801</v>
      </c>
      <c r="J5" s="77">
        <v>1</v>
      </c>
      <c r="K5" s="56" t="s">
        <v>72</v>
      </c>
      <c r="L5" s="50">
        <v>0.5</v>
      </c>
      <c r="M5" s="57">
        <f t="shared" ref="M5:M8" si="1">+H5*(1+$J$1)</f>
        <v>4720952.2626497094</v>
      </c>
      <c r="N5" s="57">
        <f t="shared" ref="N5:O8" si="2">+M5*(1+$J$1)</f>
        <v>4872022.7350545004</v>
      </c>
      <c r="O5" s="57">
        <f t="shared" si="2"/>
        <v>5027927.462576245</v>
      </c>
      <c r="P5" s="114">
        <f t="shared" ref="P5:R6" si="3">((M5/2)*$P$1)</f>
        <v>28325713.575898256</v>
      </c>
      <c r="Q5" s="114">
        <f t="shared" si="3"/>
        <v>29232136.410327002</v>
      </c>
      <c r="R5" s="114">
        <f t="shared" si="3"/>
        <v>30167564.775457472</v>
      </c>
      <c r="S5" s="77">
        <v>1</v>
      </c>
      <c r="T5" s="56" t="s">
        <v>72</v>
      </c>
      <c r="U5" s="50">
        <v>0.5</v>
      </c>
      <c r="V5" s="57">
        <f t="shared" ref="V5:V8" si="4">+O5*(1+$J$1)</f>
        <v>5188821.1413786849</v>
      </c>
      <c r="W5" s="57">
        <f>((V5/2)*W1)</f>
        <v>20755284.56551474</v>
      </c>
    </row>
    <row r="6" spans="1:23">
      <c r="A6" s="77">
        <v>1</v>
      </c>
      <c r="B6" s="56" t="s">
        <v>73</v>
      </c>
      <c r="C6" s="50">
        <v>0.5</v>
      </c>
      <c r="D6" s="58">
        <v>4038846</v>
      </c>
      <c r="E6" s="57">
        <v>4204035</v>
      </c>
      <c r="F6" s="57">
        <v>4337723</v>
      </c>
      <c r="G6" s="57">
        <f t="shared" ref="G6:G7" si="5">(F6*1.0219)</f>
        <v>4432719.1337000001</v>
      </c>
      <c r="H6" s="57">
        <f t="shared" si="0"/>
        <v>4574566.1459784005</v>
      </c>
      <c r="I6" s="114">
        <f>((H6/2)*4)</f>
        <v>9149132.291956801</v>
      </c>
      <c r="J6" s="77">
        <v>1</v>
      </c>
      <c r="K6" s="56" t="s">
        <v>73</v>
      </c>
      <c r="L6" s="50">
        <v>0.5</v>
      </c>
      <c r="M6" s="57">
        <f t="shared" si="1"/>
        <v>4720952.2626497094</v>
      </c>
      <c r="N6" s="57">
        <f t="shared" si="2"/>
        <v>4872022.7350545004</v>
      </c>
      <c r="O6" s="57">
        <f t="shared" si="2"/>
        <v>5027927.462576245</v>
      </c>
      <c r="P6" s="114">
        <f t="shared" si="3"/>
        <v>28325713.575898256</v>
      </c>
      <c r="Q6" s="114">
        <f t="shared" si="3"/>
        <v>29232136.410327002</v>
      </c>
      <c r="R6" s="114">
        <f t="shared" si="3"/>
        <v>30167564.775457472</v>
      </c>
      <c r="S6" s="77">
        <v>1</v>
      </c>
      <c r="T6" s="56" t="s">
        <v>73</v>
      </c>
      <c r="U6" s="50">
        <v>0.5</v>
      </c>
      <c r="V6" s="57">
        <f t="shared" si="4"/>
        <v>5188821.1413786849</v>
      </c>
      <c r="W6" s="57">
        <f>((V6/2)*W1)</f>
        <v>20755284.56551474</v>
      </c>
    </row>
    <row r="7" spans="1:23" ht="17.25" customHeight="1">
      <c r="A7" s="78">
        <v>3</v>
      </c>
      <c r="B7" s="56" t="s">
        <v>74</v>
      </c>
      <c r="C7" s="50">
        <v>0.5</v>
      </c>
      <c r="D7" s="59">
        <v>4038846</v>
      </c>
      <c r="E7" s="57">
        <v>4204035</v>
      </c>
      <c r="F7" s="57">
        <v>4337723</v>
      </c>
      <c r="G7" s="57">
        <f t="shared" si="5"/>
        <v>4432719.1337000001</v>
      </c>
      <c r="H7" s="57">
        <f t="shared" si="0"/>
        <v>4574566.1459784005</v>
      </c>
      <c r="I7" s="114">
        <f>((H7/2)*4)*A7</f>
        <v>27447396.875870403</v>
      </c>
      <c r="J7" s="78">
        <v>3</v>
      </c>
      <c r="K7" s="56" t="s">
        <v>74</v>
      </c>
      <c r="L7" s="50">
        <v>0.5</v>
      </c>
      <c r="M7" s="57">
        <f t="shared" si="1"/>
        <v>4720952.2626497094</v>
      </c>
      <c r="N7" s="57">
        <f t="shared" si="2"/>
        <v>4872022.7350545004</v>
      </c>
      <c r="O7" s="57">
        <f t="shared" si="2"/>
        <v>5027927.462576245</v>
      </c>
      <c r="P7" s="114">
        <f>((M7/2)*$P$1)*$J$7</f>
        <v>84977140.727694765</v>
      </c>
      <c r="Q7" s="114">
        <f>((N7/2)*$P$1)*$J$7</f>
        <v>87696409.230981007</v>
      </c>
      <c r="R7" s="114">
        <f>((O7/2)*$P$1)*$J$7</f>
        <v>90502694.326372415</v>
      </c>
      <c r="S7" s="78">
        <v>3</v>
      </c>
      <c r="T7" s="56" t="s">
        <v>74</v>
      </c>
      <c r="U7" s="50">
        <v>0.5</v>
      </c>
      <c r="V7" s="57">
        <f t="shared" si="4"/>
        <v>5188821.1413786849</v>
      </c>
      <c r="W7" s="57">
        <f>((V7/2)*W1)*$S$7</f>
        <v>62265853.696544215</v>
      </c>
    </row>
    <row r="8" spans="1:23">
      <c r="A8" s="79">
        <v>1</v>
      </c>
      <c r="B8" s="53" t="s">
        <v>75</v>
      </c>
      <c r="C8" s="51">
        <v>1</v>
      </c>
      <c r="D8" s="60">
        <v>785331</v>
      </c>
      <c r="E8" s="52">
        <v>817451</v>
      </c>
      <c r="F8" s="52">
        <v>843466</v>
      </c>
      <c r="G8" s="52">
        <f>877803+102854</f>
        <v>980657</v>
      </c>
      <c r="H8" s="52">
        <v>1014980</v>
      </c>
      <c r="I8" s="115">
        <f>(H8*4)</f>
        <v>4059920</v>
      </c>
      <c r="J8" s="79">
        <v>1</v>
      </c>
      <c r="K8" s="53" t="s">
        <v>75</v>
      </c>
      <c r="L8" s="51">
        <v>1</v>
      </c>
      <c r="M8" s="57">
        <f t="shared" si="1"/>
        <v>1047459.36</v>
      </c>
      <c r="N8" s="57">
        <f t="shared" si="2"/>
        <v>1080978.0595200001</v>
      </c>
      <c r="O8" s="57">
        <f t="shared" si="2"/>
        <v>1115569.3574246401</v>
      </c>
      <c r="P8" s="115">
        <f>(M8*$P$1)</f>
        <v>12569512.32</v>
      </c>
      <c r="Q8" s="115">
        <f>(N8*$P$1)</f>
        <v>12971736.714240002</v>
      </c>
      <c r="R8" s="115">
        <f>(O8*$P$1)</f>
        <v>13386832.289095681</v>
      </c>
      <c r="S8" s="79">
        <v>1</v>
      </c>
      <c r="T8" s="53" t="s">
        <v>75</v>
      </c>
      <c r="U8" s="51">
        <v>1</v>
      </c>
      <c r="V8" s="57">
        <f t="shared" si="4"/>
        <v>1151267.5768622286</v>
      </c>
      <c r="W8" s="61">
        <f>(V8*W1)</f>
        <v>9210140.6148978285</v>
      </c>
    </row>
    <row r="9" spans="1:23">
      <c r="A9" s="49"/>
      <c r="B9" s="89" t="s">
        <v>76</v>
      </c>
      <c r="C9" s="49"/>
      <c r="D9" s="49"/>
      <c r="E9" s="49"/>
      <c r="F9" s="49"/>
      <c r="G9" s="52"/>
      <c r="H9" s="52"/>
      <c r="I9" s="116">
        <f>SUM(I4:I8)</f>
        <v>71661845.567528009</v>
      </c>
      <c r="J9" s="49"/>
      <c r="K9" s="89" t="s">
        <v>76</v>
      </c>
      <c r="L9" s="49"/>
      <c r="M9" s="116">
        <f>SUM(M4:M8)</f>
        <v>20849232.287747081</v>
      </c>
      <c r="N9" s="52"/>
      <c r="O9" s="52"/>
      <c r="P9" s="116">
        <f>SUM(P4:P8)</f>
        <v>221865073.87706673</v>
      </c>
      <c r="Q9" s="116">
        <f>SUM(Q4:Q8)</f>
        <v>228964756.24113286</v>
      </c>
      <c r="R9" s="116">
        <f>SUM(R4:R8)</f>
        <v>236291628.44084913</v>
      </c>
      <c r="S9" s="49"/>
      <c r="T9" s="89" t="s">
        <v>76</v>
      </c>
      <c r="U9" s="49"/>
      <c r="V9" s="52"/>
      <c r="W9" s="52">
        <f>SUM(W4:W8)</f>
        <v>162568640.36730418</v>
      </c>
    </row>
    <row r="10" spans="1:23">
      <c r="A10" s="46"/>
      <c r="B10" s="62" t="s">
        <v>77</v>
      </c>
      <c r="C10" s="46"/>
      <c r="D10" s="46"/>
      <c r="E10" s="46"/>
      <c r="F10" s="46"/>
      <c r="G10" s="47"/>
      <c r="H10" s="47"/>
      <c r="I10" s="117" t="e">
        <f>+'FACTOR MULTIPICADOR '!#REF!</f>
        <v>#REF!</v>
      </c>
      <c r="J10" s="46"/>
      <c r="K10" s="62" t="s">
        <v>77</v>
      </c>
      <c r="L10" s="46"/>
      <c r="M10" s="117" t="e">
        <f>+'FACTOR MULTIPICADOR '!#REF!</f>
        <v>#REF!</v>
      </c>
      <c r="N10" s="47"/>
      <c r="O10" s="47"/>
      <c r="P10" s="117" t="e">
        <f>+'FACTOR MULTIPICADOR '!#REF!</f>
        <v>#REF!</v>
      </c>
      <c r="Q10" s="117">
        <v>1.94</v>
      </c>
      <c r="R10" s="117">
        <v>1.94</v>
      </c>
      <c r="S10" s="46"/>
      <c r="T10" s="62" t="s">
        <v>77</v>
      </c>
      <c r="U10" s="46"/>
      <c r="V10" s="47"/>
      <c r="W10" s="74">
        <v>1.4</v>
      </c>
    </row>
    <row r="11" spans="1:23">
      <c r="A11" s="93"/>
      <c r="B11" s="83" t="s">
        <v>110</v>
      </c>
      <c r="C11" s="93"/>
      <c r="D11" s="93"/>
      <c r="E11" s="93"/>
      <c r="F11" s="93"/>
      <c r="G11" s="94"/>
      <c r="H11" s="94"/>
      <c r="I11" s="118" t="e">
        <f>(I9*I10)</f>
        <v>#REF!</v>
      </c>
      <c r="J11" s="93"/>
      <c r="K11" s="83" t="s">
        <v>110</v>
      </c>
      <c r="L11" s="93"/>
      <c r="M11" s="118" t="e">
        <f>(M9*M10)</f>
        <v>#REF!</v>
      </c>
      <c r="N11" s="94"/>
      <c r="O11" s="94"/>
      <c r="P11" s="118" t="e">
        <f>(P9*P10)</f>
        <v>#REF!</v>
      </c>
      <c r="Q11" s="118">
        <f>(Q9*Q10)</f>
        <v>444191627.10779774</v>
      </c>
      <c r="R11" s="118">
        <f>(R9*R10)</f>
        <v>458405759.17524731</v>
      </c>
      <c r="S11" s="93"/>
      <c r="T11" s="83" t="s">
        <v>110</v>
      </c>
      <c r="U11" s="93"/>
      <c r="V11" s="94"/>
      <c r="W11" s="95">
        <f>(W9*W10)</f>
        <v>227596096.51422584</v>
      </c>
    </row>
    <row r="12" spans="1:23" ht="24" customHeight="1">
      <c r="A12" s="66"/>
      <c r="B12" s="64" t="s">
        <v>78</v>
      </c>
      <c r="C12" s="66"/>
      <c r="D12" s="66"/>
      <c r="E12" s="66"/>
      <c r="F12" s="66"/>
      <c r="G12" s="66"/>
      <c r="H12" s="66"/>
      <c r="I12" s="119"/>
      <c r="J12" s="66"/>
      <c r="K12" s="64" t="s">
        <v>78</v>
      </c>
      <c r="L12" s="66"/>
      <c r="M12" s="66"/>
      <c r="N12" s="66"/>
      <c r="O12" s="66"/>
      <c r="P12" s="119"/>
      <c r="Q12" s="119"/>
      <c r="R12" s="119"/>
      <c r="S12" s="66"/>
      <c r="T12" s="64" t="s">
        <v>78</v>
      </c>
      <c r="U12" s="66"/>
      <c r="V12" s="66"/>
      <c r="W12" s="66"/>
    </row>
    <row r="13" spans="1:23" ht="45.75" customHeight="1">
      <c r="A13" s="67"/>
      <c r="B13" s="65" t="s">
        <v>107</v>
      </c>
      <c r="C13" s="68"/>
      <c r="D13" s="69"/>
      <c r="E13" s="69"/>
      <c r="F13" s="76"/>
      <c r="G13" s="76"/>
      <c r="H13" s="76"/>
      <c r="I13" s="120"/>
      <c r="J13" s="67"/>
      <c r="K13" s="65" t="s">
        <v>107</v>
      </c>
      <c r="L13" s="68"/>
      <c r="M13" s="76"/>
      <c r="N13" s="76"/>
      <c r="O13" s="76"/>
      <c r="P13" s="120"/>
      <c r="Q13" s="120"/>
      <c r="R13" s="120"/>
      <c r="S13" s="67"/>
      <c r="T13" s="65" t="s">
        <v>107</v>
      </c>
      <c r="U13" s="68"/>
      <c r="V13" s="76"/>
      <c r="W13" s="69"/>
    </row>
    <row r="14" spans="1:23" ht="27">
      <c r="A14" s="81">
        <v>1</v>
      </c>
      <c r="B14" s="75" t="s">
        <v>82</v>
      </c>
      <c r="C14" s="68">
        <v>1</v>
      </c>
      <c r="D14" s="69">
        <v>1000000</v>
      </c>
      <c r="E14" s="69">
        <v>1040900</v>
      </c>
      <c r="F14" s="76">
        <v>1074001</v>
      </c>
      <c r="G14" s="76">
        <f>(F14*1.0219)</f>
        <v>1097521.6219000001</v>
      </c>
      <c r="H14" s="76">
        <f>+G14*(1+$J$1)</f>
        <v>1132642.3138008001</v>
      </c>
      <c r="I14" s="114">
        <f>(H14*4)</f>
        <v>4530569.2552032005</v>
      </c>
      <c r="J14" s="81">
        <v>1</v>
      </c>
      <c r="K14" s="75" t="s">
        <v>82</v>
      </c>
      <c r="L14" s="68">
        <v>1</v>
      </c>
      <c r="M14" s="76">
        <f>+H14*(1+$J$1)</f>
        <v>1168886.8678424258</v>
      </c>
      <c r="N14" s="76">
        <f>+M14*(1+$J$1)</f>
        <v>1206291.2476133835</v>
      </c>
      <c r="O14" s="76">
        <f>+N14*(1+$J$1)</f>
        <v>1244892.5675370118</v>
      </c>
      <c r="P14" s="114">
        <f t="shared" ref="P14:R15" si="6">(M14*$P$1)</f>
        <v>14026642.414109111</v>
      </c>
      <c r="Q14" s="114">
        <f t="shared" si="6"/>
        <v>14475494.971360601</v>
      </c>
      <c r="R14" s="114">
        <f t="shared" si="6"/>
        <v>14938710.810444143</v>
      </c>
      <c r="S14" s="81">
        <v>1</v>
      </c>
      <c r="T14" s="75" t="s">
        <v>82</v>
      </c>
      <c r="U14" s="68">
        <v>1</v>
      </c>
      <c r="V14" s="76">
        <f>+O14*(1+$J$1)</f>
        <v>1284729.1296981962</v>
      </c>
      <c r="W14" s="57">
        <f>(V14*W1)</f>
        <v>10277833.03758557</v>
      </c>
    </row>
    <row r="15" spans="1:23">
      <c r="A15" s="81">
        <v>1</v>
      </c>
      <c r="B15" s="75" t="s">
        <v>99</v>
      </c>
      <c r="C15" s="68">
        <v>1</v>
      </c>
      <c r="D15" s="69">
        <v>500000</v>
      </c>
      <c r="E15" s="69">
        <v>520450</v>
      </c>
      <c r="F15" s="76">
        <v>537000</v>
      </c>
      <c r="G15" s="76">
        <v>300000</v>
      </c>
      <c r="H15" s="108">
        <f>+AVERAGE(D15:G15)*(1+$J$1)</f>
        <v>479222.10000000003</v>
      </c>
      <c r="I15" s="114">
        <f>(H15*4)</f>
        <v>1916888.4000000001</v>
      </c>
      <c r="J15" s="81">
        <v>1</v>
      </c>
      <c r="K15" s="75" t="s">
        <v>99</v>
      </c>
      <c r="L15" s="68">
        <v>1</v>
      </c>
      <c r="M15" s="76">
        <f t="shared" ref="M15:M17" si="7">+H15*(1+$J$1)</f>
        <v>494557.20720000006</v>
      </c>
      <c r="N15" s="76">
        <f t="shared" ref="N15:O17" si="8">+M15*(1+$J$1)</f>
        <v>510383.03783040011</v>
      </c>
      <c r="O15" s="76">
        <f t="shared" si="8"/>
        <v>526715.29504097288</v>
      </c>
      <c r="P15" s="114">
        <f t="shared" si="6"/>
        <v>5934686.4864000008</v>
      </c>
      <c r="Q15" s="114">
        <f t="shared" si="6"/>
        <v>6124596.4539648015</v>
      </c>
      <c r="R15" s="114">
        <f t="shared" si="6"/>
        <v>6320583.5404916741</v>
      </c>
      <c r="S15" s="81">
        <v>1</v>
      </c>
      <c r="T15" s="75" t="s">
        <v>99</v>
      </c>
      <c r="U15" s="68">
        <v>1</v>
      </c>
      <c r="V15" s="76">
        <f t="shared" ref="V15:V17" si="9">+O15*(1+$J$1)</f>
        <v>543570.18448228401</v>
      </c>
      <c r="W15" s="57">
        <f>(V15*$W$1)</f>
        <v>4348561.4758582721</v>
      </c>
    </row>
    <row r="16" spans="1:23">
      <c r="A16" s="81">
        <v>3</v>
      </c>
      <c r="B16" s="75" t="s">
        <v>83</v>
      </c>
      <c r="C16" s="68">
        <v>1</v>
      </c>
      <c r="D16" s="69">
        <v>350000</v>
      </c>
      <c r="E16" s="69">
        <v>364315</v>
      </c>
      <c r="F16" s="76">
        <v>375900</v>
      </c>
      <c r="G16" s="76">
        <v>200000</v>
      </c>
      <c r="H16" s="108">
        <f>+AVERAGE(D16:G16)*(1+$J$1)</f>
        <v>332875.47000000003</v>
      </c>
      <c r="I16" s="114">
        <f>(H16*4)*A16</f>
        <v>3994505.6400000006</v>
      </c>
      <c r="J16" s="81">
        <v>3</v>
      </c>
      <c r="K16" s="75" t="s">
        <v>83</v>
      </c>
      <c r="L16" s="68">
        <v>1</v>
      </c>
      <c r="M16" s="76">
        <f t="shared" si="7"/>
        <v>343527.48504000006</v>
      </c>
      <c r="N16" s="76">
        <f t="shared" si="8"/>
        <v>354520.36456128006</v>
      </c>
      <c r="O16" s="76">
        <f t="shared" si="8"/>
        <v>365865.01622724102</v>
      </c>
      <c r="P16" s="114">
        <f>(M16)*$J$16</f>
        <v>1030582.4551200002</v>
      </c>
      <c r="Q16" s="114">
        <f t="shared" ref="Q16:R16" si="10">(N16)*$J$16</f>
        <v>1063561.0936838402</v>
      </c>
      <c r="R16" s="114">
        <f t="shared" si="10"/>
        <v>1097595.048681723</v>
      </c>
      <c r="S16" s="81">
        <v>3</v>
      </c>
      <c r="T16" s="75" t="s">
        <v>83</v>
      </c>
      <c r="U16" s="68">
        <v>1</v>
      </c>
      <c r="V16" s="76">
        <f t="shared" si="9"/>
        <v>377572.69674651272</v>
      </c>
      <c r="W16" s="57">
        <f t="shared" ref="W16:W19" si="11">(V16*$W$1)</f>
        <v>3020581.5739721018</v>
      </c>
    </row>
    <row r="17" spans="1:23">
      <c r="A17" s="81">
        <v>1</v>
      </c>
      <c r="B17" s="75" t="s">
        <v>84</v>
      </c>
      <c r="C17" s="68">
        <v>1</v>
      </c>
      <c r="D17" s="69">
        <v>300000</v>
      </c>
      <c r="E17" s="69">
        <v>312270</v>
      </c>
      <c r="F17" s="76">
        <v>322200</v>
      </c>
      <c r="G17" s="76">
        <v>200000</v>
      </c>
      <c r="H17" s="108">
        <f>+AVERAGE(D17:G17)*(1+$J$1)</f>
        <v>292693.26</v>
      </c>
      <c r="I17" s="114">
        <f>(H17*4)</f>
        <v>1170773.04</v>
      </c>
      <c r="J17" s="81">
        <v>1</v>
      </c>
      <c r="K17" s="75" t="s">
        <v>84</v>
      </c>
      <c r="L17" s="68">
        <v>1</v>
      </c>
      <c r="M17" s="76">
        <f t="shared" si="7"/>
        <v>302059.44432000001</v>
      </c>
      <c r="N17" s="76">
        <f t="shared" si="8"/>
        <v>311725.34653824003</v>
      </c>
      <c r="O17" s="76">
        <f t="shared" si="8"/>
        <v>321700.55762746371</v>
      </c>
      <c r="P17" s="114">
        <f>(M17*$P$1)</f>
        <v>3624713.3318400001</v>
      </c>
      <c r="Q17" s="114">
        <f>(N17*$P$1)</f>
        <v>3740704.1584588801</v>
      </c>
      <c r="R17" s="114">
        <f>(O17*$P$1)</f>
        <v>3860406.6915295646</v>
      </c>
      <c r="S17" s="81">
        <v>1</v>
      </c>
      <c r="T17" s="75" t="s">
        <v>84</v>
      </c>
      <c r="U17" s="68">
        <v>1</v>
      </c>
      <c r="V17" s="76">
        <f t="shared" si="9"/>
        <v>331994.97547154257</v>
      </c>
      <c r="W17" s="57">
        <f t="shared" si="11"/>
        <v>2655959.8037723405</v>
      </c>
    </row>
    <row r="18" spans="1:23" ht="39" customHeight="1">
      <c r="A18" s="67"/>
      <c r="B18" s="65" t="s">
        <v>109</v>
      </c>
      <c r="C18" s="67"/>
      <c r="D18" s="69"/>
      <c r="E18" s="69"/>
      <c r="F18" s="68"/>
      <c r="G18" s="69"/>
      <c r="H18" s="69"/>
      <c r="I18" s="120"/>
      <c r="J18" s="67"/>
      <c r="K18" s="65" t="s">
        <v>109</v>
      </c>
      <c r="L18" s="67"/>
      <c r="M18" s="69"/>
      <c r="N18" s="69"/>
      <c r="O18" s="69"/>
      <c r="P18" s="120"/>
      <c r="Q18" s="120"/>
      <c r="R18" s="120"/>
      <c r="S18" s="67"/>
      <c r="T18" s="65" t="s">
        <v>109</v>
      </c>
      <c r="U18" s="67"/>
      <c r="V18" s="76"/>
      <c r="W18" s="57"/>
    </row>
    <row r="19" spans="1:23" ht="30" customHeight="1">
      <c r="A19" s="81">
        <v>1</v>
      </c>
      <c r="B19" s="75" t="s">
        <v>81</v>
      </c>
      <c r="C19" s="91" t="s">
        <v>104</v>
      </c>
      <c r="D19" s="76">
        <v>10000000</v>
      </c>
      <c r="E19" s="69">
        <v>9368100</v>
      </c>
      <c r="F19" s="76">
        <v>9666066</v>
      </c>
      <c r="G19" s="76">
        <v>5000000</v>
      </c>
      <c r="H19" s="108">
        <f>+AVERAGE(D19:G19)*(1+$J$1)</f>
        <v>8780814.8279999997</v>
      </c>
      <c r="I19" s="114">
        <f>(H19*4)</f>
        <v>35123259.311999999</v>
      </c>
      <c r="J19" s="81">
        <v>1</v>
      </c>
      <c r="K19" s="75" t="s">
        <v>81</v>
      </c>
      <c r="L19" s="91" t="s">
        <v>104</v>
      </c>
      <c r="M19" s="108">
        <f>+H19*(1+$J$1)</f>
        <v>9061800.9024960008</v>
      </c>
      <c r="N19" s="76">
        <f>+M19*(1+J1)</f>
        <v>9351778.5313758738</v>
      </c>
      <c r="O19" s="76">
        <f>+N19*(1+J1)</f>
        <v>9651035.4443799015</v>
      </c>
      <c r="P19" s="114">
        <f>(M19*$P$1)</f>
        <v>108741610.829952</v>
      </c>
      <c r="Q19" s="114">
        <f>(N19*$P$1)</f>
        <v>112221342.37651049</v>
      </c>
      <c r="R19" s="114">
        <f>(O19*$P$1)</f>
        <v>115812425.33255881</v>
      </c>
      <c r="S19" s="81">
        <v>1</v>
      </c>
      <c r="T19" s="75" t="s">
        <v>81</v>
      </c>
      <c r="U19" s="91" t="s">
        <v>104</v>
      </c>
      <c r="V19" s="76">
        <f>+O19*(1+$J$1)</f>
        <v>9959868.5786000583</v>
      </c>
      <c r="W19" s="57">
        <f t="shared" si="11"/>
        <v>79678948.628800467</v>
      </c>
    </row>
    <row r="20" spans="1:23" ht="35.25" customHeight="1">
      <c r="A20" s="81"/>
      <c r="B20" s="88" t="s">
        <v>111</v>
      </c>
      <c r="C20" s="87"/>
      <c r="D20" s="76"/>
      <c r="E20" s="69"/>
      <c r="F20" s="76"/>
      <c r="G20" s="76"/>
      <c r="H20" s="109"/>
      <c r="I20" s="121">
        <f>SUM(I14:I19)</f>
        <v>46735995.6472032</v>
      </c>
      <c r="J20" s="81"/>
      <c r="K20" s="88" t="s">
        <v>111</v>
      </c>
      <c r="L20" s="87"/>
      <c r="M20" s="121">
        <f>SUM(M14:M19)</f>
        <v>11370831.906898428</v>
      </c>
      <c r="N20" s="76"/>
      <c r="O20" s="76"/>
      <c r="P20" s="121">
        <f>SUM(P14:P19)</f>
        <v>133358235.51742111</v>
      </c>
      <c r="Q20" s="121">
        <f>SUM(Q14:Q19)</f>
        <v>137625699.05397862</v>
      </c>
      <c r="R20" s="121">
        <f>SUM(R14:R19)</f>
        <v>142029721.42370591</v>
      </c>
      <c r="S20" s="81"/>
      <c r="T20" s="88" t="s">
        <v>111</v>
      </c>
      <c r="U20" s="87"/>
      <c r="V20" s="76"/>
      <c r="W20" s="90">
        <f>SUM(W14:W19)</f>
        <v>99981884.519988745</v>
      </c>
    </row>
    <row r="21" spans="1:23" ht="35.25" customHeight="1">
      <c r="A21" s="102" t="s">
        <v>4</v>
      </c>
      <c r="B21" s="96" t="s">
        <v>112</v>
      </c>
      <c r="C21" s="97"/>
      <c r="D21" s="98"/>
      <c r="E21" s="98"/>
      <c r="F21" s="98"/>
      <c r="G21" s="98"/>
      <c r="H21" s="101"/>
      <c r="I21" s="122" t="e">
        <f>+I11+I20</f>
        <v>#REF!</v>
      </c>
      <c r="J21" s="102" t="s">
        <v>4</v>
      </c>
      <c r="K21" s="96" t="s">
        <v>112</v>
      </c>
      <c r="L21" s="97"/>
      <c r="M21" s="122" t="e">
        <f>+M11+M20</f>
        <v>#REF!</v>
      </c>
      <c r="N21" s="98"/>
      <c r="O21" s="98"/>
      <c r="P21" s="122" t="e">
        <f>+P11+P20</f>
        <v>#REF!</v>
      </c>
      <c r="Q21" s="122">
        <f>+Q11+Q20</f>
        <v>581817326.1617763</v>
      </c>
      <c r="R21" s="122">
        <f>+R11+R20</f>
        <v>600435480.59895325</v>
      </c>
      <c r="S21" s="102" t="s">
        <v>4</v>
      </c>
      <c r="T21" s="96" t="s">
        <v>112</v>
      </c>
      <c r="U21" s="97"/>
      <c r="V21" s="98"/>
      <c r="W21" s="99">
        <f>+W11+W20</f>
        <v>327577981.03421462</v>
      </c>
    </row>
    <row r="22" spans="1:23" ht="33.75" customHeight="1">
      <c r="A22" s="81"/>
      <c r="B22" s="88" t="s">
        <v>114</v>
      </c>
      <c r="C22" s="87"/>
      <c r="D22" s="76"/>
      <c r="E22" s="69"/>
      <c r="F22" s="76"/>
      <c r="G22" s="76"/>
      <c r="H22" s="76"/>
      <c r="I22" s="114"/>
      <c r="J22" s="81"/>
      <c r="K22" s="88" t="s">
        <v>114</v>
      </c>
      <c r="L22" s="87"/>
      <c r="M22" s="76"/>
      <c r="N22" s="76"/>
      <c r="O22" s="76"/>
      <c r="P22" s="114"/>
      <c r="Q22" s="114"/>
      <c r="R22" s="114"/>
      <c r="S22" s="81"/>
      <c r="T22" s="88" t="s">
        <v>114</v>
      </c>
      <c r="U22" s="87"/>
      <c r="V22" s="76"/>
      <c r="W22" s="57"/>
    </row>
    <row r="23" spans="1:23" ht="33.75" customHeight="1">
      <c r="A23" s="67"/>
      <c r="B23" s="65" t="s">
        <v>106</v>
      </c>
      <c r="C23" s="67"/>
      <c r="D23" s="67"/>
      <c r="E23" s="67"/>
      <c r="F23" s="67"/>
      <c r="G23" s="67"/>
      <c r="H23" s="67"/>
      <c r="I23" s="123"/>
      <c r="J23" s="67"/>
      <c r="K23" s="65" t="s">
        <v>106</v>
      </c>
      <c r="L23" s="67"/>
      <c r="M23" s="67"/>
      <c r="N23" s="67"/>
      <c r="O23" s="67"/>
      <c r="P23" s="123"/>
      <c r="Q23" s="123"/>
      <c r="R23" s="123"/>
      <c r="S23" s="67"/>
      <c r="T23" s="65" t="s">
        <v>106</v>
      </c>
      <c r="U23" s="67"/>
      <c r="V23" s="67"/>
      <c r="W23" s="67"/>
    </row>
    <row r="24" spans="1:23">
      <c r="A24" s="80">
        <v>4</v>
      </c>
      <c r="B24" s="56" t="s">
        <v>79</v>
      </c>
      <c r="C24" s="92" t="s">
        <v>80</v>
      </c>
      <c r="D24" s="69">
        <v>1030000</v>
      </c>
      <c r="E24" s="69">
        <v>1072127</v>
      </c>
      <c r="F24" s="69">
        <v>1106221</v>
      </c>
      <c r="G24" s="69">
        <f>(F24*1.0219)</f>
        <v>1130447.2398999999</v>
      </c>
      <c r="H24" s="69">
        <f>+G24*(1+J1)</f>
        <v>1166621.5515767999</v>
      </c>
      <c r="I24" s="114">
        <f>(H24*A24)</f>
        <v>4666486.2063071998</v>
      </c>
      <c r="J24" s="80">
        <v>12</v>
      </c>
      <c r="K24" s="56" t="s">
        <v>79</v>
      </c>
      <c r="L24" s="92" t="s">
        <v>80</v>
      </c>
      <c r="M24" s="69">
        <f>+H24*(1+J1)</f>
        <v>1203953.4412272575</v>
      </c>
      <c r="N24" s="69">
        <f>+M24*(1+J1)</f>
        <v>1242479.9513465296</v>
      </c>
      <c r="O24" s="69">
        <f>+N24*(1+J1)</f>
        <v>1282239.3097896187</v>
      </c>
      <c r="P24" s="114">
        <f>(M24*$J$24)</f>
        <v>14447441.294727091</v>
      </c>
      <c r="Q24" s="114">
        <f>(N24*$J$24)</f>
        <v>14909759.416158356</v>
      </c>
      <c r="R24" s="114">
        <f>(O24*$J$24)</f>
        <v>15386871.717475425</v>
      </c>
      <c r="S24" s="80">
        <v>8</v>
      </c>
      <c r="T24" s="56" t="s">
        <v>79</v>
      </c>
      <c r="U24" s="92" t="s">
        <v>80</v>
      </c>
      <c r="V24" s="69">
        <f>+O24*(1+$J$1)</f>
        <v>1323270.9677028866</v>
      </c>
      <c r="W24" s="57">
        <f>(V24*S24)</f>
        <v>10586167.741623092</v>
      </c>
    </row>
    <row r="25" spans="1:23" ht="47.25" customHeight="1">
      <c r="A25" s="67"/>
      <c r="B25" s="65" t="s">
        <v>108</v>
      </c>
      <c r="C25" s="67"/>
      <c r="D25" s="69"/>
      <c r="E25" s="69"/>
      <c r="F25" s="69"/>
      <c r="G25" s="69"/>
      <c r="H25" s="69"/>
      <c r="I25" s="120"/>
      <c r="J25" s="67"/>
      <c r="K25" s="65" t="s">
        <v>108</v>
      </c>
      <c r="L25" s="67"/>
      <c r="M25" s="69"/>
      <c r="N25" s="69"/>
      <c r="O25" s="69"/>
      <c r="P25" s="120"/>
      <c r="Q25" s="120"/>
      <c r="R25" s="120"/>
      <c r="S25" s="67"/>
      <c r="T25" s="65" t="s">
        <v>108</v>
      </c>
      <c r="U25" s="67"/>
      <c r="V25" s="69"/>
      <c r="W25" s="57"/>
    </row>
    <row r="26" spans="1:23" ht="27">
      <c r="A26" s="81">
        <v>2</v>
      </c>
      <c r="B26" s="55" t="s">
        <v>124</v>
      </c>
      <c r="C26" s="68">
        <v>1</v>
      </c>
      <c r="D26" s="69">
        <v>1000000</v>
      </c>
      <c r="E26" s="69">
        <v>1040900</v>
      </c>
      <c r="F26" s="69">
        <v>1074001</v>
      </c>
      <c r="G26" s="69">
        <f>(F26*1.0219)</f>
        <v>1097521.6219000001</v>
      </c>
      <c r="H26" s="69">
        <f>+G26*(1+$J$1)</f>
        <v>1132642.3138008001</v>
      </c>
      <c r="I26" s="114">
        <f>(H26*A26)</f>
        <v>2265284.6276016003</v>
      </c>
      <c r="J26" s="81">
        <v>6</v>
      </c>
      <c r="K26" s="55" t="s">
        <v>124</v>
      </c>
      <c r="L26" s="68">
        <v>1</v>
      </c>
      <c r="M26" s="69">
        <f>+H26*(1+$J$1)</f>
        <v>1168886.8678424258</v>
      </c>
      <c r="N26" s="69">
        <f>+M26*(1+$J$1)</f>
        <v>1206291.2476133835</v>
      </c>
      <c r="O26" s="69">
        <f>+N26*(1+$J$1)</f>
        <v>1244892.5675370118</v>
      </c>
      <c r="P26" s="114">
        <f>(M26*$J$26)</f>
        <v>7013321.2070545554</v>
      </c>
      <c r="Q26" s="114">
        <f>(N26*$J$26)</f>
        <v>7237747.4856803007</v>
      </c>
      <c r="R26" s="114">
        <f>(O26*$J$26)</f>
        <v>7469355.4052220713</v>
      </c>
      <c r="S26" s="81">
        <v>4</v>
      </c>
      <c r="T26" s="55" t="s">
        <v>124</v>
      </c>
      <c r="U26" s="68">
        <v>1</v>
      </c>
      <c r="V26" s="69">
        <f>+O26*(1+$J$1)</f>
        <v>1284729.1296981962</v>
      </c>
      <c r="W26" s="57">
        <f>(V26*S26)</f>
        <v>5138916.5187927848</v>
      </c>
    </row>
    <row r="27" spans="1:23" ht="27">
      <c r="A27" s="81">
        <v>2</v>
      </c>
      <c r="B27" s="55" t="s">
        <v>125</v>
      </c>
      <c r="C27" s="68">
        <v>1</v>
      </c>
      <c r="D27" s="69">
        <v>600000</v>
      </c>
      <c r="E27" s="69">
        <v>624540</v>
      </c>
      <c r="F27" s="69">
        <v>644400</v>
      </c>
      <c r="G27" s="69">
        <f>(F27*1.0219)</f>
        <v>658512.36</v>
      </c>
      <c r="H27" s="69">
        <f t="shared" ref="H27:H30" si="12">+G27*(1+$J$1)</f>
        <v>679584.75552000001</v>
      </c>
      <c r="I27" s="114">
        <f>(H27*A27)</f>
        <v>1359169.51104</v>
      </c>
      <c r="J27" s="81">
        <v>6</v>
      </c>
      <c r="K27" s="55" t="s">
        <v>125</v>
      </c>
      <c r="L27" s="68">
        <v>1</v>
      </c>
      <c r="M27" s="69">
        <f t="shared" ref="M27:M30" si="13">+H27*(1+$J$1)</f>
        <v>701331.46769664006</v>
      </c>
      <c r="N27" s="69">
        <f t="shared" ref="N27:O30" si="14">+M27*(1+$J$1)</f>
        <v>723774.07466293254</v>
      </c>
      <c r="O27" s="69">
        <f t="shared" si="14"/>
        <v>746934.84505214635</v>
      </c>
      <c r="P27" s="114">
        <f>(M27*$J$27)</f>
        <v>4207988.8061798401</v>
      </c>
      <c r="Q27" s="114">
        <f>(N27*$J$27)</f>
        <v>4342644.447977595</v>
      </c>
      <c r="R27" s="114">
        <f>(O27*$J$27)</f>
        <v>4481609.0703128781</v>
      </c>
      <c r="S27" s="81">
        <v>4</v>
      </c>
      <c r="T27" s="55" t="s">
        <v>125</v>
      </c>
      <c r="U27" s="68">
        <v>1</v>
      </c>
      <c r="V27" s="69">
        <f t="shared" ref="V27:V30" si="15">+O27*(1+$J$1)</f>
        <v>770836.76009381504</v>
      </c>
      <c r="W27" s="57">
        <f t="shared" ref="W27:W30" si="16">(V27*S27)</f>
        <v>3083347.0403752602</v>
      </c>
    </row>
    <row r="28" spans="1:23" ht="27">
      <c r="A28" s="81">
        <v>4</v>
      </c>
      <c r="B28" s="56" t="s">
        <v>122</v>
      </c>
      <c r="C28" s="68">
        <v>1</v>
      </c>
      <c r="D28" s="69">
        <v>1000000</v>
      </c>
      <c r="E28" s="69">
        <v>1040900</v>
      </c>
      <c r="F28" s="69">
        <v>1074001</v>
      </c>
      <c r="G28" s="69">
        <f t="shared" ref="G28:G30" si="17">(F28*1.0219)</f>
        <v>1097521.6219000001</v>
      </c>
      <c r="H28" s="69">
        <f t="shared" si="12"/>
        <v>1132642.3138008001</v>
      </c>
      <c r="I28" s="114">
        <f t="shared" ref="I28" si="18">(H28*A28)</f>
        <v>4530569.2552032005</v>
      </c>
      <c r="J28" s="81">
        <v>12</v>
      </c>
      <c r="K28" s="56" t="s">
        <v>122</v>
      </c>
      <c r="L28" s="68">
        <v>1</v>
      </c>
      <c r="M28" s="69">
        <f t="shared" si="13"/>
        <v>1168886.8678424258</v>
      </c>
      <c r="N28" s="69">
        <f t="shared" si="14"/>
        <v>1206291.2476133835</v>
      </c>
      <c r="O28" s="69">
        <f t="shared" si="14"/>
        <v>1244892.5675370118</v>
      </c>
      <c r="P28" s="114">
        <f>(M28*$J$28)</f>
        <v>14026642.414109111</v>
      </c>
      <c r="Q28" s="114">
        <f>(N28*$J$28)</f>
        <v>14475494.971360601</v>
      </c>
      <c r="R28" s="114">
        <f>(O28*$J$28)</f>
        <v>14938710.810444143</v>
      </c>
      <c r="S28" s="81">
        <v>8</v>
      </c>
      <c r="T28" s="56" t="s">
        <v>122</v>
      </c>
      <c r="U28" s="68">
        <v>1</v>
      </c>
      <c r="V28" s="69">
        <f t="shared" si="15"/>
        <v>1284729.1296981962</v>
      </c>
      <c r="W28" s="57">
        <f t="shared" si="16"/>
        <v>10277833.03758557</v>
      </c>
    </row>
    <row r="29" spans="1:23" ht="27">
      <c r="A29" s="81">
        <v>4</v>
      </c>
      <c r="B29" s="56" t="s">
        <v>123</v>
      </c>
      <c r="C29" s="68">
        <v>1</v>
      </c>
      <c r="D29" s="69">
        <v>400000</v>
      </c>
      <c r="E29" s="69">
        <v>416360</v>
      </c>
      <c r="F29" s="69">
        <v>429600</v>
      </c>
      <c r="G29" s="69">
        <f t="shared" si="17"/>
        <v>439008.24</v>
      </c>
      <c r="H29" s="69">
        <f t="shared" si="12"/>
        <v>453056.50368000002</v>
      </c>
      <c r="I29" s="114">
        <f>(H29*A29)</f>
        <v>1812226.0147200001</v>
      </c>
      <c r="J29" s="81">
        <v>12</v>
      </c>
      <c r="K29" s="56" t="s">
        <v>123</v>
      </c>
      <c r="L29" s="68">
        <v>1</v>
      </c>
      <c r="M29" s="69">
        <f t="shared" si="13"/>
        <v>467554.31179776002</v>
      </c>
      <c r="N29" s="69">
        <f t="shared" si="14"/>
        <v>482516.04977528838</v>
      </c>
      <c r="O29" s="69">
        <f t="shared" si="14"/>
        <v>497956.56336809765</v>
      </c>
      <c r="P29" s="114">
        <f>(M29*$J$29)</f>
        <v>5610651.7415731205</v>
      </c>
      <c r="Q29" s="114">
        <f>(N29*$J$29)</f>
        <v>5790192.5973034604</v>
      </c>
      <c r="R29" s="114">
        <f>(O29*$J$29)</f>
        <v>5975478.7604171718</v>
      </c>
      <c r="S29" s="81">
        <v>8</v>
      </c>
      <c r="T29" s="56" t="s">
        <v>123</v>
      </c>
      <c r="U29" s="68">
        <v>1</v>
      </c>
      <c r="V29" s="69">
        <f t="shared" si="15"/>
        <v>513891.17339587677</v>
      </c>
      <c r="W29" s="57">
        <f t="shared" si="16"/>
        <v>4111129.3871670142</v>
      </c>
    </row>
    <row r="30" spans="1:23" ht="27">
      <c r="A30" s="82">
        <v>60</v>
      </c>
      <c r="B30" s="56" t="s">
        <v>127</v>
      </c>
      <c r="C30" s="68">
        <v>1</v>
      </c>
      <c r="D30" s="69">
        <v>100000</v>
      </c>
      <c r="E30" s="69">
        <v>104090</v>
      </c>
      <c r="F30" s="69">
        <v>107400</v>
      </c>
      <c r="G30" s="69">
        <f t="shared" si="17"/>
        <v>109752.06</v>
      </c>
      <c r="H30" s="69">
        <f t="shared" si="12"/>
        <v>113264.12592000001</v>
      </c>
      <c r="I30" s="114">
        <f>((H30*A30))</f>
        <v>6795847.5552000003</v>
      </c>
      <c r="J30" s="82">
        <v>180</v>
      </c>
      <c r="K30" s="56" t="s">
        <v>128</v>
      </c>
      <c r="L30" s="68">
        <v>1</v>
      </c>
      <c r="M30" s="69">
        <f t="shared" si="13"/>
        <v>116888.57794944</v>
      </c>
      <c r="N30" s="69">
        <f t="shared" si="14"/>
        <v>120629.0124438221</v>
      </c>
      <c r="O30" s="69">
        <f t="shared" si="14"/>
        <v>124489.14084202441</v>
      </c>
      <c r="P30" s="114">
        <f>((M30*$J$30))</f>
        <v>21039944.030899201</v>
      </c>
      <c r="Q30" s="114">
        <f>((N30*$J$30))</f>
        <v>21713222.239887979</v>
      </c>
      <c r="R30" s="114">
        <f>((O30*$J$30))</f>
        <v>22408045.351564392</v>
      </c>
      <c r="S30" s="82">
        <v>120</v>
      </c>
      <c r="T30" s="56" t="s">
        <v>134</v>
      </c>
      <c r="U30" s="68">
        <v>1</v>
      </c>
      <c r="V30" s="69">
        <f t="shared" si="15"/>
        <v>128472.79334896919</v>
      </c>
      <c r="W30" s="57">
        <f t="shared" si="16"/>
        <v>15416735.201876303</v>
      </c>
    </row>
    <row r="31" spans="1:23" ht="32.25" customHeight="1">
      <c r="A31" s="103" t="s">
        <v>6</v>
      </c>
      <c r="B31" s="96" t="s">
        <v>113</v>
      </c>
      <c r="C31" s="100"/>
      <c r="D31" s="100"/>
      <c r="E31" s="100"/>
      <c r="F31" s="100"/>
      <c r="G31" s="100"/>
      <c r="H31" s="101"/>
      <c r="I31" s="124">
        <f>SUM(I24:I30)</f>
        <v>21429583.170072</v>
      </c>
      <c r="J31" s="103" t="s">
        <v>6</v>
      </c>
      <c r="K31" s="96" t="s">
        <v>113</v>
      </c>
      <c r="L31" s="100"/>
      <c r="M31" s="124">
        <f>SUM(M24:M30)</f>
        <v>4827501.5343559496</v>
      </c>
      <c r="N31" s="100"/>
      <c r="O31" s="100"/>
      <c r="P31" s="124">
        <f>SUM(P24:P30)</f>
        <v>66345989.494542912</v>
      </c>
      <c r="Q31" s="124">
        <f>SUM(Q24:Q30)</f>
        <v>68469061.158368289</v>
      </c>
      <c r="R31" s="124">
        <f>SUM(R24:R30)</f>
        <v>70660071.115436077</v>
      </c>
      <c r="S31" s="103" t="s">
        <v>6</v>
      </c>
      <c r="T31" s="96" t="s">
        <v>113</v>
      </c>
      <c r="U31" s="100"/>
      <c r="V31" s="100"/>
      <c r="W31" s="101">
        <f>SUM(W24:W30)</f>
        <v>48614128.927420028</v>
      </c>
    </row>
    <row r="32" spans="1:23" ht="15.6">
      <c r="A32" s="100"/>
      <c r="B32" s="96" t="s">
        <v>115</v>
      </c>
      <c r="C32" s="100"/>
      <c r="D32" s="100"/>
      <c r="E32" s="100"/>
      <c r="F32" s="100"/>
      <c r="G32" s="100"/>
      <c r="H32" s="98"/>
      <c r="I32" s="124" t="e">
        <f>+I31+I21</f>
        <v>#REF!</v>
      </c>
      <c r="J32" s="100"/>
      <c r="K32" s="96" t="s">
        <v>115</v>
      </c>
      <c r="L32" s="100"/>
      <c r="M32" s="124" t="e">
        <f>+M31+M21</f>
        <v>#REF!</v>
      </c>
      <c r="N32" s="100"/>
      <c r="O32" s="100"/>
      <c r="P32" s="124" t="e">
        <f>+P31+P21</f>
        <v>#REF!</v>
      </c>
      <c r="Q32" s="124">
        <f>+Q31+Q21</f>
        <v>650286387.32014465</v>
      </c>
      <c r="R32" s="124">
        <f>+R31+R21</f>
        <v>671095551.71438932</v>
      </c>
      <c r="S32" s="100"/>
      <c r="T32" s="96" t="s">
        <v>115</v>
      </c>
      <c r="U32" s="100"/>
      <c r="V32" s="100"/>
      <c r="W32" s="101">
        <f>+W31+W21</f>
        <v>376192109.96163464</v>
      </c>
    </row>
    <row r="33" spans="1:25" ht="15.6">
      <c r="A33" s="100"/>
      <c r="B33" s="96" t="s">
        <v>85</v>
      </c>
      <c r="C33" s="100"/>
      <c r="D33" s="100"/>
      <c r="E33" s="100"/>
      <c r="F33" s="100"/>
      <c r="G33" s="100"/>
      <c r="H33" s="100"/>
      <c r="I33" s="124" t="e">
        <f>(I32*0.19)</f>
        <v>#REF!</v>
      </c>
      <c r="J33" s="100"/>
      <c r="K33" s="96" t="s">
        <v>85</v>
      </c>
      <c r="L33" s="100"/>
      <c r="M33" s="124" t="e">
        <f>(M32*0.19)</f>
        <v>#REF!</v>
      </c>
      <c r="N33" s="100"/>
      <c r="O33" s="100"/>
      <c r="P33" s="124" t="e">
        <f>(P32*0.19)</f>
        <v>#REF!</v>
      </c>
      <c r="Q33" s="124">
        <f>(Q32*0.19)</f>
        <v>123554413.59082748</v>
      </c>
      <c r="R33" s="124">
        <f>(R32*0.19)</f>
        <v>127508154.82573397</v>
      </c>
      <c r="S33" s="100"/>
      <c r="T33" s="96" t="s">
        <v>85</v>
      </c>
      <c r="U33" s="100"/>
      <c r="V33" s="100"/>
      <c r="W33" s="101">
        <f>(W32*0.19)</f>
        <v>71476500.892710581</v>
      </c>
    </row>
    <row r="34" spans="1:25" ht="15.6">
      <c r="A34" s="100"/>
      <c r="B34" s="96" t="s">
        <v>126</v>
      </c>
      <c r="C34" s="100"/>
      <c r="D34" s="100"/>
      <c r="E34" s="100"/>
      <c r="F34" s="100"/>
      <c r="G34" s="100"/>
      <c r="H34" s="100"/>
      <c r="I34" s="124" t="e">
        <f>+I32+I33</f>
        <v>#REF!</v>
      </c>
      <c r="J34" s="100"/>
      <c r="K34" s="96" t="s">
        <v>144</v>
      </c>
      <c r="L34" s="100"/>
      <c r="M34" s="124" t="e">
        <f>+M32+M33</f>
        <v>#REF!</v>
      </c>
      <c r="N34" s="100"/>
      <c r="O34" s="100"/>
      <c r="P34" s="124" t="e">
        <f>+P32+P33</f>
        <v>#REF!</v>
      </c>
      <c r="Q34" s="124">
        <f>+Q32+Q33</f>
        <v>773840800.91097212</v>
      </c>
      <c r="R34" s="124">
        <f>+R32+R33</f>
        <v>798603706.54012334</v>
      </c>
      <c r="S34" s="100"/>
      <c r="T34" s="96" t="s">
        <v>145</v>
      </c>
      <c r="U34" s="100"/>
      <c r="V34" s="100"/>
      <c r="W34" s="101">
        <f>+W32+W33</f>
        <v>447668610.8543452</v>
      </c>
    </row>
    <row r="35" spans="1:25" ht="18">
      <c r="I35"/>
      <c r="P35"/>
      <c r="Q35"/>
      <c r="R35"/>
      <c r="T35" s="96" t="s">
        <v>135</v>
      </c>
      <c r="U35" s="110"/>
      <c r="V35" s="42"/>
      <c r="W35" s="111" t="e">
        <f>+W34+R34+Q34+P34+I34</f>
        <v>#REF!</v>
      </c>
    </row>
    <row r="36" spans="1:25" ht="40.5" customHeight="1">
      <c r="B36" s="106"/>
      <c r="C36" s="170"/>
      <c r="D36" s="170"/>
      <c r="I36"/>
      <c r="K36" s="106"/>
      <c r="P36"/>
      <c r="Q36"/>
      <c r="R36"/>
      <c r="T36" s="96" t="s">
        <v>148</v>
      </c>
      <c r="U36" s="110"/>
      <c r="V36" s="42"/>
      <c r="W36" s="111" t="e">
        <f>+W35-I34</f>
        <v>#REF!</v>
      </c>
    </row>
    <row r="37" spans="1:25" ht="73.5" customHeight="1">
      <c r="A37" s="106"/>
      <c r="B37" s="106"/>
      <c r="C37" s="170"/>
      <c r="D37" s="170"/>
      <c r="I37"/>
      <c r="J37" s="106"/>
      <c r="K37" s="106"/>
      <c r="P37"/>
      <c r="Q37"/>
      <c r="R37"/>
      <c r="S37" s="106"/>
      <c r="T37" s="106"/>
      <c r="V37" s="110" t="s">
        <v>147</v>
      </c>
      <c r="W37" s="126" t="e">
        <f>+W36*0.15</f>
        <v>#REF!</v>
      </c>
      <c r="Y37" s="127"/>
    </row>
    <row r="38" spans="1:25" ht="39" customHeight="1">
      <c r="C38" s="170"/>
      <c r="D38" s="170"/>
      <c r="I38"/>
      <c r="P38"/>
      <c r="Q38"/>
      <c r="R38"/>
    </row>
    <row r="39" spans="1:25">
      <c r="A39" s="28"/>
      <c r="B39" s="28"/>
      <c r="C39" s="28"/>
      <c r="D39" s="26"/>
      <c r="I39"/>
      <c r="J39" s="28"/>
      <c r="K39" s="28"/>
      <c r="L39" s="28"/>
      <c r="P39"/>
      <c r="Q39"/>
      <c r="R39"/>
      <c r="S39" s="28"/>
      <c r="T39" s="28"/>
      <c r="U39" s="28"/>
    </row>
    <row r="40" spans="1:25">
      <c r="I40"/>
      <c r="P40"/>
      <c r="Q40"/>
      <c r="R40"/>
    </row>
    <row r="41" spans="1:25">
      <c r="I41"/>
      <c r="P41"/>
      <c r="Q41"/>
      <c r="R41"/>
    </row>
    <row r="42" spans="1:25">
      <c r="I42"/>
      <c r="P42"/>
      <c r="Q42"/>
      <c r="R42"/>
    </row>
    <row r="43" spans="1:25">
      <c r="I43"/>
      <c r="P43"/>
      <c r="Q43"/>
      <c r="R43"/>
    </row>
    <row r="44" spans="1:25">
      <c r="I44"/>
      <c r="P44"/>
      <c r="Q44"/>
      <c r="R44"/>
    </row>
    <row r="45" spans="1:25">
      <c r="I45"/>
      <c r="P45"/>
      <c r="Q45"/>
      <c r="R45"/>
    </row>
    <row r="46" spans="1:25">
      <c r="I46"/>
      <c r="P46"/>
      <c r="Q46"/>
      <c r="R46"/>
    </row>
    <row r="47" spans="1:25">
      <c r="I47"/>
      <c r="P47"/>
      <c r="Q47"/>
      <c r="R47"/>
    </row>
    <row r="48" spans="1:25">
      <c r="I48"/>
      <c r="P48"/>
      <c r="Q48"/>
      <c r="R48"/>
    </row>
    <row r="49" spans="9:18">
      <c r="I49"/>
      <c r="P49"/>
      <c r="Q49"/>
      <c r="R49"/>
    </row>
    <row r="50" spans="9:18">
      <c r="I50"/>
      <c r="P50"/>
      <c r="Q50"/>
      <c r="R50"/>
    </row>
    <row r="51" spans="9:18">
      <c r="I51"/>
      <c r="P51"/>
      <c r="Q51"/>
      <c r="R51"/>
    </row>
    <row r="52" spans="9:18">
      <c r="I52"/>
      <c r="P52"/>
      <c r="Q52"/>
      <c r="R52"/>
    </row>
    <row r="53" spans="9:18">
      <c r="I53"/>
      <c r="P53"/>
      <c r="Q53"/>
      <c r="R53"/>
    </row>
    <row r="54" spans="9:18">
      <c r="I54"/>
      <c r="P54"/>
      <c r="Q54"/>
      <c r="R54"/>
    </row>
    <row r="55" spans="9:18">
      <c r="I55"/>
      <c r="P55"/>
      <c r="Q55"/>
      <c r="R55"/>
    </row>
    <row r="56" spans="9:18">
      <c r="I56"/>
      <c r="P56"/>
      <c r="Q56"/>
      <c r="R56"/>
    </row>
    <row r="57" spans="9:18">
      <c r="I57"/>
      <c r="P57"/>
      <c r="Q57"/>
      <c r="R57"/>
    </row>
    <row r="58" spans="9:18">
      <c r="I58"/>
      <c r="P58"/>
      <c r="Q58"/>
      <c r="R58"/>
    </row>
    <row r="59" spans="9:18">
      <c r="I59"/>
      <c r="P59"/>
      <c r="Q59"/>
      <c r="R59"/>
    </row>
    <row r="60" spans="9:18">
      <c r="I60"/>
      <c r="P60"/>
      <c r="Q60"/>
      <c r="R60"/>
    </row>
    <row r="61" spans="9:18">
      <c r="I61"/>
      <c r="P61"/>
      <c r="Q61"/>
      <c r="R61"/>
    </row>
    <row r="62" spans="9:18">
      <c r="I62"/>
      <c r="P62"/>
      <c r="Q62"/>
      <c r="R62"/>
    </row>
    <row r="63" spans="9:18">
      <c r="I63"/>
      <c r="P63"/>
      <c r="Q63"/>
      <c r="R63"/>
    </row>
    <row r="64" spans="9:18">
      <c r="I64"/>
      <c r="P64"/>
      <c r="Q64"/>
      <c r="R64"/>
    </row>
    <row r="65" spans="9:18">
      <c r="I65"/>
      <c r="P65"/>
      <c r="Q65"/>
      <c r="R65"/>
    </row>
    <row r="66" spans="9:18">
      <c r="I66"/>
      <c r="P66"/>
      <c r="Q66"/>
      <c r="R66"/>
    </row>
    <row r="67" spans="9:18">
      <c r="I67"/>
      <c r="P67"/>
      <c r="Q67"/>
      <c r="R67"/>
    </row>
    <row r="68" spans="9:18">
      <c r="I68"/>
      <c r="P68"/>
      <c r="Q68"/>
      <c r="R68"/>
    </row>
    <row r="69" spans="9:18">
      <c r="I69"/>
      <c r="P69"/>
      <c r="Q69"/>
      <c r="R69"/>
    </row>
    <row r="70" spans="9:18">
      <c r="I70"/>
      <c r="P70"/>
      <c r="Q70"/>
      <c r="R70"/>
    </row>
    <row r="71" spans="9:18">
      <c r="I71"/>
      <c r="P71"/>
      <c r="Q71"/>
      <c r="R71"/>
    </row>
    <row r="72" spans="9:18">
      <c r="I72"/>
      <c r="P72"/>
      <c r="Q72"/>
      <c r="R72"/>
    </row>
    <row r="73" spans="9:18">
      <c r="I73"/>
      <c r="P73"/>
      <c r="Q73"/>
      <c r="R73"/>
    </row>
    <row r="74" spans="9:18">
      <c r="I74"/>
      <c r="P74"/>
      <c r="Q74"/>
      <c r="R74"/>
    </row>
    <row r="75" spans="9:18">
      <c r="I75"/>
      <c r="P75"/>
      <c r="Q75"/>
      <c r="R75"/>
    </row>
    <row r="76" spans="9:18">
      <c r="I76"/>
      <c r="P76"/>
      <c r="Q76"/>
      <c r="R76"/>
    </row>
    <row r="77" spans="9:18">
      <c r="I77"/>
      <c r="P77"/>
      <c r="Q77"/>
      <c r="R77"/>
    </row>
    <row r="78" spans="9:18">
      <c r="I78"/>
      <c r="P78"/>
      <c r="Q78"/>
      <c r="R78"/>
    </row>
    <row r="79" spans="9:18">
      <c r="I79"/>
      <c r="P79"/>
      <c r="Q79"/>
      <c r="R79"/>
    </row>
    <row r="80" spans="9:18">
      <c r="I80"/>
      <c r="P80"/>
      <c r="Q80"/>
      <c r="R80"/>
    </row>
    <row r="81" spans="9:18">
      <c r="I81"/>
      <c r="P81"/>
      <c r="Q81"/>
      <c r="R81"/>
    </row>
    <row r="82" spans="9:18">
      <c r="I82"/>
      <c r="P82"/>
      <c r="Q82"/>
      <c r="R82"/>
    </row>
    <row r="83" spans="9:18">
      <c r="I83"/>
      <c r="P83"/>
      <c r="Q83"/>
      <c r="R83"/>
    </row>
    <row r="84" spans="9:18">
      <c r="I84"/>
      <c r="P84"/>
      <c r="Q84"/>
      <c r="R84"/>
    </row>
    <row r="85" spans="9:18">
      <c r="I85"/>
      <c r="P85"/>
      <c r="Q85"/>
      <c r="R85"/>
    </row>
    <row r="86" spans="9:18">
      <c r="I86"/>
      <c r="P86"/>
      <c r="Q86"/>
      <c r="R86"/>
    </row>
    <row r="87" spans="9:18">
      <c r="I87"/>
      <c r="P87"/>
      <c r="Q87"/>
      <c r="R87"/>
    </row>
    <row r="88" spans="9:18">
      <c r="I88"/>
      <c r="P88"/>
      <c r="Q88"/>
      <c r="R88"/>
    </row>
    <row r="89" spans="9:18">
      <c r="I89"/>
      <c r="P89"/>
      <c r="Q89"/>
      <c r="R89"/>
    </row>
    <row r="90" spans="9:18">
      <c r="I90"/>
      <c r="P90"/>
      <c r="Q90"/>
      <c r="R90"/>
    </row>
    <row r="91" spans="9:18">
      <c r="I91"/>
      <c r="P91"/>
      <c r="Q91"/>
      <c r="R91"/>
    </row>
    <row r="92" spans="9:18">
      <c r="I92"/>
      <c r="P92"/>
      <c r="Q92"/>
      <c r="R92"/>
    </row>
    <row r="93" spans="9:18">
      <c r="I93"/>
      <c r="P93"/>
      <c r="Q93"/>
      <c r="R93"/>
    </row>
    <row r="94" spans="9:18">
      <c r="I94"/>
      <c r="P94"/>
      <c r="Q94"/>
      <c r="R94"/>
    </row>
    <row r="95" spans="9:18">
      <c r="I95"/>
      <c r="P95"/>
      <c r="Q95"/>
      <c r="R95"/>
    </row>
    <row r="96" spans="9:18">
      <c r="I96"/>
      <c r="P96"/>
      <c r="Q96"/>
      <c r="R96"/>
    </row>
    <row r="97" spans="9:18">
      <c r="I97"/>
      <c r="P97"/>
      <c r="Q97"/>
      <c r="R97"/>
    </row>
    <row r="98" spans="9:18">
      <c r="I98"/>
      <c r="P98"/>
      <c r="Q98"/>
      <c r="R98"/>
    </row>
    <row r="99" spans="9:18">
      <c r="I99"/>
      <c r="P99"/>
      <c r="Q99"/>
      <c r="R99"/>
    </row>
    <row r="100" spans="9:18">
      <c r="I100"/>
      <c r="P100"/>
      <c r="Q100"/>
      <c r="R100"/>
    </row>
    <row r="101" spans="9:18">
      <c r="I101"/>
      <c r="P101"/>
      <c r="Q101"/>
      <c r="R101"/>
    </row>
    <row r="102" spans="9:18">
      <c r="I102"/>
      <c r="P102"/>
      <c r="Q102"/>
      <c r="R102"/>
    </row>
    <row r="103" spans="9:18">
      <c r="I103"/>
      <c r="P103"/>
      <c r="Q103"/>
      <c r="R103"/>
    </row>
    <row r="104" spans="9:18">
      <c r="I104"/>
      <c r="P104"/>
      <c r="Q104"/>
      <c r="R104"/>
    </row>
    <row r="105" spans="9:18">
      <c r="I105"/>
      <c r="P105"/>
      <c r="Q105"/>
      <c r="R105"/>
    </row>
  </sheetData>
  <mergeCells count="4">
    <mergeCell ref="A1:I1"/>
    <mergeCell ref="C36:D36"/>
    <mergeCell ref="C37:D37"/>
    <mergeCell ref="C38:D38"/>
  </mergeCells>
  <pageMargins left="0.7" right="0.7" top="0.75" bottom="0.75" header="0.3" footer="0.3"/>
  <pageSetup scale="5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REFERENCIA</vt:lpstr>
      <vt:lpstr>PRESUPUESTO OFICIAL</vt:lpstr>
      <vt:lpstr>FACTOR MULTIPICADOR </vt:lpstr>
      <vt:lpstr>Costos Proyectados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Carlos Andres Silva</cp:lastModifiedBy>
  <cp:lastPrinted>2024-05-23T21:17:39Z</cp:lastPrinted>
  <dcterms:created xsi:type="dcterms:W3CDTF">2019-08-14T16:05:25Z</dcterms:created>
  <dcterms:modified xsi:type="dcterms:W3CDTF">2024-08-13T22:45:49Z</dcterms:modified>
</cp:coreProperties>
</file>