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ctrlProps/ctrlProp1.xml" ContentType="application/vnd.ms-excel.controlproperties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embeddings/oleObject3.bin" ContentType="application/vnd.openxmlformats-officedocument.oleObject"/>
  <Override PartName="/xl/tables/table6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atos\ESTABILIDAD 2024\PROCESOS\MC-054-2024-COMUNAS 7 A 11 Y RURAL\PROPONENTES\SUBSANACIONES\"/>
    </mc:Choice>
  </mc:AlternateContent>
  <bookViews>
    <workbookView xWindow="-60" yWindow="-60" windowWidth="15480" windowHeight="11640" tabRatio="712" activeTab="3"/>
  </bookViews>
  <sheets>
    <sheet name="ENTRADA_MENOR" sheetId="30" r:id="rId1"/>
    <sheet name="PLANTILLA_MCVA_LIC" sheetId="31" state="hidden" r:id="rId2"/>
    <sheet name="PLANTILLA_MG_LIC " sheetId="39" state="hidden" r:id="rId3"/>
    <sheet name="PLANTILLA_MAB_LIC" sheetId="33" r:id="rId4"/>
    <sheet name="PLANTILLA_MV_" sheetId="34" state="hidden" r:id="rId5"/>
    <sheet name="ENTRADA_MENOR_CUANTIA" sheetId="35" state="hidden" r:id="rId6"/>
    <sheet name="PLANTILLA_MAB_MC" sheetId="36" state="hidden" r:id="rId7"/>
    <sheet name="PLANTILLA_MV_MC" sheetId="37" state="hidden" r:id="rId8"/>
    <sheet name="RESULTADOS" sheetId="38" state="hidden" r:id="rId9"/>
    <sheet name="Fórmula 3 Media Arit Alta" sheetId="20" state="hidden" r:id="rId10"/>
  </sheets>
  <definedNames>
    <definedName name="_xlnm.Print_Area" localSheetId="0">ENTRADA_MENOR!$A$1:$J$72</definedName>
    <definedName name="_xlnm.Print_Area" localSheetId="5">ENTRADA_MENOR_CUANTIA!$A$1:$J$70</definedName>
    <definedName name="_xlnm.Print_Area" localSheetId="3">PLANTILLA_MAB_LIC!$A$1:$L$73</definedName>
    <definedName name="_xlnm.Print_Area" localSheetId="6">PLANTILLA_MAB_MC!$A$1:$K$96</definedName>
    <definedName name="_xlnm.Print_Area" localSheetId="1">PLANTILLA_MCVA_LIC!$A$1:$M$76</definedName>
    <definedName name="_xlnm.Print_Area" localSheetId="2">'PLANTILLA_MG_LIC '!$A$1:$M$60</definedName>
    <definedName name="_xlnm.Print_Area" localSheetId="4">PLANTILLA_MV_!$A$1:$K$61</definedName>
    <definedName name="_xlnm.Print_Area" localSheetId="7">PLANTILLA_MV_MC!$A$1:$K$47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2" i="33" l="1"/>
  <c r="D71" i="33"/>
  <c r="D58" i="33"/>
  <c r="D55" i="33"/>
  <c r="D53" i="33"/>
  <c r="D56" i="33" s="1"/>
  <c r="D51" i="33"/>
  <c r="E67" i="33" l="1"/>
  <c r="E63" i="33"/>
  <c r="E62" i="33" l="1"/>
  <c r="E66" i="33"/>
  <c r="E64" i="33"/>
  <c r="E61" i="33"/>
  <c r="E65" i="33"/>
  <c r="F62" i="33" l="1"/>
  <c r="J62" i="33" s="1"/>
  <c r="F67" i="33"/>
  <c r="J67" i="33" s="1"/>
  <c r="F63" i="33"/>
  <c r="J63" i="33" s="1"/>
  <c r="F64" i="33"/>
  <c r="J64" i="33" s="1"/>
  <c r="F66" i="33"/>
  <c r="J66" i="33" s="1"/>
  <c r="F61" i="33"/>
  <c r="J61" i="33" s="1"/>
  <c r="F65" i="33"/>
  <c r="J65" i="33" s="1"/>
  <c r="D50" i="33"/>
  <c r="D46" i="37"/>
  <c r="D45" i="37"/>
  <c r="D32" i="37"/>
  <c r="D76" i="31"/>
  <c r="D75" i="31"/>
  <c r="D69" i="31"/>
  <c r="D68" i="31"/>
  <c r="D70" i="31"/>
  <c r="D71" i="31"/>
  <c r="D72" i="31"/>
  <c r="D67" i="31"/>
  <c r="D56" i="31"/>
  <c r="B40" i="30"/>
  <c r="D60" i="34"/>
  <c r="D59" i="34"/>
  <c r="F45" i="39"/>
  <c r="N45" i="39"/>
  <c r="F46" i="39"/>
  <c r="N46" i="39"/>
  <c r="F47" i="39"/>
  <c r="N47" i="39"/>
  <c r="F48" i="39"/>
  <c r="N48" i="39"/>
  <c r="F49" i="39"/>
  <c r="N49" i="39"/>
  <c r="F50" i="39"/>
  <c r="N50" i="39"/>
  <c r="F51" i="39"/>
  <c r="N51" i="39"/>
  <c r="F52" i="39"/>
  <c r="N52" i="39"/>
  <c r="D41" i="39"/>
  <c r="D56" i="39"/>
  <c r="D55" i="39"/>
  <c r="D36" i="39"/>
  <c r="D33" i="37"/>
  <c r="D31" i="37"/>
  <c r="F44" i="39"/>
  <c r="D38" i="39"/>
  <c r="G52" i="39"/>
  <c r="N44" i="39"/>
  <c r="D45" i="34"/>
  <c r="E50" i="34"/>
  <c r="I50" i="34"/>
  <c r="D43" i="34"/>
  <c r="D67" i="36"/>
  <c r="D30" i="37"/>
  <c r="E90" i="36"/>
  <c r="E89" i="36"/>
  <c r="E88" i="36"/>
  <c r="E87" i="36"/>
  <c r="E86" i="36"/>
  <c r="E85" i="36"/>
  <c r="E84" i="36"/>
  <c r="E83" i="36"/>
  <c r="E82" i="36"/>
  <c r="E81" i="36"/>
  <c r="E80" i="36"/>
  <c r="E79" i="36"/>
  <c r="E78" i="36"/>
  <c r="D74" i="36"/>
  <c r="D71" i="36"/>
  <c r="D69" i="36"/>
  <c r="D72" i="36"/>
  <c r="D66" i="36"/>
  <c r="D44" i="34"/>
  <c r="D58" i="35"/>
  <c r="B54" i="35"/>
  <c r="B38" i="35"/>
  <c r="D60" i="30"/>
  <c r="D57" i="31"/>
  <c r="D22" i="20"/>
  <c r="D19" i="20"/>
  <c r="D21" i="20"/>
  <c r="D23" i="20"/>
  <c r="C28" i="20"/>
  <c r="F79" i="36"/>
  <c r="I79" i="36"/>
  <c r="J79" i="36"/>
  <c r="F83" i="36"/>
  <c r="I83" i="36"/>
  <c r="J83" i="36"/>
  <c r="F80" i="36"/>
  <c r="I80" i="36"/>
  <c r="J80" i="36"/>
  <c r="F78" i="36"/>
  <c r="I78" i="36"/>
  <c r="J78" i="36"/>
  <c r="F85" i="36"/>
  <c r="I85" i="36"/>
  <c r="J85" i="36"/>
  <c r="F90" i="36"/>
  <c r="I90" i="36"/>
  <c r="J90" i="36"/>
  <c r="F82" i="36"/>
  <c r="I82" i="36"/>
  <c r="J82" i="36"/>
  <c r="F81" i="36"/>
  <c r="I81" i="36"/>
  <c r="J81" i="36"/>
  <c r="F86" i="36"/>
  <c r="I86" i="36"/>
  <c r="J86" i="36"/>
  <c r="F88" i="36"/>
  <c r="I88" i="36"/>
  <c r="J88" i="36"/>
  <c r="F87" i="36"/>
  <c r="I87" i="36"/>
  <c r="J87" i="36"/>
  <c r="F89" i="36"/>
  <c r="I89" i="36"/>
  <c r="J89" i="36"/>
  <c r="F84" i="36"/>
  <c r="I84" i="36"/>
  <c r="J84" i="36"/>
  <c r="D31" i="20"/>
  <c r="G31" i="20"/>
  <c r="D32" i="20"/>
  <c r="G32" i="20"/>
  <c r="D33" i="20"/>
  <c r="G33" i="20"/>
  <c r="D34" i="20"/>
  <c r="G34" i="20"/>
  <c r="D38" i="20"/>
  <c r="G38" i="20"/>
  <c r="D36" i="20"/>
  <c r="G36" i="20"/>
  <c r="D39" i="20"/>
  <c r="G39" i="20"/>
  <c r="D35" i="20"/>
  <c r="G35" i="20"/>
  <c r="D37" i="20"/>
  <c r="G37" i="20"/>
  <c r="G46" i="39"/>
  <c r="G45" i="39"/>
  <c r="G48" i="39"/>
  <c r="G49" i="39"/>
  <c r="G50" i="39"/>
  <c r="G51" i="39"/>
  <c r="G47" i="39"/>
  <c r="G44" i="39"/>
  <c r="D40" i="39"/>
  <c r="H52" i="39"/>
  <c r="H47" i="39"/>
  <c r="L47" i="39"/>
  <c r="H46" i="39"/>
  <c r="L46" i="39"/>
  <c r="H48" i="39"/>
  <c r="H49" i="39"/>
  <c r="H50" i="39"/>
  <c r="H51" i="39"/>
  <c r="L51" i="39"/>
  <c r="H44" i="39"/>
  <c r="H45" i="39"/>
  <c r="L45" i="39"/>
  <c r="L52" i="39"/>
  <c r="L49" i="39"/>
  <c r="L50" i="39"/>
  <c r="L48" i="39"/>
  <c r="L44" i="39"/>
  <c r="M49" i="39"/>
  <c r="M45" i="39"/>
  <c r="M44" i="39"/>
  <c r="M46" i="39"/>
  <c r="M51" i="39"/>
  <c r="M48" i="39"/>
  <c r="M47" i="39"/>
  <c r="M50" i="39"/>
  <c r="M52" i="39"/>
  <c r="F69" i="31"/>
  <c r="B59" i="31"/>
  <c r="F72" i="31"/>
  <c r="D62" i="31"/>
  <c r="F67" i="31"/>
  <c r="F70" i="31"/>
  <c r="F71" i="31"/>
  <c r="F68" i="31"/>
  <c r="D61" i="31"/>
  <c r="K63" i="33" l="1"/>
  <c r="K67" i="33"/>
  <c r="K62" i="33"/>
  <c r="K66" i="33"/>
  <c r="K64" i="33"/>
  <c r="K61" i="33"/>
  <c r="K65" i="33"/>
  <c r="K68" i="31"/>
  <c r="L68" i="31" s="1"/>
  <c r="K67" i="31"/>
  <c r="L67" i="31" s="1"/>
  <c r="K72" i="31"/>
  <c r="L72" i="31" s="1"/>
  <c r="K69" i="31"/>
  <c r="L69" i="31" s="1"/>
  <c r="K71" i="31"/>
  <c r="L71" i="31" s="1"/>
  <c r="K70" i="31"/>
  <c r="L70" i="31" s="1"/>
  <c r="E51" i="34"/>
  <c r="I51" i="34" s="1"/>
  <c r="E52" i="34"/>
  <c r="I52" i="34" s="1"/>
  <c r="E53" i="34"/>
  <c r="I53" i="34" s="1"/>
  <c r="E54" i="34"/>
  <c r="I54" i="34" s="1"/>
  <c r="E55" i="34"/>
  <c r="I55" i="34" s="1"/>
  <c r="E56" i="34"/>
  <c r="I56" i="34" s="1"/>
  <c r="J56" i="34" s="1"/>
  <c r="E41" i="37"/>
  <c r="I41" i="37" s="1"/>
  <c r="E40" i="37"/>
  <c r="I40" i="37" s="1"/>
  <c r="E39" i="37"/>
  <c r="I39" i="37" s="1"/>
  <c r="E38" i="37"/>
  <c r="I38" i="37" s="1"/>
  <c r="E37" i="37"/>
  <c r="I37" i="37" s="1"/>
  <c r="J37" i="37" s="1"/>
  <c r="J38" i="37" l="1"/>
  <c r="J39" i="37"/>
  <c r="J40" i="37"/>
  <c r="J41" i="37"/>
  <c r="J55" i="34"/>
  <c r="J54" i="34"/>
  <c r="J53" i="34"/>
  <c r="J52" i="34"/>
  <c r="J51" i="34"/>
  <c r="J50" i="34"/>
</calcChain>
</file>

<file path=xl/comments1.xml><?xml version="1.0" encoding="utf-8"?>
<comments xmlns="http://schemas.openxmlformats.org/spreadsheetml/2006/main">
  <authors>
    <author>Leslie Loaiza Alzate</author>
  </authors>
  <commentList>
    <comment ref="C6" authorId="0" shapeId="0">
      <text>
        <r>
          <rPr>
            <b/>
            <sz val="9"/>
            <color indexed="81"/>
            <rFont val="Tahoma"/>
            <family val="2"/>
          </rPr>
          <t>Leslie Loaiza Alzate:</t>
        </r>
        <r>
          <rPr>
            <sz val="9"/>
            <color indexed="81"/>
            <rFont val="Tahoma"/>
            <family val="2"/>
          </rPr>
          <t xml:space="preserve">
Llenar campo con el presupuesto oficial del proceso.</t>
        </r>
      </text>
    </comment>
    <comment ref="D8" authorId="0" shapeId="0">
      <text>
        <r>
          <rPr>
            <b/>
            <sz val="9"/>
            <color indexed="81"/>
            <rFont val="Tahoma"/>
            <family val="2"/>
          </rPr>
          <t>Leslie Loaiza Alzate:</t>
        </r>
        <r>
          <rPr>
            <sz val="9"/>
            <color indexed="81"/>
            <rFont val="Tahoma"/>
            <family val="2"/>
          </rPr>
          <t xml:space="preserve">
Valor corregido sin decimales.</t>
        </r>
      </text>
    </comment>
    <comment ref="D20" authorId="0" shapeId="0">
      <text>
        <r>
          <rPr>
            <b/>
            <sz val="9"/>
            <color indexed="81"/>
            <rFont val="Tahoma"/>
            <family val="2"/>
          </rPr>
          <t>Leslie Loaiza Alzate:</t>
        </r>
        <r>
          <rPr>
            <sz val="9"/>
            <color indexed="81"/>
            <rFont val="Tahoma"/>
            <family val="2"/>
          </rPr>
          <t xml:space="preserve">
Llenar campo con el número de ofertas VÁLIDAS.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Leslie Loaiza Alzate:</t>
        </r>
        <r>
          <rPr>
            <sz val="9"/>
            <color indexed="81"/>
            <rFont val="Tahoma"/>
            <family val="2"/>
          </rPr>
          <t xml:space="preserve">
Insertar máximo punta asignado por oferta económica de acuerdo con el tipo de proceso.</t>
        </r>
      </text>
    </comment>
  </commentList>
</comments>
</file>

<file path=xl/sharedStrings.xml><?xml version="1.0" encoding="utf-8"?>
<sst xmlns="http://schemas.openxmlformats.org/spreadsheetml/2006/main" count="269" uniqueCount="144">
  <si>
    <t>SELECCIÓN DE PROPONENTES MENOR CUANTIA ALCALDIA DE MANIZALES</t>
  </si>
  <si>
    <t>El método de ponderación se determinará de acuerdo con los rangos del siguiente cuadro:</t>
  </si>
  <si>
    <t>RANGO (INCLUSIVE)</t>
  </si>
  <si>
    <t>NÚMERO</t>
  </si>
  <si>
    <t>MÉTODO</t>
  </si>
  <si>
    <t>DE</t>
  </si>
  <si>
    <t>A</t>
  </si>
  <si>
    <t>Mediana con valor absoluto</t>
  </si>
  <si>
    <t>Media geométrica</t>
  </si>
  <si>
    <t>Media aritmética baja</t>
  </si>
  <si>
    <t>Menor valor</t>
  </si>
  <si>
    <t>En todos los casos se tendrá en cuenta hasta el séptimo (7°) decimal del valor obtenido como puntaje y las fórmulas se aplicarán con las propuestas que no han sido rechazadas y se encuentran válidas</t>
  </si>
  <si>
    <t>En los procesos de contratación estructurados por lotes, la TRM definirá el método con el cual se asignará el puntaje para el primer lote o grupo a adjudicar, según el orden definido por la entidad. Para la adjudicación del segundo lote o grupo se tomará el siguiente método de acuerdo con la tabla anterior, en orden ascendente, y así sucesivamente; teniendo encuenta que se reiniciará desde el primer método en caso de agotarse el útimo método.</t>
  </si>
  <si>
    <t>Las propuestas que al aplicar las fórmulas obtengan puntajes negativos obtienen cero (0) puntos en la oferta económica.</t>
  </si>
  <si>
    <t>A continuación se presenta el proceso de selección del ganador en cada uno de los lotes de proponentes en el proceso de licitación del proyecto denominado.</t>
  </si>
  <si>
    <t>El proyecto corresponde a:</t>
  </si>
  <si>
    <t>CÓDIGO</t>
  </si>
  <si>
    <t>NUMERAL</t>
  </si>
  <si>
    <t>DESCRIPCIÓN</t>
  </si>
  <si>
    <t>OBJETO DEL CONTRATO</t>
  </si>
  <si>
    <t>El número de lotes de proponentes de la presente licitación es de:</t>
  </si>
  <si>
    <t>NO. DE LOTES</t>
  </si>
  <si>
    <t>N/A</t>
  </si>
  <si>
    <t>TRM</t>
  </si>
  <si>
    <t>https://www.superfinanciera.gov.co/publicacion/60819</t>
  </si>
  <si>
    <t>Por tanto, el primer método de selección utilizado será:</t>
  </si>
  <si>
    <t>Luego de corroborar la documnetación correspondiente y realizar el primer filtro para escoger las ofertas habilitadas para participar en la licitación, se tiene un total de ofertas habilitadas de:</t>
  </si>
  <si>
    <t>NO. DE OFERTAS HABILITADAS</t>
  </si>
  <si>
    <t>Por otra parte, el presupuesto oficial para la ejecución del proyecto se describe a continuación:</t>
  </si>
  <si>
    <t>CDP</t>
  </si>
  <si>
    <t>PPTO OFICIAL</t>
  </si>
  <si>
    <t>MÉTODO DE MEDIANA CON VALOR ABSOLUTO (MCVA)</t>
  </si>
  <si>
    <t>APLICACIÓN DEL MÉTODO MCVA</t>
  </si>
  <si>
    <t>LOTE NO.</t>
  </si>
  <si>
    <t>NO. OFERTAS HAB.</t>
  </si>
  <si>
    <t>PPTO. OFICIAL</t>
  </si>
  <si>
    <t>MEDIANA</t>
  </si>
  <si>
    <t>VALOR BAJO MEDIANA</t>
  </si>
  <si>
    <t>VALOR ARTIFICIALMENTE BAJO</t>
  </si>
  <si>
    <t>ITEM</t>
  </si>
  <si>
    <t>NOMBRE</t>
  </si>
  <si>
    <t>ASC</t>
  </si>
  <si>
    <t>VALOR</t>
  </si>
  <si>
    <t>PUNTAJE OFERTA ECONOMICA</t>
  </si>
  <si>
    <t>FACTOR DE CALIDAD</t>
  </si>
  <si>
    <t>PUNTAJE APOYO A LA INDUSTRIA NACIONAL</t>
  </si>
  <si>
    <t>EMPRENDIMIENTOS Y EMPRESAS DE MUJERES</t>
  </si>
  <si>
    <t>MIPYME</t>
  </si>
  <si>
    <t>PUNTAJE TOTAL</t>
  </si>
  <si>
    <t>GANADOR</t>
  </si>
  <si>
    <t>NICOLÁS CARDONA</t>
  </si>
  <si>
    <t>JAÍR DE JESÚS QUINTERO CARVAJAL</t>
  </si>
  <si>
    <t>PRANA C&amp;G CONSTRUCCIONES SAS</t>
  </si>
  <si>
    <t>ESTRUCTECNIA SAS</t>
  </si>
  <si>
    <t>CONSORCIO AI</t>
  </si>
  <si>
    <t xml:space="preserve">CLAUDIA PILAR CALDERON </t>
  </si>
  <si>
    <t>Teniendo en cuenta lo anterior, la propuesta ganadora se describe a continuación:</t>
  </si>
  <si>
    <t>PROPONENTE GANADOR</t>
  </si>
  <si>
    <t>MÉTODO DE MEDIA GEOMÉTRICA (MG)</t>
  </si>
  <si>
    <t>APLICACIÓN DEL MÉTODO MG</t>
  </si>
  <si>
    <t>MEDIA GEOMÉTRICA</t>
  </si>
  <si>
    <t>DIFERENCIA MÍNIMA</t>
  </si>
  <si>
    <t>PRECIO ARTIFICIALMENTE BAJO</t>
  </si>
  <si>
    <t>VALOR INICIAL</t>
  </si>
  <si>
    <t>DIFERENCIA</t>
  </si>
  <si>
    <t>PUNTAJE OFERTA ECONÓMICA</t>
  </si>
  <si>
    <t>PUNTAJE FACTOR DE CALIDAD</t>
  </si>
  <si>
    <t>Columna2</t>
  </si>
  <si>
    <t>CARLOS EDUARDO HERNANDEZ</t>
  </si>
  <si>
    <t>CONSTRURENTAR SAS</t>
  </si>
  <si>
    <t>CONSORCIO ACEROS 3</t>
  </si>
  <si>
    <t>L.R AMBIENTAL</t>
  </si>
  <si>
    <t>CONSTRUTOP INGENIERIA</t>
  </si>
  <si>
    <t>ACTIVA INGENIERIA E.U</t>
  </si>
  <si>
    <t>CLARA ELVIRA ARANGO</t>
  </si>
  <si>
    <t>ARINKO INGENIERIA</t>
  </si>
  <si>
    <t>ALEXANDER RESTREPO AGUDELO</t>
  </si>
  <si>
    <t>NO. PROPUESTA</t>
  </si>
  <si>
    <t xml:space="preserve">OBSERVACIÓN: </t>
  </si>
  <si>
    <t>MÉTODO DE MEDIA ARITMÉTICA BAJA (MAB)</t>
  </si>
  <si>
    <t>Consiste en determinar el promedio aritmético entre la propuesta válida más baja y el promedio simple de las ofertas hábiles para calificación económica.</t>
  </si>
  <si>
    <t>APLICACIÓN DEL MÉTODO MAB</t>
  </si>
  <si>
    <t>MEDIA ARITMÉTICA</t>
  </si>
  <si>
    <t>MÍNIMO</t>
  </si>
  <si>
    <t>MEDIA ARITMÉTICA BAJA</t>
  </si>
  <si>
    <t>EMPRENDIMIENTO Y EMPRESAS DE MUJERES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</si>
  <si>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</si>
  <si>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APLICACIÓN DEL MÉTODO MENOR VALOR</t>
  </si>
  <si>
    <t>PRANA CYG</t>
  </si>
  <si>
    <t>BOTERO INGENIERIA</t>
  </si>
  <si>
    <t>ACTIVA INGENIERIA</t>
  </si>
  <si>
    <t>JORGE HERNAN GUTIERREZ</t>
  </si>
  <si>
    <t>CARLOS ALBERTO CEBALLOS</t>
  </si>
  <si>
    <t>TOTALPHI SAS</t>
  </si>
  <si>
    <t>VILLESTRA</t>
  </si>
  <si>
    <t>El valor de la tasa representativa mensual del dólar (TRM) en el momento de la selección es de:</t>
  </si>
  <si>
    <t>Donde:</t>
  </si>
  <si>
    <r>
      <rPr>
        <b/>
        <sz val="12"/>
        <rFont val="Arial"/>
        <family val="2"/>
      </rPr>
      <t>V</t>
    </r>
    <r>
      <rPr>
        <b/>
        <sz val="8"/>
        <rFont val="Arial"/>
        <family val="2"/>
      </rPr>
      <t>min</t>
    </r>
    <r>
      <rPr>
        <b/>
        <sz val="12"/>
        <rFont val="Arial"/>
        <family val="2"/>
      </rPr>
      <t xml:space="preserve">: </t>
    </r>
    <r>
      <rPr>
        <sz val="12"/>
        <rFont val="Arial"/>
        <family val="2"/>
      </rPr>
      <t>Es el valor total corregido de la propuesta válida más baja</t>
    </r>
  </si>
  <si>
    <r>
      <rPr>
        <b/>
        <sz val="12"/>
        <rFont val="Arial"/>
        <family val="2"/>
      </rPr>
      <t>X:</t>
    </r>
    <r>
      <rPr>
        <sz val="12"/>
        <rFont val="Arial"/>
        <family val="2"/>
      </rPr>
      <t xml:space="preserve"> Es el promedio aritmético simple de las propuestas económicas válidas</t>
    </r>
  </si>
  <si>
    <r>
      <rPr>
        <b/>
        <sz val="12"/>
        <rFont val="Arial"/>
        <family val="2"/>
      </rPr>
      <t>X</t>
    </r>
    <r>
      <rPr>
        <b/>
        <sz val="8"/>
        <rFont val="Arial"/>
        <family val="2"/>
      </rPr>
      <t>B</t>
    </r>
    <r>
      <rPr>
        <b/>
        <sz val="12"/>
        <rFont val="Arial"/>
        <family val="2"/>
      </rPr>
      <t>:</t>
    </r>
    <r>
      <rPr>
        <sz val="12"/>
        <rFont val="Arial"/>
        <family val="2"/>
      </rPr>
      <t xml:space="preserve"> Es la media aritmética baja</t>
    </r>
  </si>
  <si>
    <t>La entidad procederá a ponderar las propuestas de acuerdo con la siguiente fórmula:</t>
  </si>
  <si>
    <r>
      <rPr>
        <b/>
        <sz val="12"/>
        <rFont val="Arial"/>
        <family val="2"/>
      </rPr>
      <t>X</t>
    </r>
    <r>
      <rPr>
        <b/>
        <sz val="8"/>
        <rFont val="Arial"/>
        <family val="2"/>
      </rPr>
      <t>B</t>
    </r>
    <r>
      <rPr>
        <b/>
        <sz val="12"/>
        <rFont val="Arial"/>
        <family val="2"/>
      </rPr>
      <t>:</t>
    </r>
    <r>
      <rPr>
        <sz val="12"/>
        <rFont val="Arial"/>
        <family val="2"/>
      </rPr>
      <t xml:space="preserve"> Es la medida aritmética baja</t>
    </r>
  </si>
  <si>
    <r>
      <rPr>
        <b/>
        <sz val="12"/>
        <rFont val="Arial"/>
        <family val="2"/>
      </rPr>
      <t>V</t>
    </r>
    <r>
      <rPr>
        <b/>
        <sz val="8"/>
        <rFont val="Arial"/>
        <family val="2"/>
      </rPr>
      <t>i</t>
    </r>
    <r>
      <rPr>
        <b/>
        <sz val="12"/>
        <rFont val="Arial"/>
        <family val="2"/>
      </rPr>
      <t xml:space="preserve">: </t>
    </r>
    <r>
      <rPr>
        <sz val="12"/>
        <rFont val="Arial"/>
        <family val="2"/>
      </rPr>
      <t>Es el valor total corregido de cada una de las propuestas "i"</t>
    </r>
  </si>
  <si>
    <t>MÉTODO DE MENOR VALOR (MV)</t>
  </si>
  <si>
    <t>La entidad otorgará el máximo puntaje a la oferta económica hábil para calificación económica de menor valor</t>
  </si>
  <si>
    <r>
      <rPr>
        <b/>
        <sz val="12"/>
        <rFont val="Arial"/>
        <family val="2"/>
      </rPr>
      <t>m:</t>
    </r>
    <r>
      <rPr>
        <sz val="12"/>
        <rFont val="Arial"/>
        <family val="2"/>
      </rPr>
      <t xml:space="preserve"> Es el número total de propuestas económicas válidas recibidas por la entidad estatal</t>
    </r>
  </si>
  <si>
    <r>
      <rPr>
        <b/>
        <sz val="12"/>
        <rFont val="Arial"/>
        <family val="2"/>
      </rPr>
      <t>V</t>
    </r>
    <r>
      <rPr>
        <b/>
        <sz val="8"/>
        <rFont val="Arial"/>
        <family val="2"/>
      </rPr>
      <t>min</t>
    </r>
    <r>
      <rPr>
        <b/>
        <sz val="12"/>
        <rFont val="Arial"/>
        <family val="2"/>
      </rPr>
      <t>:</t>
    </r>
    <r>
      <rPr>
        <sz val="12"/>
        <rFont val="Arial"/>
        <family val="2"/>
      </rPr>
      <t xml:space="preserve"> Es el valor total corregido de la propuesta válida más baja</t>
    </r>
  </si>
  <si>
    <t>APLICACIÓN DEL MÉTODO MV</t>
  </si>
  <si>
    <t>CONECTA INGENIERÍA SAS</t>
  </si>
  <si>
    <t>BOTERO INGENIERÍA SAS</t>
  </si>
  <si>
    <t>CONSORCIO G2</t>
  </si>
  <si>
    <t>WENTZER MAURICIO LEON TORRES</t>
  </si>
  <si>
    <t>CONSORCIO FG MZL</t>
  </si>
  <si>
    <t xml:space="preserve">OBJETO DEL PROCESO </t>
  </si>
  <si>
    <t>EVALUACION PROPUESTAS PROCESO XXX-XXXX</t>
  </si>
  <si>
    <t xml:space="preserve">TRM </t>
  </si>
  <si>
    <t>Se aplica procedimiento 3 ya que la TRM para el XX de XXXX de XXXX se encuentra en el rango de 0.40 a 0.59</t>
  </si>
  <si>
    <t xml:space="preserve">PRESUPUESTO OFICIAL </t>
  </si>
  <si>
    <t>PROPUESTA No.</t>
  </si>
  <si>
    <t>VALOR CORREGIDO</t>
  </si>
  <si>
    <t>SUMATORIA</t>
  </si>
  <si>
    <t>NUMERO DE OFERTAS VÁLIDAS (n)</t>
  </si>
  <si>
    <t>MEDIA ARITMÉTICA (Xbarra)</t>
  </si>
  <si>
    <t>VALOR OFERTA VÁLIDA MÁS ALTA</t>
  </si>
  <si>
    <t>MEDIA ARITMÉTICA ALTA (Xa)</t>
  </si>
  <si>
    <t>ORDEN DE ELEGIBILIDAD</t>
  </si>
  <si>
    <t>MAXIMO PUNTAJE POR OFERTA ECONÓMICA</t>
  </si>
  <si>
    <t>MEDIA ARITMÉTICA
ALTA</t>
  </si>
  <si>
    <t>PROPUESTA
(i)</t>
  </si>
  <si>
    <t>OFERTA ECONÓMICA (Xi)</t>
  </si>
  <si>
    <t>PUNTUACIÓN POR OFERTA ECONÓMICA</t>
  </si>
  <si>
    <t>PUNTAJE POR CALIDAD</t>
  </si>
  <si>
    <t>PUNTAJE POR ORIGEN NACIONAL</t>
  </si>
  <si>
    <t>PUNTAJE TOTAL ASIGNADO</t>
  </si>
  <si>
    <t>Lunes 12 de agosto de 2024</t>
  </si>
  <si>
    <t>MC-054-2024</t>
  </si>
  <si>
    <t>El valor de la tasa representativa mensual del dólar (TRM) en el momento de la selección es de: $ 4064,51</t>
  </si>
  <si>
    <t>“CONSTRUCCIÓN DE OBRAS DE ESTABILIDAD Y OBRAS DE MANEJO DE AGUAS LLUVIAS PARA LA MITIGACIÓN DEL RIESGO EN SITIOS CRÍTICOS DE ZONA URBANA (COMUNA SIETE – TESORITO HASTA LA COMUNA ONCE – LA MACARENA) Y ZONA RURAL DEL MUNICIPIO DE MANIZALES, POR EL SISTEMA DE MONTO AGOTABLE"</t>
  </si>
  <si>
    <t>CONSORCIO OBRAS GI</t>
  </si>
  <si>
    <t>ROBLE INGENIERÍA S.A.S</t>
  </si>
  <si>
    <t>RICARDO TABARES GONZALEZ</t>
  </si>
  <si>
    <t>JOHN ESNEIDER CARDONA GUTIERREZ</t>
  </si>
  <si>
    <t>FEXSA INGENIERIA Y SERVICIOS S.A.S</t>
  </si>
  <si>
    <t>CATALINA CALDERON ESPINOSA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</si>
</sst>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8" formatCode="&quot;$&quot;\ #,##0.00;[Red]\-&quot;$&quot;\ #,##0.00"/>
    <numFmt numFmtId="41" formatCode="_-* #,##0_-;\-* #,##0_-;_-* &quot;-&quot;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_-* #,##0\ &quot;Pts&quot;_-;\-* #,##0\ &quot;Pts&quot;_-;_-* &quot;-&quot;\ &quot;Pts&quot;_-;_-@_-"/>
    <numFmt numFmtId="167" formatCode="_-* #,##0.00\ _P_t_s_-;\-* #,##0.00\ _P_t_s_-;_-* &quot;-&quot;??\ _P_t_s_-;_-@_-"/>
    <numFmt numFmtId="168" formatCode="_-[$€-2]* #,##0.00_-;\-[$€-2]* #,##0.00_-;_-[$€-2]* \-??_-"/>
    <numFmt numFmtId="169" formatCode="#,##0.000"/>
    <numFmt numFmtId="170" formatCode="_-[$$-240A]* #,##0_-;\-[$$-240A]* #,##0_-;_-[$$-240A]* &quot;-&quot;??_-;_-@_-"/>
    <numFmt numFmtId="171" formatCode="0.0000000"/>
    <numFmt numFmtId="172" formatCode="0.000000"/>
    <numFmt numFmtId="173" formatCode="&quot;$&quot;\ #,##0"/>
    <numFmt numFmtId="174" formatCode="0.0"/>
    <numFmt numFmtId="175" formatCode="0.000"/>
    <numFmt numFmtId="176" formatCode="[$-F800]dddd\,\ mmmm\ dd\,\ yyyy"/>
  </numFmts>
  <fonts count="42" x14ac:knownFonts="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20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sz val="10"/>
      <color indexed="8"/>
      <name val="MS Sans Serif"/>
      <family val="2"/>
    </font>
    <font>
      <sz val="10"/>
      <name val="MS Sans Serif"/>
      <family val="2"/>
    </font>
    <font>
      <sz val="10"/>
      <name val="Tahoma"/>
      <family val="2"/>
    </font>
    <font>
      <b/>
      <sz val="8"/>
      <name val="Tahoma"/>
      <family val="2"/>
    </font>
    <font>
      <b/>
      <sz val="10"/>
      <name val="Tahoma"/>
      <family val="2"/>
    </font>
    <font>
      <sz val="9"/>
      <name val="Tahoma"/>
      <family val="2"/>
    </font>
    <font>
      <sz val="8"/>
      <name val="Tahoma"/>
      <family val="2"/>
    </font>
    <font>
      <b/>
      <sz val="9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name val="Tahoma"/>
      <family val="2"/>
    </font>
    <font>
      <b/>
      <sz val="10"/>
      <name val="Arial"/>
      <family val="2"/>
    </font>
    <font>
      <sz val="12"/>
      <name val="Arial"/>
      <family val="2"/>
    </font>
    <font>
      <i/>
      <sz val="10"/>
      <name val="Arial"/>
      <family val="2"/>
    </font>
    <font>
      <i/>
      <u/>
      <sz val="10"/>
      <color indexed="12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2"/>
      <name val="Arial Narrow"/>
      <family val="2"/>
    </font>
    <font>
      <b/>
      <sz val="16"/>
      <name val="Arial Narrow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Tahoma"/>
      <family val="2"/>
    </font>
    <font>
      <sz val="9"/>
      <color rgb="FF000000"/>
      <name val="Tahoma"/>
      <family val="2"/>
    </font>
    <font>
      <sz val="10"/>
      <color rgb="FF000000"/>
      <name val="Arial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1"/>
      <color rgb="FF000000"/>
      <name val="Arial Narrow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</borders>
  <cellStyleXfs count="55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9" fillId="3" borderId="0" applyNumberFormat="0" applyBorder="0" applyAlignment="0" applyProtection="0"/>
    <xf numFmtId="0" fontId="7" fillId="20" borderId="1" applyNumberFormat="0" applyAlignment="0" applyProtection="0"/>
    <xf numFmtId="168" fontId="4" fillId="0" borderId="0" applyFill="0" applyBorder="0" applyAlignment="0" applyProtection="0"/>
    <xf numFmtId="0" fontId="11" fillId="0" borderId="0" applyNumberFormat="0" applyFill="0" applyBorder="0" applyAlignment="0" applyProtection="0"/>
    <xf numFmtId="0" fontId="13" fillId="0" borderId="2" applyNumberFormat="0" applyFill="0" applyAlignment="0" applyProtection="0"/>
    <xf numFmtId="0" fontId="8" fillId="0" borderId="3" applyNumberFormat="0" applyFill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167" fontId="1" fillId="0" borderId="0" applyFont="0" applyFill="0" applyBorder="0" applyAlignment="0" applyProtection="0"/>
    <xf numFmtId="41" fontId="35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30" fillId="0" borderId="0" applyFont="0" applyFill="0" applyBorder="0" applyAlignment="0" applyProtection="0"/>
    <xf numFmtId="164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0" fontId="4" fillId="0" borderId="0"/>
    <xf numFmtId="0" fontId="4" fillId="0" borderId="0"/>
    <xf numFmtId="0" fontId="14" fillId="0" borderId="0"/>
    <xf numFmtId="0" fontId="4" fillId="0" borderId="0"/>
    <xf numFmtId="0" fontId="15" fillId="0" borderId="0"/>
    <xf numFmtId="0" fontId="14" fillId="0" borderId="0"/>
    <xf numFmtId="0" fontId="5" fillId="0" borderId="0"/>
    <xf numFmtId="0" fontId="5" fillId="0" borderId="0"/>
    <xf numFmtId="0" fontId="1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10" fillId="20" borderId="4" applyNumberForma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249">
    <xf numFmtId="0" fontId="0" fillId="0" borderId="0" xfId="0"/>
    <xf numFmtId="0" fontId="3" fillId="25" borderId="5" xfId="0" applyFont="1" applyFill="1" applyBorder="1" applyAlignment="1">
      <alignment horizontal="center"/>
    </xf>
    <xf numFmtId="0" fontId="26" fillId="0" borderId="5" xfId="0" applyFont="1" applyBorder="1" applyAlignment="1">
      <alignment horizontal="center"/>
    </xf>
    <xf numFmtId="0" fontId="0" fillId="21" borderId="0" xfId="0" applyFill="1"/>
    <xf numFmtId="0" fontId="16" fillId="21" borderId="0" xfId="0" applyFont="1" applyFill="1"/>
    <xf numFmtId="167" fontId="36" fillId="21" borderId="5" xfId="32" applyFont="1" applyFill="1" applyBorder="1" applyAlignment="1">
      <alignment horizontal="center" vertical="center" wrapText="1"/>
    </xf>
    <xf numFmtId="0" fontId="19" fillId="21" borderId="5" xfId="0" applyFont="1" applyFill="1" applyBorder="1" applyAlignment="1">
      <alignment horizontal="center"/>
    </xf>
    <xf numFmtId="4" fontId="19" fillId="21" borderId="6" xfId="0" applyNumberFormat="1" applyFont="1" applyFill="1" applyBorder="1" applyAlignment="1">
      <alignment horizontal="right"/>
    </xf>
    <xf numFmtId="0" fontId="18" fillId="21" borderId="0" xfId="0" applyFont="1" applyFill="1" applyAlignment="1">
      <alignment horizontal="center"/>
    </xf>
    <xf numFmtId="3" fontId="16" fillId="21" borderId="0" xfId="0" applyNumberFormat="1" applyFont="1" applyFill="1" applyAlignment="1">
      <alignment horizontal="center"/>
    </xf>
    <xf numFmtId="0" fontId="16" fillId="22" borderId="5" xfId="0" applyFont="1" applyFill="1" applyBorder="1" applyAlignment="1">
      <alignment horizontal="center"/>
    </xf>
    <xf numFmtId="167" fontId="36" fillId="21" borderId="5" xfId="32" applyFont="1" applyFill="1" applyBorder="1" applyAlignment="1">
      <alignment horizontal="right" vertical="center" wrapText="1"/>
    </xf>
    <xf numFmtId="0" fontId="17" fillId="21" borderId="5" xfId="0" applyFont="1" applyFill="1" applyBorder="1" applyAlignment="1">
      <alignment horizontal="center" vertical="center" wrapText="1"/>
    </xf>
    <xf numFmtId="0" fontId="21" fillId="21" borderId="5" xfId="0" applyFont="1" applyFill="1" applyBorder="1" applyAlignment="1">
      <alignment horizontal="center" vertical="center" wrapText="1"/>
    </xf>
    <xf numFmtId="0" fontId="16" fillId="21" borderId="0" xfId="0" applyFont="1" applyFill="1" applyAlignment="1">
      <alignment horizontal="right"/>
    </xf>
    <xf numFmtId="4" fontId="17" fillId="21" borderId="5" xfId="0" applyNumberFormat="1" applyFont="1" applyFill="1" applyBorder="1" applyAlignment="1">
      <alignment horizontal="center" wrapText="1"/>
    </xf>
    <xf numFmtId="0" fontId="20" fillId="21" borderId="0" xfId="0" applyFont="1" applyFill="1" applyAlignment="1">
      <alignment horizontal="center"/>
    </xf>
    <xf numFmtId="4" fontId="20" fillId="21" borderId="0" xfId="0" applyNumberFormat="1" applyFont="1" applyFill="1" applyAlignment="1">
      <alignment horizontal="center" vertical="top" wrapText="1"/>
    </xf>
    <xf numFmtId="3" fontId="19" fillId="21" borderId="0" xfId="0" applyNumberFormat="1" applyFont="1" applyFill="1" applyAlignment="1">
      <alignment horizontal="center"/>
    </xf>
    <xf numFmtId="0" fontId="37" fillId="21" borderId="5" xfId="0" applyFont="1" applyFill="1" applyBorder="1" applyAlignment="1">
      <alignment horizontal="center" vertical="center" wrapText="1"/>
    </xf>
    <xf numFmtId="4" fontId="18" fillId="23" borderId="5" xfId="0" applyNumberFormat="1" applyFont="1" applyFill="1" applyBorder="1" applyAlignment="1">
      <alignment horizontal="right" vertical="center"/>
    </xf>
    <xf numFmtId="0" fontId="17" fillId="21" borderId="7" xfId="0" applyFont="1" applyFill="1" applyBorder="1" applyAlignment="1">
      <alignment horizontal="center" vertical="center" wrapText="1"/>
    </xf>
    <xf numFmtId="0" fontId="4" fillId="21" borderId="0" xfId="0" applyFont="1" applyFill="1"/>
    <xf numFmtId="3" fontId="17" fillId="21" borderId="5" xfId="0" applyNumberFormat="1" applyFont="1" applyFill="1" applyBorder="1" applyAlignment="1">
      <alignment horizontal="center" vertical="center" wrapText="1"/>
    </xf>
    <xf numFmtId="4" fontId="17" fillId="21" borderId="5" xfId="0" applyNumberFormat="1" applyFont="1" applyFill="1" applyBorder="1" applyAlignment="1">
      <alignment horizontal="center" vertical="center" wrapText="1"/>
    </xf>
    <xf numFmtId="0" fontId="3" fillId="21" borderId="0" xfId="0" applyFont="1" applyFill="1" applyAlignment="1">
      <alignment horizontal="center"/>
    </xf>
    <xf numFmtId="4" fontId="21" fillId="21" borderId="5" xfId="0" applyNumberFormat="1" applyFont="1" applyFill="1" applyBorder="1" applyAlignment="1">
      <alignment horizontal="center" vertical="center"/>
    </xf>
    <xf numFmtId="4" fontId="16" fillId="22" borderId="5" xfId="0" applyNumberFormat="1" applyFont="1" applyFill="1" applyBorder="1" applyAlignment="1">
      <alignment horizontal="center" vertical="center" wrapText="1"/>
    </xf>
    <xf numFmtId="4" fontId="0" fillId="21" borderId="0" xfId="0" applyNumberFormat="1" applyFill="1"/>
    <xf numFmtId="0" fontId="17" fillId="24" borderId="8" xfId="0" applyFont="1" applyFill="1" applyBorder="1" applyAlignment="1">
      <alignment horizontal="center"/>
    </xf>
    <xf numFmtId="167" fontId="36" fillId="24" borderId="5" xfId="32" applyFont="1" applyFill="1" applyBorder="1" applyAlignment="1">
      <alignment horizontal="center" vertical="center" wrapText="1"/>
    </xf>
    <xf numFmtId="0" fontId="0" fillId="22" borderId="5" xfId="0" applyFill="1" applyBorder="1" applyAlignment="1">
      <alignment horizontal="center" vertical="center"/>
    </xf>
    <xf numFmtId="0" fontId="20" fillId="21" borderId="9" xfId="0" applyFont="1" applyFill="1" applyBorder="1" applyAlignment="1">
      <alignment horizontal="center"/>
    </xf>
    <xf numFmtId="167" fontId="36" fillId="21" borderId="10" xfId="32" applyFont="1" applyFill="1" applyBorder="1" applyAlignment="1">
      <alignment horizontal="center" vertical="center" wrapText="1"/>
    </xf>
    <xf numFmtId="167" fontId="36" fillId="21" borderId="11" xfId="32" applyFont="1" applyFill="1" applyBorder="1" applyAlignment="1">
      <alignment horizontal="right" vertical="center" wrapText="1"/>
    </xf>
    <xf numFmtId="0" fontId="20" fillId="21" borderId="12" xfId="0" applyFont="1" applyFill="1" applyBorder="1" applyAlignment="1">
      <alignment horizontal="center"/>
    </xf>
    <xf numFmtId="167" fontId="36" fillId="21" borderId="13" xfId="32" applyFont="1" applyFill="1" applyBorder="1" applyAlignment="1">
      <alignment horizontal="right" vertical="center" wrapText="1"/>
    </xf>
    <xf numFmtId="0" fontId="20" fillId="21" borderId="14" xfId="0" applyFont="1" applyFill="1" applyBorder="1" applyAlignment="1">
      <alignment horizontal="center"/>
    </xf>
    <xf numFmtId="167" fontId="36" fillId="21" borderId="15" xfId="32" applyFont="1" applyFill="1" applyBorder="1" applyAlignment="1">
      <alignment horizontal="center" vertical="center" wrapText="1"/>
    </xf>
    <xf numFmtId="167" fontId="36" fillId="21" borderId="16" xfId="32" applyFont="1" applyFill="1" applyBorder="1" applyAlignment="1">
      <alignment horizontal="right" vertical="center" wrapText="1"/>
    </xf>
    <xf numFmtId="169" fontId="19" fillId="21" borderId="5" xfId="0" applyNumberFormat="1" applyFont="1" applyFill="1" applyBorder="1" applyAlignment="1">
      <alignment horizontal="center"/>
    </xf>
    <xf numFmtId="0" fontId="26" fillId="0" borderId="0" xfId="0" applyFont="1"/>
    <xf numFmtId="0" fontId="26" fillId="0" borderId="0" xfId="0" applyFont="1" applyAlignment="1">
      <alignment horizontal="left" wrapText="1"/>
    </xf>
    <xf numFmtId="2" fontId="26" fillId="0" borderId="5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" fontId="4" fillId="0" borderId="5" xfId="0" quotePrefix="1" applyNumberFormat="1" applyFont="1" applyBorder="1" applyAlignment="1">
      <alignment horizontal="center" vertical="center"/>
    </xf>
    <xf numFmtId="171" fontId="4" fillId="0" borderId="5" xfId="0" quotePrefix="1" applyNumberFormat="1" applyFont="1" applyBorder="1" applyAlignment="1">
      <alignment horizontal="center" vertical="center"/>
    </xf>
    <xf numFmtId="173" fontId="4" fillId="0" borderId="5" xfId="34" applyNumberFormat="1" applyFont="1" applyFill="1" applyBorder="1" applyAlignment="1">
      <alignment horizontal="center" vertical="center"/>
    </xf>
    <xf numFmtId="1" fontId="4" fillId="0" borderId="7" xfId="0" quotePrefix="1" applyNumberFormat="1" applyFont="1" applyBorder="1" applyAlignment="1">
      <alignment horizontal="center" vertical="center"/>
    </xf>
    <xf numFmtId="1" fontId="4" fillId="0" borderId="8" xfId="34" applyNumberFormat="1" applyFont="1" applyFill="1" applyBorder="1" applyAlignment="1">
      <alignment horizontal="center" vertical="center"/>
    </xf>
    <xf numFmtId="0" fontId="25" fillId="25" borderId="17" xfId="0" applyFont="1" applyFill="1" applyBorder="1" applyAlignment="1">
      <alignment horizontal="center" vertical="center"/>
    </xf>
    <xf numFmtId="1" fontId="25" fillId="25" borderId="18" xfId="0" applyNumberFormat="1" applyFont="1" applyFill="1" applyBorder="1" applyAlignment="1">
      <alignment horizontal="center" vertical="center"/>
    </xf>
    <xf numFmtId="0" fontId="25" fillId="25" borderId="6" xfId="0" applyFont="1" applyFill="1" applyBorder="1" applyAlignment="1">
      <alignment horizontal="center" vertical="center"/>
    </xf>
    <xf numFmtId="1" fontId="25" fillId="25" borderId="19" xfId="0" applyNumberFormat="1" applyFont="1" applyFill="1" applyBorder="1" applyAlignment="1">
      <alignment horizontal="center" vertical="center"/>
    </xf>
    <xf numFmtId="173" fontId="4" fillId="0" borderId="8" xfId="34" applyNumberFormat="1" applyFont="1" applyFill="1" applyBorder="1" applyAlignment="1">
      <alignment horizontal="center" vertical="center"/>
    </xf>
    <xf numFmtId="1" fontId="25" fillId="25" borderId="6" xfId="0" applyNumberFormat="1" applyFont="1" applyFill="1" applyBorder="1" applyAlignment="1">
      <alignment horizontal="center" vertical="center" wrapText="1"/>
    </xf>
    <xf numFmtId="1" fontId="0" fillId="0" borderId="5" xfId="0" quotePrefix="1" applyNumberFormat="1" applyBorder="1" applyAlignment="1">
      <alignment horizontal="center" vertical="center"/>
    </xf>
    <xf numFmtId="1" fontId="0" fillId="0" borderId="20" xfId="0" quotePrefix="1" applyNumberFormat="1" applyBorder="1" applyAlignment="1">
      <alignment horizontal="center" vertical="center"/>
    </xf>
    <xf numFmtId="1" fontId="0" fillId="0" borderId="8" xfId="34" applyNumberFormat="1" applyFont="1" applyFill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/>
    </xf>
    <xf numFmtId="1" fontId="4" fillId="0" borderId="5" xfId="0" applyNumberFormat="1" applyFont="1" applyBorder="1" applyAlignment="1">
      <alignment horizontal="center" vertical="center"/>
    </xf>
    <xf numFmtId="171" fontId="0" fillId="0" borderId="5" xfId="34" quotePrefix="1" applyNumberFormat="1" applyFont="1" applyFill="1" applyBorder="1" applyAlignment="1">
      <alignment horizontal="center" vertical="center"/>
    </xf>
    <xf numFmtId="1" fontId="4" fillId="0" borderId="8" xfId="0" quotePrefix="1" applyNumberFormat="1" applyFont="1" applyBorder="1" applyAlignment="1">
      <alignment horizontal="center" vertical="center"/>
    </xf>
    <xf numFmtId="173" fontId="4" fillId="0" borderId="20" xfId="34" applyNumberFormat="1" applyFont="1" applyFill="1" applyBorder="1" applyAlignment="1">
      <alignment horizontal="center" vertical="center"/>
    </xf>
    <xf numFmtId="1" fontId="4" fillId="0" borderId="20" xfId="0" quotePrefix="1" applyNumberFormat="1" applyFont="1" applyBorder="1" applyAlignment="1">
      <alignment horizontal="center" vertical="center"/>
    </xf>
    <xf numFmtId="171" fontId="4" fillId="0" borderId="20" xfId="0" quotePrefix="1" applyNumberFormat="1" applyFont="1" applyBorder="1" applyAlignment="1">
      <alignment horizontal="center" vertical="center"/>
    </xf>
    <xf numFmtId="1" fontId="0" fillId="0" borderId="8" xfId="0" quotePrefix="1" applyNumberForma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73" fontId="4" fillId="0" borderId="0" xfId="34" applyNumberFormat="1" applyFont="1" applyFill="1" applyBorder="1" applyAlignment="1">
      <alignment horizontal="center" vertical="center"/>
    </xf>
    <xf numFmtId="1" fontId="25" fillId="25" borderId="5" xfId="0" applyNumberFormat="1" applyFont="1" applyFill="1" applyBorder="1" applyAlignment="1">
      <alignment horizontal="center" vertical="center" wrapText="1"/>
    </xf>
    <xf numFmtId="0" fontId="25" fillId="25" borderId="18" xfId="0" applyFont="1" applyFill="1" applyBorder="1" applyAlignment="1">
      <alignment horizontal="center" vertical="center" wrapText="1"/>
    </xf>
    <xf numFmtId="173" fontId="26" fillId="0" borderId="0" xfId="34" applyNumberFormat="1" applyFont="1" applyFill="1" applyBorder="1" applyAlignment="1">
      <alignment horizontal="center" vertical="center"/>
    </xf>
    <xf numFmtId="171" fontId="4" fillId="0" borderId="8" xfId="0" quotePrefix="1" applyNumberFormat="1" applyFont="1" applyBorder="1" applyAlignment="1">
      <alignment horizontal="center" vertical="center"/>
    </xf>
    <xf numFmtId="171" fontId="4" fillId="0" borderId="21" xfId="0" quotePrefix="1" applyNumberFormat="1" applyFont="1" applyBorder="1" applyAlignment="1">
      <alignment horizontal="center" vertical="center"/>
    </xf>
    <xf numFmtId="0" fontId="25" fillId="25" borderId="17" xfId="0" applyFont="1" applyFill="1" applyBorder="1" applyAlignment="1">
      <alignment horizontal="center" vertical="center" wrapText="1"/>
    </xf>
    <xf numFmtId="0" fontId="25" fillId="25" borderId="6" xfId="0" applyFont="1" applyFill="1" applyBorder="1" applyAlignment="1">
      <alignment horizontal="center" vertical="center" wrapText="1"/>
    </xf>
    <xf numFmtId="1" fontId="25" fillId="25" borderId="18" xfId="0" applyNumberFormat="1" applyFont="1" applyFill="1" applyBorder="1" applyAlignment="1">
      <alignment horizontal="center" vertical="center" wrapText="1"/>
    </xf>
    <xf numFmtId="172" fontId="4" fillId="0" borderId="8" xfId="0" quotePrefix="1" applyNumberFormat="1" applyFont="1" applyBorder="1" applyAlignment="1">
      <alignment horizontal="center" vertical="center"/>
    </xf>
    <xf numFmtId="172" fontId="4" fillId="0" borderId="21" xfId="0" quotePrefix="1" applyNumberFormat="1" applyFont="1" applyBorder="1" applyAlignment="1">
      <alignment horizontal="center" vertical="center"/>
    </xf>
    <xf numFmtId="171" fontId="4" fillId="0" borderId="0" xfId="0" applyNumberFormat="1" applyFont="1" applyAlignment="1">
      <alignment horizontal="center" vertical="center"/>
    </xf>
    <xf numFmtId="173" fontId="26" fillId="0" borderId="0" xfId="34" applyNumberFormat="1" applyFont="1" applyBorder="1" applyAlignment="1">
      <alignment horizontal="center"/>
    </xf>
    <xf numFmtId="173" fontId="26" fillId="0" borderId="0" xfId="0" applyNumberFormat="1" applyFont="1" applyAlignment="1">
      <alignment horizontal="center"/>
    </xf>
    <xf numFmtId="1" fontId="26" fillId="0" borderId="0" xfId="34" applyNumberFormat="1" applyFont="1" applyFill="1" applyBorder="1" applyAlignment="1">
      <alignment horizontal="center"/>
    </xf>
    <xf numFmtId="173" fontId="26" fillId="0" borderId="0" xfId="34" applyNumberFormat="1" applyFont="1" applyFill="1" applyBorder="1" applyAlignment="1">
      <alignment horizontal="center"/>
    </xf>
    <xf numFmtId="173" fontId="0" fillId="0" borderId="5" xfId="34" applyNumberFormat="1" applyFont="1" applyFill="1" applyBorder="1" applyAlignment="1">
      <alignment horizontal="center" vertical="center"/>
    </xf>
    <xf numFmtId="171" fontId="0" fillId="0" borderId="8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0" fontId="26" fillId="0" borderId="0" xfId="0" applyFont="1" applyAlignment="1">
      <alignment horizontal="left"/>
    </xf>
    <xf numFmtId="173" fontId="4" fillId="0" borderId="0" xfId="35" applyNumberFormat="1" applyFont="1" applyFill="1" applyBorder="1" applyAlignment="1">
      <alignment horizontal="center" vertical="center"/>
    </xf>
    <xf numFmtId="2" fontId="4" fillId="0" borderId="21" xfId="35" applyNumberFormat="1" applyFont="1" applyFill="1" applyBorder="1" applyAlignment="1">
      <alignment vertical="center"/>
    </xf>
    <xf numFmtId="2" fontId="0" fillId="0" borderId="21" xfId="35" applyNumberFormat="1" applyFont="1" applyFill="1" applyBorder="1" applyAlignment="1">
      <alignment vertical="center"/>
    </xf>
    <xf numFmtId="0" fontId="26" fillId="0" borderId="26" xfId="0" applyFont="1" applyBorder="1" applyAlignment="1">
      <alignment horizontal="center" vertical="center"/>
    </xf>
    <xf numFmtId="173" fontId="0" fillId="0" borderId="5" xfId="34" applyNumberFormat="1" applyFont="1" applyFill="1" applyBorder="1" applyAlignment="1">
      <alignment vertical="center"/>
    </xf>
    <xf numFmtId="1" fontId="31" fillId="0" borderId="7" xfId="0" applyNumberFormat="1" applyFont="1" applyBorder="1" applyAlignment="1">
      <alignment horizontal="center" vertical="center"/>
    </xf>
    <xf numFmtId="167" fontId="31" fillId="26" borderId="5" xfId="32" applyFont="1" applyFill="1" applyBorder="1" applyAlignment="1">
      <alignment horizontal="center" vertical="center"/>
    </xf>
    <xf numFmtId="167" fontId="31" fillId="0" borderId="5" xfId="32" applyFont="1" applyBorder="1" applyAlignment="1">
      <alignment horizontal="center" vertical="center"/>
    </xf>
    <xf numFmtId="173" fontId="4" fillId="0" borderId="7" xfId="0" applyNumberFormat="1" applyFont="1" applyBorder="1" applyAlignment="1">
      <alignment horizontal="center" vertical="center"/>
    </xf>
    <xf numFmtId="1" fontId="31" fillId="0" borderId="5" xfId="0" applyNumberFormat="1" applyFont="1" applyBorder="1" applyAlignment="1">
      <alignment horizontal="center"/>
    </xf>
    <xf numFmtId="170" fontId="33" fillId="27" borderId="22" xfId="39" applyNumberFormat="1" applyFont="1" applyFill="1" applyBorder="1" applyAlignment="1">
      <alignment vertical="center"/>
    </xf>
    <xf numFmtId="0" fontId="5" fillId="21" borderId="5" xfId="44" applyFill="1" applyBorder="1" applyAlignment="1">
      <alignment horizontal="center" vertical="center" wrapText="1"/>
    </xf>
    <xf numFmtId="0" fontId="5" fillId="0" borderId="5" xfId="44" applyBorder="1" applyAlignment="1">
      <alignment horizontal="center" vertical="center" wrapText="1"/>
    </xf>
    <xf numFmtId="0" fontId="34" fillId="0" borderId="5" xfId="0" applyFont="1" applyBorder="1" applyAlignment="1">
      <alignment horizontal="left" vertical="center" wrapText="1"/>
    </xf>
    <xf numFmtId="0" fontId="34" fillId="0" borderId="20" xfId="0" applyFont="1" applyBorder="1" applyAlignment="1">
      <alignment horizontal="left" vertical="center" wrapText="1"/>
    </xf>
    <xf numFmtId="2" fontId="4" fillId="0" borderId="8" xfId="0" quotePrefix="1" applyNumberFormat="1" applyFont="1" applyBorder="1" applyAlignment="1">
      <alignment horizontal="center" vertical="center"/>
    </xf>
    <xf numFmtId="2" fontId="4" fillId="0" borderId="21" xfId="0" quotePrefix="1" applyNumberFormat="1" applyFont="1" applyBorder="1" applyAlignment="1">
      <alignment horizontal="center" vertical="center"/>
    </xf>
    <xf numFmtId="2" fontId="4" fillId="0" borderId="5" xfId="0" quotePrefix="1" applyNumberFormat="1" applyFont="1" applyBorder="1" applyAlignment="1">
      <alignment horizontal="center" vertical="center"/>
    </xf>
    <xf numFmtId="175" fontId="26" fillId="0" borderId="0" xfId="0" applyNumberFormat="1" applyFont="1"/>
    <xf numFmtId="0" fontId="4" fillId="0" borderId="5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174" fontId="4" fillId="0" borderId="8" xfId="0" quotePrefix="1" applyNumberFormat="1" applyFont="1" applyBorder="1" applyAlignment="1">
      <alignment horizontal="center" vertical="center"/>
    </xf>
    <xf numFmtId="174" fontId="4" fillId="0" borderId="21" xfId="0" quotePrefix="1" applyNumberFormat="1" applyFont="1" applyBorder="1" applyAlignment="1">
      <alignment horizontal="center" vertical="center"/>
    </xf>
    <xf numFmtId="174" fontId="0" fillId="0" borderId="8" xfId="0" applyNumberFormat="1" applyBorder="1" applyAlignment="1">
      <alignment horizontal="center" vertical="center"/>
    </xf>
    <xf numFmtId="2" fontId="0" fillId="0" borderId="8" xfId="34" applyNumberFormat="1" applyFont="1" applyFill="1" applyBorder="1" applyAlignment="1">
      <alignment horizontal="center" vertical="center"/>
    </xf>
    <xf numFmtId="2" fontId="0" fillId="0" borderId="21" xfId="34" applyNumberFormat="1" applyFont="1" applyFill="1" applyBorder="1" applyAlignment="1">
      <alignment vertical="center"/>
    </xf>
    <xf numFmtId="171" fontId="4" fillId="0" borderId="5" xfId="34" applyNumberFormat="1" applyFont="1" applyFill="1" applyBorder="1" applyAlignment="1">
      <alignment horizontal="center" vertical="center"/>
    </xf>
    <xf numFmtId="2" fontId="4" fillId="0" borderId="8" xfId="34" applyNumberFormat="1" applyFont="1" applyFill="1" applyBorder="1" applyAlignment="1">
      <alignment horizontal="center" vertical="center"/>
    </xf>
    <xf numFmtId="0" fontId="31" fillId="0" borderId="5" xfId="44" applyFont="1" applyBorder="1" applyAlignment="1">
      <alignment horizontal="left" vertical="center"/>
    </xf>
    <xf numFmtId="0" fontId="31" fillId="0" borderId="5" xfId="0" applyFont="1" applyBorder="1" applyAlignment="1">
      <alignment horizontal="left" vertical="center" wrapText="1"/>
    </xf>
    <xf numFmtId="167" fontId="26" fillId="0" borderId="0" xfId="32" applyFont="1"/>
    <xf numFmtId="173" fontId="26" fillId="0" borderId="0" xfId="0" applyNumberFormat="1" applyFont="1"/>
    <xf numFmtId="0" fontId="39" fillId="0" borderId="0" xfId="0" applyFont="1" applyAlignment="1">
      <alignment horizontal="center"/>
    </xf>
    <xf numFmtId="0" fontId="39" fillId="0" borderId="0" xfId="0" applyFont="1"/>
    <xf numFmtId="0" fontId="40" fillId="25" borderId="17" xfId="0" applyFont="1" applyFill="1" applyBorder="1" applyAlignment="1">
      <alignment horizontal="center" vertical="center" wrapText="1"/>
    </xf>
    <xf numFmtId="0" fontId="40" fillId="25" borderId="6" xfId="0" applyFont="1" applyFill="1" applyBorder="1" applyAlignment="1">
      <alignment horizontal="center" vertical="center" wrapText="1"/>
    </xf>
    <xf numFmtId="1" fontId="40" fillId="25" borderId="18" xfId="0" applyNumberFormat="1" applyFont="1" applyFill="1" applyBorder="1" applyAlignment="1">
      <alignment horizontal="center" vertical="center" wrapText="1"/>
    </xf>
    <xf numFmtId="0" fontId="40" fillId="25" borderId="18" xfId="0" applyFont="1" applyFill="1" applyBorder="1" applyAlignment="1">
      <alignment horizontal="center" vertical="center" wrapText="1"/>
    </xf>
    <xf numFmtId="1" fontId="40" fillId="25" borderId="6" xfId="0" applyNumberFormat="1" applyFont="1" applyFill="1" applyBorder="1" applyAlignment="1">
      <alignment horizontal="center" vertical="center" wrapText="1"/>
    </xf>
    <xf numFmtId="0" fontId="41" fillId="0" borderId="7" xfId="0" applyFont="1" applyBorder="1" applyAlignment="1">
      <alignment horizontal="center" wrapText="1"/>
    </xf>
    <xf numFmtId="0" fontId="41" fillId="0" borderId="5" xfId="0" applyFont="1" applyBorder="1" applyAlignment="1">
      <alignment horizontal="center" vertical="center" wrapText="1"/>
    </xf>
    <xf numFmtId="8" fontId="41" fillId="0" borderId="6" xfId="0" applyNumberFormat="1" applyFont="1" applyBorder="1" applyAlignment="1">
      <alignment wrapText="1"/>
    </xf>
    <xf numFmtId="1" fontId="39" fillId="0" borderId="5" xfId="0" quotePrefix="1" applyNumberFormat="1" applyFont="1" applyBorder="1" applyAlignment="1">
      <alignment horizontal="center" vertical="center"/>
    </xf>
    <xf numFmtId="175" fontId="39" fillId="0" borderId="5" xfId="0" quotePrefix="1" applyNumberFormat="1" applyFont="1" applyBorder="1" applyAlignment="1">
      <alignment horizontal="center" vertical="center"/>
    </xf>
    <xf numFmtId="2" fontId="39" fillId="0" borderId="8" xfId="0" applyNumberFormat="1" applyFont="1" applyBorder="1" applyAlignment="1">
      <alignment horizontal="center" vertical="center"/>
    </xf>
    <xf numFmtId="2" fontId="39" fillId="0" borderId="8" xfId="0" quotePrefix="1" applyNumberFormat="1" applyFont="1" applyBorder="1" applyAlignment="1">
      <alignment horizontal="center" vertical="center"/>
    </xf>
    <xf numFmtId="1" fontId="39" fillId="0" borderId="8" xfId="0" quotePrefix="1" applyNumberFormat="1" applyFont="1" applyBorder="1" applyAlignment="1">
      <alignment horizontal="center" vertical="center"/>
    </xf>
    <xf numFmtId="1" fontId="39" fillId="0" borderId="0" xfId="0" applyNumberFormat="1" applyFont="1" applyAlignment="1">
      <alignment horizontal="center" vertical="center"/>
    </xf>
    <xf numFmtId="173" fontId="39" fillId="0" borderId="0" xfId="34" applyNumberFormat="1" applyFont="1" applyFill="1" applyBorder="1" applyAlignment="1">
      <alignment horizontal="center" vertical="center"/>
    </xf>
    <xf numFmtId="171" fontId="39" fillId="0" borderId="0" xfId="0" applyNumberFormat="1" applyFont="1" applyAlignment="1">
      <alignment horizontal="center" vertical="center"/>
    </xf>
    <xf numFmtId="0" fontId="26" fillId="0" borderId="0" xfId="0" applyFont="1" applyAlignment="1">
      <alignment horizontal="left" wrapText="1"/>
    </xf>
    <xf numFmtId="0" fontId="3" fillId="25" borderId="5" xfId="0" applyFont="1" applyFill="1" applyBorder="1" applyAlignment="1">
      <alignment horizontal="center"/>
    </xf>
    <xf numFmtId="0" fontId="3" fillId="25" borderId="5" xfId="0" applyFont="1" applyFill="1" applyBorder="1" applyAlignment="1">
      <alignment horizontal="center" vertical="center" wrapText="1"/>
    </xf>
    <xf numFmtId="0" fontId="3" fillId="25" borderId="5" xfId="0" applyFont="1" applyFill="1" applyBorder="1" applyAlignment="1">
      <alignment horizontal="center" vertical="center"/>
    </xf>
    <xf numFmtId="0" fontId="26" fillId="0" borderId="8" xfId="0" applyFont="1" applyBorder="1" applyAlignment="1">
      <alignment horizontal="left"/>
    </xf>
    <xf numFmtId="0" fontId="26" fillId="0" borderId="23" xfId="0" applyFont="1" applyBorder="1" applyAlignment="1">
      <alignment horizontal="left"/>
    </xf>
    <xf numFmtId="0" fontId="26" fillId="0" borderId="7" xfId="0" applyFont="1" applyBorder="1" applyAlignment="1">
      <alignment horizontal="left"/>
    </xf>
    <xf numFmtId="0" fontId="26" fillId="0" borderId="0" xfId="0" applyFont="1" applyAlignment="1">
      <alignment horizontal="left" vertical="center" wrapText="1"/>
    </xf>
    <xf numFmtId="0" fontId="32" fillId="22" borderId="5" xfId="39" applyFont="1" applyFill="1" applyBorder="1" applyAlignment="1">
      <alignment horizontal="center" vertical="center" wrapText="1"/>
    </xf>
    <xf numFmtId="0" fontId="26" fillId="22" borderId="8" xfId="0" applyFont="1" applyFill="1" applyBorder="1" applyAlignment="1">
      <alignment horizontal="center"/>
    </xf>
    <xf numFmtId="0" fontId="26" fillId="22" borderId="7" xfId="0" applyFont="1" applyFill="1" applyBorder="1" applyAlignment="1">
      <alignment horizontal="center"/>
    </xf>
    <xf numFmtId="176" fontId="27" fillId="0" borderId="0" xfId="0" applyNumberFormat="1" applyFont="1" applyAlignment="1">
      <alignment horizontal="left" vertical="top"/>
    </xf>
    <xf numFmtId="0" fontId="3" fillId="25" borderId="25" xfId="0" applyFont="1" applyFill="1" applyBorder="1" applyAlignment="1">
      <alignment horizontal="center" vertical="center" wrapText="1"/>
    </xf>
    <xf numFmtId="0" fontId="3" fillId="25" borderId="0" xfId="0" applyFont="1" applyFill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9" fontId="26" fillId="22" borderId="21" xfId="0" applyNumberFormat="1" applyFont="1" applyFill="1" applyBorder="1" applyAlignment="1">
      <alignment horizontal="center"/>
    </xf>
    <xf numFmtId="49" fontId="26" fillId="22" borderId="24" xfId="0" applyNumberFormat="1" applyFont="1" applyFill="1" applyBorder="1" applyAlignment="1">
      <alignment horizontal="center"/>
    </xf>
    <xf numFmtId="173" fontId="25" fillId="22" borderId="8" xfId="34" applyNumberFormat="1" applyFont="1" applyFill="1" applyBorder="1" applyAlignment="1">
      <alignment horizontal="center"/>
    </xf>
    <xf numFmtId="173" fontId="25" fillId="22" borderId="7" xfId="34" applyNumberFormat="1" applyFont="1" applyFill="1" applyBorder="1" applyAlignment="1">
      <alignment horizontal="center"/>
    </xf>
    <xf numFmtId="0" fontId="26" fillId="0" borderId="5" xfId="0" applyFont="1" applyBorder="1" applyAlignment="1">
      <alignment horizontal="center"/>
    </xf>
    <xf numFmtId="2" fontId="26" fillId="22" borderId="8" xfId="0" applyNumberFormat="1" applyFont="1" applyFill="1" applyBorder="1" applyAlignment="1">
      <alignment horizontal="center"/>
    </xf>
    <xf numFmtId="2" fontId="26" fillId="22" borderId="7" xfId="0" applyNumberFormat="1" applyFont="1" applyFill="1" applyBorder="1" applyAlignment="1">
      <alignment horizontal="center"/>
    </xf>
    <xf numFmtId="176" fontId="28" fillId="0" borderId="0" xfId="31" applyNumberFormat="1" applyFont="1" applyBorder="1" applyAlignment="1" applyProtection="1">
      <alignment horizontal="left" vertical="top"/>
    </xf>
    <xf numFmtId="1" fontId="26" fillId="22" borderId="5" xfId="0" applyNumberFormat="1" applyFont="1" applyFill="1" applyBorder="1" applyAlignment="1">
      <alignment horizontal="center" vertical="center"/>
    </xf>
    <xf numFmtId="173" fontId="26" fillId="22" borderId="8" xfId="34" applyNumberFormat="1" applyFont="1" applyFill="1" applyBorder="1" applyAlignment="1">
      <alignment horizontal="center" vertical="center"/>
    </xf>
    <xf numFmtId="173" fontId="26" fillId="22" borderId="7" xfId="34" applyNumberFormat="1" applyFont="1" applyFill="1" applyBorder="1" applyAlignment="1">
      <alignment horizontal="center" vertical="center"/>
    </xf>
    <xf numFmtId="1" fontId="26" fillId="22" borderId="8" xfId="34" applyNumberFormat="1" applyFont="1" applyFill="1" applyBorder="1" applyAlignment="1">
      <alignment horizontal="center" vertical="center" wrapText="1"/>
    </xf>
    <xf numFmtId="1" fontId="26" fillId="22" borderId="7" xfId="34" applyNumberFormat="1" applyFont="1" applyFill="1" applyBorder="1" applyAlignment="1">
      <alignment horizontal="center" vertical="center" wrapText="1"/>
    </xf>
    <xf numFmtId="173" fontId="26" fillId="0" borderId="8" xfId="34" applyNumberFormat="1" applyFont="1" applyFill="1" applyBorder="1" applyAlignment="1">
      <alignment horizontal="center" vertical="center"/>
    </xf>
    <xf numFmtId="173" fontId="26" fillId="0" borderId="7" xfId="34" applyNumberFormat="1" applyFont="1" applyFill="1" applyBorder="1" applyAlignment="1">
      <alignment horizontal="center" vertical="center"/>
    </xf>
    <xf numFmtId="0" fontId="3" fillId="25" borderId="8" xfId="0" applyFont="1" applyFill="1" applyBorder="1" applyAlignment="1">
      <alignment horizontal="center" vertical="center" wrapText="1"/>
    </xf>
    <xf numFmtId="0" fontId="3" fillId="25" borderId="7" xfId="0" applyFont="1" applyFill="1" applyBorder="1" applyAlignment="1">
      <alignment horizontal="center" vertical="center" wrapText="1"/>
    </xf>
    <xf numFmtId="0" fontId="3" fillId="25" borderId="23" xfId="0" applyFont="1" applyFill="1" applyBorder="1" applyAlignment="1">
      <alignment horizontal="center" vertical="center" wrapText="1"/>
    </xf>
    <xf numFmtId="173" fontId="26" fillId="0" borderId="8" xfId="34" applyNumberFormat="1" applyFont="1" applyBorder="1" applyAlignment="1">
      <alignment horizontal="center"/>
    </xf>
    <xf numFmtId="173" fontId="26" fillId="0" borderId="7" xfId="34" applyNumberFormat="1" applyFont="1" applyBorder="1" applyAlignment="1">
      <alignment horizontal="center"/>
    </xf>
    <xf numFmtId="173" fontId="26" fillId="0" borderId="5" xfId="34" applyNumberFormat="1" applyFont="1" applyFill="1" applyBorder="1" applyAlignment="1">
      <alignment horizontal="center" vertical="center" wrapText="1"/>
    </xf>
    <xf numFmtId="173" fontId="0" fillId="0" borderId="8" xfId="34" applyNumberFormat="1" applyFont="1" applyFill="1" applyBorder="1" applyAlignment="1">
      <alignment horizontal="center"/>
    </xf>
    <xf numFmtId="173" fontId="26" fillId="0" borderId="7" xfId="34" applyNumberFormat="1" applyFont="1" applyFill="1" applyBorder="1" applyAlignment="1">
      <alignment horizontal="center"/>
    </xf>
    <xf numFmtId="1" fontId="26" fillId="0" borderId="8" xfId="0" applyNumberFormat="1" applyFont="1" applyBorder="1" applyAlignment="1">
      <alignment horizontal="center"/>
    </xf>
    <xf numFmtId="0" fontId="26" fillId="0" borderId="7" xfId="0" applyFont="1" applyBorder="1" applyAlignment="1">
      <alignment horizontal="center"/>
    </xf>
    <xf numFmtId="0" fontId="3" fillId="25" borderId="8" xfId="0" applyFont="1" applyFill="1" applyBorder="1" applyAlignment="1">
      <alignment horizontal="center"/>
    </xf>
    <xf numFmtId="0" fontId="3" fillId="25" borderId="7" xfId="0" applyFont="1" applyFill="1" applyBorder="1" applyAlignment="1">
      <alignment horizontal="center"/>
    </xf>
    <xf numFmtId="0" fontId="26" fillId="0" borderId="8" xfId="35" applyNumberFormat="1" applyFont="1" applyBorder="1" applyAlignment="1">
      <alignment horizontal="center"/>
    </xf>
    <xf numFmtId="0" fontId="26" fillId="0" borderId="7" xfId="35" applyNumberFormat="1" applyFont="1" applyBorder="1" applyAlignment="1">
      <alignment horizontal="center"/>
    </xf>
    <xf numFmtId="173" fontId="0" fillId="0" borderId="5" xfId="35" applyNumberFormat="1" applyFont="1" applyFill="1" applyBorder="1" applyAlignment="1">
      <alignment horizontal="center" vertical="center"/>
    </xf>
    <xf numFmtId="173" fontId="26" fillId="0" borderId="5" xfId="35" applyNumberFormat="1" applyFont="1" applyFill="1" applyBorder="1" applyAlignment="1">
      <alignment horizontal="center" vertical="center"/>
    </xf>
    <xf numFmtId="173" fontId="26" fillId="0" borderId="8" xfId="35" applyNumberFormat="1" applyFont="1" applyBorder="1" applyAlignment="1">
      <alignment horizontal="center"/>
    </xf>
    <xf numFmtId="173" fontId="26" fillId="0" borderId="7" xfId="35" applyNumberFormat="1" applyFont="1" applyBorder="1" applyAlignment="1">
      <alignment horizontal="center"/>
    </xf>
    <xf numFmtId="173" fontId="0" fillId="0" borderId="5" xfId="35" applyNumberFormat="1" applyFont="1" applyFill="1" applyBorder="1" applyAlignment="1">
      <alignment horizontal="center" vertical="center" wrapText="1"/>
    </xf>
    <xf numFmtId="173" fontId="26" fillId="0" borderId="5" xfId="35" applyNumberFormat="1" applyFont="1" applyFill="1" applyBorder="1" applyAlignment="1">
      <alignment horizontal="center" vertical="center" wrapText="1"/>
    </xf>
    <xf numFmtId="173" fontId="26" fillId="22" borderId="8" xfId="35" applyNumberFormat="1" applyFont="1" applyFill="1" applyBorder="1" applyAlignment="1">
      <alignment horizontal="center"/>
    </xf>
    <xf numFmtId="173" fontId="26" fillId="22" borderId="7" xfId="35" applyNumberFormat="1" applyFont="1" applyFill="1" applyBorder="1" applyAlignment="1">
      <alignment horizontal="center"/>
    </xf>
    <xf numFmtId="173" fontId="0" fillId="0" borderId="8" xfId="35" applyNumberFormat="1" applyFont="1" applyFill="1" applyBorder="1" applyAlignment="1">
      <alignment horizontal="center" vertical="center"/>
    </xf>
    <xf numFmtId="173" fontId="26" fillId="0" borderId="7" xfId="35" applyNumberFormat="1" applyFont="1" applyFill="1" applyBorder="1" applyAlignment="1">
      <alignment horizontal="center" vertical="center"/>
    </xf>
    <xf numFmtId="3" fontId="26" fillId="22" borderId="8" xfId="35" applyNumberFormat="1" applyFont="1" applyFill="1" applyBorder="1" applyAlignment="1">
      <alignment horizontal="center"/>
    </xf>
    <xf numFmtId="3" fontId="26" fillId="22" borderId="7" xfId="35" applyNumberFormat="1" applyFont="1" applyFill="1" applyBorder="1" applyAlignment="1">
      <alignment horizontal="center"/>
    </xf>
    <xf numFmtId="0" fontId="3" fillId="0" borderId="0" xfId="0" applyFont="1" applyAlignment="1">
      <alignment horizontal="left" wrapText="1"/>
    </xf>
    <xf numFmtId="0" fontId="40" fillId="25" borderId="8" xfId="0" applyFont="1" applyFill="1" applyBorder="1" applyAlignment="1">
      <alignment horizontal="center" vertical="center" wrapText="1"/>
    </xf>
    <xf numFmtId="0" fontId="40" fillId="25" borderId="7" xfId="0" applyFont="1" applyFill="1" applyBorder="1" applyAlignment="1">
      <alignment horizontal="center" vertical="center" wrapText="1"/>
    </xf>
    <xf numFmtId="173" fontId="39" fillId="0" borderId="8" xfId="34" applyNumberFormat="1" applyFont="1" applyFill="1" applyBorder="1" applyAlignment="1">
      <alignment horizontal="center" vertical="center"/>
    </xf>
    <xf numFmtId="173" fontId="39" fillId="0" borderId="7" xfId="34" applyNumberFormat="1" applyFont="1" applyFill="1" applyBorder="1" applyAlignment="1">
      <alignment horizontal="center" vertical="center"/>
    </xf>
    <xf numFmtId="0" fontId="40" fillId="25" borderId="8" xfId="0" applyFont="1" applyFill="1" applyBorder="1" applyAlignment="1">
      <alignment horizontal="center"/>
    </xf>
    <xf numFmtId="0" fontId="40" fillId="25" borderId="7" xfId="0" applyFont="1" applyFill="1" applyBorder="1" applyAlignment="1">
      <alignment horizontal="center"/>
    </xf>
    <xf numFmtId="0" fontId="39" fillId="22" borderId="8" xfId="34" applyNumberFormat="1" applyFont="1" applyFill="1" applyBorder="1" applyAlignment="1">
      <alignment horizontal="center" wrapText="1"/>
    </xf>
    <xf numFmtId="0" fontId="39" fillId="22" borderId="7" xfId="34" applyNumberFormat="1" applyFont="1" applyFill="1" applyBorder="1" applyAlignment="1">
      <alignment horizontal="center" wrapText="1"/>
    </xf>
    <xf numFmtId="173" fontId="39" fillId="22" borderId="8" xfId="34" applyNumberFormat="1" applyFont="1" applyFill="1" applyBorder="1" applyAlignment="1">
      <alignment horizontal="center"/>
    </xf>
    <xf numFmtId="173" fontId="39" fillId="22" borderId="7" xfId="34" applyNumberFormat="1" applyFont="1" applyFill="1" applyBorder="1" applyAlignment="1">
      <alignment horizontal="center"/>
    </xf>
    <xf numFmtId="0" fontId="40" fillId="25" borderId="5" xfId="0" applyFont="1" applyFill="1" applyBorder="1" applyAlignment="1">
      <alignment horizontal="center"/>
    </xf>
    <xf numFmtId="173" fontId="39" fillId="0" borderId="8" xfId="34" applyNumberFormat="1" applyFont="1" applyBorder="1" applyAlignment="1">
      <alignment horizontal="center"/>
    </xf>
    <xf numFmtId="173" fontId="39" fillId="0" borderId="7" xfId="34" applyNumberFormat="1" applyFont="1" applyBorder="1" applyAlignment="1">
      <alignment horizontal="center"/>
    </xf>
    <xf numFmtId="0" fontId="40" fillId="25" borderId="5" xfId="0" applyFont="1" applyFill="1" applyBorder="1" applyAlignment="1">
      <alignment horizontal="center" vertical="center" wrapText="1"/>
    </xf>
    <xf numFmtId="173" fontId="39" fillId="0" borderId="5" xfId="34" applyNumberFormat="1" applyFont="1" applyFill="1" applyBorder="1" applyAlignment="1">
      <alignment horizontal="center" vertical="center" wrapText="1"/>
    </xf>
    <xf numFmtId="173" fontId="39" fillId="0" borderId="8" xfId="0" applyNumberFormat="1" applyFont="1" applyBorder="1" applyAlignment="1">
      <alignment horizontal="center"/>
    </xf>
    <xf numFmtId="173" fontId="39" fillId="0" borderId="7" xfId="0" applyNumberFormat="1" applyFont="1" applyBorder="1" applyAlignment="1">
      <alignment horizontal="center"/>
    </xf>
    <xf numFmtId="1" fontId="39" fillId="0" borderId="8" xfId="0" applyNumberFormat="1" applyFont="1" applyBorder="1" applyAlignment="1">
      <alignment horizontal="center"/>
    </xf>
    <xf numFmtId="0" fontId="39" fillId="0" borderId="7" xfId="0" applyFont="1" applyBorder="1" applyAlignment="1">
      <alignment horizontal="center"/>
    </xf>
    <xf numFmtId="0" fontId="39" fillId="0" borderId="0" xfId="0" applyFont="1" applyAlignment="1">
      <alignment horizontal="left" vertical="center" wrapText="1"/>
    </xf>
    <xf numFmtId="0" fontId="40" fillId="25" borderId="23" xfId="0" applyFont="1" applyFill="1" applyBorder="1" applyAlignment="1">
      <alignment horizontal="center" vertical="center" wrapText="1"/>
    </xf>
    <xf numFmtId="0" fontId="39" fillId="22" borderId="8" xfId="0" applyFont="1" applyFill="1" applyBorder="1" applyAlignment="1">
      <alignment horizontal="center"/>
    </xf>
    <xf numFmtId="0" fontId="39" fillId="22" borderId="7" xfId="0" applyFont="1" applyFill="1" applyBorder="1" applyAlignment="1">
      <alignment horizontal="center"/>
    </xf>
    <xf numFmtId="173" fontId="26" fillId="22" borderId="8" xfId="34" applyNumberFormat="1" applyFont="1" applyFill="1" applyBorder="1" applyAlignment="1">
      <alignment horizontal="center"/>
    </xf>
    <xf numFmtId="173" fontId="26" fillId="22" borderId="7" xfId="34" applyNumberFormat="1" applyFont="1" applyFill="1" applyBorder="1" applyAlignment="1">
      <alignment horizontal="center"/>
    </xf>
    <xf numFmtId="0" fontId="3" fillId="25" borderId="8" xfId="0" applyFont="1" applyFill="1" applyBorder="1" applyAlignment="1">
      <alignment horizontal="center" wrapText="1"/>
    </xf>
    <xf numFmtId="0" fontId="3" fillId="25" borderId="7" xfId="0" applyFont="1" applyFill="1" applyBorder="1" applyAlignment="1">
      <alignment horizontal="center" wrapText="1"/>
    </xf>
    <xf numFmtId="1" fontId="26" fillId="22" borderId="8" xfId="34" applyNumberFormat="1" applyFont="1" applyFill="1" applyBorder="1" applyAlignment="1">
      <alignment horizontal="center"/>
    </xf>
    <xf numFmtId="1" fontId="26" fillId="22" borderId="7" xfId="34" applyNumberFormat="1" applyFont="1" applyFill="1" applyBorder="1" applyAlignment="1">
      <alignment horizontal="center"/>
    </xf>
    <xf numFmtId="0" fontId="26" fillId="0" borderId="8" xfId="0" applyFont="1" applyBorder="1" applyAlignment="1">
      <alignment horizontal="center"/>
    </xf>
    <xf numFmtId="0" fontId="26" fillId="0" borderId="8" xfId="34" applyNumberFormat="1" applyFont="1" applyBorder="1" applyAlignment="1">
      <alignment horizontal="center"/>
    </xf>
    <xf numFmtId="0" fontId="26" fillId="0" borderId="7" xfId="34" applyNumberFormat="1" applyFont="1" applyBorder="1" applyAlignment="1">
      <alignment horizontal="center"/>
    </xf>
    <xf numFmtId="49" fontId="26" fillId="22" borderId="8" xfId="0" applyNumberFormat="1" applyFont="1" applyFill="1" applyBorder="1" applyAlignment="1">
      <alignment horizontal="center"/>
    </xf>
    <xf numFmtId="49" fontId="26" fillId="22" borderId="7" xfId="0" applyNumberFormat="1" applyFont="1" applyFill="1" applyBorder="1" applyAlignment="1">
      <alignment horizontal="center"/>
    </xf>
    <xf numFmtId="0" fontId="26" fillId="22" borderId="5" xfId="0" applyFont="1" applyFill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173" fontId="26" fillId="0" borderId="8" xfId="0" applyNumberFormat="1" applyFont="1" applyBorder="1" applyAlignment="1">
      <alignment horizontal="center"/>
    </xf>
    <xf numFmtId="173" fontId="26" fillId="0" borderId="7" xfId="0" applyNumberFormat="1" applyFont="1" applyBorder="1" applyAlignment="1">
      <alignment horizontal="center"/>
    </xf>
    <xf numFmtId="0" fontId="24" fillId="0" borderId="5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/>
    </xf>
    <xf numFmtId="0" fontId="19" fillId="21" borderId="5" xfId="0" applyFont="1" applyFill="1" applyBorder="1" applyAlignment="1">
      <alignment horizontal="left" vertical="center" wrapText="1"/>
    </xf>
    <xf numFmtId="0" fontId="17" fillId="21" borderId="5" xfId="0" applyFont="1" applyFill="1" applyBorder="1" applyAlignment="1">
      <alignment horizontal="center" vertical="center" wrapText="1"/>
    </xf>
    <xf numFmtId="0" fontId="17" fillId="21" borderId="20" xfId="0" applyFont="1" applyFill="1" applyBorder="1" applyAlignment="1">
      <alignment horizontal="center" vertical="center" wrapText="1"/>
    </xf>
    <xf numFmtId="0" fontId="18" fillId="21" borderId="5" xfId="0" applyFont="1" applyFill="1" applyBorder="1" applyAlignment="1">
      <alignment horizontal="center" vertical="center"/>
    </xf>
    <xf numFmtId="0" fontId="18" fillId="21" borderId="20" xfId="0" applyFont="1" applyFill="1" applyBorder="1" applyAlignment="1">
      <alignment horizontal="center" vertical="center"/>
    </xf>
    <xf numFmtId="0" fontId="18" fillId="21" borderId="5" xfId="0" applyFont="1" applyFill="1" applyBorder="1" applyAlignment="1">
      <alignment horizontal="center" vertical="center" wrapText="1"/>
    </xf>
    <xf numFmtId="0" fontId="18" fillId="21" borderId="20" xfId="0" applyFont="1" applyFill="1" applyBorder="1" applyAlignment="1">
      <alignment horizontal="center" vertical="center" wrapText="1"/>
    </xf>
    <xf numFmtId="0" fontId="17" fillId="21" borderId="18" xfId="0" applyFont="1" applyFill="1" applyBorder="1" applyAlignment="1">
      <alignment horizontal="center"/>
    </xf>
    <xf numFmtId="0" fontId="17" fillId="21" borderId="17" xfId="0" applyFont="1" applyFill="1" applyBorder="1" applyAlignment="1">
      <alignment horizontal="center"/>
    </xf>
    <xf numFmtId="0" fontId="17" fillId="21" borderId="5" xfId="0" applyFont="1" applyFill="1" applyBorder="1" applyAlignment="1">
      <alignment horizontal="left" vertical="center" wrapText="1"/>
    </xf>
    <xf numFmtId="0" fontId="17" fillId="21" borderId="8" xfId="0" applyFont="1" applyFill="1" applyBorder="1" applyAlignment="1">
      <alignment horizontal="center" vertical="center" wrapText="1"/>
    </xf>
    <xf numFmtId="0" fontId="17" fillId="21" borderId="7" xfId="0" applyFont="1" applyFill="1" applyBorder="1" applyAlignment="1">
      <alignment horizontal="center" vertical="center" wrapText="1"/>
    </xf>
    <xf numFmtId="0" fontId="20" fillId="21" borderId="0" xfId="0" applyFont="1" applyFill="1" applyAlignment="1">
      <alignment horizontal="center"/>
    </xf>
  </cellXfs>
  <cellStyles count="55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Euro" xfId="27"/>
    <cellStyle name="Explanatory Text" xfId="28"/>
    <cellStyle name="Heading 2" xfId="29"/>
    <cellStyle name="Heading 3" xfId="30"/>
    <cellStyle name="Hipervínculo" xfId="31" builtinId="8"/>
    <cellStyle name="Millares" xfId="32" builtinId="3"/>
    <cellStyle name="Millares [0] 2" xfId="33"/>
    <cellStyle name="Moneda [0]" xfId="34" builtinId="7"/>
    <cellStyle name="Moneda [0] 2" xfId="35"/>
    <cellStyle name="Moneda 2" xfId="36"/>
    <cellStyle name="Moneda 3" xfId="37"/>
    <cellStyle name="Normal" xfId="0" builtinId="0"/>
    <cellStyle name="Normal 2" xfId="38"/>
    <cellStyle name="Normal 2 10 2 2" xfId="39"/>
    <cellStyle name="Normal 2 2" xfId="40"/>
    <cellStyle name="Normal 2 3" xfId="41"/>
    <cellStyle name="Normal 2_CANCHA INDEPENDENCIA" xfId="42"/>
    <cellStyle name="Normal 3" xfId="43"/>
    <cellStyle name="Normal 4" xfId="44"/>
    <cellStyle name="Normal 4 2" xfId="45"/>
    <cellStyle name="Normal 5" xfId="46"/>
    <cellStyle name="Normal 6" xfId="47"/>
    <cellStyle name="Normal 7" xfId="48"/>
    <cellStyle name="Normal 8" xfId="49"/>
    <cellStyle name="Normal 9" xfId="50"/>
    <cellStyle name="Output" xfId="51"/>
    <cellStyle name="Porcentual 2" xfId="52"/>
    <cellStyle name="Porcentual 2 2" xfId="53"/>
    <cellStyle name="Title" xfId="54"/>
  </cellStyles>
  <dxfs count="110">
    <dxf>
      <fill>
        <patternFill patternType="solid">
          <fgColor rgb="FFC6EFCE"/>
          <bgColor rgb="FF000000"/>
        </patternFill>
      </fill>
    </dxf>
    <dxf>
      <fill>
        <patternFill patternType="solid">
          <fgColor rgb="FFC6EFCE"/>
          <bgColor rgb="FF00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1" formatCode="0.00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1" formatCode="0.00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1" formatCode="0.00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1" formatCode="0.00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3" formatCode="&quot;$&quot;\ 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3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1" formatCode="0.00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1" formatCode="0.00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1" formatCode="0.00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3" formatCode="&quot;$&quot;\ 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3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1" formatCode="0.00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1" formatCode="0.00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1" formatCode="0.00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1" formatCode="0.00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1" formatCode="0.00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3" formatCode="&quot;$&quot;\ 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3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72" formatCode="0.0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71" formatCode="0.00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71" formatCode="0.00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73" formatCode="&quot;$&quot;\ 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solid">
          <fgColor indexed="64"/>
          <bgColor theme="3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73" formatCode="&quot;$&quot;\ 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1" formatCode="0.00000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3" formatCode="&quot;$&quot;\ #,##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3" formatCode="&quot;$&quot;\ #,##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3" formatCode="&quot;$&quot;\ #,##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3" formatCode="&quot;$&quot;\ 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3" formatCode="&quot;$&quot;\ 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1" formatCode="0.00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1" formatCode="0.00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3" formatCode="&quot;$&quot;\ 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.emf"/><Relationship Id="rId1" Type="http://schemas.openxmlformats.org/officeDocument/2006/relationships/image" Target="../media/image10.emf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_rels/vmlDrawing10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3</xdr:row>
      <xdr:rowOff>171450</xdr:rowOff>
    </xdr:from>
    <xdr:to>
      <xdr:col>8</xdr:col>
      <xdr:colOff>371475</xdr:colOff>
      <xdr:row>27</xdr:row>
      <xdr:rowOff>161925</xdr:rowOff>
    </xdr:to>
    <xdr:pic>
      <xdr:nvPicPr>
        <xdr:cNvPr id="17795" name="Imagen 1">
          <a:extLst>
            <a:ext uri="{FF2B5EF4-FFF2-40B4-BE49-F238E27FC236}">
              <a16:creationId xmlns="" xmlns:a16="http://schemas.microsoft.com/office/drawing/2014/main" id="{DF0EF7C6-08BB-11D9-6984-79EC3D18F2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742950"/>
          <a:ext cx="7591425" cy="456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27</xdr:row>
      <xdr:rowOff>171450</xdr:rowOff>
    </xdr:from>
    <xdr:to>
      <xdr:col>8</xdr:col>
      <xdr:colOff>247650</xdr:colOff>
      <xdr:row>33</xdr:row>
      <xdr:rowOff>171450</xdr:rowOff>
    </xdr:to>
    <xdr:pic>
      <xdr:nvPicPr>
        <xdr:cNvPr id="17796" name="Imagen 1">
          <a:extLst>
            <a:ext uri="{FF2B5EF4-FFF2-40B4-BE49-F238E27FC236}">
              <a16:creationId xmlns="" xmlns:a16="http://schemas.microsoft.com/office/drawing/2014/main" id="{A7E0CCA1-9EA2-DB14-76C5-B4CD0D6D73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5314950"/>
          <a:ext cx="7115175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419100</xdr:colOff>
      <xdr:row>34</xdr:row>
      <xdr:rowOff>66675</xdr:rowOff>
    </xdr:from>
    <xdr:to>
      <xdr:col>8</xdr:col>
      <xdr:colOff>419100</xdr:colOff>
      <xdr:row>49</xdr:row>
      <xdr:rowOff>180975</xdr:rowOff>
    </xdr:to>
    <xdr:pic>
      <xdr:nvPicPr>
        <xdr:cNvPr id="17797" name="Imagen 2">
          <a:extLst>
            <a:ext uri="{FF2B5EF4-FFF2-40B4-BE49-F238E27FC236}">
              <a16:creationId xmlns="" xmlns:a16="http://schemas.microsoft.com/office/drawing/2014/main" id="{FDBEFA0C-249F-ECEC-262F-CF09791567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6543675"/>
          <a:ext cx="739140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3</xdr:row>
      <xdr:rowOff>142875</xdr:rowOff>
    </xdr:from>
    <xdr:to>
      <xdr:col>6</xdr:col>
      <xdr:colOff>828675</xdr:colOff>
      <xdr:row>29</xdr:row>
      <xdr:rowOff>104775</xdr:rowOff>
    </xdr:to>
    <xdr:pic>
      <xdr:nvPicPr>
        <xdr:cNvPr id="30787" name="Imagen 1">
          <a:extLst>
            <a:ext uri="{FF2B5EF4-FFF2-40B4-BE49-F238E27FC236}">
              <a16:creationId xmlns="" xmlns:a16="http://schemas.microsoft.com/office/drawing/2014/main" id="{5F83C682-423A-1C19-6467-C47D278624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714375"/>
          <a:ext cx="7762875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371476</xdr:colOff>
      <xdr:row>4</xdr:row>
      <xdr:rowOff>11906</xdr:rowOff>
    </xdr:from>
    <xdr:to>
      <xdr:col>10</xdr:col>
      <xdr:colOff>505692</xdr:colOff>
      <xdr:row>22</xdr:row>
      <xdr:rowOff>81179</xdr:rowOff>
    </xdr:to>
    <xdr:pic>
      <xdr:nvPicPr>
        <xdr:cNvPr id="19583" name="Imagen 1">
          <a:extLst>
            <a:ext uri="{FF2B5EF4-FFF2-40B4-BE49-F238E27FC236}">
              <a16:creationId xmlns="" xmlns:a16="http://schemas.microsoft.com/office/drawing/2014/main" id="{049563FE-5E6B-2779-7D69-1AA49C573F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6" y="869156"/>
          <a:ext cx="9468716" cy="3926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138112</xdr:colOff>
      <xdr:row>24</xdr:row>
      <xdr:rowOff>123825</xdr:rowOff>
    </xdr:from>
    <xdr:to>
      <xdr:col>10</xdr:col>
      <xdr:colOff>196128</xdr:colOff>
      <xdr:row>43</xdr:row>
      <xdr:rowOff>109104</xdr:rowOff>
    </xdr:to>
    <xdr:pic>
      <xdr:nvPicPr>
        <xdr:cNvPr id="19584" name="Imagen 2">
          <a:extLst>
            <a:ext uri="{FF2B5EF4-FFF2-40B4-BE49-F238E27FC236}">
              <a16:creationId xmlns="" xmlns:a16="http://schemas.microsoft.com/office/drawing/2014/main" id="{78B44619-7112-A458-FB03-57A6F64B4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362" y="5267325"/>
          <a:ext cx="9392516" cy="40572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57150</xdr:rowOff>
    </xdr:from>
    <xdr:to>
      <xdr:col>7</xdr:col>
      <xdr:colOff>209550</xdr:colOff>
      <xdr:row>36</xdr:row>
      <xdr:rowOff>180975</xdr:rowOff>
    </xdr:to>
    <xdr:pic>
      <xdr:nvPicPr>
        <xdr:cNvPr id="20572" name="Imagen 1">
          <a:extLst>
            <a:ext uri="{FF2B5EF4-FFF2-40B4-BE49-F238E27FC236}">
              <a16:creationId xmlns="" xmlns:a16="http://schemas.microsoft.com/office/drawing/2014/main" id="{ADF5A275-9964-9294-D5F2-77A787C9AB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57150"/>
          <a:ext cx="9544050" cy="698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6</xdr:row>
          <xdr:rowOff>133350</xdr:rowOff>
        </xdr:from>
        <xdr:to>
          <xdr:col>5</xdr:col>
          <xdr:colOff>142875</xdr:colOff>
          <xdr:row>9</xdr:row>
          <xdr:rowOff>57150</xdr:rowOff>
        </xdr:to>
        <xdr:sp macro="" textlink="">
          <xdr:nvSpPr>
            <xdr:cNvPr id="26625" name="Object 1" hidden="1">
              <a:extLst>
                <a:ext uri="{63B3BB69-23CF-44E3-9099-C40C66FF867C}">
                  <a14:compatExt spid="_x0000_s26625"/>
                </a:ext>
                <a:ext uri="{FF2B5EF4-FFF2-40B4-BE49-F238E27FC236}">
                  <a16:creationId xmlns="" xmlns:a16="http://schemas.microsoft.com/office/drawing/2014/main" id="{654EA86D-A33A-B284-BCFF-72F555B52D4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409575</xdr:colOff>
          <xdr:row>17</xdr:row>
          <xdr:rowOff>95250</xdr:rowOff>
        </xdr:from>
        <xdr:to>
          <xdr:col>5</xdr:col>
          <xdr:colOff>285750</xdr:colOff>
          <xdr:row>24</xdr:row>
          <xdr:rowOff>85725</xdr:rowOff>
        </xdr:to>
        <xdr:sp macro="" textlink="">
          <xdr:nvSpPr>
            <xdr:cNvPr id="26626" name="Object 2" hidden="1">
              <a:extLst>
                <a:ext uri="{63B3BB69-23CF-44E3-9099-C40C66FF867C}">
                  <a14:compatExt spid="_x0000_s26626"/>
                </a:ext>
                <a:ext uri="{FF2B5EF4-FFF2-40B4-BE49-F238E27FC236}">
                  <a16:creationId xmlns="" xmlns:a16="http://schemas.microsoft.com/office/drawing/2014/main" id="{AED8961B-41D3-A27E-9837-10DA61EBD0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71</xdr:row>
          <xdr:rowOff>9525</xdr:rowOff>
        </xdr:from>
        <xdr:to>
          <xdr:col>9</xdr:col>
          <xdr:colOff>866775</xdr:colOff>
          <xdr:row>73</xdr:row>
          <xdr:rowOff>409575</xdr:rowOff>
        </xdr:to>
        <xdr:sp macro="" textlink="">
          <xdr:nvSpPr>
            <xdr:cNvPr id="26628" name="Button 4" hidden="1">
              <a:extLst>
                <a:ext uri="{63B3BB69-23CF-44E3-9099-C40C66FF867C}">
                  <a14:compatExt spid="_x0000_s26628"/>
                </a:ext>
                <a:ext uri="{FF2B5EF4-FFF2-40B4-BE49-F238E27FC236}">
                  <a16:creationId xmlns="" xmlns:a16="http://schemas.microsoft.com/office/drawing/2014/main" id="{3D0675A5-95C0-DB23-D7BD-82A388BF93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Ingresar Proponentes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323850</xdr:colOff>
          <xdr:row>6</xdr:row>
          <xdr:rowOff>133350</xdr:rowOff>
        </xdr:from>
        <xdr:to>
          <xdr:col>5</xdr:col>
          <xdr:colOff>466725</xdr:colOff>
          <xdr:row>8</xdr:row>
          <xdr:rowOff>57150</xdr:rowOff>
        </xdr:to>
        <xdr:sp macro="" textlink="">
          <xdr:nvSpPr>
            <xdr:cNvPr id="27649" name="Object 1" hidden="1">
              <a:extLst>
                <a:ext uri="{63B3BB69-23CF-44E3-9099-C40C66FF867C}">
                  <a14:compatExt spid="_x0000_s27649"/>
                </a:ext>
                <a:ext uri="{FF2B5EF4-FFF2-40B4-BE49-F238E27FC236}">
                  <a16:creationId xmlns="" xmlns:a16="http://schemas.microsoft.com/office/drawing/2014/main" id="{E584B783-CF96-0A5B-158B-8436C6EAACF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3</xdr:col>
      <xdr:colOff>152400</xdr:colOff>
      <xdr:row>17</xdr:row>
      <xdr:rowOff>0</xdr:rowOff>
    </xdr:from>
    <xdr:to>
      <xdr:col>5</xdr:col>
      <xdr:colOff>47625</xdr:colOff>
      <xdr:row>20</xdr:row>
      <xdr:rowOff>85725</xdr:rowOff>
    </xdr:to>
    <xdr:pic>
      <xdr:nvPicPr>
        <xdr:cNvPr id="27766" name="Imagen 1">
          <a:extLst>
            <a:ext uri="{FF2B5EF4-FFF2-40B4-BE49-F238E27FC236}">
              <a16:creationId xmlns="" xmlns:a16="http://schemas.microsoft.com/office/drawing/2014/main" id="{E6694FE3-27CE-718A-4B84-88E04A854A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38525" y="3267075"/>
          <a:ext cx="21240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2" name="MCVA" displayName="MCVA" ref="B66:L72" totalsRowShown="0" headerRowDxfId="109" dataDxfId="107" headerRowBorderDxfId="108" tableBorderDxfId="106" totalsRowBorderDxfId="105">
  <autoFilter ref="B66:L72"/>
  <sortState ref="B67:L72">
    <sortCondition ref="B66:B72"/>
  </sortState>
  <tableColumns count="11">
    <tableColumn id="1" name="ITEM" dataDxfId="104"/>
    <tableColumn id="2" name="NOMBRE" dataDxfId="103"/>
    <tableColumn id="3" name="ASC" dataDxfId="102">
      <calculatedColumnFormula>_xlfn.RANK.EQ(E67,$E$67:$E$72,1)</calculatedColumnFormula>
    </tableColumn>
    <tableColumn id="4" name="VALOR" dataDxfId="101" dataCellStyle="Normal 2"/>
    <tableColumn id="5" name="PUNTAJE OFERTA ECONOMICA" dataDxfId="100" dataCellStyle="Normal 2">
      <calculatedColumnFormula>IF(_xll.ES.IMPAR($D$56),IF(E67=IF(_xll.ES.IMPAR($D$56),MEDIAN($E$67:$E$72),"N/A"),59.75,IF((59.75*(1-ABS((IF(_xll.ES.IMPAR($D$56),MEDIAN($E$67:$E$72),"N/A")-E67)/IF(_xll.ES.IMPAR($D$56),MEDIAN($E$67:$E$72),"N/A"))))&gt;0,59.75*(1-ABS((IF(_xll.ES.IMPAR($D$56),MEDIAN($E$67:$E$72),"N/A")-E67)/IF(_xll.ES.IMPAR($D$56),MEDIAN($E$67:$E$72),"N/A"))),0)),IF(E67=IF(_xll.ES.PAR($D$56),VLOOKUP($D$56/2,$D$67:$E$72,2,FALSE),"N/A"),59.75,IF(E67=IF(_xll.ES.PAR($D$56),VLOOKUP($D$56/2,$D$67:$E$72,2,FALSE),"N/A"),59.5,IF(59.75*(1-ABS((IF(_xll.ES.PAR($D$56),VLOOKUP($D$56/2,$D$67:$E$72,2,FALSE),"N/A")-E67)/IF(_xll.ES.PAR($D$56),VLOOKUP($D$56/2,$D$67:$E$72,2,FALSE),"N/A")))&gt;0,59.75*(1-ABS((IF(_xll.ES.PAR($D$56),VLOOKUP($D$56/2,$D$67:$E$72,2,FALSE),"N/A")-E67)/IF(_xll.ES.PAR($D$56),VLOOKUP($D$56/2,$D$67:$E$72,2,FALSE),"N/A"))),0))))</calculatedColumnFormula>
    </tableColumn>
    <tableColumn id="7" name="FACTOR DE CALIDAD" dataDxfId="99" dataCellStyle="Normal 2"/>
    <tableColumn id="8" name="PUNTAJE APOYO A LA INDUSTRIA NACIONAL" dataDxfId="98" dataCellStyle="Normal 2"/>
    <tableColumn id="10" name="EMPRENDIMIENTOS Y EMPRESAS DE MUJERES" dataDxfId="97" dataCellStyle="Normal 2"/>
    <tableColumn id="11" name="MIPYME" dataDxfId="96" dataCellStyle="Normal 2"/>
    <tableColumn id="9" name="PUNTAJE TOTAL" dataDxfId="95" dataCellStyle="Normal 2">
      <calculatedColumnFormula>F67+G67+H67+I67+J67</calculatedColumnFormula>
    </tableColumn>
    <tableColumn id="6" name="GANADOR" dataDxfId="94" dataCellStyle="Normal 2">
      <calculatedColumnFormula>_xlfn.RANK.EQ(K67,$K$67:$K$72,0)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73" name="MG_65" displayName="MG_65" ref="B43:N52" totalsRowShown="0" headerRowDxfId="93" headerRowBorderDxfId="92" tableBorderDxfId="91" totalsRowBorderDxfId="90">
  <autoFilter ref="B43:N52"/>
  <sortState ref="B44:N52">
    <sortCondition ref="M44:M52"/>
  </sortState>
  <tableColumns count="13">
    <tableColumn id="1" name="ITEM" dataDxfId="89"/>
    <tableColumn id="2" name="NOMBRE" dataDxfId="88"/>
    <tableColumn id="12" name="VALOR INICIAL" dataDxfId="87"/>
    <tableColumn id="3" name="VALOR" dataDxfId="86" dataCellStyle="Normal 2"/>
    <tableColumn id="4" name="ASC" dataDxfId="85">
      <calculatedColumnFormula>_xlfn.RANK.EQ(E44,$E$44:$E$52,1)</calculatedColumnFormula>
    </tableColumn>
    <tableColumn id="5" name="DIFERENCIA" dataDxfId="84" dataCellStyle="Normal 2">
      <calculatedColumnFormula>+ABS(E44-$D$38)</calculatedColumnFormula>
    </tableColumn>
    <tableColumn id="6" name="PUNTAJE OFERTA ECONÓMICA" dataDxfId="83" dataCellStyle="Normal 2">
      <calculatedColumnFormula>IF(G44=$D$40,59.75,IF(59.75*(1-(ABS($D$38-E44)/$D$38))&gt;0,59.75*(1-(ABS($D$38-E44)/$D$38)),0))</calculatedColumnFormula>
    </tableColumn>
    <tableColumn id="10" name="PUNTAJE FACTOR DE CALIDAD" dataDxfId="82" dataCellStyle="Normal 2"/>
    <tableColumn id="9" name="PUNTAJE APOYO A LA INDUSTRIA NACIONAL" dataDxfId="81" dataCellStyle="Normal 2"/>
    <tableColumn id="15" name="EMPRENDIMIENTOS Y EMPRESAS DE MUJERES" dataDxfId="80" dataCellStyle="Normal 2 10 2 2"/>
    <tableColumn id="8" name="PUNTAJE TOTAL" dataDxfId="79" dataCellStyle="Normal 2">
      <calculatedColumnFormula>+H44+I44+J44</calculatedColumnFormula>
    </tableColumn>
    <tableColumn id="7" name="GANADOR" dataDxfId="78" dataCellStyle="Normal 2">
      <calculatedColumnFormula>_xlfn.RANK.EQ(L44,$L$44:$L$52)</calculatedColumnFormula>
    </tableColumn>
    <tableColumn id="14" name="Columna2" dataDxfId="77">
      <calculatedColumnFormula>+E44-#REF!</calculatedColumnFormula>
    </tableColumn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6" name="Tabla6" displayName="Tabla6" ref="B60:K67" totalsRowShown="0" headerRowDxfId="76" dataDxfId="74" headerRowBorderDxfId="75" tableBorderDxfId="73" totalsRowBorderDxfId="72">
  <autoFilter ref="B60:K67"/>
  <sortState ref="B61:K67">
    <sortCondition ref="K60:K67"/>
  </sortState>
  <tableColumns count="10">
    <tableColumn id="1" name="ITEM" dataDxfId="71"/>
    <tableColumn id="2" name="NOMBRE" dataDxfId="70"/>
    <tableColumn id="3" name="VALOR" dataDxfId="69" dataCellStyle="Normal 2"/>
    <tableColumn id="4" name="ASC" dataDxfId="68">
      <calculatedColumnFormula>_xlfn.RANK.EQ(D61,$D$61:$D$67,1)</calculatedColumnFormula>
    </tableColumn>
    <tableColumn id="5" name="PUNTAJE OFERTA ECONÓMICA" dataDxfId="67">
      <calculatedColumnFormula>IF(D61&lt;=$D$56,59.75*(1-($D$56-D61)/$D$56),59.75*(1-ABS($D$56-D61)/$D$56))</calculatedColumnFormula>
    </tableColumn>
    <tableColumn id="9" name="PUNTAJE FACTOR DE CALIDAD" dataDxfId="66"/>
    <tableColumn id="8" name="PUNTAJE APOYO A LA INDUSTRIA NACIONAL" dataDxfId="65"/>
    <tableColumn id="10" name="EMPRENDIMIENTO Y EMPRESAS DE MUJERES" dataDxfId="64"/>
    <tableColumn id="7" name="PUNTAJE TOTAL" dataDxfId="63">
      <calculatedColumnFormula>+F61+G61+H61+I61</calculatedColumnFormula>
    </tableColumn>
    <tableColumn id="6" name="GANADOR" dataDxfId="62">
      <calculatedColumnFormula>_xlfn.RANK.EQ(J61,$J$61:$J$67,0)</calculatedColumnFormula>
    </tableColumn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7" name="MV" displayName="MV" ref="B48:J56" totalsRowShown="0" headerRowDxfId="61" headerRowBorderDxfId="60" tableBorderDxfId="59" totalsRowBorderDxfId="58">
  <autoFilter ref="B48:J56"/>
  <tableColumns count="9">
    <tableColumn id="1" name="ITEM" dataDxfId="57"/>
    <tableColumn id="2" name="NOMBRE" dataDxfId="56"/>
    <tableColumn id="3" name="VALOR" dataDxfId="55" dataCellStyle="Normal 2"/>
    <tableColumn id="4" name="PUNTAJE OFERTA ECONÓMICA" dataDxfId="54"/>
    <tableColumn id="8" name="PUNTAJE FACTOR DE CALIDAD" dataDxfId="53"/>
    <tableColumn id="7" name="PUNTAJE APOYO A LA INDUSTRIA NACIONAL" dataDxfId="52"/>
    <tableColumn id="9" name="EMPRENDIMIENTO Y EMPRESAS DE MUJERES" dataDxfId="51"/>
    <tableColumn id="6" name="PUNTAJE TOTAL" dataDxfId="50">
      <calculatedColumnFormula>+E49+F49+G49+H49</calculatedColumnFormula>
    </tableColumn>
    <tableColumn id="5" name="GANADOR" dataDxfId="49">
      <calculatedColumnFormula>_xlfn.RANK.EQ(I49,$I$49:$I$56,0)</calculatedColumnFormula>
    </tableColumn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id="22" name="Tabla623" displayName="Tabla623" ref="B76:J90" totalsRowShown="0" headerRowDxfId="48" dataDxfId="46" headerRowBorderDxfId="47" tableBorderDxfId="45" totalsRowBorderDxfId="44">
  <autoFilter ref="B76:J90"/>
  <tableColumns count="9">
    <tableColumn id="1" name="ITEM" dataDxfId="43"/>
    <tableColumn id="2" name="NOMBRE" dataDxfId="42"/>
    <tableColumn id="3" name="VALOR" dataDxfId="41" dataCellStyle="Normal 2"/>
    <tableColumn id="4" name="ASC" dataDxfId="40"/>
    <tableColumn id="5" name="PUNTAJE OFERTA ECONÓMICA" dataDxfId="39"/>
    <tableColumn id="9" name="PUNTAJE FACTOR DE CALIDAD" dataDxfId="38"/>
    <tableColumn id="8" name="PUNTAJE APOYO A LA INDUSTRIA NACIONAL" dataDxfId="37"/>
    <tableColumn id="7" name="PUNTAJE TOTAL" dataDxfId="36">
      <calculatedColumnFormula>+F77+G77+H77</calculatedColumnFormula>
    </tableColumn>
    <tableColumn id="6" name="GANADOR" dataDxfId="35">
      <calculatedColumnFormula>_xlfn.RANK.EQ(I77,$I$77:$I$90,0)</calculatedColumnFormula>
    </tableColumn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id="23" name="MV_24" displayName="MV_24" ref="B35:J41" totalsRowShown="0" headerRowDxfId="34" headerRowBorderDxfId="33" tableBorderDxfId="32" totalsRowBorderDxfId="31">
  <autoFilter ref="B35:J41"/>
  <sortState ref="B37:J41">
    <sortCondition ref="J35:J41"/>
  </sortState>
  <tableColumns count="9">
    <tableColumn id="1" name="ITEM" dataDxfId="30"/>
    <tableColumn id="2" name="NOMBRE" dataDxfId="29"/>
    <tableColumn id="3" name="VALOR" dataDxfId="28" dataCellStyle="Normal 2"/>
    <tableColumn id="4" name="PUNTAJE OFERTA ECONÓMICA" dataDxfId="27"/>
    <tableColumn id="8" name="PUNTAJE FACTOR DE CALIDAD" dataDxfId="26"/>
    <tableColumn id="7" name="PUNTAJE APOYO A LA INDUSTRIA NACIONAL" dataDxfId="25"/>
    <tableColumn id="9" name="EMPRENDIMIENTOS Y EMPRESAS DE MUJERES" dataDxfId="24"/>
    <tableColumn id="6" name="PUNTAJE TOTAL" dataDxfId="23">
      <calculatedColumnFormula>+E36+F36+G36+H36</calculatedColumnFormula>
    </tableColumn>
    <tableColumn id="5" name="GANADOR" dataDxfId="22">
      <calculatedColumnFormula>_xlfn.RANK.EQ(I36,$I$36:$I$41,0)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uperfinanciera.gov.co/publicacion/60819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www.superfinanciera.gov.co/publicacion/60819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emf"/><Relationship Id="rId3" Type="http://schemas.openxmlformats.org/officeDocument/2006/relationships/vmlDrawing" Target="../drawings/vmlDrawing7.vml"/><Relationship Id="rId7" Type="http://schemas.openxmlformats.org/officeDocument/2006/relationships/oleObject" Target="../embeddings/oleObject2.bin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6" Type="http://schemas.openxmlformats.org/officeDocument/2006/relationships/image" Target="../media/image10.emf"/><Relationship Id="rId5" Type="http://schemas.openxmlformats.org/officeDocument/2006/relationships/oleObject" Target="../embeddings/oleObject1.bin"/><Relationship Id="rId10" Type="http://schemas.openxmlformats.org/officeDocument/2006/relationships/table" Target="../tables/table5.xml"/><Relationship Id="rId4" Type="http://schemas.openxmlformats.org/officeDocument/2006/relationships/vmlDrawing" Target="../drawings/vmlDrawing8.vml"/><Relationship Id="rId9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7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6" Type="http://schemas.openxmlformats.org/officeDocument/2006/relationships/image" Target="../media/image12.emf"/><Relationship Id="rId5" Type="http://schemas.openxmlformats.org/officeDocument/2006/relationships/oleObject" Target="../embeddings/oleObject3.bin"/><Relationship Id="rId4" Type="http://schemas.openxmlformats.org/officeDocument/2006/relationships/vmlDrawing" Target="../drawings/vmlDrawing10.v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theme="9" tint="-0.249977111117893"/>
    <pageSetUpPr fitToPage="1"/>
  </sheetPr>
  <dimension ref="B2:O71"/>
  <sheetViews>
    <sheetView view="pageBreakPreview" zoomScaleNormal="100" zoomScaleSheetLayoutView="100" workbookViewId="0">
      <selection activeCell="H59" sqref="H59"/>
    </sheetView>
  </sheetViews>
  <sheetFormatPr baseColWidth="10" defaultColWidth="11.5703125" defaultRowHeight="15" x14ac:dyDescent="0.2"/>
  <cols>
    <col min="1" max="1" width="2.7109375" style="41" customWidth="1"/>
    <col min="2" max="3" width="11.5703125" style="41"/>
    <col min="4" max="4" width="12.7109375" style="41" bestFit="1" customWidth="1"/>
    <col min="5" max="9" width="11.5703125" style="41"/>
    <col min="10" max="10" width="2.7109375" style="41" customWidth="1"/>
    <col min="11" max="14" width="11.5703125" style="41"/>
    <col min="15" max="15" width="18.5703125" style="41" customWidth="1"/>
    <col min="16" max="16384" width="11.5703125" style="41"/>
  </cols>
  <sheetData>
    <row r="2" spans="2:9" x14ac:dyDescent="0.2">
      <c r="B2" s="141" t="s">
        <v>0</v>
      </c>
      <c r="C2" s="141"/>
      <c r="D2" s="141"/>
      <c r="E2" s="141"/>
      <c r="F2" s="141"/>
      <c r="G2" s="141"/>
      <c r="H2" s="141"/>
      <c r="I2" s="141"/>
    </row>
    <row r="3" spans="2:9" x14ac:dyDescent="0.2">
      <c r="B3" s="141"/>
      <c r="C3" s="141"/>
      <c r="D3" s="141"/>
      <c r="E3" s="141"/>
      <c r="F3" s="141"/>
      <c r="G3" s="141"/>
      <c r="H3" s="141"/>
      <c r="I3" s="141"/>
    </row>
    <row r="5" spans="2:9" x14ac:dyDescent="0.2">
      <c r="B5" s="139" t="s">
        <v>1</v>
      </c>
      <c r="C5" s="139"/>
      <c r="D5" s="139"/>
      <c r="E5" s="139"/>
      <c r="F5" s="139"/>
      <c r="G5" s="139"/>
      <c r="H5" s="139"/>
      <c r="I5" s="139"/>
    </row>
    <row r="7" spans="2:9" ht="15.75" x14ac:dyDescent="0.25">
      <c r="C7" s="140" t="s">
        <v>2</v>
      </c>
      <c r="D7" s="140"/>
      <c r="E7" s="142" t="s">
        <v>3</v>
      </c>
      <c r="F7" s="142" t="s">
        <v>4</v>
      </c>
      <c r="G7" s="142"/>
      <c r="H7" s="142"/>
    </row>
    <row r="8" spans="2:9" ht="15.75" x14ac:dyDescent="0.25">
      <c r="C8" s="1" t="s">
        <v>5</v>
      </c>
      <c r="D8" s="1" t="s">
        <v>6</v>
      </c>
      <c r="E8" s="142"/>
      <c r="F8" s="142"/>
      <c r="G8" s="142"/>
      <c r="H8" s="142"/>
    </row>
    <row r="9" spans="2:9" x14ac:dyDescent="0.2">
      <c r="C9" s="43">
        <v>0</v>
      </c>
      <c r="D9" s="43">
        <v>0.24</v>
      </c>
      <c r="E9" s="2">
        <v>1</v>
      </c>
      <c r="F9" s="143" t="s">
        <v>7</v>
      </c>
      <c r="G9" s="144"/>
      <c r="H9" s="145"/>
    </row>
    <row r="10" spans="2:9" x14ac:dyDescent="0.2">
      <c r="C10" s="43">
        <v>0.25</v>
      </c>
      <c r="D10" s="43">
        <v>0.49</v>
      </c>
      <c r="E10" s="2">
        <v>2</v>
      </c>
      <c r="F10" s="143" t="s">
        <v>8</v>
      </c>
      <c r="G10" s="144"/>
      <c r="H10" s="145"/>
    </row>
    <row r="11" spans="2:9" x14ac:dyDescent="0.2">
      <c r="C11" s="43">
        <v>0.5</v>
      </c>
      <c r="D11" s="43">
        <v>0.74</v>
      </c>
      <c r="E11" s="2">
        <v>3</v>
      </c>
      <c r="F11" s="143" t="s">
        <v>9</v>
      </c>
      <c r="G11" s="144"/>
      <c r="H11" s="145"/>
    </row>
    <row r="12" spans="2:9" x14ac:dyDescent="0.2">
      <c r="C12" s="43">
        <v>0.75</v>
      </c>
      <c r="D12" s="43">
        <v>0.99</v>
      </c>
      <c r="E12" s="2">
        <v>4</v>
      </c>
      <c r="F12" s="143" t="s">
        <v>10</v>
      </c>
      <c r="G12" s="144"/>
      <c r="H12" s="145"/>
    </row>
    <row r="14" spans="2:9" x14ac:dyDescent="0.2">
      <c r="B14" s="146" t="s">
        <v>11</v>
      </c>
      <c r="C14" s="146"/>
      <c r="D14" s="146"/>
      <c r="E14" s="146"/>
      <c r="F14" s="146"/>
      <c r="G14" s="146"/>
      <c r="H14" s="146"/>
      <c r="I14" s="146"/>
    </row>
    <row r="15" spans="2:9" x14ac:dyDescent="0.2">
      <c r="B15" s="146"/>
      <c r="C15" s="146"/>
      <c r="D15" s="146"/>
      <c r="E15" s="146"/>
      <c r="F15" s="146"/>
      <c r="G15" s="146"/>
      <c r="H15" s="146"/>
      <c r="I15" s="146"/>
    </row>
    <row r="16" spans="2:9" x14ac:dyDescent="0.2">
      <c r="B16" s="146"/>
      <c r="C16" s="146"/>
      <c r="D16" s="146"/>
      <c r="E16" s="146"/>
      <c r="F16" s="146"/>
      <c r="G16" s="146"/>
      <c r="H16" s="146"/>
      <c r="I16" s="146"/>
    </row>
    <row r="18" spans="2:9" x14ac:dyDescent="0.2">
      <c r="B18" s="139" t="s">
        <v>12</v>
      </c>
      <c r="C18" s="139"/>
      <c r="D18" s="139"/>
      <c r="E18" s="139"/>
      <c r="F18" s="139"/>
      <c r="G18" s="139"/>
      <c r="H18" s="139"/>
      <c r="I18" s="139"/>
    </row>
    <row r="19" spans="2:9" x14ac:dyDescent="0.2">
      <c r="B19" s="139"/>
      <c r="C19" s="139"/>
      <c r="D19" s="139"/>
      <c r="E19" s="139"/>
      <c r="F19" s="139"/>
      <c r="G19" s="139"/>
      <c r="H19" s="139"/>
      <c r="I19" s="139"/>
    </row>
    <row r="20" spans="2:9" x14ac:dyDescent="0.2">
      <c r="B20" s="139"/>
      <c r="C20" s="139"/>
      <c r="D20" s="139"/>
      <c r="E20" s="139"/>
      <c r="F20" s="139"/>
      <c r="G20" s="139"/>
      <c r="H20" s="139"/>
      <c r="I20" s="139"/>
    </row>
    <row r="21" spans="2:9" x14ac:dyDescent="0.2">
      <c r="B21" s="139"/>
      <c r="C21" s="139"/>
      <c r="D21" s="139"/>
      <c r="E21" s="139"/>
      <c r="F21" s="139"/>
      <c r="G21" s="139"/>
      <c r="H21" s="139"/>
      <c r="I21" s="139"/>
    </row>
    <row r="22" spans="2:9" x14ac:dyDescent="0.2">
      <c r="B22" s="139"/>
      <c r="C22" s="139"/>
      <c r="D22" s="139"/>
      <c r="E22" s="139"/>
      <c r="F22" s="139"/>
      <c r="G22" s="139"/>
      <c r="H22" s="139"/>
      <c r="I22" s="139"/>
    </row>
    <row r="24" spans="2:9" x14ac:dyDescent="0.2">
      <c r="B24" s="139" t="s">
        <v>13</v>
      </c>
      <c r="C24" s="139"/>
      <c r="D24" s="139"/>
      <c r="E24" s="139"/>
      <c r="F24" s="139"/>
      <c r="G24" s="139"/>
      <c r="H24" s="139"/>
      <c r="I24" s="139"/>
    </row>
    <row r="25" spans="2:9" x14ac:dyDescent="0.2">
      <c r="B25" s="139"/>
      <c r="C25" s="139"/>
      <c r="D25" s="139"/>
      <c r="E25" s="139"/>
      <c r="F25" s="139"/>
      <c r="G25" s="139"/>
      <c r="H25" s="139"/>
      <c r="I25" s="139"/>
    </row>
    <row r="27" spans="2:9" x14ac:dyDescent="0.2">
      <c r="B27" s="139" t="s">
        <v>14</v>
      </c>
      <c r="C27" s="139"/>
      <c r="D27" s="139"/>
      <c r="E27" s="139"/>
      <c r="F27" s="139"/>
      <c r="G27" s="139"/>
      <c r="H27" s="139"/>
      <c r="I27" s="139"/>
    </row>
    <row r="28" spans="2:9" x14ac:dyDescent="0.2">
      <c r="B28" s="139"/>
      <c r="C28" s="139"/>
      <c r="D28" s="139"/>
      <c r="E28" s="139"/>
      <c r="F28" s="139"/>
      <c r="G28" s="139"/>
      <c r="H28" s="139"/>
      <c r="I28" s="139"/>
    </row>
    <row r="30" spans="2:9" x14ac:dyDescent="0.2">
      <c r="B30" s="41" t="s">
        <v>15</v>
      </c>
    </row>
    <row r="32" spans="2:9" ht="15.75" x14ac:dyDescent="0.25">
      <c r="B32" s="140" t="s">
        <v>16</v>
      </c>
      <c r="C32" s="140"/>
      <c r="D32" s="148" t="s">
        <v>135</v>
      </c>
      <c r="E32" s="149"/>
    </row>
    <row r="33" spans="2:9" ht="15.75" x14ac:dyDescent="0.25">
      <c r="B33" s="140" t="s">
        <v>17</v>
      </c>
      <c r="C33" s="140"/>
      <c r="D33" s="154"/>
      <c r="E33" s="155"/>
    </row>
    <row r="34" spans="2:9" ht="16.5" customHeight="1" x14ac:dyDescent="0.2">
      <c r="B34" s="142" t="s">
        <v>18</v>
      </c>
      <c r="C34" s="142"/>
      <c r="D34" s="147" t="s">
        <v>137</v>
      </c>
      <c r="E34" s="147"/>
      <c r="F34" s="147"/>
      <c r="G34" s="147"/>
      <c r="H34" s="147"/>
      <c r="I34" s="147"/>
    </row>
    <row r="35" spans="2:9" x14ac:dyDescent="0.2">
      <c r="B35" s="142"/>
      <c r="C35" s="142"/>
      <c r="D35" s="147"/>
      <c r="E35" s="147"/>
      <c r="F35" s="147"/>
      <c r="G35" s="147"/>
      <c r="H35" s="147"/>
      <c r="I35" s="147"/>
    </row>
    <row r="36" spans="2:9" ht="50.25" customHeight="1" x14ac:dyDescent="0.2">
      <c r="B36" s="142"/>
      <c r="C36" s="142"/>
      <c r="D36" s="147"/>
      <c r="E36" s="147"/>
      <c r="F36" s="147"/>
      <c r="G36" s="147"/>
      <c r="H36" s="147"/>
      <c r="I36" s="147"/>
    </row>
    <row r="38" spans="2:9" ht="15.6" customHeight="1" x14ac:dyDescent="0.2">
      <c r="B38" s="151" t="s">
        <v>19</v>
      </c>
      <c r="C38" s="151"/>
      <c r="D38" s="151"/>
      <c r="E38" s="151"/>
      <c r="F38" s="151"/>
      <c r="G38" s="151"/>
      <c r="H38" s="151"/>
      <c r="I38" s="151"/>
    </row>
    <row r="39" spans="2:9" x14ac:dyDescent="0.2">
      <c r="B39" s="152"/>
      <c r="C39" s="152"/>
      <c r="D39" s="152"/>
      <c r="E39" s="152"/>
      <c r="F39" s="152"/>
      <c r="G39" s="152"/>
      <c r="H39" s="152"/>
      <c r="I39" s="152"/>
    </row>
    <row r="40" spans="2:9" x14ac:dyDescent="0.2">
      <c r="B40" s="153" t="str">
        <f>D32&amp;" "&amp;D33&amp;" "&amp;D34</f>
        <v>MC-054-2024  “CONSTRUCCIÓN DE OBRAS DE ESTABILIDAD Y OBRAS DE MANEJO DE AGUAS LLUVIAS PARA LA MITIGACIÓN DEL RIESGO EN SITIOS CRÍTICOS DE ZONA URBANA (COMUNA SIETE – TESORITO HASTA LA COMUNA ONCE – LA MACARENA) Y ZONA RURAL DEL MUNICIPIO DE MANIZALES, POR EL SISTEMA DE MONTO AGOTABLE"</v>
      </c>
      <c r="C40" s="153"/>
      <c r="D40" s="153"/>
      <c r="E40" s="153"/>
      <c r="F40" s="153"/>
      <c r="G40" s="153"/>
      <c r="H40" s="153"/>
      <c r="I40" s="153"/>
    </row>
    <row r="41" spans="2:9" x14ac:dyDescent="0.2">
      <c r="B41" s="153"/>
      <c r="C41" s="153"/>
      <c r="D41" s="153"/>
      <c r="E41" s="153"/>
      <c r="F41" s="153"/>
      <c r="G41" s="153"/>
      <c r="H41" s="153"/>
      <c r="I41" s="153"/>
    </row>
    <row r="42" spans="2:9" ht="42" customHeight="1" x14ac:dyDescent="0.2">
      <c r="B42" s="153"/>
      <c r="C42" s="153"/>
      <c r="D42" s="153"/>
      <c r="E42" s="153"/>
      <c r="F42" s="153"/>
      <c r="G42" s="153"/>
      <c r="H42" s="153"/>
      <c r="I42" s="153"/>
    </row>
    <row r="44" spans="2:9" x14ac:dyDescent="0.2">
      <c r="B44" s="41" t="s">
        <v>20</v>
      </c>
    </row>
    <row r="46" spans="2:9" ht="15.75" x14ac:dyDescent="0.25">
      <c r="B46" s="140" t="s">
        <v>21</v>
      </c>
      <c r="C46" s="140"/>
      <c r="D46" s="148" t="s">
        <v>22</v>
      </c>
      <c r="E46" s="149"/>
    </row>
    <row r="48" spans="2:9" x14ac:dyDescent="0.2">
      <c r="B48" s="139" t="s">
        <v>136</v>
      </c>
      <c r="C48" s="139"/>
      <c r="D48" s="139"/>
      <c r="E48" s="139"/>
      <c r="F48" s="139"/>
      <c r="G48" s="139"/>
      <c r="H48" s="139"/>
      <c r="I48" s="139"/>
    </row>
    <row r="49" spans="2:9" x14ac:dyDescent="0.2">
      <c r="B49" s="139"/>
      <c r="C49" s="139"/>
      <c r="D49" s="139"/>
      <c r="E49" s="139"/>
      <c r="F49" s="139"/>
      <c r="G49" s="139"/>
      <c r="H49" s="139"/>
      <c r="I49" s="139"/>
    </row>
    <row r="50" spans="2:9" x14ac:dyDescent="0.2">
      <c r="B50" s="42"/>
      <c r="C50" s="42"/>
      <c r="D50" s="42"/>
      <c r="E50" s="42"/>
      <c r="F50" s="42"/>
      <c r="G50" s="42"/>
      <c r="H50" s="42"/>
      <c r="I50" s="42"/>
    </row>
    <row r="51" spans="2:9" x14ac:dyDescent="0.2">
      <c r="B51" s="42"/>
      <c r="C51" s="42"/>
      <c r="D51" s="42"/>
      <c r="E51" s="42"/>
      <c r="F51" s="42"/>
      <c r="G51" s="42"/>
      <c r="H51" s="42"/>
      <c r="I51" s="42"/>
    </row>
    <row r="52" spans="2:9" x14ac:dyDescent="0.2">
      <c r="B52" s="42"/>
      <c r="C52" s="42"/>
      <c r="D52" s="42"/>
      <c r="E52" s="42"/>
      <c r="F52" s="42"/>
      <c r="G52" s="42"/>
      <c r="H52" s="42"/>
      <c r="I52" s="42"/>
    </row>
    <row r="53" spans="2:9" x14ac:dyDescent="0.2">
      <c r="B53" s="42"/>
      <c r="C53" s="42"/>
      <c r="D53" s="42"/>
      <c r="E53" s="42"/>
      <c r="F53" s="42"/>
      <c r="G53" s="42"/>
      <c r="H53" s="42"/>
      <c r="I53" s="42"/>
    </row>
    <row r="54" spans="2:9" ht="15.75" x14ac:dyDescent="0.25">
      <c r="B54" s="140" t="s">
        <v>23</v>
      </c>
      <c r="C54" s="140"/>
      <c r="D54" s="159">
        <v>4064.51</v>
      </c>
      <c r="E54" s="160"/>
    </row>
    <row r="55" spans="2:9" x14ac:dyDescent="0.2">
      <c r="B55" s="161" t="s">
        <v>24</v>
      </c>
      <c r="C55" s="150"/>
      <c r="D55" s="150"/>
      <c r="E55" s="150"/>
    </row>
    <row r="56" spans="2:9" x14ac:dyDescent="0.2">
      <c r="B56" s="150" t="s">
        <v>134</v>
      </c>
      <c r="C56" s="150"/>
      <c r="D56" s="150"/>
      <c r="E56" s="150"/>
    </row>
    <row r="58" spans="2:9" x14ac:dyDescent="0.2">
      <c r="B58" s="41" t="s">
        <v>25</v>
      </c>
    </row>
    <row r="60" spans="2:9" ht="15.75" x14ac:dyDescent="0.25">
      <c r="B60" s="140" t="s">
        <v>4</v>
      </c>
      <c r="C60" s="140"/>
      <c r="D60" s="158" t="str">
        <f>INDEX(E9:H12,MATCH(ROUND(D54-INT(D54),2),C9:C12,1),2)</f>
        <v>Media aritmética baja</v>
      </c>
      <c r="E60" s="158"/>
      <c r="F60" s="158"/>
      <c r="G60" s="158"/>
    </row>
    <row r="61" spans="2:9" x14ac:dyDescent="0.2">
      <c r="E61" s="44"/>
      <c r="F61" s="44"/>
      <c r="G61" s="44"/>
    </row>
    <row r="62" spans="2:9" x14ac:dyDescent="0.2">
      <c r="B62" s="139" t="s">
        <v>26</v>
      </c>
      <c r="C62" s="139"/>
      <c r="D62" s="139"/>
      <c r="E62" s="139"/>
      <c r="F62" s="139"/>
      <c r="G62" s="139"/>
      <c r="H62" s="139"/>
      <c r="I62" s="139"/>
    </row>
    <row r="63" spans="2:9" x14ac:dyDescent="0.2">
      <c r="B63" s="139"/>
      <c r="C63" s="139"/>
      <c r="D63" s="139"/>
      <c r="E63" s="139"/>
      <c r="F63" s="139"/>
      <c r="G63" s="139"/>
      <c r="H63" s="139"/>
      <c r="I63" s="139"/>
    </row>
    <row r="64" spans="2:9" x14ac:dyDescent="0.2">
      <c r="E64" s="44"/>
      <c r="F64" s="44"/>
      <c r="G64" s="44"/>
    </row>
    <row r="65" spans="2:15" ht="15.6" customHeight="1" thickBot="1" x14ac:dyDescent="0.25">
      <c r="B65" s="141" t="s">
        <v>27</v>
      </c>
      <c r="C65" s="141"/>
      <c r="D65" s="162">
        <v>7</v>
      </c>
      <c r="E65" s="162"/>
      <c r="F65" s="44"/>
      <c r="G65" s="44"/>
    </row>
    <row r="66" spans="2:15" ht="15.6" customHeight="1" thickBot="1" x14ac:dyDescent="0.25">
      <c r="B66" s="141"/>
      <c r="C66" s="141"/>
      <c r="D66" s="162"/>
      <c r="E66" s="162"/>
      <c r="F66" s="44"/>
      <c r="G66" s="44"/>
      <c r="O66" s="99"/>
    </row>
    <row r="67" spans="2:15" x14ac:dyDescent="0.2">
      <c r="E67" s="44"/>
      <c r="F67" s="44"/>
      <c r="G67" s="44"/>
    </row>
    <row r="68" spans="2:15" x14ac:dyDescent="0.2">
      <c r="B68" s="41" t="s">
        <v>28</v>
      </c>
    </row>
    <row r="70" spans="2:15" ht="15.75" x14ac:dyDescent="0.25">
      <c r="B70" s="140" t="s">
        <v>29</v>
      </c>
      <c r="C70" s="140"/>
      <c r="D70" s="159"/>
      <c r="E70" s="160"/>
    </row>
    <row r="71" spans="2:15" ht="15.75" x14ac:dyDescent="0.25">
      <c r="B71" s="140" t="s">
        <v>30</v>
      </c>
      <c r="C71" s="140"/>
      <c r="D71" s="156">
        <v>22139836</v>
      </c>
      <c r="E71" s="157"/>
    </row>
  </sheetData>
  <mergeCells count="37">
    <mergeCell ref="D71:E71"/>
    <mergeCell ref="D60:G60"/>
    <mergeCell ref="D54:E54"/>
    <mergeCell ref="B55:E55"/>
    <mergeCell ref="B70:C70"/>
    <mergeCell ref="D70:E70"/>
    <mergeCell ref="B71:C71"/>
    <mergeCell ref="B62:I63"/>
    <mergeCell ref="B65:C66"/>
    <mergeCell ref="D65:E66"/>
    <mergeCell ref="B60:C60"/>
    <mergeCell ref="B34:C36"/>
    <mergeCell ref="D34:I36"/>
    <mergeCell ref="D32:E32"/>
    <mergeCell ref="B56:E56"/>
    <mergeCell ref="B38:I39"/>
    <mergeCell ref="B40:I42"/>
    <mergeCell ref="B46:C46"/>
    <mergeCell ref="D46:E46"/>
    <mergeCell ref="B48:I49"/>
    <mergeCell ref="B54:C54"/>
    <mergeCell ref="D33:E33"/>
    <mergeCell ref="B24:I25"/>
    <mergeCell ref="B27:I28"/>
    <mergeCell ref="B32:C32"/>
    <mergeCell ref="B33:C33"/>
    <mergeCell ref="B2:I3"/>
    <mergeCell ref="B5:I5"/>
    <mergeCell ref="C7:D7"/>
    <mergeCell ref="E7:E8"/>
    <mergeCell ref="F7:H8"/>
    <mergeCell ref="F9:H9"/>
    <mergeCell ref="F10:H10"/>
    <mergeCell ref="F11:H11"/>
    <mergeCell ref="F12:H12"/>
    <mergeCell ref="B14:I16"/>
    <mergeCell ref="B18:I22"/>
  </mergeCells>
  <hyperlinks>
    <hyperlink ref="B55" r:id="rId1"/>
  </hyperlinks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horizontalDpi="4294967293" r:id="rId2"/>
  <headerFooter>
    <oddHeader>&amp;L         &amp;G&amp;CSECRETARÍA DE OBRAS PÚBLICAS
ALCALDÍA DE MANIZALES
&amp;G&amp;RPág. &amp;P de &amp;N
Fecha: &amp;D</oddHeader>
    <oddFooter>&amp;CALCALDIA DE MANIZALES
CALLE 19 N° 21-44 PROPIEDAD HORIZONTAL CAM
TELÉFONO 887 9700 EXT. 71500 - CÓDIGO POSTAL 170001 - ATENCIÓN AL CLIENTE 01-8000-968988
www.manizales.gov.co</oddFooter>
  </headerFooter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B2:O80"/>
  <sheetViews>
    <sheetView view="pageBreakPreview" topLeftCell="D40" zoomScaleNormal="100" zoomScaleSheetLayoutView="100" workbookViewId="0">
      <selection activeCell="I66" sqref="I66"/>
    </sheetView>
  </sheetViews>
  <sheetFormatPr baseColWidth="10" defaultColWidth="11.5703125" defaultRowHeight="15" x14ac:dyDescent="0.2"/>
  <cols>
    <col min="1" max="1" width="2.7109375" style="41" customWidth="1"/>
    <col min="2" max="2" width="7.42578125" style="41" customWidth="1"/>
    <col min="3" max="3" width="33.42578125" style="41" customWidth="1"/>
    <col min="4" max="4" width="6.7109375" style="41" customWidth="1"/>
    <col min="5" max="5" width="20.85546875" style="41" customWidth="1"/>
    <col min="6" max="6" width="15" style="41" customWidth="1"/>
    <col min="7" max="8" width="13.7109375" style="41" customWidth="1"/>
    <col min="9" max="9" width="21.140625" style="41" customWidth="1"/>
    <col min="10" max="10" width="21.140625" style="41" hidden="1" customWidth="1"/>
    <col min="11" max="12" width="13.7109375" style="41" customWidth="1"/>
    <col min="13" max="13" width="2.7109375" style="41" customWidth="1"/>
    <col min="14" max="14" width="17.7109375" style="41" customWidth="1"/>
    <col min="15" max="15" width="21.28515625" style="41" bestFit="1" customWidth="1"/>
    <col min="16" max="16384" width="11.5703125" style="41"/>
  </cols>
  <sheetData>
    <row r="2" spans="2:13" x14ac:dyDescent="0.2">
      <c r="B2" s="141" t="s">
        <v>31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</row>
    <row r="3" spans="2:13" x14ac:dyDescent="0.2"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</row>
    <row r="5" spans="2:13" x14ac:dyDescent="0.2"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</row>
    <row r="6" spans="2:13" x14ac:dyDescent="0.2">
      <c r="B6" s="139"/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</row>
    <row r="7" spans="2:13" x14ac:dyDescent="0.2">
      <c r="B7" s="139"/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</row>
    <row r="8" spans="2:13" x14ac:dyDescent="0.2">
      <c r="B8" s="139"/>
      <c r="C8" s="139"/>
      <c r="D8" s="139"/>
      <c r="E8" s="139"/>
      <c r="F8" s="139"/>
      <c r="G8" s="139"/>
      <c r="H8" s="139"/>
      <c r="I8" s="139"/>
      <c r="J8" s="139"/>
      <c r="K8" s="139"/>
      <c r="L8" s="139"/>
      <c r="M8" s="139"/>
    </row>
    <row r="9" spans="2:13" x14ac:dyDescent="0.2">
      <c r="B9" s="139"/>
      <c r="C9" s="139"/>
      <c r="D9" s="139"/>
      <c r="E9" s="139"/>
      <c r="F9" s="139"/>
      <c r="G9" s="139"/>
      <c r="H9" s="139"/>
      <c r="I9" s="139"/>
      <c r="J9" s="139"/>
      <c r="K9" s="139"/>
      <c r="L9" s="139"/>
      <c r="M9" s="139"/>
    </row>
    <row r="10" spans="2:13" x14ac:dyDescent="0.2">
      <c r="B10" s="139"/>
      <c r="C10" s="139"/>
      <c r="D10" s="139"/>
      <c r="E10" s="139"/>
      <c r="F10" s="139"/>
      <c r="G10" s="139"/>
      <c r="H10" s="139"/>
      <c r="I10" s="139"/>
      <c r="J10" s="139"/>
      <c r="K10" s="139"/>
      <c r="L10" s="139"/>
      <c r="M10" s="139"/>
    </row>
    <row r="22" spans="2:13" x14ac:dyDescent="0.2">
      <c r="B22" s="139"/>
      <c r="C22" s="139"/>
      <c r="D22" s="139"/>
      <c r="E22" s="139"/>
      <c r="F22" s="139"/>
      <c r="G22" s="139"/>
      <c r="H22" s="139"/>
      <c r="I22" s="139"/>
      <c r="J22" s="139"/>
      <c r="K22" s="139"/>
      <c r="L22" s="139"/>
      <c r="M22" s="139"/>
    </row>
    <row r="23" spans="2:13" x14ac:dyDescent="0.2">
      <c r="B23" s="139"/>
      <c r="C23" s="139"/>
      <c r="D23" s="139"/>
      <c r="E23" s="139"/>
      <c r="F23" s="139"/>
      <c r="G23" s="139"/>
      <c r="H23" s="139"/>
      <c r="I23" s="139"/>
      <c r="J23" s="139"/>
      <c r="K23" s="139"/>
      <c r="L23" s="139"/>
      <c r="M23" s="139"/>
    </row>
    <row r="24" spans="2:13" x14ac:dyDescent="0.2">
      <c r="B24" s="139"/>
      <c r="C24" s="139"/>
      <c r="D24" s="139"/>
      <c r="E24" s="139"/>
      <c r="F24" s="139"/>
      <c r="G24" s="139"/>
      <c r="H24" s="139"/>
      <c r="I24" s="139"/>
      <c r="J24" s="139"/>
      <c r="K24" s="139"/>
      <c r="L24" s="139"/>
      <c r="M24" s="139"/>
    </row>
    <row r="35" spans="2:13" x14ac:dyDescent="0.2">
      <c r="B35" s="139"/>
      <c r="C35" s="139"/>
      <c r="D35" s="139"/>
      <c r="E35" s="139"/>
      <c r="F35" s="139"/>
      <c r="G35" s="139"/>
      <c r="H35" s="139"/>
      <c r="I35" s="139"/>
      <c r="J35" s="139"/>
      <c r="K35" s="139"/>
      <c r="L35" s="139"/>
      <c r="M35" s="139"/>
    </row>
    <row r="36" spans="2:13" x14ac:dyDescent="0.2">
      <c r="B36" s="139"/>
      <c r="C36" s="139"/>
      <c r="D36" s="139"/>
      <c r="E36" s="139"/>
      <c r="F36" s="139"/>
      <c r="G36" s="139"/>
      <c r="H36" s="139"/>
      <c r="I36" s="139"/>
      <c r="J36" s="139"/>
      <c r="K36" s="139"/>
      <c r="L36" s="139"/>
      <c r="M36" s="139"/>
    </row>
    <row r="37" spans="2:13" x14ac:dyDescent="0.2">
      <c r="B37" s="139"/>
      <c r="C37" s="139"/>
      <c r="D37" s="139"/>
      <c r="E37" s="139"/>
      <c r="F37" s="139"/>
      <c r="G37" s="139"/>
      <c r="H37" s="139"/>
      <c r="I37" s="139"/>
      <c r="J37" s="139"/>
      <c r="K37" s="139"/>
      <c r="L37" s="139"/>
      <c r="M37" s="139"/>
    </row>
    <row r="53" spans="2:13" ht="15.75" x14ac:dyDescent="0.2">
      <c r="B53" s="169" t="s">
        <v>32</v>
      </c>
      <c r="C53" s="171"/>
      <c r="D53" s="171"/>
      <c r="E53" s="171"/>
      <c r="F53" s="171"/>
      <c r="G53" s="171"/>
      <c r="H53" s="171"/>
      <c r="I53" s="171"/>
      <c r="J53" s="171"/>
      <c r="K53" s="171"/>
      <c r="L53" s="171"/>
      <c r="M53" s="170"/>
    </row>
    <row r="55" spans="2:13" ht="15.75" x14ac:dyDescent="0.25">
      <c r="B55" s="140" t="s">
        <v>33</v>
      </c>
      <c r="C55" s="140"/>
      <c r="D55" s="148"/>
      <c r="E55" s="149"/>
    </row>
    <row r="56" spans="2:13" ht="15.75" x14ac:dyDescent="0.25">
      <c r="B56" s="140" t="s">
        <v>34</v>
      </c>
      <c r="C56" s="140"/>
      <c r="D56" s="177">
        <f>+ENTRADA_MENOR!D65</f>
        <v>7</v>
      </c>
      <c r="E56" s="178"/>
    </row>
    <row r="57" spans="2:13" ht="15.75" x14ac:dyDescent="0.25">
      <c r="B57" s="140" t="s">
        <v>35</v>
      </c>
      <c r="C57" s="140"/>
      <c r="D57" s="172">
        <f>+ENTRADA_MENOR!D71</f>
        <v>22139836</v>
      </c>
      <c r="E57" s="173"/>
    </row>
    <row r="59" spans="2:13" x14ac:dyDescent="0.2">
      <c r="B59" s="41" t="e">
        <f ca="1">"De acuerdo a lo anterior, el número de propuestas es "&amp;IF(_xll.ES.PAR(D56),"PAR","IMPAR")</f>
        <v>#NAME?</v>
      </c>
    </row>
    <row r="60" spans="2:13" ht="15" customHeight="1" x14ac:dyDescent="0.2"/>
    <row r="61" spans="2:13" ht="15" customHeight="1" x14ac:dyDescent="0.25">
      <c r="B61" s="179" t="s">
        <v>36</v>
      </c>
      <c r="C61" s="180"/>
      <c r="D61" s="175" t="e">
        <f ca="1">IF(_xll.ES.IMPAR(D56),MEDIAN(E67:E72),"N/A")</f>
        <v>#NAME?</v>
      </c>
      <c r="E61" s="176"/>
    </row>
    <row r="62" spans="2:13" x14ac:dyDescent="0.2">
      <c r="B62" s="141" t="s">
        <v>37</v>
      </c>
      <c r="C62" s="141"/>
      <c r="D62" s="174" t="e">
        <f ca="1">IF(_xll.ES.PAR($D$56),VLOOKUP($D$56/2,$D$67:$E$72,2,FALSE),"N/A")</f>
        <v>#NAME?</v>
      </c>
      <c r="E62" s="174"/>
    </row>
    <row r="63" spans="2:13" x14ac:dyDescent="0.2">
      <c r="B63" s="141"/>
      <c r="C63" s="141"/>
      <c r="D63" s="174"/>
      <c r="E63" s="174"/>
    </row>
    <row r="64" spans="2:13" ht="32.450000000000003" customHeight="1" x14ac:dyDescent="0.2">
      <c r="B64" s="169" t="s">
        <v>38</v>
      </c>
      <c r="C64" s="170"/>
      <c r="D64" s="167">
        <v>11483009.6</v>
      </c>
      <c r="E64" s="168"/>
    </row>
    <row r="66" spans="2:15" ht="57" customHeight="1" x14ac:dyDescent="0.2">
      <c r="B66" s="50" t="s">
        <v>39</v>
      </c>
      <c r="C66" s="55" t="s">
        <v>40</v>
      </c>
      <c r="D66" s="52" t="s">
        <v>41</v>
      </c>
      <c r="E66" s="51" t="s">
        <v>42</v>
      </c>
      <c r="F66" s="55" t="s">
        <v>43</v>
      </c>
      <c r="G66" s="70" t="s">
        <v>44</v>
      </c>
      <c r="H66" s="70" t="s">
        <v>45</v>
      </c>
      <c r="I66" s="70" t="s">
        <v>46</v>
      </c>
      <c r="J66" s="70" t="s">
        <v>47</v>
      </c>
      <c r="K66" s="70" t="s">
        <v>48</v>
      </c>
      <c r="L66" s="53" t="s">
        <v>49</v>
      </c>
    </row>
    <row r="67" spans="2:15" x14ac:dyDescent="0.2">
      <c r="B67" s="94">
        <v>1</v>
      </c>
      <c r="C67" s="117" t="s">
        <v>50</v>
      </c>
      <c r="D67" s="56">
        <f t="shared" ref="D67:D72" si="0">_xlfn.RANK.EQ(E67,$E$67:$E$72,1)</f>
        <v>5</v>
      </c>
      <c r="E67" s="54">
        <v>11881493</v>
      </c>
      <c r="F67" s="61" t="e">
        <f t="shared" ref="F67:F72" ca="1" si="1">IF(_xll.ES.IMPAR($D$56),IF(E67=IF(_xll.ES.IMPAR($D$56),MEDIAN($E$67:$E$72),"N/A"),59.75,IF((59.75*(1-ABS((IF(_xll.ES.IMPAR($D$56),MEDIAN($E$67:$E$72),"N/A")-E67)/IF(_xll.ES.IMPAR($D$56),MEDIAN($E$67:$E$72),"N/A"))))&gt;0,59.75*(1-ABS((IF(_xll.ES.IMPAR($D$56),MEDIAN($E$67:$E$72),"N/A")-E67)/IF(_xll.ES.IMPAR($D$56),MEDIAN($E$67:$E$72),"N/A"))),0)),IF(E67=IF(_xll.ES.PAR($D$56),VLOOKUP($D$56/2,$D$67:$E$72,2,FALSE),"N/A"),59.75,IF(E67=IF(_xll.ES.PAR($D$56),VLOOKUP($D$56/2,$D$67:$E$72,2,FALSE),"N/A"),59.5,IF(59.75*(1-ABS((IF(_xll.ES.PAR($D$56),VLOOKUP($D$56/2,$D$67:$E$72,2,FALSE),"N/A")-E67)/IF(_xll.ES.PAR($D$56),VLOOKUP($D$56/2,$D$67:$E$72,2,FALSE),"N/A")))&gt;0,59.75*(1-ABS((IF(_xll.ES.PAR($D$56),VLOOKUP($D$56/2,$D$67:$E$72,2,FALSE),"N/A")-E67)/IF(_xll.ES.PAR($D$56),VLOOKUP($D$56/2,$D$67:$E$72,2,FALSE),"N/A"))),0))))</f>
        <v>#NAME?</v>
      </c>
      <c r="G67" s="58">
        <v>20</v>
      </c>
      <c r="H67" s="58">
        <v>20</v>
      </c>
      <c r="I67" s="113">
        <v>0</v>
      </c>
      <c r="J67" s="113"/>
      <c r="K67" s="113" t="e">
        <f t="shared" ref="K67:K72" ca="1" si="2">F67+G67+H67+I67+J67</f>
        <v>#NAME?</v>
      </c>
      <c r="L67" s="58" t="e">
        <f t="shared" ref="L67:L72" ca="1" si="3">_xlfn.RANK.EQ(K67,$K$67:$K$72,0)</f>
        <v>#NAME?</v>
      </c>
    </row>
    <row r="68" spans="2:15" x14ac:dyDescent="0.2">
      <c r="B68" s="94">
        <v>2</v>
      </c>
      <c r="C68" s="117" t="s">
        <v>51</v>
      </c>
      <c r="D68" s="56">
        <f t="shared" si="0"/>
        <v>2</v>
      </c>
      <c r="E68" s="54">
        <v>11597937</v>
      </c>
      <c r="F68" s="61" t="e">
        <f t="shared" ca="1" si="1"/>
        <v>#NAME?</v>
      </c>
      <c r="G68" s="58">
        <v>20</v>
      </c>
      <c r="H68" s="58">
        <v>20</v>
      </c>
      <c r="I68" s="113">
        <v>0</v>
      </c>
      <c r="J68" s="113"/>
      <c r="K68" s="113" t="e">
        <f t="shared" ca="1" si="2"/>
        <v>#NAME?</v>
      </c>
      <c r="L68" s="58" t="e">
        <f t="shared" ca="1" si="3"/>
        <v>#NAME?</v>
      </c>
    </row>
    <row r="69" spans="2:15" x14ac:dyDescent="0.2">
      <c r="B69" s="94">
        <v>3</v>
      </c>
      <c r="C69" s="117" t="s">
        <v>52</v>
      </c>
      <c r="D69" s="56">
        <f t="shared" si="0"/>
        <v>4</v>
      </c>
      <c r="E69" s="54">
        <v>11857549</v>
      </c>
      <c r="F69" s="61" t="e">
        <f t="shared" ca="1" si="1"/>
        <v>#NAME?</v>
      </c>
      <c r="G69" s="58">
        <v>20</v>
      </c>
      <c r="H69" s="58">
        <v>20</v>
      </c>
      <c r="I69" s="113">
        <v>0.25</v>
      </c>
      <c r="J69" s="113"/>
      <c r="K69" s="113" t="e">
        <f t="shared" ca="1" si="2"/>
        <v>#NAME?</v>
      </c>
      <c r="L69" s="58" t="e">
        <f t="shared" ca="1" si="3"/>
        <v>#NAME?</v>
      </c>
    </row>
    <row r="70" spans="2:15" x14ac:dyDescent="0.2">
      <c r="B70" s="94">
        <v>4</v>
      </c>
      <c r="C70" s="117" t="s">
        <v>53</v>
      </c>
      <c r="D70" s="56">
        <f t="shared" si="0"/>
        <v>6</v>
      </c>
      <c r="E70" s="54">
        <v>12043982</v>
      </c>
      <c r="F70" s="61" t="e">
        <f t="shared" ca="1" si="1"/>
        <v>#NAME?</v>
      </c>
      <c r="G70" s="58">
        <v>20</v>
      </c>
      <c r="H70" s="58">
        <v>20</v>
      </c>
      <c r="I70" s="113">
        <v>0.25</v>
      </c>
      <c r="J70" s="113"/>
      <c r="K70" s="113" t="e">
        <f t="shared" ca="1" si="2"/>
        <v>#NAME?</v>
      </c>
      <c r="L70" s="58" t="e">
        <f t="shared" ca="1" si="3"/>
        <v>#NAME?</v>
      </c>
      <c r="O70" s="119"/>
    </row>
    <row r="71" spans="2:15" x14ac:dyDescent="0.2">
      <c r="B71" s="94">
        <v>5</v>
      </c>
      <c r="C71" s="117" t="s">
        <v>54</v>
      </c>
      <c r="D71" s="56">
        <f t="shared" si="0"/>
        <v>3</v>
      </c>
      <c r="E71" s="54">
        <v>11619362</v>
      </c>
      <c r="F71" s="61" t="e">
        <f t="shared" ca="1" si="1"/>
        <v>#NAME?</v>
      </c>
      <c r="G71" s="58">
        <v>20</v>
      </c>
      <c r="H71" s="58">
        <v>20</v>
      </c>
      <c r="I71" s="113">
        <v>0</v>
      </c>
      <c r="J71" s="113"/>
      <c r="K71" s="113" t="e">
        <f t="shared" ca="1" si="2"/>
        <v>#NAME?</v>
      </c>
      <c r="L71" s="58" t="e">
        <f t="shared" ca="1" si="3"/>
        <v>#NAME?</v>
      </c>
    </row>
    <row r="72" spans="2:15" x14ac:dyDescent="0.2">
      <c r="B72" s="94">
        <v>7</v>
      </c>
      <c r="C72" s="118" t="s">
        <v>55</v>
      </c>
      <c r="D72" s="56">
        <f t="shared" si="0"/>
        <v>1</v>
      </c>
      <c r="E72" s="54">
        <v>11531623</v>
      </c>
      <c r="F72" s="115" t="e">
        <f t="shared" ca="1" si="1"/>
        <v>#NAME?</v>
      </c>
      <c r="G72" s="58">
        <v>20</v>
      </c>
      <c r="H72" s="58">
        <v>20</v>
      </c>
      <c r="I72" s="113">
        <v>0.25</v>
      </c>
      <c r="J72" s="116"/>
      <c r="K72" s="113" t="e">
        <f t="shared" ca="1" si="2"/>
        <v>#NAME?</v>
      </c>
      <c r="L72" s="49" t="e">
        <f t="shared" ca="1" si="3"/>
        <v>#NAME?</v>
      </c>
    </row>
    <row r="73" spans="2:15" x14ac:dyDescent="0.2">
      <c r="B73" s="41" t="s">
        <v>56</v>
      </c>
    </row>
    <row r="75" spans="2:15" ht="33.6" customHeight="1" x14ac:dyDescent="0.2">
      <c r="B75" s="142" t="s">
        <v>57</v>
      </c>
      <c r="C75" s="142"/>
      <c r="D75" s="165" t="str">
        <f>+C71</f>
        <v>CONSORCIO AI</v>
      </c>
      <c r="E75" s="166"/>
    </row>
    <row r="76" spans="2:15" ht="15.75" x14ac:dyDescent="0.2">
      <c r="B76" s="142" t="s">
        <v>42</v>
      </c>
      <c r="C76" s="142"/>
      <c r="D76" s="163">
        <f>+E71</f>
        <v>11619362</v>
      </c>
      <c r="E76" s="164"/>
    </row>
    <row r="80" spans="2:15" ht="15" customHeight="1" x14ac:dyDescent="0.2"/>
  </sheetData>
  <mergeCells count="21">
    <mergeCell ref="B2:M3"/>
    <mergeCell ref="D61:E61"/>
    <mergeCell ref="B56:C56"/>
    <mergeCell ref="D56:E56"/>
    <mergeCell ref="B57:C57"/>
    <mergeCell ref="B61:C61"/>
    <mergeCell ref="B5:M10"/>
    <mergeCell ref="B22:M24"/>
    <mergeCell ref="B35:M37"/>
    <mergeCell ref="B62:C63"/>
    <mergeCell ref="B55:C55"/>
    <mergeCell ref="B53:M53"/>
    <mergeCell ref="D57:E57"/>
    <mergeCell ref="D55:E55"/>
    <mergeCell ref="D62:E63"/>
    <mergeCell ref="B76:C76"/>
    <mergeCell ref="D76:E76"/>
    <mergeCell ref="B75:C75"/>
    <mergeCell ref="D75:E75"/>
    <mergeCell ref="D64:E64"/>
    <mergeCell ref="B64:C64"/>
  </mergeCells>
  <conditionalFormatting sqref="L67:L72">
    <cfRule type="cellIs" dxfId="21" priority="4" stopIfTrue="1" operator="equal">
      <formula>1</formula>
    </cfRule>
  </conditionalFormatting>
  <conditionalFormatting sqref="E67:E72">
    <cfRule type="cellIs" dxfId="20" priority="1" stopIfTrue="1" operator="greaterThan">
      <formula>$D$64</formula>
    </cfRule>
    <cfRule type="cellIs" dxfId="19" priority="2" stopIfTrue="1" operator="lessThan">
      <formula>$D$64</formula>
    </cfRule>
  </conditionalFormatting>
  <printOptions horizontalCentered="1"/>
  <pageMargins left="0.23622047244094491" right="0.23622047244094491" top="0.74803149606299213" bottom="1.4083333333333334" header="0.31496062992125984" footer="0.31496062992125984"/>
  <pageSetup paperSize="9" scale="61" fitToHeight="0" orientation="portrait" horizontalDpi="4294967293" r:id="rId1"/>
  <headerFooter scaleWithDoc="0">
    <oddHeader>&amp;L         &amp;G&amp;CSECRETARÍA DE OBRAS PÚBLICAS
ALCALDÍA DE MANIZALES
&amp;G&amp;RPág. &amp;P de &amp;N
Fecha: &amp;D</oddHeader>
    <oddFooter>&amp;CALCALDIA DE MANIZALES
CALLE 19 N° 21-44 PROPIEDAD HORIZONTAL CAM
TELÉFONO 887 9700 EXT. 71500 - CÓDIGO POSTAL 170001 - ATENCIÓN AL CLIENTE 01-8000-968988
www.manizales.gov.co</oddFooter>
  </headerFooter>
  <drawing r:id="rId2"/>
  <legacyDrawingHF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pageSetUpPr fitToPage="1"/>
  </sheetPr>
  <dimension ref="B2:R59"/>
  <sheetViews>
    <sheetView view="pageBreakPreview" topLeftCell="B1" zoomScaleNormal="100" zoomScaleSheetLayoutView="100" workbookViewId="0">
      <selection activeCell="H56" sqref="H56"/>
    </sheetView>
  </sheetViews>
  <sheetFormatPr baseColWidth="10" defaultColWidth="11.5703125" defaultRowHeight="15" x14ac:dyDescent="0.2"/>
  <cols>
    <col min="1" max="1" width="2.7109375" style="41" customWidth="1"/>
    <col min="2" max="2" width="8.7109375" style="41" customWidth="1"/>
    <col min="3" max="3" width="39.42578125" style="41" customWidth="1"/>
    <col min="4" max="4" width="19.42578125" style="41" customWidth="1"/>
    <col min="5" max="5" width="22.42578125" style="41" customWidth="1"/>
    <col min="6" max="9" width="13.42578125" style="41" customWidth="1"/>
    <col min="10" max="10" width="18.140625" style="41" customWidth="1"/>
    <col min="11" max="11" width="19.140625" style="41" customWidth="1"/>
    <col min="12" max="12" width="13.5703125" style="41" customWidth="1"/>
    <col min="13" max="13" width="12" style="41" customWidth="1"/>
    <col min="14" max="14" width="21.7109375" style="41" hidden="1" customWidth="1"/>
    <col min="15" max="17" width="11.5703125" style="41"/>
    <col min="18" max="18" width="17.140625" style="41" customWidth="1"/>
    <col min="19" max="16384" width="11.5703125" style="41"/>
  </cols>
  <sheetData>
    <row r="2" spans="2:12" x14ac:dyDescent="0.2">
      <c r="B2" s="141" t="s">
        <v>58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</row>
    <row r="3" spans="2:12" x14ac:dyDescent="0.2"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</row>
    <row r="5" spans="2:12" x14ac:dyDescent="0.2"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</row>
    <row r="6" spans="2:12" x14ac:dyDescent="0.2">
      <c r="B6" s="139"/>
      <c r="C6" s="139"/>
      <c r="D6" s="139"/>
      <c r="E6" s="139"/>
      <c r="F6" s="139"/>
      <c r="G6" s="139"/>
      <c r="H6" s="139"/>
      <c r="I6" s="139"/>
      <c r="J6" s="139"/>
      <c r="K6" s="139"/>
      <c r="L6" s="139"/>
    </row>
    <row r="7" spans="2:12" x14ac:dyDescent="0.2">
      <c r="B7" s="139"/>
      <c r="C7" s="139"/>
      <c r="D7" s="139"/>
      <c r="E7" s="139"/>
      <c r="F7" s="139"/>
      <c r="G7" s="139"/>
      <c r="H7" s="139"/>
      <c r="I7" s="139"/>
      <c r="J7" s="139"/>
      <c r="K7" s="139"/>
      <c r="L7" s="139"/>
    </row>
    <row r="18" spans="2:12" x14ac:dyDescent="0.2">
      <c r="B18" s="139"/>
      <c r="C18" s="139"/>
      <c r="D18" s="139"/>
      <c r="E18" s="139"/>
      <c r="F18" s="139"/>
      <c r="G18" s="139"/>
      <c r="H18" s="139"/>
      <c r="I18" s="139"/>
      <c r="J18" s="139"/>
      <c r="K18" s="139"/>
      <c r="L18" s="139"/>
    </row>
    <row r="19" spans="2:12" x14ac:dyDescent="0.2">
      <c r="B19" s="139"/>
      <c r="C19" s="139"/>
      <c r="D19" s="139"/>
      <c r="E19" s="139"/>
      <c r="F19" s="139"/>
      <c r="G19" s="139"/>
      <c r="H19" s="139"/>
      <c r="I19" s="139"/>
      <c r="J19" s="139"/>
      <c r="K19" s="139"/>
      <c r="L19" s="139"/>
    </row>
    <row r="20" spans="2:12" x14ac:dyDescent="0.2">
      <c r="B20" s="139"/>
      <c r="C20" s="139"/>
      <c r="D20" s="139"/>
      <c r="E20" s="139"/>
      <c r="F20" s="139"/>
      <c r="G20" s="139"/>
      <c r="H20" s="139"/>
      <c r="I20" s="139"/>
      <c r="J20" s="139"/>
      <c r="K20" s="139"/>
      <c r="L20" s="139"/>
    </row>
    <row r="28" spans="2:12" ht="15.6" customHeight="1" x14ac:dyDescent="0.2"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</row>
    <row r="29" spans="2:12" x14ac:dyDescent="0.2"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</row>
    <row r="32" spans="2:12" ht="15.75" x14ac:dyDescent="0.2">
      <c r="B32" s="169" t="s">
        <v>59</v>
      </c>
      <c r="C32" s="171"/>
      <c r="D32" s="171"/>
      <c r="E32" s="171"/>
      <c r="F32" s="171"/>
      <c r="G32" s="171"/>
      <c r="H32" s="171"/>
      <c r="I32" s="171"/>
      <c r="J32" s="171"/>
      <c r="K32" s="171"/>
      <c r="L32" s="171"/>
    </row>
    <row r="34" spans="2:18" ht="15.75" x14ac:dyDescent="0.25">
      <c r="B34" s="140" t="s">
        <v>33</v>
      </c>
      <c r="C34" s="140"/>
      <c r="D34" s="148"/>
      <c r="E34" s="149"/>
    </row>
    <row r="35" spans="2:18" ht="15.75" x14ac:dyDescent="0.25">
      <c r="B35" s="140" t="s">
        <v>34</v>
      </c>
      <c r="C35" s="140"/>
      <c r="D35" s="181">
        <v>9</v>
      </c>
      <c r="E35" s="182"/>
    </row>
    <row r="36" spans="2:18" ht="15.75" x14ac:dyDescent="0.25">
      <c r="B36" s="140" t="s">
        <v>35</v>
      </c>
      <c r="C36" s="140"/>
      <c r="D36" s="185">
        <f>+ENTRADA_MENOR!D71</f>
        <v>22139836</v>
      </c>
      <c r="E36" s="186"/>
    </row>
    <row r="38" spans="2:18" x14ac:dyDescent="0.2">
      <c r="B38" s="141" t="s">
        <v>60</v>
      </c>
      <c r="C38" s="141"/>
      <c r="D38" s="187">
        <f>GEOMEAN(E44:E52)</f>
        <v>8311696.1622437639</v>
      </c>
      <c r="E38" s="188"/>
    </row>
    <row r="39" spans="2:18" x14ac:dyDescent="0.2">
      <c r="B39" s="141"/>
      <c r="C39" s="141"/>
      <c r="D39" s="188"/>
      <c r="E39" s="188"/>
    </row>
    <row r="40" spans="2:18" ht="31.15" customHeight="1" x14ac:dyDescent="0.2">
      <c r="B40" s="169" t="s">
        <v>61</v>
      </c>
      <c r="C40" s="170"/>
      <c r="D40" s="191">
        <f>MIN(G44:G52)</f>
        <v>43257.162243763916</v>
      </c>
      <c r="E40" s="192"/>
      <c r="I40" s="107"/>
    </row>
    <row r="41" spans="2:18" ht="31.15" customHeight="1" x14ac:dyDescent="0.2">
      <c r="B41" s="141" t="s">
        <v>62</v>
      </c>
      <c r="C41" s="141"/>
      <c r="D41" s="183">
        <f>MEDIAN(E44:E52)-_xlfn.STDEV.P(E44:E52)</f>
        <v>8137089.0142447781</v>
      </c>
      <c r="E41" s="184"/>
      <c r="I41" s="107"/>
    </row>
    <row r="43" spans="2:18" ht="51.6" customHeight="1" x14ac:dyDescent="0.2">
      <c r="B43" s="50" t="s">
        <v>39</v>
      </c>
      <c r="C43" s="51" t="s">
        <v>40</v>
      </c>
      <c r="D43" s="51" t="s">
        <v>63</v>
      </c>
      <c r="E43" s="51" t="s">
        <v>42</v>
      </c>
      <c r="F43" s="52" t="s">
        <v>41</v>
      </c>
      <c r="G43" s="51" t="s">
        <v>64</v>
      </c>
      <c r="H43" s="71" t="s">
        <v>65</v>
      </c>
      <c r="I43" s="70" t="s">
        <v>66</v>
      </c>
      <c r="J43" s="70" t="s">
        <v>45</v>
      </c>
      <c r="K43" s="70" t="s">
        <v>46</v>
      </c>
      <c r="L43" s="70" t="s">
        <v>48</v>
      </c>
      <c r="M43" s="53" t="s">
        <v>49</v>
      </c>
      <c r="N43" s="92" t="s">
        <v>67</v>
      </c>
      <c r="R43" s="95"/>
    </row>
    <row r="44" spans="2:18" x14ac:dyDescent="0.2">
      <c r="B44" s="94">
        <v>1</v>
      </c>
      <c r="C44" s="98" t="s">
        <v>68</v>
      </c>
      <c r="D44" s="97">
        <v>7894360</v>
      </c>
      <c r="E44" s="97">
        <v>7894360</v>
      </c>
      <c r="F44" s="56">
        <f t="shared" ref="F44:F52" si="0">_xlfn.RANK.EQ(E44,$E$44:$E$52,1)</f>
        <v>1</v>
      </c>
      <c r="G44" s="93">
        <f t="shared" ref="G44:G52" si="1">+ABS(E44-$D$38)</f>
        <v>417336.16224376392</v>
      </c>
      <c r="H44" s="113">
        <f t="shared" ref="H44:H52" si="2">IF(G44=$D$40,59.75,IF(59.75*(1-(ABS($D$38-E44)/$D$38))&gt;0,59.75*(1-(ABS($D$38-E44)/$D$38)),0))</f>
        <v>56.749910101702589</v>
      </c>
      <c r="I44" s="90">
        <v>20</v>
      </c>
      <c r="J44" s="91">
        <v>20</v>
      </c>
      <c r="K44" s="91">
        <v>0</v>
      </c>
      <c r="L44" s="114">
        <f t="shared" ref="L44:L52" si="3">+H44+I44+J44</f>
        <v>96.749910101702596</v>
      </c>
      <c r="M44" s="66">
        <f t="shared" ref="M44:M52" si="4">_xlfn.RANK.EQ(L44,$L$44:$L$52)</f>
        <v>7</v>
      </c>
      <c r="N44" s="120" t="e">
        <f>+E44-#REF!</f>
        <v>#REF!</v>
      </c>
      <c r="R44" s="96"/>
    </row>
    <row r="45" spans="2:18" x14ac:dyDescent="0.2">
      <c r="B45" s="94">
        <v>2</v>
      </c>
      <c r="C45" s="98" t="s">
        <v>69</v>
      </c>
      <c r="D45" s="97">
        <v>8122466</v>
      </c>
      <c r="E45" s="97">
        <v>8122466</v>
      </c>
      <c r="F45" s="56">
        <f t="shared" si="0"/>
        <v>2</v>
      </c>
      <c r="G45" s="93">
        <f t="shared" si="1"/>
        <v>189230.16224376392</v>
      </c>
      <c r="H45" s="113">
        <f t="shared" si="2"/>
        <v>58.389687739618637</v>
      </c>
      <c r="I45" s="90">
        <v>20</v>
      </c>
      <c r="J45" s="91">
        <v>20</v>
      </c>
      <c r="K45" s="91">
        <v>0.25</v>
      </c>
      <c r="L45" s="114">
        <f t="shared" si="3"/>
        <v>98.389687739618637</v>
      </c>
      <c r="M45" s="66">
        <f t="shared" si="4"/>
        <v>5</v>
      </c>
      <c r="N45" s="120" t="e">
        <f>+E45-#REF!</f>
        <v>#REF!</v>
      </c>
      <c r="R45" s="96"/>
    </row>
    <row r="46" spans="2:18" x14ac:dyDescent="0.2">
      <c r="B46" s="94">
        <v>3</v>
      </c>
      <c r="C46" s="98" t="s">
        <v>70</v>
      </c>
      <c r="D46" s="97">
        <v>8449826</v>
      </c>
      <c r="E46" s="97">
        <v>8449826</v>
      </c>
      <c r="F46" s="56">
        <f t="shared" si="0"/>
        <v>7</v>
      </c>
      <c r="G46" s="93">
        <f t="shared" si="1"/>
        <v>138129.83775623608</v>
      </c>
      <c r="H46" s="113">
        <f t="shared" si="2"/>
        <v>58.757030858102596</v>
      </c>
      <c r="I46" s="90">
        <v>20</v>
      </c>
      <c r="J46" s="91">
        <v>20</v>
      </c>
      <c r="K46" s="91">
        <v>0.25</v>
      </c>
      <c r="L46" s="114">
        <f t="shared" si="3"/>
        <v>98.757030858102596</v>
      </c>
      <c r="M46" s="66">
        <f t="shared" si="4"/>
        <v>2</v>
      </c>
      <c r="N46" s="120" t="e">
        <f>+E46-#REF!</f>
        <v>#REF!</v>
      </c>
      <c r="R46" s="96"/>
    </row>
    <row r="47" spans="2:18" x14ac:dyDescent="0.2">
      <c r="B47" s="94">
        <v>4</v>
      </c>
      <c r="C47" s="98" t="s">
        <v>71</v>
      </c>
      <c r="D47" s="97">
        <v>8359576</v>
      </c>
      <c r="E47" s="97">
        <v>8359576</v>
      </c>
      <c r="F47" s="56">
        <f t="shared" si="0"/>
        <v>5</v>
      </c>
      <c r="G47" s="93">
        <f t="shared" si="1"/>
        <v>47879.837756236084</v>
      </c>
      <c r="H47" s="113">
        <f t="shared" si="2"/>
        <v>59.405807882038502</v>
      </c>
      <c r="I47" s="90">
        <v>20</v>
      </c>
      <c r="J47" s="91">
        <v>20</v>
      </c>
      <c r="K47" s="91">
        <v>0.25</v>
      </c>
      <c r="L47" s="114">
        <f t="shared" si="3"/>
        <v>99.405807882038502</v>
      </c>
      <c r="M47" s="66">
        <f t="shared" si="4"/>
        <v>1</v>
      </c>
      <c r="N47" s="120" t="e">
        <f>+E47-#REF!</f>
        <v>#REF!</v>
      </c>
      <c r="R47" s="96"/>
    </row>
    <row r="48" spans="2:18" x14ac:dyDescent="0.2">
      <c r="B48" s="94">
        <v>5</v>
      </c>
      <c r="C48" s="98" t="s">
        <v>72</v>
      </c>
      <c r="D48" s="97">
        <v>8425933</v>
      </c>
      <c r="E48" s="97">
        <v>8425933</v>
      </c>
      <c r="F48" s="56">
        <f t="shared" si="0"/>
        <v>6</v>
      </c>
      <c r="G48" s="93">
        <f t="shared" si="1"/>
        <v>114236.83775623608</v>
      </c>
      <c r="H48" s="113">
        <f t="shared" si="2"/>
        <v>58.928789632982387</v>
      </c>
      <c r="I48" s="90">
        <v>20</v>
      </c>
      <c r="J48" s="91">
        <v>0</v>
      </c>
      <c r="K48" s="91">
        <v>0</v>
      </c>
      <c r="L48" s="114">
        <f t="shared" si="3"/>
        <v>78.928789632982387</v>
      </c>
      <c r="M48" s="66">
        <f t="shared" si="4"/>
        <v>8</v>
      </c>
      <c r="N48" s="120" t="e">
        <f>+E48-#REF!</f>
        <v>#REF!</v>
      </c>
      <c r="R48" s="96"/>
    </row>
    <row r="49" spans="2:18" x14ac:dyDescent="0.2">
      <c r="B49" s="94">
        <v>6</v>
      </c>
      <c r="C49" s="98" t="s">
        <v>73</v>
      </c>
      <c r="D49" s="97">
        <v>8140400</v>
      </c>
      <c r="E49" s="97">
        <v>8140400</v>
      </c>
      <c r="F49" s="56">
        <f t="shared" si="0"/>
        <v>3</v>
      </c>
      <c r="G49" s="93">
        <f t="shared" si="1"/>
        <v>171296.16224376392</v>
      </c>
      <c r="H49" s="113">
        <f t="shared" si="2"/>
        <v>58.518609259255946</v>
      </c>
      <c r="I49" s="90">
        <v>20</v>
      </c>
      <c r="J49" s="91">
        <v>20</v>
      </c>
      <c r="K49" s="91">
        <v>0</v>
      </c>
      <c r="L49" s="114">
        <f t="shared" si="3"/>
        <v>98.518609259255953</v>
      </c>
      <c r="M49" s="66">
        <f t="shared" si="4"/>
        <v>3</v>
      </c>
      <c r="N49" s="120" t="e">
        <f>+E49-#REF!</f>
        <v>#REF!</v>
      </c>
      <c r="R49" s="96"/>
    </row>
    <row r="50" spans="2:18" x14ac:dyDescent="0.2">
      <c r="B50" s="94">
        <v>7</v>
      </c>
      <c r="C50" s="98" t="s">
        <v>74</v>
      </c>
      <c r="D50" s="97">
        <v>8268439</v>
      </c>
      <c r="E50" s="97">
        <v>8268439</v>
      </c>
      <c r="F50" s="56">
        <f t="shared" si="0"/>
        <v>4</v>
      </c>
      <c r="G50" s="93">
        <f t="shared" si="1"/>
        <v>43257.162243763916</v>
      </c>
      <c r="H50" s="113">
        <f t="shared" si="2"/>
        <v>59.75</v>
      </c>
      <c r="I50" s="90">
        <v>0</v>
      </c>
      <c r="J50" s="91">
        <v>0</v>
      </c>
      <c r="K50" s="91">
        <v>0.25</v>
      </c>
      <c r="L50" s="114">
        <f t="shared" si="3"/>
        <v>59.75</v>
      </c>
      <c r="M50" s="66">
        <f t="shared" si="4"/>
        <v>9</v>
      </c>
      <c r="N50" s="120" t="e">
        <f>+E50-#REF!</f>
        <v>#REF!</v>
      </c>
      <c r="R50" s="96"/>
    </row>
    <row r="51" spans="2:18" x14ac:dyDescent="0.2">
      <c r="B51" s="94">
        <v>8</v>
      </c>
      <c r="C51" s="98" t="s">
        <v>75</v>
      </c>
      <c r="D51" s="97">
        <v>8485796</v>
      </c>
      <c r="E51" s="97">
        <v>8485796</v>
      </c>
      <c r="F51" s="56">
        <f t="shared" si="0"/>
        <v>8</v>
      </c>
      <c r="G51" s="93">
        <f t="shared" si="1"/>
        <v>174099.83775623608</v>
      </c>
      <c r="H51" s="113">
        <f t="shared" si="2"/>
        <v>58.498454574989303</v>
      </c>
      <c r="I51" s="90">
        <v>20</v>
      </c>
      <c r="J51" s="91">
        <v>20</v>
      </c>
      <c r="K51" s="91">
        <v>0.25</v>
      </c>
      <c r="L51" s="114">
        <f t="shared" si="3"/>
        <v>98.498454574989296</v>
      </c>
      <c r="M51" s="66">
        <f t="shared" si="4"/>
        <v>4</v>
      </c>
      <c r="N51" s="120" t="e">
        <f>+E51-#REF!</f>
        <v>#REF!</v>
      </c>
      <c r="R51" s="96"/>
    </row>
    <row r="52" spans="2:18" x14ac:dyDescent="0.2">
      <c r="B52" s="94">
        <v>9</v>
      </c>
      <c r="C52" s="98" t="s">
        <v>76</v>
      </c>
      <c r="D52" s="97">
        <v>8685408</v>
      </c>
      <c r="E52" s="97">
        <v>8685408</v>
      </c>
      <c r="F52" s="56">
        <f t="shared" si="0"/>
        <v>9</v>
      </c>
      <c r="G52" s="93">
        <f t="shared" si="1"/>
        <v>373711.83775623608</v>
      </c>
      <c r="H52" s="113">
        <f t="shared" si="2"/>
        <v>57.063510760009869</v>
      </c>
      <c r="I52" s="90">
        <v>20</v>
      </c>
      <c r="J52" s="91">
        <v>20</v>
      </c>
      <c r="K52" s="91">
        <v>0.25</v>
      </c>
      <c r="L52" s="114">
        <f t="shared" si="3"/>
        <v>97.063510760009876</v>
      </c>
      <c r="M52" s="66">
        <f t="shared" si="4"/>
        <v>6</v>
      </c>
      <c r="N52" s="120" t="e">
        <f>+E52-#REF!</f>
        <v>#REF!</v>
      </c>
      <c r="R52" s="96"/>
    </row>
    <row r="53" spans="2:18" x14ac:dyDescent="0.2">
      <c r="B53" s="41" t="s">
        <v>56</v>
      </c>
      <c r="R53" s="96"/>
    </row>
    <row r="54" spans="2:18" x14ac:dyDescent="0.2">
      <c r="R54" s="96"/>
    </row>
    <row r="55" spans="2:18" ht="15.75" x14ac:dyDescent="0.25">
      <c r="B55" s="140" t="s">
        <v>77</v>
      </c>
      <c r="C55" s="140"/>
      <c r="D55" s="193" t="str">
        <f>+C44</f>
        <v>CARLOS EDUARDO HERNANDEZ</v>
      </c>
      <c r="E55" s="194"/>
    </row>
    <row r="56" spans="2:18" ht="15.75" x14ac:dyDescent="0.25">
      <c r="B56" s="140" t="s">
        <v>42</v>
      </c>
      <c r="C56" s="140"/>
      <c r="D56" s="189">
        <f>+D44</f>
        <v>7894360</v>
      </c>
      <c r="E56" s="190"/>
      <c r="G56" s="89"/>
    </row>
    <row r="59" spans="2:18" ht="37.5" customHeight="1" x14ac:dyDescent="0.2">
      <c r="B59" s="41" t="s">
        <v>78</v>
      </c>
      <c r="C59" s="88"/>
      <c r="D59" s="139"/>
      <c r="E59" s="139"/>
      <c r="F59" s="139"/>
      <c r="G59" s="139"/>
      <c r="H59" s="139"/>
      <c r="I59" s="139"/>
      <c r="J59" s="139"/>
      <c r="K59" s="42"/>
    </row>
  </sheetData>
  <mergeCells count="22">
    <mergeCell ref="B2:L3"/>
    <mergeCell ref="B5:L7"/>
    <mergeCell ref="B18:L20"/>
    <mergeCell ref="B28:L29"/>
    <mergeCell ref="B32:L32"/>
    <mergeCell ref="B56:C56"/>
    <mergeCell ref="D56:E56"/>
    <mergeCell ref="B40:C40"/>
    <mergeCell ref="D40:E40"/>
    <mergeCell ref="D59:J59"/>
    <mergeCell ref="B55:C55"/>
    <mergeCell ref="D55:E55"/>
    <mergeCell ref="B34:C34"/>
    <mergeCell ref="D34:E34"/>
    <mergeCell ref="B35:C35"/>
    <mergeCell ref="D35:E35"/>
    <mergeCell ref="D41:E41"/>
    <mergeCell ref="B41:C41"/>
    <mergeCell ref="B36:C36"/>
    <mergeCell ref="D36:E36"/>
    <mergeCell ref="B38:C39"/>
    <mergeCell ref="D38:E39"/>
  </mergeCells>
  <conditionalFormatting sqref="D44:E52">
    <cfRule type="cellIs" dxfId="18" priority="4" stopIfTrue="1" operator="equal">
      <formula>$D$41</formula>
    </cfRule>
    <cfRule type="cellIs" dxfId="17" priority="5" stopIfTrue="1" operator="lessThan">
      <formula>$D$41</formula>
    </cfRule>
  </conditionalFormatting>
  <conditionalFormatting sqref="M44:M52">
    <cfRule type="cellIs" dxfId="16" priority="3" stopIfTrue="1" operator="equal">
      <formula>1</formula>
    </cfRule>
  </conditionalFormatting>
  <printOptions horizontalCentered="1"/>
  <pageMargins left="0.23622047244094491" right="1.6166666666666666E-2" top="0.74803149606299213" bottom="1.1559999999999999" header="0.31496062992125984" footer="0.31496062992125984"/>
  <pageSetup paperSize="9" scale="48" fitToHeight="0" orientation="portrait" horizontalDpi="4294967293" r:id="rId1"/>
  <headerFooter>
    <oddHeader>&amp;L         &amp;G&amp;CSECRETARÍA DE OBRAS PÚBLICAS
ALCALDÍA DE MANIZALES
&amp;G&amp;RPág. &amp;P de &amp;N
Fecha: &amp;D</oddHeader>
    <oddFooter>&amp;CALCALDIA DE MANIZALES
CALLE 19 N° 21-44 PROPIEDAD HORIZONTAL CAM
TELÉFONO 887 9700 EXT. 71500 - CÓDIGO POSTAL 170001 - ATENCIÓN AL CLIENTE 01-8000-968988
www.manizales.gov.co</oddFooter>
  </headerFooter>
  <rowBreaks count="1" manualBreakCount="1">
    <brk id="37" max="12" man="1"/>
  </rowBreaks>
  <drawing r:id="rId2"/>
  <legacyDrawingHF r:id="rId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pageSetUpPr fitToPage="1"/>
  </sheetPr>
  <dimension ref="A2:K72"/>
  <sheetViews>
    <sheetView tabSelected="1" view="pageBreakPreview" topLeftCell="A40" zoomScale="80" zoomScaleNormal="100" zoomScaleSheetLayoutView="80" workbookViewId="0">
      <selection activeCell="H54" sqref="H54"/>
    </sheetView>
  </sheetViews>
  <sheetFormatPr baseColWidth="10" defaultColWidth="11.5703125" defaultRowHeight="16.5" x14ac:dyDescent="0.3"/>
  <cols>
    <col min="1" max="1" width="7.140625" style="121" customWidth="1"/>
    <col min="2" max="2" width="6.7109375" style="122" customWidth="1"/>
    <col min="3" max="3" width="37.85546875" style="122" bestFit="1" customWidth="1"/>
    <col min="4" max="4" width="13.7109375" style="122" bestFit="1" customWidth="1"/>
    <col min="5" max="5" width="9.28515625" style="122" bestFit="1" customWidth="1"/>
    <col min="6" max="6" width="15" style="122" customWidth="1"/>
    <col min="7" max="7" width="12.140625" style="122" customWidth="1"/>
    <col min="8" max="9" width="15" style="122" customWidth="1"/>
    <col min="10" max="11" width="15.140625" style="122" customWidth="1"/>
    <col min="12" max="12" width="2.7109375" style="122" customWidth="1"/>
    <col min="13" max="16384" width="11.5703125" style="122"/>
  </cols>
  <sheetData>
    <row r="2" spans="2:11" x14ac:dyDescent="0.3">
      <c r="B2" s="209" t="s">
        <v>79</v>
      </c>
      <c r="C2" s="209"/>
      <c r="D2" s="209"/>
      <c r="E2" s="209"/>
      <c r="F2" s="209"/>
      <c r="G2" s="209"/>
      <c r="H2" s="209"/>
      <c r="I2" s="209"/>
      <c r="J2" s="209"/>
      <c r="K2" s="209"/>
    </row>
    <row r="3" spans="2:11" x14ac:dyDescent="0.3">
      <c r="B3" s="209"/>
      <c r="C3" s="209"/>
      <c r="D3" s="209"/>
      <c r="E3" s="209"/>
      <c r="F3" s="209"/>
      <c r="G3" s="209"/>
      <c r="H3" s="209"/>
      <c r="I3" s="209"/>
      <c r="J3" s="209"/>
      <c r="K3" s="209"/>
    </row>
    <row r="5" spans="2:11" x14ac:dyDescent="0.3">
      <c r="B5" s="215"/>
      <c r="C5" s="215"/>
      <c r="D5" s="215"/>
      <c r="E5" s="215"/>
      <c r="F5" s="215"/>
      <c r="G5" s="215"/>
      <c r="H5" s="215"/>
      <c r="I5" s="215"/>
      <c r="J5" s="215"/>
      <c r="K5" s="215"/>
    </row>
    <row r="6" spans="2:11" x14ac:dyDescent="0.3">
      <c r="B6" s="215"/>
      <c r="C6" s="215"/>
      <c r="D6" s="215"/>
      <c r="E6" s="215"/>
      <c r="F6" s="215"/>
      <c r="G6" s="215"/>
      <c r="H6" s="215"/>
      <c r="I6" s="215"/>
      <c r="J6" s="215"/>
      <c r="K6" s="215"/>
    </row>
    <row r="47" spans="2:11" x14ac:dyDescent="0.3">
      <c r="B47" s="196" t="s">
        <v>81</v>
      </c>
      <c r="C47" s="216"/>
      <c r="D47" s="216"/>
      <c r="E47" s="216"/>
      <c r="F47" s="216"/>
      <c r="G47" s="216"/>
      <c r="H47" s="216"/>
      <c r="I47" s="216"/>
      <c r="J47" s="216"/>
      <c r="K47" s="216"/>
    </row>
    <row r="49" spans="2:11" x14ac:dyDescent="0.3">
      <c r="B49" s="206" t="s">
        <v>33</v>
      </c>
      <c r="C49" s="206"/>
      <c r="D49" s="217"/>
      <c r="E49" s="218"/>
    </row>
    <row r="50" spans="2:11" x14ac:dyDescent="0.3">
      <c r="B50" s="206" t="s">
        <v>34</v>
      </c>
      <c r="C50" s="206"/>
      <c r="D50" s="213">
        <f>+ENTRADA_MENOR!D65</f>
        <v>7</v>
      </c>
      <c r="E50" s="214"/>
    </row>
    <row r="51" spans="2:11" x14ac:dyDescent="0.3">
      <c r="B51" s="206" t="s">
        <v>35</v>
      </c>
      <c r="C51" s="206"/>
      <c r="D51" s="207">
        <f>+ENTRADA_MENOR!D71</f>
        <v>22139836</v>
      </c>
      <c r="E51" s="208"/>
    </row>
    <row r="53" spans="2:11" x14ac:dyDescent="0.3">
      <c r="B53" s="209" t="s">
        <v>82</v>
      </c>
      <c r="C53" s="209"/>
      <c r="D53" s="210">
        <f>+AVERAGE(D61:D67)</f>
        <v>20279076.428571429</v>
      </c>
      <c r="E53" s="210"/>
    </row>
    <row r="54" spans="2:11" x14ac:dyDescent="0.3">
      <c r="B54" s="209"/>
      <c r="C54" s="209"/>
      <c r="D54" s="210"/>
      <c r="E54" s="210"/>
    </row>
    <row r="55" spans="2:11" x14ac:dyDescent="0.3">
      <c r="B55" s="206" t="s">
        <v>83</v>
      </c>
      <c r="C55" s="206"/>
      <c r="D55" s="211">
        <f>MIN(D61:D67)</f>
        <v>19195235</v>
      </c>
      <c r="E55" s="212"/>
    </row>
    <row r="56" spans="2:11" x14ac:dyDescent="0.3">
      <c r="B56" s="209" t="s">
        <v>84</v>
      </c>
      <c r="C56" s="209"/>
      <c r="D56" s="210">
        <f>+(D53+D55)/2</f>
        <v>19737155.714285716</v>
      </c>
      <c r="E56" s="210"/>
    </row>
    <row r="57" spans="2:11" x14ac:dyDescent="0.3">
      <c r="B57" s="209"/>
      <c r="C57" s="209"/>
      <c r="D57" s="210"/>
      <c r="E57" s="210"/>
    </row>
    <row r="58" spans="2:11" ht="33" customHeight="1" x14ac:dyDescent="0.3">
      <c r="B58" s="196" t="s">
        <v>38</v>
      </c>
      <c r="C58" s="197"/>
      <c r="D58" s="198">
        <f>+MEDIAN(D61:D67)-_xlfn.STDEV.S(D61:D67)</f>
        <v>19904620.843616463</v>
      </c>
      <c r="E58" s="199"/>
    </row>
    <row r="60" spans="2:11" ht="54.6" customHeight="1" x14ac:dyDescent="0.3">
      <c r="B60" s="123" t="s">
        <v>39</v>
      </c>
      <c r="C60" s="124" t="s">
        <v>40</v>
      </c>
      <c r="D60" s="125" t="s">
        <v>42</v>
      </c>
      <c r="E60" s="124" t="s">
        <v>41</v>
      </c>
      <c r="F60" s="126" t="s">
        <v>65</v>
      </c>
      <c r="G60" s="127" t="s">
        <v>66</v>
      </c>
      <c r="H60" s="127" t="s">
        <v>45</v>
      </c>
      <c r="I60" s="127" t="s">
        <v>85</v>
      </c>
      <c r="J60" s="127" t="s">
        <v>48</v>
      </c>
      <c r="K60" s="126" t="s">
        <v>49</v>
      </c>
    </row>
    <row r="61" spans="2:11" x14ac:dyDescent="0.3">
      <c r="B61" s="128">
        <v>8</v>
      </c>
      <c r="C61" s="129" t="s">
        <v>143</v>
      </c>
      <c r="D61" s="130">
        <v>19649109</v>
      </c>
      <c r="E61" s="131">
        <f>_xlfn.RANK.EQ(D61,$D$61:$D$67,1)</f>
        <v>2</v>
      </c>
      <c r="F61" s="132">
        <f>IF(D61&lt;=$D$56,59.75*(1-($D$56-D61)/$D$56),59.75*(1-ABS($D$56-D61)/$D$56))</f>
        <v>59.483457482186061</v>
      </c>
      <c r="G61" s="133">
        <v>20</v>
      </c>
      <c r="H61" s="133">
        <v>20</v>
      </c>
      <c r="I61" s="133">
        <v>0</v>
      </c>
      <c r="J61" s="134">
        <f>+F61+G61+H61+I61</f>
        <v>99.483457482186054</v>
      </c>
      <c r="K61" s="135">
        <f>_xlfn.RANK.EQ(J61,$J$61:$J$67,0)</f>
        <v>1</v>
      </c>
    </row>
    <row r="62" spans="2:11" x14ac:dyDescent="0.3">
      <c r="B62" s="128">
        <v>2</v>
      </c>
      <c r="C62" s="129" t="s">
        <v>138</v>
      </c>
      <c r="D62" s="130">
        <v>20341089</v>
      </c>
      <c r="E62" s="131">
        <f>_xlfn.RANK.EQ(D62,$D$61:$D$67,1)</f>
        <v>3</v>
      </c>
      <c r="F62" s="132">
        <f>IF(D62&lt;=$D$56,59.75*(1-($D$56-D62)/$D$56),59.75*(1-ABS($D$56-D62)/$D$56))</f>
        <v>57.921721683519465</v>
      </c>
      <c r="G62" s="133">
        <v>20</v>
      </c>
      <c r="H62" s="133">
        <v>20</v>
      </c>
      <c r="I62" s="133">
        <v>0.25</v>
      </c>
      <c r="J62" s="134">
        <f>+F62+G62+H62+I62</f>
        <v>98.171721683519465</v>
      </c>
      <c r="K62" s="135">
        <f>_xlfn.RANK.EQ(J62,$J$61:$J$67,0)</f>
        <v>2</v>
      </c>
    </row>
    <row r="63" spans="2:11" x14ac:dyDescent="0.3">
      <c r="B63" s="128">
        <v>6</v>
      </c>
      <c r="C63" s="129" t="s">
        <v>141</v>
      </c>
      <c r="D63" s="130">
        <v>19195235</v>
      </c>
      <c r="E63" s="131">
        <f>_xlfn.RANK.EQ(D63,$D$61:$D$67,1)</f>
        <v>1</v>
      </c>
      <c r="F63" s="132">
        <f>IF(D63&lt;=$D$56,59.75*(1-($D$56-D63)/$D$56),59.75*(1-ABS($D$56-D63)/$D$56))</f>
        <v>58.109451425154681</v>
      </c>
      <c r="G63" s="133">
        <v>20</v>
      </c>
      <c r="H63" s="133">
        <v>20</v>
      </c>
      <c r="I63" s="133">
        <v>0</v>
      </c>
      <c r="J63" s="134">
        <f>+F63+G63+H63+I63</f>
        <v>98.109451425154674</v>
      </c>
      <c r="K63" s="135">
        <f>_xlfn.RANK.EQ(J63,$J$61:$J$67,0)</f>
        <v>3</v>
      </c>
    </row>
    <row r="64" spans="2:11" x14ac:dyDescent="0.3">
      <c r="B64" s="128">
        <v>7</v>
      </c>
      <c r="C64" s="129" t="s">
        <v>142</v>
      </c>
      <c r="D64" s="130">
        <v>20523632</v>
      </c>
      <c r="E64" s="131">
        <f>_xlfn.RANK.EQ(D64,$D$61:$D$67,1)</f>
        <v>4</v>
      </c>
      <c r="F64" s="132">
        <f>IF(D64&lt;=$D$56,59.75*(1-($D$56-D64)/$D$56),59.75*(1-ABS($D$56-D64)/$D$56))</f>
        <v>57.369111955558232</v>
      </c>
      <c r="G64" s="133">
        <v>20</v>
      </c>
      <c r="H64" s="133">
        <v>20</v>
      </c>
      <c r="I64" s="133">
        <v>0.25</v>
      </c>
      <c r="J64" s="134">
        <f>+F64+G64+H64+I64</f>
        <v>97.619111955558225</v>
      </c>
      <c r="K64" s="135">
        <f>_xlfn.RANK.EQ(J64,$J$61:$J$67,0)</f>
        <v>4</v>
      </c>
    </row>
    <row r="65" spans="2:11" x14ac:dyDescent="0.3">
      <c r="B65" s="128">
        <v>9</v>
      </c>
      <c r="C65" s="129" t="s">
        <v>93</v>
      </c>
      <c r="D65" s="130">
        <v>20699841</v>
      </c>
      <c r="E65" s="131">
        <f>_xlfn.RANK.EQ(D65,$D$61:$D$67,1)</f>
        <v>5</v>
      </c>
      <c r="F65" s="132">
        <f>IF(D65&lt;=$D$56,59.75*(1-($D$56-D65)/$D$56),59.75*(1-ABS($D$56-D65)/$D$56))</f>
        <v>56.835677052251491</v>
      </c>
      <c r="G65" s="133">
        <v>20</v>
      </c>
      <c r="H65" s="133">
        <v>20</v>
      </c>
      <c r="I65" s="133">
        <v>0.25</v>
      </c>
      <c r="J65" s="134">
        <f>+F65+G65+H65+I65</f>
        <v>97.085677052251498</v>
      </c>
      <c r="K65" s="135">
        <f>_xlfn.RANK.EQ(J65,$J$61:$J$67,0)</f>
        <v>5</v>
      </c>
    </row>
    <row r="66" spans="2:11" x14ac:dyDescent="0.3">
      <c r="B66" s="128">
        <v>4</v>
      </c>
      <c r="C66" s="129" t="s">
        <v>139</v>
      </c>
      <c r="D66" s="130">
        <v>20782665</v>
      </c>
      <c r="E66" s="131">
        <f>_xlfn.RANK.EQ(D66,$D$61:$D$67,1)</f>
        <v>7</v>
      </c>
      <c r="F66" s="132">
        <f>IF(D66&lt;=$D$56,59.75*(1-($D$56-D66)/$D$56),59.75*(1-ABS($D$56-D66)/$D$56))</f>
        <v>56.584945180261542</v>
      </c>
      <c r="G66" s="133">
        <v>20</v>
      </c>
      <c r="H66" s="133">
        <v>20</v>
      </c>
      <c r="I66" s="133">
        <v>0.25</v>
      </c>
      <c r="J66" s="134">
        <f>+F66+G66+H66+I66</f>
        <v>96.834945180261542</v>
      </c>
      <c r="K66" s="135">
        <f>_xlfn.RANK.EQ(J66,$J$61:$J$67,0)</f>
        <v>6</v>
      </c>
    </row>
    <row r="67" spans="2:11" x14ac:dyDescent="0.3">
      <c r="B67" s="128">
        <v>5</v>
      </c>
      <c r="C67" s="129" t="s">
        <v>140</v>
      </c>
      <c r="D67" s="130">
        <v>20761964</v>
      </c>
      <c r="E67" s="131">
        <f>_xlfn.RANK.EQ(D67,$D$61:$D$67,1)</f>
        <v>6</v>
      </c>
      <c r="F67" s="132">
        <f>IF(D67&lt;=$D$56,59.75*(1-($D$56-D67)/$D$56),59.75*(1-ABS($D$56-D67)/$D$56))</f>
        <v>56.647613011832874</v>
      </c>
      <c r="G67" s="133">
        <v>20</v>
      </c>
      <c r="H67" s="133">
        <v>20</v>
      </c>
      <c r="I67" s="133">
        <v>0</v>
      </c>
      <c r="J67" s="134">
        <f>+F67+G67+H67+I67</f>
        <v>96.647613011832874</v>
      </c>
      <c r="K67" s="135">
        <f>_xlfn.RANK.EQ(J67,$J$61:$J$67,0)</f>
        <v>7</v>
      </c>
    </row>
    <row r="68" spans="2:11" x14ac:dyDescent="0.3">
      <c r="B68" s="136"/>
      <c r="C68" s="136"/>
      <c r="D68" s="137"/>
      <c r="E68" s="136"/>
      <c r="F68" s="138"/>
      <c r="G68" s="138"/>
      <c r="H68" s="138"/>
      <c r="I68" s="138"/>
      <c r="J68" s="136"/>
      <c r="K68" s="136"/>
    </row>
    <row r="69" spans="2:11" x14ac:dyDescent="0.3">
      <c r="B69" s="122" t="s">
        <v>56</v>
      </c>
    </row>
    <row r="70" spans="2:11" x14ac:dyDescent="0.3">
      <c r="G70" s="122" t="s">
        <v>86</v>
      </c>
    </row>
    <row r="71" spans="2:11" x14ac:dyDescent="0.3">
      <c r="B71" s="200" t="s">
        <v>77</v>
      </c>
      <c r="C71" s="201"/>
      <c r="D71" s="202">
        <f>B61</f>
        <v>8</v>
      </c>
      <c r="E71" s="203"/>
    </row>
    <row r="72" spans="2:11" x14ac:dyDescent="0.3">
      <c r="B72" s="200" t="s">
        <v>42</v>
      </c>
      <c r="C72" s="201"/>
      <c r="D72" s="204">
        <f>D61</f>
        <v>19649109</v>
      </c>
      <c r="E72" s="205"/>
    </row>
  </sheetData>
  <mergeCells count="21">
    <mergeCell ref="B50:C50"/>
    <mergeCell ref="D50:E50"/>
    <mergeCell ref="B2:K3"/>
    <mergeCell ref="B5:K6"/>
    <mergeCell ref="B47:K47"/>
    <mergeCell ref="B49:C49"/>
    <mergeCell ref="D49:E49"/>
    <mergeCell ref="B51:C51"/>
    <mergeCell ref="D51:E51"/>
    <mergeCell ref="B56:C57"/>
    <mergeCell ref="D56:E57"/>
    <mergeCell ref="B53:C54"/>
    <mergeCell ref="D53:E54"/>
    <mergeCell ref="B55:C55"/>
    <mergeCell ref="D55:E55"/>
    <mergeCell ref="B58:C58"/>
    <mergeCell ref="D58:E58"/>
    <mergeCell ref="B71:C71"/>
    <mergeCell ref="D71:E71"/>
    <mergeCell ref="B72:C72"/>
    <mergeCell ref="D72:E72"/>
  </mergeCells>
  <conditionalFormatting sqref="K68">
    <cfRule type="cellIs" dxfId="15" priority="10" stopIfTrue="1" operator="equal">
      <formula>1</formula>
    </cfRule>
  </conditionalFormatting>
  <conditionalFormatting sqref="K61:K67">
    <cfRule type="cellIs" dxfId="14" priority="1" stopIfTrue="1" operator="equal">
      <formula>1</formula>
    </cfRule>
  </conditionalFormatting>
  <printOptions horizontalCentered="1"/>
  <pageMargins left="0.23622047244094491" right="0.08" top="0.74803149606299213" bottom="1.4" header="0.31496062992125984" footer="0.31496062992125984"/>
  <pageSetup paperSize="9" scale="62" fitToHeight="0" orientation="portrait" horizontalDpi="4294967293" r:id="rId1"/>
  <headerFooter>
    <oddHeader>&amp;L         &amp;G&amp;CSECRETARÍA DE OBRAS PÚBLICAS
ALCALDÍA DE MANIZALES
&amp;G&amp;RPág. &amp;P de &amp;N
Fecha: &amp;D</oddHeader>
    <oddFooter>&amp;CALCALDIA DE MANIZALES
CALLE 19 N° 21-44 PROPIEDAD HORIZONTAL CAM
TELÉFONO 887 9700 EXT. 71500 - CÓDIGO POSTAL 170001 - ATENCIÓN AL CLIENTE 01-8000-968988
www.manizales.gov.co</oddFooter>
  </headerFooter>
  <rowBreaks count="1" manualBreakCount="1">
    <brk id="46" max="11" man="1"/>
  </rowBreaks>
  <drawing r:id="rId2"/>
  <legacyDrawingHF r:id="rId3"/>
  <tableParts count="1"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pageSetUpPr fitToPage="1"/>
  </sheetPr>
  <dimension ref="B40:J60"/>
  <sheetViews>
    <sheetView view="pageBreakPreview" topLeftCell="A10" zoomScaleNormal="100" zoomScaleSheetLayoutView="100" workbookViewId="0">
      <selection activeCell="G44" sqref="G44"/>
    </sheetView>
  </sheetViews>
  <sheetFormatPr baseColWidth="10" defaultColWidth="11.5703125" defaultRowHeight="15" x14ac:dyDescent="0.2"/>
  <cols>
    <col min="1" max="1" width="2.7109375" style="41" customWidth="1"/>
    <col min="2" max="2" width="7.85546875" style="41" customWidth="1"/>
    <col min="3" max="3" width="61.140625" style="41" customWidth="1"/>
    <col min="4" max="4" width="21" style="41" customWidth="1"/>
    <col min="5" max="7" width="16.28515625" style="41" customWidth="1"/>
    <col min="8" max="8" width="17.7109375" style="41" customWidth="1"/>
    <col min="9" max="9" width="16.28515625" style="41" customWidth="1"/>
    <col min="10" max="10" width="11.5703125" style="41"/>
    <col min="11" max="11" width="2.7109375" style="41" customWidth="1"/>
    <col min="12" max="16384" width="11.5703125" style="41"/>
  </cols>
  <sheetData>
    <row r="40" spans="2:10" ht="15.75" x14ac:dyDescent="0.2">
      <c r="B40" s="169" t="s">
        <v>87</v>
      </c>
      <c r="C40" s="171"/>
      <c r="D40" s="171"/>
      <c r="E40" s="171"/>
      <c r="F40" s="171"/>
      <c r="G40" s="171"/>
      <c r="H40" s="171"/>
      <c r="I40" s="171"/>
      <c r="J40" s="171"/>
    </row>
    <row r="42" spans="2:10" ht="15.75" x14ac:dyDescent="0.25">
      <c r="B42" s="140" t="s">
        <v>33</v>
      </c>
      <c r="C42" s="140"/>
      <c r="D42" s="225" t="s">
        <v>22</v>
      </c>
      <c r="E42" s="178"/>
      <c r="F42" s="44"/>
      <c r="G42" s="44"/>
      <c r="H42" s="44"/>
      <c r="I42" s="44"/>
    </row>
    <row r="43" spans="2:10" ht="15.75" x14ac:dyDescent="0.25">
      <c r="B43" s="140" t="s">
        <v>34</v>
      </c>
      <c r="C43" s="140"/>
      <c r="D43" s="226">
        <f>+COUNT(B49:B56)</f>
        <v>7</v>
      </c>
      <c r="E43" s="227"/>
      <c r="F43" s="44"/>
      <c r="G43" s="44"/>
      <c r="H43" s="44"/>
      <c r="I43" s="44"/>
    </row>
    <row r="44" spans="2:10" ht="15.75" x14ac:dyDescent="0.25">
      <c r="B44" s="140" t="s">
        <v>35</v>
      </c>
      <c r="C44" s="140"/>
      <c r="D44" s="172">
        <f>+ENTRADA_MENOR!D71</f>
        <v>22139836</v>
      </c>
      <c r="E44" s="173"/>
      <c r="F44" s="81"/>
      <c r="G44" s="81"/>
      <c r="H44" s="81"/>
      <c r="I44" s="81"/>
    </row>
    <row r="45" spans="2:10" ht="15.6" customHeight="1" x14ac:dyDescent="0.25">
      <c r="B45" s="140" t="s">
        <v>83</v>
      </c>
      <c r="C45" s="140"/>
      <c r="D45" s="172">
        <f>MIN(D49:D56)</f>
        <v>8130410</v>
      </c>
      <c r="E45" s="173"/>
      <c r="F45" s="82"/>
      <c r="G45" s="82"/>
      <c r="H45" s="82"/>
      <c r="I45" s="82"/>
    </row>
    <row r="46" spans="2:10" ht="31.15" customHeight="1" x14ac:dyDescent="0.25">
      <c r="B46" s="221" t="s">
        <v>38</v>
      </c>
      <c r="C46" s="222"/>
      <c r="D46" s="172">
        <v>0</v>
      </c>
      <c r="E46" s="173"/>
      <c r="F46" s="72"/>
      <c r="G46" s="72"/>
      <c r="H46" s="72"/>
      <c r="I46" s="72"/>
    </row>
    <row r="48" spans="2:10" ht="46.9" customHeight="1" x14ac:dyDescent="0.2">
      <c r="B48" s="75" t="s">
        <v>39</v>
      </c>
      <c r="C48" s="76" t="s">
        <v>40</v>
      </c>
      <c r="D48" s="77" t="s">
        <v>42</v>
      </c>
      <c r="E48" s="71" t="s">
        <v>65</v>
      </c>
      <c r="F48" s="70" t="s">
        <v>66</v>
      </c>
      <c r="G48" s="70" t="s">
        <v>45</v>
      </c>
      <c r="H48" s="70" t="s">
        <v>85</v>
      </c>
      <c r="I48" s="70" t="s">
        <v>48</v>
      </c>
      <c r="J48" s="71" t="s">
        <v>49</v>
      </c>
    </row>
    <row r="49" spans="2:10" hidden="1" x14ac:dyDescent="0.2">
      <c r="B49" s="48"/>
      <c r="C49" s="67"/>
      <c r="D49" s="47"/>
      <c r="E49" s="46"/>
      <c r="F49" s="73"/>
      <c r="G49" s="73"/>
      <c r="H49" s="73"/>
      <c r="I49" s="73"/>
      <c r="J49" s="62"/>
    </row>
    <row r="50" spans="2:10" x14ac:dyDescent="0.2">
      <c r="B50" s="48">
        <v>1</v>
      </c>
      <c r="C50" s="108" t="s">
        <v>88</v>
      </c>
      <c r="D50" s="47">
        <v>8331260</v>
      </c>
      <c r="E50" s="106">
        <f t="shared" ref="E50:E56" si="0">59.75*$D$45/D50</f>
        <v>58.309547115322289</v>
      </c>
      <c r="F50" s="110">
        <v>20</v>
      </c>
      <c r="G50" s="110">
        <v>20</v>
      </c>
      <c r="H50" s="110">
        <v>0.25</v>
      </c>
      <c r="I50" s="73">
        <f t="shared" ref="I50:I56" si="1">+E50+F50+G50+H50</f>
        <v>98.559547115322289</v>
      </c>
      <c r="J50" s="66">
        <f t="shared" ref="J50:J56" si="2">_xlfn.RANK.EQ(I50,$I$49:$I$56,0)</f>
        <v>4</v>
      </c>
    </row>
    <row r="51" spans="2:10" x14ac:dyDescent="0.2">
      <c r="B51" s="48">
        <v>2</v>
      </c>
      <c r="C51" s="108" t="s">
        <v>89</v>
      </c>
      <c r="D51" s="47">
        <v>8325954</v>
      </c>
      <c r="E51" s="106">
        <f t="shared" si="0"/>
        <v>58.346706875872719</v>
      </c>
      <c r="F51" s="110">
        <v>20</v>
      </c>
      <c r="G51" s="110">
        <v>20</v>
      </c>
      <c r="H51" s="110">
        <v>0.25</v>
      </c>
      <c r="I51" s="73">
        <f t="shared" si="1"/>
        <v>98.596706875872712</v>
      </c>
      <c r="J51" s="66">
        <f t="shared" si="2"/>
        <v>3</v>
      </c>
    </row>
    <row r="52" spans="2:10" x14ac:dyDescent="0.2">
      <c r="B52" s="48">
        <v>3</v>
      </c>
      <c r="C52" s="108" t="s">
        <v>90</v>
      </c>
      <c r="D52" s="47">
        <v>8130410</v>
      </c>
      <c r="E52" s="106">
        <f t="shared" si="0"/>
        <v>59.75</v>
      </c>
      <c r="F52" s="110">
        <v>20</v>
      </c>
      <c r="G52" s="110">
        <v>20</v>
      </c>
      <c r="H52" s="110">
        <v>0</v>
      </c>
      <c r="I52" s="73">
        <f t="shared" si="1"/>
        <v>99.75</v>
      </c>
      <c r="J52" s="66">
        <f t="shared" si="2"/>
        <v>1</v>
      </c>
    </row>
    <row r="53" spans="2:10" x14ac:dyDescent="0.2">
      <c r="B53" s="48">
        <v>4</v>
      </c>
      <c r="C53" s="109" t="s">
        <v>91</v>
      </c>
      <c r="D53" s="63">
        <v>8150640</v>
      </c>
      <c r="E53" s="106">
        <f t="shared" si="0"/>
        <v>59.601699682478923</v>
      </c>
      <c r="F53" s="111">
        <v>20</v>
      </c>
      <c r="G53" s="111">
        <v>20</v>
      </c>
      <c r="H53" s="111">
        <v>0</v>
      </c>
      <c r="I53" s="73">
        <f t="shared" si="1"/>
        <v>99.601699682478923</v>
      </c>
      <c r="J53" s="66">
        <f t="shared" si="2"/>
        <v>2</v>
      </c>
    </row>
    <row r="54" spans="2:10" x14ac:dyDescent="0.2">
      <c r="B54" s="48">
        <v>5</v>
      </c>
      <c r="C54" s="109" t="s">
        <v>92</v>
      </c>
      <c r="D54" s="63">
        <v>8312949</v>
      </c>
      <c r="E54" s="106">
        <f t="shared" si="0"/>
        <v>58.437986026378844</v>
      </c>
      <c r="F54" s="111">
        <v>20</v>
      </c>
      <c r="G54" s="111">
        <v>20</v>
      </c>
      <c r="H54" s="111">
        <v>0</v>
      </c>
      <c r="I54" s="73">
        <f>+E54+F54+G54+H54</f>
        <v>98.437986026378837</v>
      </c>
      <c r="J54" s="66">
        <f>_xlfn.RANK.EQ(I54,$I$49:$I$56,0)</f>
        <v>5</v>
      </c>
    </row>
    <row r="55" spans="2:10" x14ac:dyDescent="0.2">
      <c r="B55" s="48">
        <v>6</v>
      </c>
      <c r="C55" s="109" t="s">
        <v>93</v>
      </c>
      <c r="D55" s="63">
        <v>8403128</v>
      </c>
      <c r="E55" s="106">
        <f t="shared" si="0"/>
        <v>57.810852994265943</v>
      </c>
      <c r="F55" s="111">
        <v>20</v>
      </c>
      <c r="G55" s="111">
        <v>20</v>
      </c>
      <c r="H55" s="105">
        <v>0.25</v>
      </c>
      <c r="I55" s="73">
        <f t="shared" si="1"/>
        <v>98.060852994265943</v>
      </c>
      <c r="J55" s="66">
        <f t="shared" si="2"/>
        <v>6</v>
      </c>
    </row>
    <row r="56" spans="2:10" x14ac:dyDescent="0.2">
      <c r="B56" s="48">
        <v>7</v>
      </c>
      <c r="C56" s="108" t="s">
        <v>94</v>
      </c>
      <c r="D56" s="85">
        <v>8385234</v>
      </c>
      <c r="E56" s="106">
        <f t="shared" si="0"/>
        <v>57.934220738502944</v>
      </c>
      <c r="F56" s="112">
        <v>20</v>
      </c>
      <c r="G56" s="112">
        <v>20</v>
      </c>
      <c r="H56" s="112">
        <v>0</v>
      </c>
      <c r="I56" s="86">
        <f t="shared" si="1"/>
        <v>97.934220738502944</v>
      </c>
      <c r="J56" s="87">
        <f t="shared" si="2"/>
        <v>7</v>
      </c>
    </row>
    <row r="57" spans="2:10" x14ac:dyDescent="0.2">
      <c r="B57" s="41" t="s">
        <v>56</v>
      </c>
    </row>
    <row r="59" spans="2:10" ht="15.75" x14ac:dyDescent="0.25">
      <c r="B59" s="140" t="s">
        <v>77</v>
      </c>
      <c r="C59" s="140"/>
      <c r="D59" s="223" t="str">
        <f>+C52</f>
        <v>ACTIVA INGENIERIA</v>
      </c>
      <c r="E59" s="224"/>
      <c r="F59" s="83"/>
      <c r="G59" s="83"/>
      <c r="H59" s="83"/>
      <c r="I59" s="83"/>
    </row>
    <row r="60" spans="2:10" ht="15.75" x14ac:dyDescent="0.25">
      <c r="B60" s="140" t="s">
        <v>42</v>
      </c>
      <c r="C60" s="140"/>
      <c r="D60" s="219">
        <f>+D52</f>
        <v>8130410</v>
      </c>
      <c r="E60" s="220"/>
      <c r="F60" s="84"/>
      <c r="G60" s="84"/>
      <c r="H60" s="84"/>
      <c r="I60" s="84"/>
    </row>
  </sheetData>
  <mergeCells count="15">
    <mergeCell ref="B40:J40"/>
    <mergeCell ref="B42:C42"/>
    <mergeCell ref="D42:E42"/>
    <mergeCell ref="B43:C43"/>
    <mergeCell ref="D43:E43"/>
    <mergeCell ref="B60:C60"/>
    <mergeCell ref="D60:E60"/>
    <mergeCell ref="B45:C45"/>
    <mergeCell ref="B44:C44"/>
    <mergeCell ref="D44:E44"/>
    <mergeCell ref="D45:E45"/>
    <mergeCell ref="B46:C46"/>
    <mergeCell ref="D46:E46"/>
    <mergeCell ref="B59:C59"/>
    <mergeCell ref="D59:E59"/>
  </mergeCells>
  <conditionalFormatting sqref="J49:J56">
    <cfRule type="cellIs" dxfId="13" priority="5" stopIfTrue="1" operator="equal">
      <formula>1</formula>
    </cfRule>
  </conditionalFormatting>
  <conditionalFormatting sqref="D49:D56">
    <cfRule type="cellIs" dxfId="12" priority="1" stopIfTrue="1" operator="lessThan">
      <formula>$D$46</formula>
    </cfRule>
    <cfRule type="cellIs" dxfId="11" priority="2" stopIfTrue="1" operator="greaterThan">
      <formula>$D$46</formula>
    </cfRule>
  </conditionalFormatting>
  <printOptions horizontalCentered="1"/>
  <pageMargins left="0.23622047244094491" right="0.23622047244094491" top="0.74803149606299213" bottom="1.4166666666666667" header="0.31496062992125984" footer="0.31496062992125984"/>
  <pageSetup paperSize="9" scale="53" fitToHeight="0" orientation="portrait" horizontalDpi="4294967293" r:id="rId1"/>
  <headerFooter>
    <oddHeader>&amp;L         &amp;G&amp;CSECRETARÍA DE OBRAS PÚBLICAS
ALCALDÍA DE MANIZALES
&amp;G&amp;RPág. &amp;P de &amp;N
Fecha: &amp;D</oddHeader>
    <oddFooter>&amp;CALCALDIA DE MANIZALES
CALLE 19 N° 21-44 PROPIEDAD HORIZONTAL CAM
TELÉFONO 887 9700 EXT. 71500 - CÓDIGO POSTAL 170001 - ATENCIÓN AL CLIENTE 01-8000-968988
www.manizales.gov.co</oddFooter>
  </headerFooter>
  <drawing r:id="rId2"/>
  <legacyDrawingHF r:id="rId3"/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tabColor theme="7" tint="-0.249977111117893"/>
    <pageSetUpPr fitToPage="1"/>
  </sheetPr>
  <dimension ref="B2:I69"/>
  <sheetViews>
    <sheetView view="pageBreakPreview" topLeftCell="A52" zoomScaleNormal="100" zoomScaleSheetLayoutView="100" workbookViewId="0">
      <selection activeCell="G87" sqref="G87"/>
    </sheetView>
  </sheetViews>
  <sheetFormatPr baseColWidth="10" defaultColWidth="11.5703125" defaultRowHeight="15" x14ac:dyDescent="0.2"/>
  <cols>
    <col min="1" max="1" width="2.7109375" style="41" customWidth="1"/>
    <col min="2" max="9" width="11.5703125" style="41"/>
    <col min="10" max="10" width="2.7109375" style="41" customWidth="1"/>
    <col min="11" max="16384" width="11.5703125" style="41"/>
  </cols>
  <sheetData>
    <row r="2" spans="2:9" x14ac:dyDescent="0.2">
      <c r="B2" s="141" t="s">
        <v>0</v>
      </c>
      <c r="C2" s="141"/>
      <c r="D2" s="141"/>
      <c r="E2" s="141"/>
      <c r="F2" s="141"/>
      <c r="G2" s="141"/>
      <c r="H2" s="141"/>
      <c r="I2" s="141"/>
    </row>
    <row r="3" spans="2:9" x14ac:dyDescent="0.2">
      <c r="B3" s="141"/>
      <c r="C3" s="141"/>
      <c r="D3" s="141"/>
      <c r="E3" s="141"/>
      <c r="F3" s="141"/>
      <c r="G3" s="141"/>
      <c r="H3" s="141"/>
      <c r="I3" s="141"/>
    </row>
    <row r="5" spans="2:9" x14ac:dyDescent="0.2">
      <c r="B5" s="139" t="s">
        <v>1</v>
      </c>
      <c r="C5" s="139"/>
      <c r="D5" s="139"/>
      <c r="E5" s="139"/>
      <c r="F5" s="139"/>
      <c r="G5" s="139"/>
      <c r="H5" s="139"/>
      <c r="I5" s="139"/>
    </row>
    <row r="7" spans="2:9" ht="15.75" x14ac:dyDescent="0.25">
      <c r="C7" s="140" t="s">
        <v>2</v>
      </c>
      <c r="D7" s="140"/>
      <c r="E7" s="142" t="s">
        <v>3</v>
      </c>
      <c r="F7" s="142" t="s">
        <v>4</v>
      </c>
      <c r="G7" s="142"/>
      <c r="H7" s="142"/>
    </row>
    <row r="8" spans="2:9" ht="15.75" x14ac:dyDescent="0.25">
      <c r="C8" s="1" t="s">
        <v>5</v>
      </c>
      <c r="D8" s="1" t="s">
        <v>6</v>
      </c>
      <c r="E8" s="142"/>
      <c r="F8" s="142"/>
      <c r="G8" s="142"/>
      <c r="H8" s="142"/>
    </row>
    <row r="9" spans="2:9" x14ac:dyDescent="0.2">
      <c r="C9" s="43">
        <v>0</v>
      </c>
      <c r="D9" s="43">
        <v>0.5</v>
      </c>
      <c r="E9" s="2">
        <v>1</v>
      </c>
      <c r="F9" s="143" t="s">
        <v>9</v>
      </c>
      <c r="G9" s="144"/>
      <c r="H9" s="145"/>
    </row>
    <row r="10" spans="2:9" x14ac:dyDescent="0.2">
      <c r="C10" s="43">
        <v>0.51</v>
      </c>
      <c r="D10" s="43">
        <v>0.99</v>
      </c>
      <c r="E10" s="2">
        <v>2</v>
      </c>
      <c r="F10" s="143" t="s">
        <v>10</v>
      </c>
      <c r="G10" s="144"/>
      <c r="H10" s="145"/>
    </row>
    <row r="12" spans="2:9" x14ac:dyDescent="0.2">
      <c r="B12" s="146" t="s">
        <v>11</v>
      </c>
      <c r="C12" s="146"/>
      <c r="D12" s="146"/>
      <c r="E12" s="146"/>
      <c r="F12" s="146"/>
      <c r="G12" s="146"/>
      <c r="H12" s="146"/>
      <c r="I12" s="146"/>
    </row>
    <row r="13" spans="2:9" x14ac:dyDescent="0.2">
      <c r="B13" s="146"/>
      <c r="C13" s="146"/>
      <c r="D13" s="146"/>
      <c r="E13" s="146"/>
      <c r="F13" s="146"/>
      <c r="G13" s="146"/>
      <c r="H13" s="146"/>
      <c r="I13" s="146"/>
    </row>
    <row r="14" spans="2:9" x14ac:dyDescent="0.2">
      <c r="B14" s="146"/>
      <c r="C14" s="146"/>
      <c r="D14" s="146"/>
      <c r="E14" s="146"/>
      <c r="F14" s="146"/>
      <c r="G14" s="146"/>
      <c r="H14" s="146"/>
      <c r="I14" s="146"/>
    </row>
    <row r="16" spans="2:9" x14ac:dyDescent="0.2">
      <c r="B16" s="139" t="s">
        <v>12</v>
      </c>
      <c r="C16" s="139"/>
      <c r="D16" s="139"/>
      <c r="E16" s="139"/>
      <c r="F16" s="139"/>
      <c r="G16" s="139"/>
      <c r="H16" s="139"/>
      <c r="I16" s="139"/>
    </row>
    <row r="17" spans="2:9" x14ac:dyDescent="0.2">
      <c r="B17" s="139"/>
      <c r="C17" s="139"/>
      <c r="D17" s="139"/>
      <c r="E17" s="139"/>
      <c r="F17" s="139"/>
      <c r="G17" s="139"/>
      <c r="H17" s="139"/>
      <c r="I17" s="139"/>
    </row>
    <row r="18" spans="2:9" x14ac:dyDescent="0.2">
      <c r="B18" s="139"/>
      <c r="C18" s="139"/>
      <c r="D18" s="139"/>
      <c r="E18" s="139"/>
      <c r="F18" s="139"/>
      <c r="G18" s="139"/>
      <c r="H18" s="139"/>
      <c r="I18" s="139"/>
    </row>
    <row r="19" spans="2:9" x14ac:dyDescent="0.2">
      <c r="B19" s="139"/>
      <c r="C19" s="139"/>
      <c r="D19" s="139"/>
      <c r="E19" s="139"/>
      <c r="F19" s="139"/>
      <c r="G19" s="139"/>
      <c r="H19" s="139"/>
      <c r="I19" s="139"/>
    </row>
    <row r="20" spans="2:9" x14ac:dyDescent="0.2">
      <c r="B20" s="139"/>
      <c r="C20" s="139"/>
      <c r="D20" s="139"/>
      <c r="E20" s="139"/>
      <c r="F20" s="139"/>
      <c r="G20" s="139"/>
      <c r="H20" s="139"/>
      <c r="I20" s="139"/>
    </row>
    <row r="22" spans="2:9" x14ac:dyDescent="0.2">
      <c r="B22" s="139" t="s">
        <v>13</v>
      </c>
      <c r="C22" s="139"/>
      <c r="D22" s="139"/>
      <c r="E22" s="139"/>
      <c r="F22" s="139"/>
      <c r="G22" s="139"/>
      <c r="H22" s="139"/>
      <c r="I22" s="139"/>
    </row>
    <row r="23" spans="2:9" x14ac:dyDescent="0.2">
      <c r="B23" s="139"/>
      <c r="C23" s="139"/>
      <c r="D23" s="139"/>
      <c r="E23" s="139"/>
      <c r="F23" s="139"/>
      <c r="G23" s="139"/>
      <c r="H23" s="139"/>
      <c r="I23" s="139"/>
    </row>
    <row r="25" spans="2:9" x14ac:dyDescent="0.2">
      <c r="B25" s="139" t="s">
        <v>14</v>
      </c>
      <c r="C25" s="139"/>
      <c r="D25" s="139"/>
      <c r="E25" s="139"/>
      <c r="F25" s="139"/>
      <c r="G25" s="139"/>
      <c r="H25" s="139"/>
      <c r="I25" s="139"/>
    </row>
    <row r="26" spans="2:9" x14ac:dyDescent="0.2">
      <c r="B26" s="139"/>
      <c r="C26" s="139"/>
      <c r="D26" s="139"/>
      <c r="E26" s="139"/>
      <c r="F26" s="139"/>
      <c r="G26" s="139"/>
      <c r="H26" s="139"/>
      <c r="I26" s="139"/>
    </row>
    <row r="28" spans="2:9" x14ac:dyDescent="0.2">
      <c r="B28" s="41" t="s">
        <v>15</v>
      </c>
    </row>
    <row r="30" spans="2:9" ht="15.75" x14ac:dyDescent="0.25">
      <c r="B30" s="140" t="s">
        <v>16</v>
      </c>
      <c r="C30" s="140"/>
      <c r="D30" s="148"/>
      <c r="E30" s="149"/>
    </row>
    <row r="31" spans="2:9" ht="15.75" x14ac:dyDescent="0.25">
      <c r="B31" s="140" t="s">
        <v>17</v>
      </c>
      <c r="C31" s="140"/>
      <c r="D31" s="228"/>
      <c r="E31" s="229"/>
    </row>
    <row r="32" spans="2:9" x14ac:dyDescent="0.2">
      <c r="B32" s="142" t="s">
        <v>18</v>
      </c>
      <c r="C32" s="142"/>
      <c r="D32" s="230"/>
      <c r="E32" s="230"/>
      <c r="F32" s="230"/>
      <c r="G32" s="230"/>
      <c r="H32" s="230"/>
      <c r="I32" s="230"/>
    </row>
    <row r="33" spans="2:9" x14ac:dyDescent="0.2">
      <c r="B33" s="142"/>
      <c r="C33" s="142"/>
      <c r="D33" s="230"/>
      <c r="E33" s="230"/>
      <c r="F33" s="230"/>
      <c r="G33" s="230"/>
      <c r="H33" s="230"/>
      <c r="I33" s="230"/>
    </row>
    <row r="34" spans="2:9" x14ac:dyDescent="0.2">
      <c r="B34" s="142"/>
      <c r="C34" s="142"/>
      <c r="D34" s="230"/>
      <c r="E34" s="230"/>
      <c r="F34" s="230"/>
      <c r="G34" s="230"/>
      <c r="H34" s="230"/>
      <c r="I34" s="230"/>
    </row>
    <row r="36" spans="2:9" ht="15.6" customHeight="1" x14ac:dyDescent="0.2">
      <c r="B36" s="151" t="s">
        <v>19</v>
      </c>
      <c r="C36" s="151"/>
      <c r="D36" s="151"/>
      <c r="E36" s="151"/>
      <c r="F36" s="151"/>
      <c r="G36" s="151"/>
      <c r="H36" s="151"/>
      <c r="I36" s="151"/>
    </row>
    <row r="37" spans="2:9" x14ac:dyDescent="0.2">
      <c r="B37" s="152"/>
      <c r="C37" s="152"/>
      <c r="D37" s="152"/>
      <c r="E37" s="152"/>
      <c r="F37" s="152"/>
      <c r="G37" s="152"/>
      <c r="H37" s="152"/>
      <c r="I37" s="152"/>
    </row>
    <row r="38" spans="2:9" x14ac:dyDescent="0.2">
      <c r="B38" s="231" t="str">
        <f>D30&amp;" "&amp;D31&amp;" "&amp;D32</f>
        <v xml:space="preserve">  </v>
      </c>
      <c r="C38" s="231"/>
      <c r="D38" s="231"/>
      <c r="E38" s="231"/>
      <c r="F38" s="231"/>
      <c r="G38" s="231"/>
      <c r="H38" s="231"/>
      <c r="I38" s="231"/>
    </row>
    <row r="39" spans="2:9" x14ac:dyDescent="0.2">
      <c r="B39" s="231"/>
      <c r="C39" s="231"/>
      <c r="D39" s="231"/>
      <c r="E39" s="231"/>
      <c r="F39" s="231"/>
      <c r="G39" s="231"/>
      <c r="H39" s="231"/>
      <c r="I39" s="231"/>
    </row>
    <row r="40" spans="2:9" x14ac:dyDescent="0.2">
      <c r="B40" s="231"/>
      <c r="C40" s="231"/>
      <c r="D40" s="231"/>
      <c r="E40" s="231"/>
      <c r="F40" s="231"/>
      <c r="G40" s="231"/>
      <c r="H40" s="231"/>
      <c r="I40" s="231"/>
    </row>
    <row r="42" spans="2:9" x14ac:dyDescent="0.2">
      <c r="B42" s="41" t="s">
        <v>20</v>
      </c>
    </row>
    <row r="44" spans="2:9" ht="15.75" x14ac:dyDescent="0.25">
      <c r="B44" s="140" t="s">
        <v>21</v>
      </c>
      <c r="C44" s="140"/>
      <c r="D44" s="148"/>
      <c r="E44" s="149"/>
    </row>
    <row r="46" spans="2:9" x14ac:dyDescent="0.2">
      <c r="B46" s="139" t="s">
        <v>95</v>
      </c>
      <c r="C46" s="139"/>
      <c r="D46" s="139"/>
      <c r="E46" s="139"/>
      <c r="F46" s="139"/>
      <c r="G46" s="139"/>
      <c r="H46" s="139"/>
      <c r="I46" s="139"/>
    </row>
    <row r="47" spans="2:9" x14ac:dyDescent="0.2">
      <c r="B47" s="139"/>
      <c r="C47" s="139"/>
      <c r="D47" s="139"/>
      <c r="E47" s="139"/>
      <c r="F47" s="139"/>
      <c r="G47" s="139"/>
      <c r="H47" s="139"/>
      <c r="I47" s="139"/>
    </row>
    <row r="48" spans="2:9" x14ac:dyDescent="0.2">
      <c r="B48" s="42"/>
      <c r="C48" s="42"/>
      <c r="D48" s="42"/>
      <c r="E48" s="42"/>
      <c r="F48" s="42"/>
      <c r="G48" s="42"/>
      <c r="H48" s="42"/>
      <c r="I48" s="42"/>
    </row>
    <row r="49" spans="2:9" x14ac:dyDescent="0.2">
      <c r="B49" s="42"/>
      <c r="C49" s="42"/>
      <c r="D49" s="42"/>
      <c r="E49" s="42"/>
      <c r="F49" s="42"/>
      <c r="G49" s="42"/>
      <c r="H49" s="42"/>
      <c r="I49" s="42"/>
    </row>
    <row r="50" spans="2:9" x14ac:dyDescent="0.2">
      <c r="B50" s="42"/>
      <c r="C50" s="42"/>
      <c r="D50" s="42"/>
      <c r="E50" s="42"/>
      <c r="F50" s="42"/>
      <c r="G50" s="42"/>
      <c r="H50" s="42"/>
      <c r="I50" s="42"/>
    </row>
    <row r="51" spans="2:9" x14ac:dyDescent="0.2">
      <c r="B51" s="42"/>
      <c r="C51" s="42"/>
      <c r="D51" s="42"/>
      <c r="E51" s="42"/>
      <c r="F51" s="42"/>
      <c r="G51" s="42"/>
      <c r="H51" s="42"/>
      <c r="I51" s="42"/>
    </row>
    <row r="52" spans="2:9" ht="15.75" x14ac:dyDescent="0.25">
      <c r="B52" s="140" t="s">
        <v>23</v>
      </c>
      <c r="C52" s="140"/>
      <c r="D52" s="159"/>
      <c r="E52" s="160"/>
    </row>
    <row r="53" spans="2:9" x14ac:dyDescent="0.2">
      <c r="B53" s="161" t="s">
        <v>24</v>
      </c>
      <c r="C53" s="150"/>
      <c r="D53" s="150"/>
      <c r="E53" s="150"/>
    </row>
    <row r="54" spans="2:9" x14ac:dyDescent="0.2">
      <c r="B54" s="150">
        <f ca="1">TODAY()</f>
        <v>45519</v>
      </c>
      <c r="C54" s="150"/>
      <c r="D54" s="150"/>
      <c r="E54" s="150"/>
    </row>
    <row r="56" spans="2:9" x14ac:dyDescent="0.2">
      <c r="B56" s="41" t="s">
        <v>25</v>
      </c>
    </row>
    <row r="58" spans="2:9" ht="15.75" x14ac:dyDescent="0.25">
      <c r="B58" s="140" t="s">
        <v>4</v>
      </c>
      <c r="C58" s="140"/>
      <c r="D58" s="158" t="str">
        <f>INDEX(E9:H10,MATCH(ROUND(D52-INT(D52),2),C9:C10,1),2)</f>
        <v>Media aritmética baja</v>
      </c>
      <c r="E58" s="158"/>
      <c r="F58" s="158"/>
      <c r="G58" s="158"/>
    </row>
    <row r="59" spans="2:9" x14ac:dyDescent="0.2">
      <c r="E59" s="44"/>
      <c r="F59" s="44"/>
      <c r="G59" s="44"/>
    </row>
    <row r="60" spans="2:9" x14ac:dyDescent="0.2">
      <c r="B60" s="139" t="s">
        <v>26</v>
      </c>
      <c r="C60" s="139"/>
      <c r="D60" s="139"/>
      <c r="E60" s="139"/>
      <c r="F60" s="139"/>
      <c r="G60" s="139"/>
      <c r="H60" s="139"/>
      <c r="I60" s="139"/>
    </row>
    <row r="61" spans="2:9" x14ac:dyDescent="0.2">
      <c r="B61" s="139"/>
      <c r="C61" s="139"/>
      <c r="D61" s="139"/>
      <c r="E61" s="139"/>
      <c r="F61" s="139"/>
      <c r="G61" s="139"/>
      <c r="H61" s="139"/>
      <c r="I61" s="139"/>
    </row>
    <row r="62" spans="2:9" x14ac:dyDescent="0.2">
      <c r="E62" s="44"/>
      <c r="F62" s="44"/>
      <c r="G62" s="44"/>
    </row>
    <row r="63" spans="2:9" ht="15.6" customHeight="1" x14ac:dyDescent="0.2">
      <c r="B63" s="141" t="s">
        <v>27</v>
      </c>
      <c r="C63" s="141"/>
      <c r="D63" s="162"/>
      <c r="E63" s="162"/>
      <c r="F63" s="44"/>
      <c r="G63" s="44"/>
    </row>
    <row r="64" spans="2:9" ht="15.6" customHeight="1" x14ac:dyDescent="0.2">
      <c r="B64" s="141"/>
      <c r="C64" s="141"/>
      <c r="D64" s="162"/>
      <c r="E64" s="162"/>
      <c r="F64" s="44"/>
      <c r="G64" s="44"/>
    </row>
    <row r="65" spans="2:7" x14ac:dyDescent="0.2">
      <c r="E65" s="44"/>
      <c r="F65" s="44"/>
      <c r="G65" s="44"/>
    </row>
    <row r="66" spans="2:7" x14ac:dyDescent="0.2">
      <c r="B66" s="41" t="s">
        <v>28</v>
      </c>
    </row>
    <row r="68" spans="2:7" ht="15.75" x14ac:dyDescent="0.25">
      <c r="B68" s="140" t="s">
        <v>29</v>
      </c>
      <c r="C68" s="140"/>
      <c r="D68" s="159"/>
      <c r="E68" s="160"/>
    </row>
    <row r="69" spans="2:7" ht="15.75" x14ac:dyDescent="0.25">
      <c r="B69" s="140" t="s">
        <v>30</v>
      </c>
      <c r="C69" s="140"/>
      <c r="D69" s="219"/>
      <c r="E69" s="220"/>
    </row>
  </sheetData>
  <mergeCells count="35">
    <mergeCell ref="B68:C68"/>
    <mergeCell ref="D68:E68"/>
    <mergeCell ref="B69:C69"/>
    <mergeCell ref="D69:E69"/>
    <mergeCell ref="B53:E53"/>
    <mergeCell ref="B54:E54"/>
    <mergeCell ref="B58:C58"/>
    <mergeCell ref="D58:G58"/>
    <mergeCell ref="B60:I61"/>
    <mergeCell ref="B63:C64"/>
    <mergeCell ref="B32:C34"/>
    <mergeCell ref="D32:I34"/>
    <mergeCell ref="D63:E64"/>
    <mergeCell ref="B36:I37"/>
    <mergeCell ref="B38:I40"/>
    <mergeCell ref="B44:C44"/>
    <mergeCell ref="D44:E44"/>
    <mergeCell ref="B46:I47"/>
    <mergeCell ref="B52:C52"/>
    <mergeCell ref="D52:E52"/>
    <mergeCell ref="B25:I26"/>
    <mergeCell ref="B30:C30"/>
    <mergeCell ref="D30:E30"/>
    <mergeCell ref="B31:C31"/>
    <mergeCell ref="D31:E31"/>
    <mergeCell ref="F10:H10"/>
    <mergeCell ref="B12:I14"/>
    <mergeCell ref="B16:I20"/>
    <mergeCell ref="B22:I23"/>
    <mergeCell ref="B2:I3"/>
    <mergeCell ref="B5:I5"/>
    <mergeCell ref="C7:D7"/>
    <mergeCell ref="E7:E8"/>
    <mergeCell ref="F7:H8"/>
    <mergeCell ref="F9:H9"/>
  </mergeCells>
  <hyperlinks>
    <hyperlink ref="B53" r:id="rId1"/>
  </hyperlinks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horizontalDpi="4294967293" r:id="rId2"/>
  <headerFooter>
    <oddHeader>&amp;L         &amp;G&amp;CSECRETARÍA DE OBRAS PÚBLICAS
ALCALDÍA DE MANIZALES
&amp;G&amp;RPág. &amp;P de &amp;N
Fecha: &amp;D</oddHeader>
    <oddFooter>&amp;CALCALDIA DE MANIZALES
CALLE 19 N° 21-44 PROPIEDAD HORIZONTAL CAM
TELÉFONO 887 9700 EXT. 71500 - CÓDIGO POSTAL 170001 - ATENCIÓN AL CLIENTE 01-8000-968988
www.manizales.gov.co</oddFooter>
  </headerFooter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7">
    <pageSetUpPr fitToPage="1"/>
  </sheetPr>
  <dimension ref="B2:J95"/>
  <sheetViews>
    <sheetView view="pageBreakPreview" zoomScaleNormal="100" zoomScaleSheetLayoutView="100" workbookViewId="0">
      <selection activeCell="B5" sqref="B5:L10"/>
    </sheetView>
  </sheetViews>
  <sheetFormatPr baseColWidth="10" defaultColWidth="11.5703125" defaultRowHeight="15" x14ac:dyDescent="0.2"/>
  <cols>
    <col min="1" max="1" width="2.7109375" style="41" customWidth="1"/>
    <col min="2" max="2" width="6.7109375" style="41" customWidth="1"/>
    <col min="3" max="3" width="22.85546875" style="41" customWidth="1"/>
    <col min="4" max="4" width="17.42578125" style="41" customWidth="1"/>
    <col min="5" max="5" width="15.28515625" style="41" customWidth="1"/>
    <col min="6" max="9" width="12.140625" style="41" customWidth="1"/>
    <col min="10" max="10" width="12.7109375" style="41" customWidth="1"/>
    <col min="11" max="11" width="2.7109375" style="41" customWidth="1"/>
    <col min="12" max="16384" width="11.5703125" style="41"/>
  </cols>
  <sheetData>
    <row r="2" spans="2:10" x14ac:dyDescent="0.2">
      <c r="B2" s="141" t="s">
        <v>79</v>
      </c>
      <c r="C2" s="141"/>
      <c r="D2" s="141"/>
      <c r="E2" s="141"/>
      <c r="F2" s="141"/>
      <c r="G2" s="141"/>
      <c r="H2" s="141"/>
      <c r="I2" s="141"/>
      <c r="J2" s="141"/>
    </row>
    <row r="3" spans="2:10" x14ac:dyDescent="0.2">
      <c r="B3" s="141"/>
      <c r="C3" s="141"/>
      <c r="D3" s="141"/>
      <c r="E3" s="141"/>
      <c r="F3" s="141"/>
      <c r="G3" s="141"/>
      <c r="H3" s="141"/>
      <c r="I3" s="141"/>
      <c r="J3" s="141"/>
    </row>
    <row r="5" spans="2:10" x14ac:dyDescent="0.2">
      <c r="B5" s="139" t="s">
        <v>80</v>
      </c>
      <c r="C5" s="139"/>
      <c r="D5" s="139"/>
      <c r="E5" s="139"/>
      <c r="F5" s="139"/>
      <c r="G5" s="139"/>
      <c r="H5" s="139"/>
      <c r="I5" s="139"/>
      <c r="J5" s="139"/>
    </row>
    <row r="6" spans="2:10" x14ac:dyDescent="0.2">
      <c r="B6" s="139"/>
      <c r="C6" s="139"/>
      <c r="D6" s="139"/>
      <c r="E6" s="139"/>
      <c r="F6" s="139"/>
      <c r="G6" s="139"/>
      <c r="H6" s="139"/>
      <c r="I6" s="139"/>
      <c r="J6" s="139"/>
    </row>
    <row r="11" spans="2:10" x14ac:dyDescent="0.2">
      <c r="B11" s="41" t="s">
        <v>96</v>
      </c>
    </row>
    <row r="13" spans="2:10" ht="15.75" x14ac:dyDescent="0.25">
      <c r="B13" s="41" t="s">
        <v>97</v>
      </c>
    </row>
    <row r="14" spans="2:10" ht="15.75" x14ac:dyDescent="0.25">
      <c r="B14" s="41" t="s">
        <v>98</v>
      </c>
    </row>
    <row r="15" spans="2:10" ht="15.75" x14ac:dyDescent="0.25">
      <c r="B15" s="41" t="s">
        <v>99</v>
      </c>
    </row>
    <row r="17" spans="2:2" x14ac:dyDescent="0.2">
      <c r="B17" s="41" t="s">
        <v>100</v>
      </c>
    </row>
    <row r="26" spans="2:2" x14ac:dyDescent="0.2">
      <c r="B26" s="41" t="s">
        <v>96</v>
      </c>
    </row>
    <row r="28" spans="2:2" ht="15.75" x14ac:dyDescent="0.25">
      <c r="B28" s="41" t="s">
        <v>101</v>
      </c>
    </row>
    <row r="29" spans="2:2" ht="15.75" x14ac:dyDescent="0.25">
      <c r="B29" s="41" t="s">
        <v>102</v>
      </c>
    </row>
    <row r="63" spans="2:10" ht="15.75" x14ac:dyDescent="0.2">
      <c r="B63" s="169" t="s">
        <v>81</v>
      </c>
      <c r="C63" s="171"/>
      <c r="D63" s="171"/>
      <c r="E63" s="171"/>
      <c r="F63" s="171"/>
      <c r="G63" s="171"/>
      <c r="H63" s="171"/>
      <c r="I63" s="171"/>
      <c r="J63" s="171"/>
    </row>
    <row r="65" spans="2:10" ht="15.75" x14ac:dyDescent="0.25">
      <c r="B65" s="140" t="s">
        <v>33</v>
      </c>
      <c r="C65" s="140"/>
      <c r="D65" s="148"/>
      <c r="E65" s="149"/>
    </row>
    <row r="66" spans="2:10" ht="15.75" x14ac:dyDescent="0.25">
      <c r="B66" s="140" t="s">
        <v>34</v>
      </c>
      <c r="C66" s="140"/>
      <c r="D66" s="177">
        <f>+COUNT(B77:B90)</f>
        <v>0</v>
      </c>
      <c r="E66" s="178"/>
    </row>
    <row r="67" spans="2:10" ht="15.75" x14ac:dyDescent="0.25">
      <c r="B67" s="140" t="s">
        <v>35</v>
      </c>
      <c r="C67" s="140"/>
      <c r="D67" s="172">
        <f>+ENTRADA_MENOR_CUANTIA!D69</f>
        <v>0</v>
      </c>
      <c r="E67" s="173"/>
    </row>
    <row r="69" spans="2:10" x14ac:dyDescent="0.2">
      <c r="B69" s="141" t="s">
        <v>82</v>
      </c>
      <c r="C69" s="141"/>
      <c r="D69" s="174" t="e">
        <f>+AVERAGE(D77:D90)</f>
        <v>#DIV/0!</v>
      </c>
      <c r="E69" s="174"/>
    </row>
    <row r="70" spans="2:10" x14ac:dyDescent="0.2">
      <c r="B70" s="141"/>
      <c r="C70" s="141"/>
      <c r="D70" s="174"/>
      <c r="E70" s="174"/>
    </row>
    <row r="71" spans="2:10" ht="15.75" x14ac:dyDescent="0.25">
      <c r="B71" s="140" t="s">
        <v>83</v>
      </c>
      <c r="C71" s="140"/>
      <c r="D71" s="232">
        <f>MIN(D77:D90)</f>
        <v>0</v>
      </c>
      <c r="E71" s="233"/>
    </row>
    <row r="72" spans="2:10" x14ac:dyDescent="0.2">
      <c r="B72" s="141" t="s">
        <v>84</v>
      </c>
      <c r="C72" s="141"/>
      <c r="D72" s="174" t="e">
        <f>+(D69+D71)/2</f>
        <v>#DIV/0!</v>
      </c>
      <c r="E72" s="174"/>
    </row>
    <row r="73" spans="2:10" x14ac:dyDescent="0.2">
      <c r="B73" s="141"/>
      <c r="C73" s="141"/>
      <c r="D73" s="174"/>
      <c r="E73" s="174"/>
    </row>
    <row r="74" spans="2:10" ht="33" customHeight="1" x14ac:dyDescent="0.25">
      <c r="B74" s="221" t="s">
        <v>38</v>
      </c>
      <c r="C74" s="222"/>
      <c r="D74" s="167" t="e">
        <f>+MEDIAN(D77:D90)-_xlfn.STDEV.S(D77:D90)</f>
        <v>#NUM!</v>
      </c>
      <c r="E74" s="168"/>
    </row>
    <row r="76" spans="2:10" ht="63.75" x14ac:dyDescent="0.2">
      <c r="B76" s="75" t="s">
        <v>39</v>
      </c>
      <c r="C76" s="76" t="s">
        <v>40</v>
      </c>
      <c r="D76" s="77" t="s">
        <v>42</v>
      </c>
      <c r="E76" s="76" t="s">
        <v>41</v>
      </c>
      <c r="F76" s="71" t="s">
        <v>65</v>
      </c>
      <c r="G76" s="70" t="s">
        <v>66</v>
      </c>
      <c r="H76" s="70" t="s">
        <v>45</v>
      </c>
      <c r="I76" s="70" t="s">
        <v>48</v>
      </c>
      <c r="J76" s="71" t="s">
        <v>49</v>
      </c>
    </row>
    <row r="77" spans="2:10" hidden="1" x14ac:dyDescent="0.2">
      <c r="B77" s="59"/>
      <c r="C77" s="60"/>
      <c r="D77" s="47"/>
      <c r="E77" s="56"/>
      <c r="F77" s="46"/>
      <c r="G77" s="62"/>
      <c r="H77" s="62"/>
      <c r="I77" s="73"/>
      <c r="J77" s="66"/>
    </row>
    <row r="78" spans="2:10" x14ac:dyDescent="0.2">
      <c r="B78" s="59"/>
      <c r="C78" s="60"/>
      <c r="D78" s="47"/>
      <c r="E78" s="56" t="e">
        <f t="shared" ref="E78:E90" si="0">_xlfn.RANK.EQ(D78,$D$77:$D$90,1)</f>
        <v>#N/A</v>
      </c>
      <c r="F78" s="46" t="e">
        <f t="shared" ref="F78:F90" si="1">IF(D78&lt;=$D$72,70*(1-($D$72-D78)/$D$72),70*(1-ABS($D$72-D78)/$D$72))</f>
        <v>#DIV/0!</v>
      </c>
      <c r="G78" s="78"/>
      <c r="H78" s="78"/>
      <c r="I78" s="73" t="e">
        <f t="shared" ref="I78:I90" si="2">+F78+G78+H78</f>
        <v>#DIV/0!</v>
      </c>
      <c r="J78" s="66" t="e">
        <f t="shared" ref="J78:J90" si="3">_xlfn.RANK.EQ(I78,$I$77:$I$90,0)</f>
        <v>#DIV/0!</v>
      </c>
    </row>
    <row r="79" spans="2:10" x14ac:dyDescent="0.2">
      <c r="B79" s="59"/>
      <c r="C79" s="60"/>
      <c r="D79" s="47"/>
      <c r="E79" s="56" t="e">
        <f t="shared" si="0"/>
        <v>#N/A</v>
      </c>
      <c r="F79" s="46" t="e">
        <f t="shared" si="1"/>
        <v>#DIV/0!</v>
      </c>
      <c r="G79" s="78"/>
      <c r="H79" s="78"/>
      <c r="I79" s="73" t="e">
        <f t="shared" si="2"/>
        <v>#DIV/0!</v>
      </c>
      <c r="J79" s="66" t="e">
        <f t="shared" si="3"/>
        <v>#DIV/0!</v>
      </c>
    </row>
    <row r="80" spans="2:10" x14ac:dyDescent="0.2">
      <c r="B80" s="59"/>
      <c r="C80" s="60"/>
      <c r="D80" s="47"/>
      <c r="E80" s="56" t="e">
        <f t="shared" si="0"/>
        <v>#N/A</v>
      </c>
      <c r="F80" s="46" t="e">
        <f t="shared" si="1"/>
        <v>#DIV/0!</v>
      </c>
      <c r="G80" s="78"/>
      <c r="H80" s="78"/>
      <c r="I80" s="73" t="e">
        <f t="shared" si="2"/>
        <v>#DIV/0!</v>
      </c>
      <c r="J80" s="66" t="e">
        <f t="shared" si="3"/>
        <v>#DIV/0!</v>
      </c>
    </row>
    <row r="81" spans="2:10" x14ac:dyDescent="0.2">
      <c r="B81" s="59"/>
      <c r="C81" s="60"/>
      <c r="D81" s="47"/>
      <c r="E81" s="56" t="e">
        <f t="shared" si="0"/>
        <v>#N/A</v>
      </c>
      <c r="F81" s="46" t="e">
        <f t="shared" si="1"/>
        <v>#DIV/0!</v>
      </c>
      <c r="G81" s="78"/>
      <c r="H81" s="78"/>
      <c r="I81" s="73" t="e">
        <f t="shared" si="2"/>
        <v>#DIV/0!</v>
      </c>
      <c r="J81" s="66" t="e">
        <f t="shared" si="3"/>
        <v>#DIV/0!</v>
      </c>
    </row>
    <row r="82" spans="2:10" x14ac:dyDescent="0.2">
      <c r="B82" s="59"/>
      <c r="C82" s="60"/>
      <c r="D82" s="47"/>
      <c r="E82" s="56" t="e">
        <f t="shared" si="0"/>
        <v>#N/A</v>
      </c>
      <c r="F82" s="46" t="e">
        <f t="shared" si="1"/>
        <v>#DIV/0!</v>
      </c>
      <c r="G82" s="78"/>
      <c r="H82" s="78"/>
      <c r="I82" s="73" t="e">
        <f t="shared" si="2"/>
        <v>#DIV/0!</v>
      </c>
      <c r="J82" s="66" t="e">
        <f t="shared" si="3"/>
        <v>#DIV/0!</v>
      </c>
    </row>
    <row r="83" spans="2:10" x14ac:dyDescent="0.2">
      <c r="B83" s="48"/>
      <c r="C83" s="45"/>
      <c r="D83" s="47"/>
      <c r="E83" s="56" t="e">
        <f t="shared" si="0"/>
        <v>#N/A</v>
      </c>
      <c r="F83" s="46" t="e">
        <f t="shared" si="1"/>
        <v>#DIV/0!</v>
      </c>
      <c r="G83" s="78"/>
      <c r="H83" s="78"/>
      <c r="I83" s="73" t="e">
        <f t="shared" si="2"/>
        <v>#DIV/0!</v>
      </c>
      <c r="J83" s="66" t="e">
        <f t="shared" si="3"/>
        <v>#DIV/0!</v>
      </c>
    </row>
    <row r="84" spans="2:10" x14ac:dyDescent="0.2">
      <c r="B84" s="59"/>
      <c r="C84" s="45"/>
      <c r="D84" s="47"/>
      <c r="E84" s="56" t="e">
        <f t="shared" si="0"/>
        <v>#N/A</v>
      </c>
      <c r="F84" s="46" t="e">
        <f t="shared" si="1"/>
        <v>#DIV/0!</v>
      </c>
      <c r="G84" s="78"/>
      <c r="H84" s="78"/>
      <c r="I84" s="73" t="e">
        <f t="shared" si="2"/>
        <v>#DIV/0!</v>
      </c>
      <c r="J84" s="66" t="e">
        <f t="shared" si="3"/>
        <v>#DIV/0!</v>
      </c>
    </row>
    <row r="85" spans="2:10" x14ac:dyDescent="0.2">
      <c r="B85" s="48"/>
      <c r="C85" s="45"/>
      <c r="D85" s="47"/>
      <c r="E85" s="56" t="e">
        <f t="shared" si="0"/>
        <v>#N/A</v>
      </c>
      <c r="F85" s="46" t="e">
        <f t="shared" si="1"/>
        <v>#DIV/0!</v>
      </c>
      <c r="G85" s="78"/>
      <c r="H85" s="78"/>
      <c r="I85" s="73" t="e">
        <f t="shared" si="2"/>
        <v>#DIV/0!</v>
      </c>
      <c r="J85" s="66" t="e">
        <f t="shared" si="3"/>
        <v>#DIV/0!</v>
      </c>
    </row>
    <row r="86" spans="2:10" x14ac:dyDescent="0.2">
      <c r="B86" s="59"/>
      <c r="C86" s="45"/>
      <c r="D86" s="47"/>
      <c r="E86" s="56" t="e">
        <f t="shared" si="0"/>
        <v>#N/A</v>
      </c>
      <c r="F86" s="46" t="e">
        <f t="shared" si="1"/>
        <v>#DIV/0!</v>
      </c>
      <c r="G86" s="78"/>
      <c r="H86" s="78"/>
      <c r="I86" s="73" t="e">
        <f t="shared" si="2"/>
        <v>#DIV/0!</v>
      </c>
      <c r="J86" s="66" t="e">
        <f t="shared" si="3"/>
        <v>#DIV/0!</v>
      </c>
    </row>
    <row r="87" spans="2:10" x14ac:dyDescent="0.2">
      <c r="B87" s="48"/>
      <c r="C87" s="45"/>
      <c r="D87" s="47"/>
      <c r="E87" s="56" t="e">
        <f t="shared" si="0"/>
        <v>#N/A</v>
      </c>
      <c r="F87" s="46" t="e">
        <f t="shared" si="1"/>
        <v>#DIV/0!</v>
      </c>
      <c r="G87" s="78"/>
      <c r="H87" s="78"/>
      <c r="I87" s="73" t="e">
        <f t="shared" si="2"/>
        <v>#DIV/0!</v>
      </c>
      <c r="J87" s="66" t="e">
        <f t="shared" si="3"/>
        <v>#DIV/0!</v>
      </c>
    </row>
    <row r="88" spans="2:10" x14ac:dyDescent="0.2">
      <c r="B88" s="59"/>
      <c r="C88" s="45"/>
      <c r="D88" s="47"/>
      <c r="E88" s="56" t="e">
        <f t="shared" si="0"/>
        <v>#N/A</v>
      </c>
      <c r="F88" s="46" t="e">
        <f t="shared" si="1"/>
        <v>#DIV/0!</v>
      </c>
      <c r="G88" s="78"/>
      <c r="H88" s="78"/>
      <c r="I88" s="73" t="e">
        <f t="shared" si="2"/>
        <v>#DIV/0!</v>
      </c>
      <c r="J88" s="66" t="e">
        <f t="shared" si="3"/>
        <v>#DIV/0!</v>
      </c>
    </row>
    <row r="89" spans="2:10" x14ac:dyDescent="0.2">
      <c r="B89" s="48"/>
      <c r="C89" s="45"/>
      <c r="D89" s="47"/>
      <c r="E89" s="56" t="e">
        <f t="shared" si="0"/>
        <v>#N/A</v>
      </c>
      <c r="F89" s="46" t="e">
        <f t="shared" si="1"/>
        <v>#DIV/0!</v>
      </c>
      <c r="G89" s="78"/>
      <c r="H89" s="78"/>
      <c r="I89" s="73" t="e">
        <f t="shared" si="2"/>
        <v>#DIV/0!</v>
      </c>
      <c r="J89" s="66" t="e">
        <f t="shared" si="3"/>
        <v>#DIV/0!</v>
      </c>
    </row>
    <row r="90" spans="2:10" x14ac:dyDescent="0.2">
      <c r="B90" s="59"/>
      <c r="C90" s="64"/>
      <c r="D90" s="63"/>
      <c r="E90" s="57" t="e">
        <f t="shared" si="0"/>
        <v>#N/A</v>
      </c>
      <c r="F90" s="65" t="e">
        <f t="shared" si="1"/>
        <v>#DIV/0!</v>
      </c>
      <c r="G90" s="79"/>
      <c r="H90" s="79"/>
      <c r="I90" s="74" t="e">
        <f t="shared" si="2"/>
        <v>#DIV/0!</v>
      </c>
      <c r="J90" s="66" t="e">
        <f t="shared" si="3"/>
        <v>#DIV/0!</v>
      </c>
    </row>
    <row r="91" spans="2:10" x14ac:dyDescent="0.2">
      <c r="B91" s="68"/>
      <c r="C91" s="68"/>
      <c r="D91" s="69"/>
      <c r="E91" s="68"/>
      <c r="F91" s="80"/>
      <c r="G91" s="80"/>
      <c r="H91" s="80"/>
      <c r="I91" s="68"/>
      <c r="J91" s="68"/>
    </row>
    <row r="92" spans="2:10" x14ac:dyDescent="0.2">
      <c r="B92" s="41" t="s">
        <v>56</v>
      </c>
    </row>
    <row r="94" spans="2:10" ht="15.75" x14ac:dyDescent="0.25">
      <c r="B94" s="140" t="s">
        <v>77</v>
      </c>
      <c r="C94" s="140"/>
      <c r="D94" s="219"/>
      <c r="E94" s="220"/>
    </row>
    <row r="95" spans="2:10" ht="15.75" x14ac:dyDescent="0.25">
      <c r="B95" s="140" t="s">
        <v>42</v>
      </c>
      <c r="C95" s="140"/>
      <c r="D95" s="219"/>
      <c r="E95" s="220"/>
    </row>
  </sheetData>
  <mergeCells count="21">
    <mergeCell ref="B71:C71"/>
    <mergeCell ref="D71:E71"/>
    <mergeCell ref="B95:C95"/>
    <mergeCell ref="D95:E95"/>
    <mergeCell ref="B72:C73"/>
    <mergeCell ref="D72:E73"/>
    <mergeCell ref="B74:C74"/>
    <mergeCell ref="D74:E74"/>
    <mergeCell ref="B94:C94"/>
    <mergeCell ref="D94:E94"/>
    <mergeCell ref="B66:C66"/>
    <mergeCell ref="D66:E66"/>
    <mergeCell ref="B67:C67"/>
    <mergeCell ref="D67:E67"/>
    <mergeCell ref="B69:C70"/>
    <mergeCell ref="D69:E70"/>
    <mergeCell ref="B2:J3"/>
    <mergeCell ref="B5:J6"/>
    <mergeCell ref="B63:J63"/>
    <mergeCell ref="B65:C65"/>
    <mergeCell ref="D65:E65"/>
  </mergeCells>
  <conditionalFormatting sqref="J80:J91">
    <cfRule type="cellIs" dxfId="10" priority="9" stopIfTrue="1" operator="equal">
      <formula>1</formula>
    </cfRule>
  </conditionalFormatting>
  <conditionalFormatting sqref="J77">
    <cfRule type="cellIs" dxfId="9" priority="8" stopIfTrue="1" operator="equal">
      <formula>1</formula>
    </cfRule>
  </conditionalFormatting>
  <conditionalFormatting sqref="J79">
    <cfRule type="cellIs" dxfId="8" priority="7" stopIfTrue="1" operator="equal">
      <formula>1</formula>
    </cfRule>
  </conditionalFormatting>
  <conditionalFormatting sqref="J78">
    <cfRule type="cellIs" dxfId="7" priority="6" stopIfTrue="1" operator="equal">
      <formula>1</formula>
    </cfRule>
  </conditionalFormatting>
  <conditionalFormatting sqref="D77:D90">
    <cfRule type="cellIs" dxfId="6" priority="4" stopIfTrue="1" operator="lessThan">
      <formula>$D$74</formula>
    </cfRule>
    <cfRule type="cellIs" dxfId="5" priority="5" stopIfTrue="1" operator="greaterThan">
      <formula>$D$74</formula>
    </cfRule>
  </conditionalFormatting>
  <printOptions horizontalCentered="1"/>
  <pageMargins left="0.23622047244094491" right="0.08" top="0.74803149606299213" bottom="1.4" header="0.31496062992125984" footer="0.31496062992125984"/>
  <pageSetup paperSize="9" scale="79" fitToHeight="0" orientation="portrait" horizontalDpi="4294967293" r:id="rId1"/>
  <headerFooter>
    <oddHeader>&amp;L         &amp;G&amp;CSECRETARÍA DE OBRAS PÚBLICAS
ALCALDÍA DE MANIZALES
&amp;G&amp;RPág. &amp;P de &amp;N
Fecha: &amp;D</oddHeader>
    <oddFooter>&amp;CALCALDIA DE MANIZALES
CALLE 19 N° 21-44 PROPIEDAD HORIZONTAL CAM
TELÉFONO 887 9700 EXT. 71500 - CÓDIGO POSTAL 170001 - ATENCIÓN AL CLIENTE 01-8000-968988
www.manizales.gov.co</oddFooter>
  </headerFooter>
  <drawing r:id="rId2"/>
  <legacyDrawing r:id="rId3"/>
  <legacyDrawingHF r:id="rId4"/>
  <oleObjects>
    <mc:AlternateContent xmlns:mc="http://schemas.openxmlformats.org/markup-compatibility/2006">
      <mc:Choice Requires="x14">
        <oleObject progId="Equation.DSMT4" shapeId="26625" r:id="rId5">
          <objectPr defaultSize="0" r:id="rId6">
            <anchor moveWithCells="1">
              <from>
                <xdr:col>4</xdr:col>
                <xdr:colOff>85725</xdr:colOff>
                <xdr:row>6</xdr:row>
                <xdr:rowOff>133350</xdr:rowOff>
              </from>
              <to>
                <xdr:col>5</xdr:col>
                <xdr:colOff>142875</xdr:colOff>
                <xdr:row>9</xdr:row>
                <xdr:rowOff>57150</xdr:rowOff>
              </to>
            </anchor>
          </objectPr>
        </oleObject>
      </mc:Choice>
      <mc:Fallback>
        <oleObject progId="Equation.DSMT4" shapeId="26625" r:id="rId5"/>
      </mc:Fallback>
    </mc:AlternateContent>
    <mc:AlternateContent xmlns:mc="http://schemas.openxmlformats.org/markup-compatibility/2006">
      <mc:Choice Requires="x14">
        <oleObject progId="Equation.DSMT4" shapeId="26626" r:id="rId7">
          <objectPr defaultSize="0" r:id="rId8">
            <anchor moveWithCells="1">
              <from>
                <xdr:col>2</xdr:col>
                <xdr:colOff>409575</xdr:colOff>
                <xdr:row>17</xdr:row>
                <xdr:rowOff>95250</xdr:rowOff>
              </from>
              <to>
                <xdr:col>5</xdr:col>
                <xdr:colOff>285750</xdr:colOff>
                <xdr:row>24</xdr:row>
                <xdr:rowOff>85725</xdr:rowOff>
              </to>
            </anchor>
          </objectPr>
        </oleObject>
      </mc:Choice>
      <mc:Fallback>
        <oleObject progId="Equation.DSMT4" shapeId="26626" r:id="rId7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8" r:id="rId9" name="Button 4">
              <controlPr defaultSize="0" print="0" autoFill="0" autoPict="0" macro="[0]!Botón4_Haga_clic_en">
                <anchor moveWithCells="1" sizeWithCells="1">
                  <from>
                    <xdr:col>7</xdr:col>
                    <xdr:colOff>0</xdr:colOff>
                    <xdr:row>71</xdr:row>
                    <xdr:rowOff>9525</xdr:rowOff>
                  </from>
                  <to>
                    <xdr:col>9</xdr:col>
                    <xdr:colOff>866775</xdr:colOff>
                    <xdr:row>73</xdr:row>
                    <xdr:rowOff>409575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0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8">
    <pageSetUpPr fitToPage="1"/>
  </sheetPr>
  <dimension ref="B2:J46"/>
  <sheetViews>
    <sheetView view="pageBreakPreview" zoomScaleNormal="100" zoomScaleSheetLayoutView="100" workbookViewId="0">
      <selection activeCell="I37" sqref="I37:I41"/>
    </sheetView>
  </sheetViews>
  <sheetFormatPr baseColWidth="10" defaultColWidth="11.5703125" defaultRowHeight="15" x14ac:dyDescent="0.2"/>
  <cols>
    <col min="1" max="1" width="2.7109375" style="41" customWidth="1"/>
    <col min="2" max="2" width="7.85546875" style="41" customWidth="1"/>
    <col min="3" max="3" width="38.7109375" style="41" customWidth="1"/>
    <col min="4" max="4" width="17.140625" style="41" customWidth="1"/>
    <col min="5" max="9" width="16.28515625" style="41" customWidth="1"/>
    <col min="10" max="10" width="11.5703125" style="41"/>
    <col min="11" max="11" width="2.7109375" style="41" customWidth="1"/>
    <col min="12" max="16384" width="11.5703125" style="41"/>
  </cols>
  <sheetData>
    <row r="2" spans="2:10" x14ac:dyDescent="0.2">
      <c r="B2" s="141" t="s">
        <v>103</v>
      </c>
      <c r="C2" s="141"/>
      <c r="D2" s="141"/>
      <c r="E2" s="141"/>
      <c r="F2" s="141"/>
      <c r="G2" s="141"/>
      <c r="H2" s="141"/>
      <c r="I2" s="141"/>
      <c r="J2" s="141"/>
    </row>
    <row r="3" spans="2:10" x14ac:dyDescent="0.2">
      <c r="B3" s="141"/>
      <c r="C3" s="141"/>
      <c r="D3" s="141"/>
      <c r="E3" s="141"/>
      <c r="F3" s="141"/>
      <c r="G3" s="141"/>
      <c r="H3" s="141"/>
      <c r="I3" s="141"/>
      <c r="J3" s="141"/>
    </row>
    <row r="5" spans="2:10" x14ac:dyDescent="0.2">
      <c r="B5" s="139" t="s">
        <v>104</v>
      </c>
      <c r="C5" s="139"/>
      <c r="D5" s="139"/>
      <c r="E5" s="139"/>
      <c r="F5" s="139"/>
      <c r="G5" s="139"/>
      <c r="H5" s="139"/>
      <c r="I5" s="139"/>
      <c r="J5" s="139"/>
    </row>
    <row r="6" spans="2:10" x14ac:dyDescent="0.2">
      <c r="B6" s="139"/>
      <c r="C6" s="139"/>
      <c r="D6" s="139"/>
      <c r="E6" s="139"/>
      <c r="F6" s="139"/>
      <c r="G6" s="139"/>
      <c r="H6" s="139"/>
      <c r="I6" s="139"/>
      <c r="J6" s="139"/>
    </row>
    <row r="10" spans="2:10" x14ac:dyDescent="0.2">
      <c r="B10" s="41" t="s">
        <v>96</v>
      </c>
    </row>
    <row r="12" spans="2:10" ht="15.75" x14ac:dyDescent="0.25">
      <c r="B12" s="41" t="s">
        <v>102</v>
      </c>
    </row>
    <row r="13" spans="2:10" ht="15.75" x14ac:dyDescent="0.25">
      <c r="B13" s="41" t="s">
        <v>105</v>
      </c>
    </row>
    <row r="14" spans="2:10" ht="15.75" x14ac:dyDescent="0.25">
      <c r="B14" s="41" t="s">
        <v>106</v>
      </c>
    </row>
    <row r="16" spans="2:10" x14ac:dyDescent="0.2">
      <c r="B16" s="41" t="s">
        <v>100</v>
      </c>
    </row>
    <row r="21" spans="2:10" x14ac:dyDescent="0.2">
      <c r="B21" s="41" t="s">
        <v>96</v>
      </c>
    </row>
    <row r="23" spans="2:10" ht="15.75" x14ac:dyDescent="0.25">
      <c r="B23" s="41" t="s">
        <v>106</v>
      </c>
    </row>
    <row r="24" spans="2:10" ht="15.75" x14ac:dyDescent="0.25">
      <c r="B24" s="41" t="s">
        <v>102</v>
      </c>
    </row>
    <row r="27" spans="2:10" ht="15.75" x14ac:dyDescent="0.2">
      <c r="B27" s="169" t="s">
        <v>107</v>
      </c>
      <c r="C27" s="171"/>
      <c r="D27" s="171"/>
      <c r="E27" s="171"/>
      <c r="F27" s="171"/>
      <c r="G27" s="171"/>
      <c r="H27" s="171"/>
      <c r="I27" s="171"/>
      <c r="J27" s="171"/>
    </row>
    <row r="29" spans="2:10" ht="15.75" x14ac:dyDescent="0.25">
      <c r="B29" s="140" t="s">
        <v>33</v>
      </c>
      <c r="C29" s="140"/>
      <c r="D29" s="225"/>
      <c r="E29" s="178"/>
      <c r="F29" s="44"/>
      <c r="G29" s="44"/>
      <c r="H29" s="44"/>
      <c r="I29" s="44"/>
    </row>
    <row r="30" spans="2:10" ht="15.75" x14ac:dyDescent="0.25">
      <c r="B30" s="140" t="s">
        <v>34</v>
      </c>
      <c r="C30" s="140"/>
      <c r="D30" s="177">
        <f>+COUNT(B36:B41)</f>
        <v>5</v>
      </c>
      <c r="E30" s="178"/>
      <c r="F30" s="44"/>
      <c r="G30" s="44"/>
      <c r="H30" s="44"/>
      <c r="I30" s="44"/>
    </row>
    <row r="31" spans="2:10" ht="15.75" x14ac:dyDescent="0.25">
      <c r="B31" s="140" t="s">
        <v>35</v>
      </c>
      <c r="C31" s="140"/>
      <c r="D31" s="172">
        <f>+ENTRADA_MENOR!D71</f>
        <v>22139836</v>
      </c>
      <c r="E31" s="173"/>
      <c r="F31" s="81"/>
      <c r="G31" s="81"/>
      <c r="H31" s="81"/>
      <c r="I31" s="81"/>
    </row>
    <row r="32" spans="2:10" ht="15.6" customHeight="1" x14ac:dyDescent="0.25">
      <c r="B32" s="140" t="s">
        <v>83</v>
      </c>
      <c r="C32" s="140"/>
      <c r="D32" s="232">
        <f>MIN(D36:D41)</f>
        <v>11497571</v>
      </c>
      <c r="E32" s="233"/>
      <c r="F32" s="82"/>
      <c r="G32" s="82"/>
      <c r="H32" s="82"/>
      <c r="I32" s="82"/>
    </row>
    <row r="33" spans="2:10" ht="31.15" customHeight="1" x14ac:dyDescent="0.2">
      <c r="B33" s="169" t="s">
        <v>38</v>
      </c>
      <c r="C33" s="170"/>
      <c r="D33" s="167">
        <f>+MEDIAN(D36:D41)-_xlfn.STDEV.P(D36:D41)</f>
        <v>11592519.429609755</v>
      </c>
      <c r="E33" s="168"/>
      <c r="F33" s="72"/>
      <c r="G33" s="72"/>
      <c r="H33" s="72"/>
      <c r="I33" s="72"/>
    </row>
    <row r="35" spans="2:10" ht="51" x14ac:dyDescent="0.2">
      <c r="B35" s="75" t="s">
        <v>39</v>
      </c>
      <c r="C35" s="76" t="s">
        <v>40</v>
      </c>
      <c r="D35" s="77" t="s">
        <v>42</v>
      </c>
      <c r="E35" s="71" t="s">
        <v>65</v>
      </c>
      <c r="F35" s="70" t="s">
        <v>66</v>
      </c>
      <c r="G35" s="70" t="s">
        <v>45</v>
      </c>
      <c r="H35" s="70" t="s">
        <v>46</v>
      </c>
      <c r="I35" s="70" t="s">
        <v>48</v>
      </c>
      <c r="J35" s="71" t="s">
        <v>49</v>
      </c>
    </row>
    <row r="36" spans="2:10" hidden="1" x14ac:dyDescent="0.2">
      <c r="B36" s="48"/>
      <c r="C36" s="67"/>
      <c r="D36" s="47"/>
      <c r="E36" s="46"/>
      <c r="F36" s="73"/>
      <c r="G36" s="73"/>
      <c r="H36" s="73"/>
      <c r="I36" s="73"/>
      <c r="J36" s="62"/>
    </row>
    <row r="37" spans="2:10" ht="27.6" customHeight="1" x14ac:dyDescent="0.2">
      <c r="B37" s="100">
        <v>1</v>
      </c>
      <c r="C37" s="102" t="s">
        <v>108</v>
      </c>
      <c r="D37" s="47">
        <v>11497571</v>
      </c>
      <c r="E37" s="106">
        <f>59.75*$D$32/D37</f>
        <v>59.75</v>
      </c>
      <c r="F37" s="62">
        <v>20</v>
      </c>
      <c r="G37" s="62">
        <v>20</v>
      </c>
      <c r="H37" s="104">
        <v>0</v>
      </c>
      <c r="I37" s="104">
        <f>+E37+F37+G37+H37</f>
        <v>99.75</v>
      </c>
      <c r="J37" s="62">
        <f>_xlfn.RANK.EQ(I37,$I$36:$I$41,0)</f>
        <v>1</v>
      </c>
    </row>
    <row r="38" spans="2:10" x14ac:dyDescent="0.2">
      <c r="B38" s="100">
        <v>2</v>
      </c>
      <c r="C38" s="102" t="s">
        <v>109</v>
      </c>
      <c r="D38" s="47">
        <v>11993337</v>
      </c>
      <c r="E38" s="106">
        <f>59.75*$D$32/D38</f>
        <v>57.280127061384164</v>
      </c>
      <c r="F38" s="62">
        <v>20</v>
      </c>
      <c r="G38" s="62">
        <v>20</v>
      </c>
      <c r="H38" s="104">
        <v>0.25</v>
      </c>
      <c r="I38" s="104">
        <f>+E38+F38+G38+H38</f>
        <v>97.530127061384164</v>
      </c>
      <c r="J38" s="62">
        <f>_xlfn.RANK.EQ(I38,$I$36:$I$41,0)</f>
        <v>5</v>
      </c>
    </row>
    <row r="39" spans="2:10" x14ac:dyDescent="0.2">
      <c r="B39" s="100">
        <v>3</v>
      </c>
      <c r="C39" s="102" t="s">
        <v>110</v>
      </c>
      <c r="D39" s="47">
        <v>11789620</v>
      </c>
      <c r="E39" s="106">
        <f>59.75*$D$32/D39</f>
        <v>58.269890568992047</v>
      </c>
      <c r="F39" s="62">
        <v>20</v>
      </c>
      <c r="G39" s="62">
        <v>20</v>
      </c>
      <c r="H39" s="104">
        <v>0.25</v>
      </c>
      <c r="I39" s="104">
        <f>+E39+F39+G39+H39</f>
        <v>98.519890568992054</v>
      </c>
      <c r="J39" s="62">
        <f>_xlfn.RANK.EQ(I39,$I$36:$I$41,0)</f>
        <v>3</v>
      </c>
    </row>
    <row r="40" spans="2:10" x14ac:dyDescent="0.2">
      <c r="B40" s="100">
        <v>4</v>
      </c>
      <c r="C40" s="102" t="s">
        <v>111</v>
      </c>
      <c r="D40" s="47">
        <v>11540285</v>
      </c>
      <c r="E40" s="106">
        <f>59.75*$D$32/D40</f>
        <v>59.528847619447873</v>
      </c>
      <c r="F40" s="62">
        <v>20</v>
      </c>
      <c r="G40" s="62">
        <v>20</v>
      </c>
      <c r="H40" s="104">
        <v>0</v>
      </c>
      <c r="I40" s="104">
        <f>+E40+F40+G40+H40</f>
        <v>99.528847619447873</v>
      </c>
      <c r="J40" s="62">
        <f>_xlfn.RANK.EQ(I40,$I$36:$I$41,0)</f>
        <v>2</v>
      </c>
    </row>
    <row r="41" spans="2:10" x14ac:dyDescent="0.2">
      <c r="B41" s="101">
        <v>5</v>
      </c>
      <c r="C41" s="103" t="s">
        <v>112</v>
      </c>
      <c r="D41" s="63">
        <v>11910711</v>
      </c>
      <c r="E41" s="106">
        <f>59.75*$D$32/D41</f>
        <v>57.677486024973653</v>
      </c>
      <c r="F41" s="62">
        <v>20</v>
      </c>
      <c r="G41" s="62">
        <v>20</v>
      </c>
      <c r="H41" s="105">
        <v>0.25</v>
      </c>
      <c r="I41" s="104">
        <f>+E41+F41+G41+H41</f>
        <v>97.927486024973661</v>
      </c>
      <c r="J41" s="62">
        <f>_xlfn.RANK.EQ(I41,$I$36:$I$41,0)</f>
        <v>4</v>
      </c>
    </row>
    <row r="43" spans="2:10" x14ac:dyDescent="0.2">
      <c r="B43" s="41" t="s">
        <v>56</v>
      </c>
    </row>
    <row r="45" spans="2:10" ht="15.75" x14ac:dyDescent="0.25">
      <c r="B45" s="140" t="s">
        <v>77</v>
      </c>
      <c r="C45" s="140"/>
      <c r="D45" s="223" t="str">
        <f>+C37</f>
        <v>CONECTA INGENIERÍA SAS</v>
      </c>
      <c r="E45" s="224"/>
      <c r="F45" s="83"/>
      <c r="G45" s="83"/>
      <c r="H45" s="83"/>
      <c r="I45" s="83"/>
    </row>
    <row r="46" spans="2:10" ht="15.75" x14ac:dyDescent="0.25">
      <c r="B46" s="140" t="s">
        <v>42</v>
      </c>
      <c r="C46" s="140"/>
      <c r="D46" s="219">
        <f>+D37</f>
        <v>11497571</v>
      </c>
      <c r="E46" s="220"/>
      <c r="F46" s="84"/>
      <c r="G46" s="84"/>
      <c r="H46" s="84"/>
      <c r="I46" s="84"/>
    </row>
  </sheetData>
  <mergeCells count="17">
    <mergeCell ref="B30:C30"/>
    <mergeCell ref="D30:E30"/>
    <mergeCell ref="B45:C45"/>
    <mergeCell ref="D45:E45"/>
    <mergeCell ref="B46:C46"/>
    <mergeCell ref="D46:E46"/>
    <mergeCell ref="B31:C31"/>
    <mergeCell ref="D31:E31"/>
    <mergeCell ref="B32:C32"/>
    <mergeCell ref="D32:E32"/>
    <mergeCell ref="B33:C33"/>
    <mergeCell ref="D33:E33"/>
    <mergeCell ref="B2:J3"/>
    <mergeCell ref="B5:J6"/>
    <mergeCell ref="B27:J27"/>
    <mergeCell ref="B29:C29"/>
    <mergeCell ref="D29:E29"/>
  </mergeCells>
  <conditionalFormatting sqref="J36:J41">
    <cfRule type="cellIs" dxfId="4" priority="3" stopIfTrue="1" operator="equal">
      <formula>1</formula>
    </cfRule>
  </conditionalFormatting>
  <conditionalFormatting sqref="D36:D41">
    <cfRule type="cellIs" dxfId="3" priority="1" stopIfTrue="1" operator="lessThan">
      <formula>$D$33</formula>
    </cfRule>
    <cfRule type="cellIs" dxfId="2" priority="2" stopIfTrue="1" operator="greaterThan">
      <formula>$D$33</formula>
    </cfRule>
  </conditionalFormatting>
  <printOptions horizontalCentered="1"/>
  <pageMargins left="0.23622047244094491" right="0.23622047244094491" top="0.74803149606299213" bottom="1.4166666666666667" header="0.31496062992125984" footer="0.31496062992125984"/>
  <pageSetup paperSize="9" scale="62" fitToHeight="0" orientation="portrait" horizontalDpi="4294967293" r:id="rId1"/>
  <headerFooter>
    <oddHeader>&amp;L         &amp;G&amp;CSECRETARÍA DE OBRAS PÚBLICAS
ALCALDÍA DE MANIZALES
&amp;G&amp;RPág. &amp;P de &amp;N
Fecha: &amp;D</oddHeader>
    <oddFooter>&amp;CALCALDIA DE MANIZALES
CALLE 19 N° 21-44 PROPIEDAD HORIZONTAL CAM
TELÉFONO 887 9700 EXT. 71500 - CÓDIGO POSTAL 170001 - ATENCIÓN AL CLIENTE 01-8000-968988
www.manizales.gov.co</oddFooter>
  </headerFooter>
  <drawing r:id="rId2"/>
  <legacyDrawing r:id="rId3"/>
  <legacyDrawingHF r:id="rId4"/>
  <oleObjects>
    <mc:AlternateContent xmlns:mc="http://schemas.openxmlformats.org/markup-compatibility/2006">
      <mc:Choice Requires="x14">
        <oleObject progId="Equation.DSMT4" shapeId="27649" r:id="rId5">
          <objectPr defaultSize="0" r:id="rId6">
            <anchor moveWithCells="1">
              <from>
                <xdr:col>3</xdr:col>
                <xdr:colOff>323850</xdr:colOff>
                <xdr:row>6</xdr:row>
                <xdr:rowOff>133350</xdr:rowOff>
              </from>
              <to>
                <xdr:col>5</xdr:col>
                <xdr:colOff>466725</xdr:colOff>
                <xdr:row>8</xdr:row>
                <xdr:rowOff>57150</xdr:rowOff>
              </to>
            </anchor>
          </objectPr>
        </oleObject>
      </mc:Choice>
      <mc:Fallback>
        <oleObject progId="Equation.DSMT4" shapeId="27649" r:id="rId5"/>
      </mc:Fallback>
    </mc:AlternateContent>
  </oleObjects>
  <tableParts count="1">
    <tablePart r:id="rId7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theme="1"/>
  </sheetPr>
  <dimension ref="A1"/>
  <sheetViews>
    <sheetView workbookViewId="0">
      <selection activeCell="E29" sqref="E29"/>
    </sheetView>
  </sheetViews>
  <sheetFormatPr baseColWidth="10" defaultColWidth="9.140625" defaultRowHeight="12.75" x14ac:dyDescent="0.2"/>
  <cols>
    <col min="1" max="256" width="11.42578125" customWidth="1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0"/>
  <dimension ref="A1:V178"/>
  <sheetViews>
    <sheetView topLeftCell="A25" workbookViewId="0">
      <selection activeCell="D14" sqref="D14"/>
    </sheetView>
  </sheetViews>
  <sheetFormatPr baseColWidth="10" defaultColWidth="9.140625" defaultRowHeight="12.75" x14ac:dyDescent="0.2"/>
  <cols>
    <col min="1" max="1" width="11.42578125" customWidth="1"/>
    <col min="2" max="2" width="13.28515625" bestFit="1" customWidth="1"/>
    <col min="3" max="3" width="17.28515625" bestFit="1" customWidth="1"/>
    <col min="4" max="4" width="19.28515625" bestFit="1" customWidth="1"/>
    <col min="5" max="6" width="11.42578125" customWidth="1"/>
    <col min="7" max="7" width="18.5703125" customWidth="1"/>
    <col min="8" max="8" width="24.5703125" customWidth="1"/>
    <col min="9" max="10" width="11.42578125" customWidth="1"/>
    <col min="11" max="22" width="11.42578125" style="3" customWidth="1"/>
    <col min="23" max="256" width="11.42578125" customWidth="1"/>
  </cols>
  <sheetData>
    <row r="1" spans="1:10" x14ac:dyDescent="0.2">
      <c r="A1" s="234" t="s">
        <v>113</v>
      </c>
      <c r="B1" s="234"/>
      <c r="C1" s="234"/>
      <c r="D1" s="234"/>
      <c r="E1" s="234"/>
      <c r="F1" s="234"/>
      <c r="G1" s="234"/>
      <c r="H1" s="234"/>
      <c r="I1" s="234"/>
      <c r="J1" s="3"/>
    </row>
    <row r="2" spans="1:10" x14ac:dyDescent="0.2">
      <c r="A2" s="234"/>
      <c r="B2" s="234"/>
      <c r="C2" s="234"/>
      <c r="D2" s="234"/>
      <c r="E2" s="234"/>
      <c r="F2" s="234"/>
      <c r="G2" s="234"/>
      <c r="H2" s="234"/>
      <c r="I2" s="234"/>
      <c r="J2" s="3"/>
    </row>
    <row r="3" spans="1:10" ht="15" x14ac:dyDescent="0.2">
      <c r="A3" s="235" t="s">
        <v>114</v>
      </c>
      <c r="B3" s="235"/>
      <c r="C3" s="235"/>
      <c r="D3" s="235"/>
      <c r="E3" s="235"/>
      <c r="F3" s="235"/>
      <c r="G3" s="235"/>
      <c r="H3" s="235"/>
      <c r="I3" s="235"/>
      <c r="J3" s="3"/>
    </row>
    <row r="4" spans="1:10" s="3" customFormat="1" ht="15.75" x14ac:dyDescent="0.25">
      <c r="A4" s="25"/>
      <c r="B4" s="25"/>
      <c r="C4" s="25"/>
      <c r="D4" s="25"/>
      <c r="E4" s="25"/>
      <c r="F4" s="25"/>
      <c r="G4" s="25"/>
      <c r="H4" s="25"/>
      <c r="I4" s="25"/>
    </row>
    <row r="5" spans="1:10" ht="40.5" customHeight="1" x14ac:dyDescent="0.2">
      <c r="A5" s="4"/>
      <c r="B5" s="26" t="s">
        <v>115</v>
      </c>
      <c r="C5" s="236" t="s">
        <v>116</v>
      </c>
      <c r="D5" s="236"/>
      <c r="E5" s="4"/>
      <c r="F5" s="3"/>
      <c r="G5" s="3"/>
      <c r="H5" s="3"/>
      <c r="I5" s="3"/>
      <c r="J5" s="3"/>
    </row>
    <row r="6" spans="1:10" ht="22.5" x14ac:dyDescent="0.2">
      <c r="A6" s="4"/>
      <c r="B6" s="13" t="s">
        <v>117</v>
      </c>
      <c r="C6" s="27">
        <v>542227905</v>
      </c>
      <c r="D6" s="8"/>
      <c r="E6" s="4"/>
      <c r="F6" s="3"/>
      <c r="G6" s="3"/>
      <c r="H6" s="3"/>
      <c r="I6" s="3"/>
      <c r="J6" s="3"/>
    </row>
    <row r="7" spans="1:10" x14ac:dyDescent="0.2">
      <c r="A7" s="4"/>
      <c r="D7" s="9"/>
      <c r="E7" s="4"/>
      <c r="F7" s="3"/>
      <c r="G7" s="3"/>
      <c r="H7" s="3"/>
      <c r="I7" s="3"/>
      <c r="J7" s="3"/>
    </row>
    <row r="8" spans="1:10" x14ac:dyDescent="0.2">
      <c r="A8" s="4"/>
      <c r="B8" s="237" t="s">
        <v>118</v>
      </c>
      <c r="C8" s="239" t="s">
        <v>42</v>
      </c>
      <c r="D8" s="241" t="s">
        <v>119</v>
      </c>
      <c r="E8" s="4"/>
      <c r="F8" s="3"/>
      <c r="G8" s="3"/>
      <c r="H8" s="3"/>
      <c r="I8" s="3"/>
      <c r="J8" s="3"/>
    </row>
    <row r="9" spans="1:10" ht="13.5" thickBot="1" x14ac:dyDescent="0.25">
      <c r="A9" s="4"/>
      <c r="B9" s="238"/>
      <c r="C9" s="240"/>
      <c r="D9" s="242"/>
      <c r="E9" s="4"/>
      <c r="F9" s="3"/>
      <c r="G9" s="3"/>
      <c r="H9" s="3"/>
      <c r="I9" s="3"/>
      <c r="J9" s="3"/>
    </row>
    <row r="10" spans="1:10" x14ac:dyDescent="0.2">
      <c r="A10" s="4"/>
      <c r="B10" s="32">
        <v>1</v>
      </c>
      <c r="C10" s="33">
        <v>487988744</v>
      </c>
      <c r="D10" s="34">
        <v>487988744</v>
      </c>
      <c r="E10" s="4"/>
      <c r="F10" s="3"/>
      <c r="G10" s="3"/>
      <c r="H10" s="3"/>
      <c r="I10" s="3"/>
      <c r="J10" s="3"/>
    </row>
    <row r="11" spans="1:10" x14ac:dyDescent="0.2">
      <c r="A11" s="4"/>
      <c r="B11" s="35">
        <v>2</v>
      </c>
      <c r="C11" s="5">
        <v>500643583</v>
      </c>
      <c r="D11" s="36">
        <v>500643583</v>
      </c>
      <c r="E11" s="4"/>
      <c r="F11" s="3"/>
      <c r="G11" s="3"/>
      <c r="H11" s="3"/>
      <c r="I11" s="3"/>
      <c r="J11" s="3"/>
    </row>
    <row r="12" spans="1:10" x14ac:dyDescent="0.2">
      <c r="A12" s="4"/>
      <c r="B12" s="35">
        <v>3</v>
      </c>
      <c r="C12" s="5">
        <v>499179768</v>
      </c>
      <c r="D12" s="36">
        <v>499179768</v>
      </c>
      <c r="E12" s="4"/>
      <c r="F12" s="3"/>
      <c r="G12" s="3"/>
      <c r="H12" s="3"/>
      <c r="I12" s="3"/>
      <c r="J12" s="3"/>
    </row>
    <row r="13" spans="1:10" x14ac:dyDescent="0.2">
      <c r="A13" s="4"/>
      <c r="B13" s="35">
        <v>4</v>
      </c>
      <c r="C13" s="5">
        <v>501172046</v>
      </c>
      <c r="D13" s="36">
        <v>501172046</v>
      </c>
      <c r="E13" s="4"/>
      <c r="F13" s="3"/>
      <c r="G13" s="3"/>
      <c r="H13" s="3"/>
      <c r="I13" s="3"/>
      <c r="J13" s="3"/>
    </row>
    <row r="14" spans="1:10" x14ac:dyDescent="0.2">
      <c r="A14" s="4"/>
      <c r="B14" s="35">
        <v>5</v>
      </c>
      <c r="C14" s="5">
        <v>488213698</v>
      </c>
      <c r="D14" s="36">
        <v>488213698</v>
      </c>
      <c r="E14" s="4"/>
      <c r="F14" s="3"/>
      <c r="G14" s="3"/>
      <c r="H14" s="3"/>
      <c r="I14" s="3"/>
      <c r="J14" s="3"/>
    </row>
    <row r="15" spans="1:10" x14ac:dyDescent="0.2">
      <c r="A15" s="4"/>
      <c r="B15" s="35">
        <v>6</v>
      </c>
      <c r="C15" s="5">
        <v>493925189</v>
      </c>
      <c r="D15" s="36">
        <v>493925189</v>
      </c>
      <c r="E15" s="4"/>
      <c r="F15" s="3"/>
      <c r="G15" s="3"/>
      <c r="H15" s="3"/>
      <c r="I15" s="3"/>
      <c r="J15" s="3"/>
    </row>
    <row r="16" spans="1:10" x14ac:dyDescent="0.2">
      <c r="A16" s="4"/>
      <c r="B16" s="35">
        <v>7</v>
      </c>
      <c r="C16" s="5">
        <v>496420855</v>
      </c>
      <c r="D16" s="36">
        <v>496420855</v>
      </c>
      <c r="E16" s="4"/>
      <c r="F16" s="3"/>
      <c r="G16" s="3"/>
      <c r="H16" s="3"/>
      <c r="I16" s="3"/>
      <c r="J16" s="3"/>
    </row>
    <row r="17" spans="1:10" x14ac:dyDescent="0.2">
      <c r="A17" s="4"/>
      <c r="B17" s="35">
        <v>8</v>
      </c>
      <c r="C17" s="5">
        <v>487607004</v>
      </c>
      <c r="D17" s="36">
        <v>487607004</v>
      </c>
      <c r="E17" s="4"/>
      <c r="F17" s="3"/>
      <c r="G17" s="3"/>
      <c r="H17" s="3"/>
      <c r="I17" s="3"/>
      <c r="J17" s="3"/>
    </row>
    <row r="18" spans="1:10" ht="13.5" thickBot="1" x14ac:dyDescent="0.25">
      <c r="A18" s="4"/>
      <c r="B18" s="37">
        <v>9</v>
      </c>
      <c r="C18" s="38">
        <v>500618308</v>
      </c>
      <c r="D18" s="39">
        <v>500618308</v>
      </c>
      <c r="E18" s="4"/>
      <c r="F18" s="3"/>
      <c r="G18" s="3"/>
      <c r="H18" s="3"/>
      <c r="I18" s="3"/>
      <c r="J18" s="3"/>
    </row>
    <row r="19" spans="1:10" x14ac:dyDescent="0.2">
      <c r="A19" s="4"/>
      <c r="B19" s="243" t="s">
        <v>120</v>
      </c>
      <c r="C19" s="244"/>
      <c r="D19" s="7">
        <f>SUM(D10:D18)</f>
        <v>4455769195</v>
      </c>
      <c r="E19" s="4"/>
      <c r="F19" s="3"/>
      <c r="G19" s="3"/>
      <c r="H19" s="3"/>
      <c r="I19" s="3"/>
      <c r="J19" s="3"/>
    </row>
    <row r="20" spans="1:10" x14ac:dyDescent="0.2">
      <c r="A20" s="4"/>
      <c r="B20" s="245" t="s">
        <v>121</v>
      </c>
      <c r="C20" s="245"/>
      <c r="D20" s="10">
        <v>9</v>
      </c>
      <c r="E20" s="4"/>
      <c r="F20" s="3"/>
      <c r="G20" s="3"/>
      <c r="H20" s="3"/>
      <c r="I20" s="3"/>
      <c r="J20" s="3"/>
    </row>
    <row r="21" spans="1:10" s="3" customFormat="1" x14ac:dyDescent="0.2">
      <c r="B21" s="245" t="s">
        <v>122</v>
      </c>
      <c r="C21" s="245"/>
      <c r="D21" s="5">
        <f>+D19/D20</f>
        <v>495085466.1111111</v>
      </c>
    </row>
    <row r="22" spans="1:10" s="3" customFormat="1" x14ac:dyDescent="0.2">
      <c r="B22" s="245" t="s">
        <v>123</v>
      </c>
      <c r="C22" s="245"/>
      <c r="D22" s="5">
        <f>+MAX(D10:D18)</f>
        <v>501172046</v>
      </c>
    </row>
    <row r="23" spans="1:10" s="3" customFormat="1" x14ac:dyDescent="0.2">
      <c r="B23" s="245" t="s">
        <v>124</v>
      </c>
      <c r="C23" s="245"/>
      <c r="D23" s="30">
        <f>+(D22+D21)/2</f>
        <v>498128756.05555558</v>
      </c>
    </row>
    <row r="24" spans="1:10" s="3" customFormat="1" x14ac:dyDescent="0.2"/>
    <row r="25" spans="1:10" s="3" customFormat="1" x14ac:dyDescent="0.2">
      <c r="G25" s="28"/>
    </row>
    <row r="26" spans="1:10" s="3" customFormat="1" ht="21" x14ac:dyDescent="0.2">
      <c r="B26" s="246" t="s">
        <v>125</v>
      </c>
      <c r="C26" s="247"/>
      <c r="D26" s="12" t="s">
        <v>126</v>
      </c>
    </row>
    <row r="27" spans="1:10" s="3" customFormat="1" x14ac:dyDescent="0.2">
      <c r="B27" s="4"/>
      <c r="C27" s="14"/>
    </row>
    <row r="28" spans="1:10" s="3" customFormat="1" ht="32.25" x14ac:dyDescent="0.2">
      <c r="B28" s="15" t="s">
        <v>127</v>
      </c>
      <c r="C28" s="20">
        <f>+D23</f>
        <v>498128756.05555558</v>
      </c>
      <c r="D28" s="31">
        <v>70</v>
      </c>
    </row>
    <row r="29" spans="1:10" s="3" customFormat="1" x14ac:dyDescent="0.2">
      <c r="B29" s="16"/>
      <c r="C29" s="17"/>
      <c r="D29" s="18"/>
      <c r="E29" s="248"/>
      <c r="F29" s="248"/>
      <c r="G29" s="16"/>
      <c r="H29" s="22"/>
    </row>
    <row r="30" spans="1:10" s="3" customFormat="1" ht="31.5" x14ac:dyDescent="0.2">
      <c r="B30" s="12" t="s">
        <v>128</v>
      </c>
      <c r="C30" s="24" t="s">
        <v>129</v>
      </c>
      <c r="D30" s="23" t="s">
        <v>130</v>
      </c>
      <c r="E30" s="12" t="s">
        <v>131</v>
      </c>
      <c r="F30" s="21" t="s">
        <v>132</v>
      </c>
      <c r="G30" s="12" t="s">
        <v>133</v>
      </c>
      <c r="H30" s="22"/>
    </row>
    <row r="31" spans="1:10" s="3" customFormat="1" x14ac:dyDescent="0.2">
      <c r="B31" s="29">
        <v>7</v>
      </c>
      <c r="C31" s="11">
        <v>496420855</v>
      </c>
      <c r="D31" s="40">
        <f>+IF(C31&lt;=$C$28,($D$28*(1-(($C$28-C31)/$C$28))),($D$28*(1-(2*(ABS($C$28-C31)/$C$28)))))</f>
        <v>69.759995638807169</v>
      </c>
      <c r="E31" s="19">
        <v>20</v>
      </c>
      <c r="F31" s="19">
        <v>10</v>
      </c>
      <c r="G31" s="40">
        <f t="shared" ref="G31:G39" si="0">+SUM(E31:F31,D31)</f>
        <v>99.759995638807169</v>
      </c>
    </row>
    <row r="32" spans="1:10" s="3" customFormat="1" x14ac:dyDescent="0.2">
      <c r="B32" s="29">
        <v>3</v>
      </c>
      <c r="C32" s="11">
        <v>499179768</v>
      </c>
      <c r="D32" s="40">
        <f t="shared" ref="D32:D39" si="1">+IF(C32&lt;=$C$28,($D$28*(1-(($C$28-C32)/$C$28))),($D$28*(1-(2*(ABS($C$28-C32)/$C$28)))))</f>
        <v>69.704611166423391</v>
      </c>
      <c r="E32" s="19">
        <v>20</v>
      </c>
      <c r="F32" s="19">
        <v>10</v>
      </c>
      <c r="G32" s="40">
        <f t="shared" si="0"/>
        <v>99.704611166423391</v>
      </c>
    </row>
    <row r="33" spans="2:7" s="3" customFormat="1" x14ac:dyDescent="0.2">
      <c r="B33" s="29">
        <v>6</v>
      </c>
      <c r="C33" s="11">
        <v>493925189</v>
      </c>
      <c r="D33" s="40">
        <f t="shared" si="1"/>
        <v>69.409289886777643</v>
      </c>
      <c r="E33" s="19">
        <v>20</v>
      </c>
      <c r="F33" s="19">
        <v>10</v>
      </c>
      <c r="G33" s="40">
        <f t="shared" si="0"/>
        <v>99.409289886777643</v>
      </c>
    </row>
    <row r="34" spans="2:7" s="3" customFormat="1" x14ac:dyDescent="0.2">
      <c r="B34" s="29">
        <v>9</v>
      </c>
      <c r="C34" s="11">
        <v>500618308</v>
      </c>
      <c r="D34" s="40">
        <f t="shared" si="1"/>
        <v>69.300306862462392</v>
      </c>
      <c r="E34" s="19">
        <v>20</v>
      </c>
      <c r="F34" s="19">
        <v>10</v>
      </c>
      <c r="G34" s="40">
        <f t="shared" si="0"/>
        <v>99.300306862462392</v>
      </c>
    </row>
    <row r="35" spans="2:7" s="3" customFormat="1" x14ac:dyDescent="0.2">
      <c r="B35" s="29">
        <v>2</v>
      </c>
      <c r="C35" s="11">
        <v>500643583</v>
      </c>
      <c r="D35" s="40">
        <f t="shared" si="1"/>
        <v>69.293203277381252</v>
      </c>
      <c r="E35" s="19">
        <v>20</v>
      </c>
      <c r="F35" s="6">
        <v>10</v>
      </c>
      <c r="G35" s="40">
        <f t="shared" si="0"/>
        <v>99.293203277381252</v>
      </c>
    </row>
    <row r="36" spans="2:7" s="3" customFormat="1" x14ac:dyDescent="0.2">
      <c r="B36" s="29">
        <v>4</v>
      </c>
      <c r="C36" s="11">
        <v>501172046</v>
      </c>
      <c r="D36" s="40">
        <f t="shared" si="1"/>
        <v>69.144677782515529</v>
      </c>
      <c r="E36" s="19">
        <v>20</v>
      </c>
      <c r="F36" s="6">
        <v>10</v>
      </c>
      <c r="G36" s="40">
        <f t="shared" si="0"/>
        <v>99.144677782515529</v>
      </c>
    </row>
    <row r="37" spans="2:7" s="3" customFormat="1" x14ac:dyDescent="0.2">
      <c r="B37" s="29">
        <v>5</v>
      </c>
      <c r="C37" s="11">
        <v>488213698</v>
      </c>
      <c r="D37" s="40">
        <f t="shared" si="1"/>
        <v>68.606677379188511</v>
      </c>
      <c r="E37" s="19">
        <v>20</v>
      </c>
      <c r="F37" s="6">
        <v>10</v>
      </c>
      <c r="G37" s="40">
        <f t="shared" si="0"/>
        <v>98.606677379188511</v>
      </c>
    </row>
    <row r="38" spans="2:7" s="3" customFormat="1" x14ac:dyDescent="0.2">
      <c r="B38" s="29">
        <v>1</v>
      </c>
      <c r="C38" s="11">
        <v>487988744</v>
      </c>
      <c r="D38" s="40">
        <f t="shared" si="1"/>
        <v>68.575065512159014</v>
      </c>
      <c r="E38" s="19">
        <v>20</v>
      </c>
      <c r="F38" s="6">
        <v>10</v>
      </c>
      <c r="G38" s="40">
        <f t="shared" si="0"/>
        <v>98.575065512159014</v>
      </c>
    </row>
    <row r="39" spans="2:7" s="3" customFormat="1" x14ac:dyDescent="0.2">
      <c r="B39" s="29">
        <v>8</v>
      </c>
      <c r="C39" s="11">
        <v>487607004</v>
      </c>
      <c r="D39" s="40">
        <f t="shared" si="1"/>
        <v>68.521421148778757</v>
      </c>
      <c r="E39" s="19">
        <v>20</v>
      </c>
      <c r="F39" s="6">
        <v>10</v>
      </c>
      <c r="G39" s="40">
        <f t="shared" si="0"/>
        <v>98.521421148778757</v>
      </c>
    </row>
    <row r="40" spans="2:7" s="3" customFormat="1" x14ac:dyDescent="0.2"/>
    <row r="41" spans="2:7" s="3" customFormat="1" x14ac:dyDescent="0.2"/>
    <row r="42" spans="2:7" s="3" customFormat="1" x14ac:dyDescent="0.2"/>
    <row r="43" spans="2:7" s="3" customFormat="1" x14ac:dyDescent="0.2"/>
    <row r="44" spans="2:7" s="3" customFormat="1" x14ac:dyDescent="0.2"/>
    <row r="45" spans="2:7" s="3" customFormat="1" x14ac:dyDescent="0.2"/>
    <row r="46" spans="2:7" s="3" customFormat="1" x14ac:dyDescent="0.2"/>
    <row r="47" spans="2:7" s="3" customFormat="1" x14ac:dyDescent="0.2"/>
    <row r="48" spans="2:7" s="3" customFormat="1" x14ac:dyDescent="0.2"/>
    <row r="49" s="3" customFormat="1" x14ac:dyDescent="0.2"/>
    <row r="50" s="3" customFormat="1" x14ac:dyDescent="0.2"/>
    <row r="51" s="3" customFormat="1" x14ac:dyDescent="0.2"/>
    <row r="52" s="3" customFormat="1" x14ac:dyDescent="0.2"/>
    <row r="53" s="3" customFormat="1" x14ac:dyDescent="0.2"/>
    <row r="54" s="3" customFormat="1" x14ac:dyDescent="0.2"/>
    <row r="55" s="3" customFormat="1" x14ac:dyDescent="0.2"/>
    <row r="56" s="3" customFormat="1" x14ac:dyDescent="0.2"/>
    <row r="57" s="3" customFormat="1" x14ac:dyDescent="0.2"/>
    <row r="58" s="3" customFormat="1" x14ac:dyDescent="0.2"/>
    <row r="59" s="3" customFormat="1" x14ac:dyDescent="0.2"/>
    <row r="60" s="3" customFormat="1" x14ac:dyDescent="0.2"/>
    <row r="61" s="3" customFormat="1" x14ac:dyDescent="0.2"/>
    <row r="62" s="3" customFormat="1" x14ac:dyDescent="0.2"/>
    <row r="63" s="3" customFormat="1" x14ac:dyDescent="0.2"/>
    <row r="64" s="3" customFormat="1" x14ac:dyDescent="0.2"/>
    <row r="65" s="3" customFormat="1" x14ac:dyDescent="0.2"/>
    <row r="66" s="3" customFormat="1" x14ac:dyDescent="0.2"/>
    <row r="67" s="3" customFormat="1" x14ac:dyDescent="0.2"/>
    <row r="68" s="3" customFormat="1" x14ac:dyDescent="0.2"/>
    <row r="69" s="3" customFormat="1" x14ac:dyDescent="0.2"/>
    <row r="70" s="3" customFormat="1" x14ac:dyDescent="0.2"/>
    <row r="71" s="3" customFormat="1" x14ac:dyDescent="0.2"/>
    <row r="72" s="3" customFormat="1" x14ac:dyDescent="0.2"/>
    <row r="73" s="3" customFormat="1" x14ac:dyDescent="0.2"/>
    <row r="74" s="3" customFormat="1" x14ac:dyDescent="0.2"/>
    <row r="75" s="3" customFormat="1" x14ac:dyDescent="0.2"/>
    <row r="76" s="3" customFormat="1" x14ac:dyDescent="0.2"/>
    <row r="77" s="3" customFormat="1" x14ac:dyDescent="0.2"/>
    <row r="78" s="3" customFormat="1" x14ac:dyDescent="0.2"/>
    <row r="79" s="3" customFormat="1" x14ac:dyDescent="0.2"/>
    <row r="80" s="3" customFormat="1" x14ac:dyDescent="0.2"/>
    <row r="81" s="3" customFormat="1" x14ac:dyDescent="0.2"/>
    <row r="82" s="3" customFormat="1" x14ac:dyDescent="0.2"/>
    <row r="83" s="3" customFormat="1" x14ac:dyDescent="0.2"/>
    <row r="84" s="3" customFormat="1" x14ac:dyDescent="0.2"/>
    <row r="85" s="3" customFormat="1" x14ac:dyDescent="0.2"/>
    <row r="86" s="3" customFormat="1" x14ac:dyDescent="0.2"/>
    <row r="87" s="3" customFormat="1" x14ac:dyDescent="0.2"/>
    <row r="88" s="3" customFormat="1" x14ac:dyDescent="0.2"/>
    <row r="89" s="3" customFormat="1" x14ac:dyDescent="0.2"/>
    <row r="90" s="3" customFormat="1" x14ac:dyDescent="0.2"/>
    <row r="91" s="3" customFormat="1" x14ac:dyDescent="0.2"/>
    <row r="92" s="3" customFormat="1" x14ac:dyDescent="0.2"/>
    <row r="93" s="3" customFormat="1" x14ac:dyDescent="0.2"/>
    <row r="94" s="3" customFormat="1" x14ac:dyDescent="0.2"/>
    <row r="95" s="3" customFormat="1" x14ac:dyDescent="0.2"/>
    <row r="96" s="3" customFormat="1" x14ac:dyDescent="0.2"/>
    <row r="97" s="3" customFormat="1" x14ac:dyDescent="0.2"/>
    <row r="98" s="3" customFormat="1" x14ac:dyDescent="0.2"/>
    <row r="99" s="3" customFormat="1" x14ac:dyDescent="0.2"/>
    <row r="100" s="3" customFormat="1" x14ac:dyDescent="0.2"/>
    <row r="101" s="3" customFormat="1" x14ac:dyDescent="0.2"/>
    <row r="102" s="3" customFormat="1" x14ac:dyDescent="0.2"/>
    <row r="103" s="3" customFormat="1" x14ac:dyDescent="0.2"/>
    <row r="104" s="3" customFormat="1" x14ac:dyDescent="0.2"/>
    <row r="105" s="3" customFormat="1" x14ac:dyDescent="0.2"/>
    <row r="106" s="3" customFormat="1" x14ac:dyDescent="0.2"/>
    <row r="107" s="3" customFormat="1" x14ac:dyDescent="0.2"/>
    <row r="108" s="3" customFormat="1" x14ac:dyDescent="0.2"/>
    <row r="109" s="3" customFormat="1" x14ac:dyDescent="0.2"/>
    <row r="110" s="3" customFormat="1" x14ac:dyDescent="0.2"/>
    <row r="111" s="3" customFormat="1" x14ac:dyDescent="0.2"/>
    <row r="112" s="3" customFormat="1" x14ac:dyDescent="0.2"/>
    <row r="113" s="3" customFormat="1" x14ac:dyDescent="0.2"/>
    <row r="114" s="3" customFormat="1" x14ac:dyDescent="0.2"/>
    <row r="115" s="3" customFormat="1" x14ac:dyDescent="0.2"/>
    <row r="116" s="3" customFormat="1" x14ac:dyDescent="0.2"/>
    <row r="117" s="3" customFormat="1" x14ac:dyDescent="0.2"/>
    <row r="118" s="3" customFormat="1" x14ac:dyDescent="0.2"/>
    <row r="119" s="3" customFormat="1" x14ac:dyDescent="0.2"/>
    <row r="120" s="3" customFormat="1" x14ac:dyDescent="0.2"/>
    <row r="121" s="3" customFormat="1" x14ac:dyDescent="0.2"/>
    <row r="122" s="3" customFormat="1" x14ac:dyDescent="0.2"/>
    <row r="123" s="3" customFormat="1" x14ac:dyDescent="0.2"/>
    <row r="124" s="3" customFormat="1" x14ac:dyDescent="0.2"/>
    <row r="125" s="3" customFormat="1" x14ac:dyDescent="0.2"/>
    <row r="126" s="3" customFormat="1" x14ac:dyDescent="0.2"/>
    <row r="127" s="3" customFormat="1" x14ac:dyDescent="0.2"/>
    <row r="128" s="3" customFormat="1" x14ac:dyDescent="0.2"/>
    <row r="129" s="3" customFormat="1" x14ac:dyDescent="0.2"/>
    <row r="130" s="3" customFormat="1" x14ac:dyDescent="0.2"/>
    <row r="131" s="3" customFormat="1" x14ac:dyDescent="0.2"/>
    <row r="132" s="3" customFormat="1" x14ac:dyDescent="0.2"/>
    <row r="133" s="3" customFormat="1" x14ac:dyDescent="0.2"/>
    <row r="134" s="3" customFormat="1" x14ac:dyDescent="0.2"/>
    <row r="135" s="3" customFormat="1" x14ac:dyDescent="0.2"/>
    <row r="136" s="3" customFormat="1" x14ac:dyDescent="0.2"/>
    <row r="137" s="3" customFormat="1" x14ac:dyDescent="0.2"/>
    <row r="138" s="3" customFormat="1" x14ac:dyDescent="0.2"/>
    <row r="139" s="3" customFormat="1" x14ac:dyDescent="0.2"/>
    <row r="140" s="3" customFormat="1" x14ac:dyDescent="0.2"/>
    <row r="141" s="3" customFormat="1" x14ac:dyDescent="0.2"/>
    <row r="142" s="3" customFormat="1" x14ac:dyDescent="0.2"/>
    <row r="143" s="3" customFormat="1" x14ac:dyDescent="0.2"/>
    <row r="144" s="3" customFormat="1" x14ac:dyDescent="0.2"/>
    <row r="145" s="3" customFormat="1" x14ac:dyDescent="0.2"/>
    <row r="146" s="3" customFormat="1" x14ac:dyDescent="0.2"/>
    <row r="147" s="3" customFormat="1" x14ac:dyDescent="0.2"/>
    <row r="148" s="3" customFormat="1" x14ac:dyDescent="0.2"/>
    <row r="149" s="3" customFormat="1" x14ac:dyDescent="0.2"/>
    <row r="150" s="3" customFormat="1" x14ac:dyDescent="0.2"/>
    <row r="151" s="3" customFormat="1" x14ac:dyDescent="0.2"/>
    <row r="152" s="3" customFormat="1" x14ac:dyDescent="0.2"/>
    <row r="153" s="3" customFormat="1" x14ac:dyDescent="0.2"/>
    <row r="154" s="3" customFormat="1" x14ac:dyDescent="0.2"/>
    <row r="155" s="3" customFormat="1" x14ac:dyDescent="0.2"/>
    <row r="156" s="3" customFormat="1" x14ac:dyDescent="0.2"/>
    <row r="157" s="3" customFormat="1" x14ac:dyDescent="0.2"/>
    <row r="158" s="3" customFormat="1" x14ac:dyDescent="0.2"/>
    <row r="159" s="3" customFormat="1" x14ac:dyDescent="0.2"/>
    <row r="160" s="3" customFormat="1" x14ac:dyDescent="0.2"/>
    <row r="161" s="3" customFormat="1" x14ac:dyDescent="0.2"/>
    <row r="162" s="3" customFormat="1" x14ac:dyDescent="0.2"/>
    <row r="163" s="3" customFormat="1" x14ac:dyDescent="0.2"/>
    <row r="164" s="3" customFormat="1" x14ac:dyDescent="0.2"/>
    <row r="165" s="3" customFormat="1" x14ac:dyDescent="0.2"/>
    <row r="166" s="3" customFormat="1" x14ac:dyDescent="0.2"/>
    <row r="167" s="3" customFormat="1" x14ac:dyDescent="0.2"/>
    <row r="168" s="3" customFormat="1" x14ac:dyDescent="0.2"/>
    <row r="169" s="3" customFormat="1" x14ac:dyDescent="0.2"/>
    <row r="170" s="3" customFormat="1" x14ac:dyDescent="0.2"/>
    <row r="171" s="3" customFormat="1" x14ac:dyDescent="0.2"/>
    <row r="172" s="3" customFormat="1" x14ac:dyDescent="0.2"/>
    <row r="173" s="3" customFormat="1" x14ac:dyDescent="0.2"/>
    <row r="174" s="3" customFormat="1" x14ac:dyDescent="0.2"/>
    <row r="175" s="3" customFormat="1" x14ac:dyDescent="0.2"/>
    <row r="176" s="3" customFormat="1" x14ac:dyDescent="0.2"/>
    <row r="177" s="3" customFormat="1" x14ac:dyDescent="0.2"/>
    <row r="178" s="3" customFormat="1" x14ac:dyDescent="0.2"/>
  </sheetData>
  <mergeCells count="13">
    <mergeCell ref="B19:C19"/>
    <mergeCell ref="B20:C20"/>
    <mergeCell ref="B21:C21"/>
    <mergeCell ref="B26:C26"/>
    <mergeCell ref="E29:F29"/>
    <mergeCell ref="B22:C22"/>
    <mergeCell ref="B23:C23"/>
    <mergeCell ref="A1:I2"/>
    <mergeCell ref="A3:I3"/>
    <mergeCell ref="C5:D5"/>
    <mergeCell ref="B8:B9"/>
    <mergeCell ref="C8:C9"/>
    <mergeCell ref="D8:D9"/>
  </mergeCells>
  <pageMargins left="0.7" right="0.7" top="0.75" bottom="0.75" header="0.3" footer="0.3"/>
  <pageSetup orientation="portrait" horizontalDpi="4294967295" verticalDpi="4294967295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ENTRADA_MENOR</vt:lpstr>
      <vt:lpstr>PLANTILLA_MCVA_LIC</vt:lpstr>
      <vt:lpstr>PLANTILLA_MG_LIC </vt:lpstr>
      <vt:lpstr>PLANTILLA_MAB_LIC</vt:lpstr>
      <vt:lpstr>PLANTILLA_MV_</vt:lpstr>
      <vt:lpstr>ENTRADA_MENOR_CUANTIA</vt:lpstr>
      <vt:lpstr>PLANTILLA_MAB_MC</vt:lpstr>
      <vt:lpstr>PLANTILLA_MV_MC</vt:lpstr>
      <vt:lpstr>RESULTADOS</vt:lpstr>
      <vt:lpstr>Fórmula 3 Media Arit Alta</vt:lpstr>
      <vt:lpstr>ENTRADA_MENOR!Área_de_impresión</vt:lpstr>
      <vt:lpstr>ENTRADA_MENOR_CUANTIA!Área_de_impresión</vt:lpstr>
      <vt:lpstr>PLANTILLA_MAB_LIC!Área_de_impresión</vt:lpstr>
      <vt:lpstr>PLANTILLA_MAB_MC!Área_de_impresión</vt:lpstr>
      <vt:lpstr>PLANTILLA_MCVA_LIC!Área_de_impresión</vt:lpstr>
      <vt:lpstr>'PLANTILLA_MG_LIC '!Área_de_impresión</vt:lpstr>
      <vt:lpstr>PLANTILLA_MV_!Área_de_impresión</vt:lpstr>
      <vt:lpstr>PLANTILLA_MV_MC!Área_de_impresión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Corporation</dc:creator>
  <cp:keywords/>
  <dc:description/>
  <cp:lastModifiedBy>Torres Pavas Betty Johana</cp:lastModifiedBy>
  <cp:revision/>
  <dcterms:created xsi:type="dcterms:W3CDTF">1996-11-27T10:00:04Z</dcterms:created>
  <dcterms:modified xsi:type="dcterms:W3CDTF">2024-08-15T20:30:24Z</dcterms:modified>
  <cp:category/>
  <cp:contentStatus/>
</cp:coreProperties>
</file>