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https://mintransporte-my.sharepoint.com/personal/janarvaez_mintransporte_gov_co/Documents/Documentos/Julia Andrea Narvaez Toro/GABS 2024/Evaluaciones 2024/04. Aires/"/>
    </mc:Choice>
  </mc:AlternateContent>
  <xr:revisionPtr revIDLastSave="13" documentId="11_A57FE991B8201094B774DB95F3336D3B387A426C" xr6:coauthVersionLast="47" xr6:coauthVersionMax="47" xr10:uidLastSave="{BAF0352A-EDB4-481B-AFCB-BE7CFAD0A6E2}"/>
  <bookViews>
    <workbookView xWindow="-120" yWindow="-120" windowWidth="29040" windowHeight="15840" tabRatio="876" xr2:uid="{00000000-000D-0000-FFFF-FFFF00000000}"/>
  </bookViews>
  <sheets>
    <sheet name="CONSOLIDADO" sheetId="19" r:id="rId1"/>
    <sheet name="REFRICESAR ING" sheetId="15" r:id="rId2"/>
    <sheet name="HIDRAULIC &amp; ENVIROMENTAL DESIGN" sheetId="20" r:id="rId3"/>
    <sheet name="MULTISISTEMAS MD" sheetId="21" r:id="rId4"/>
    <sheet name="APICOM S.A.S" sheetId="22" r:id="rId5"/>
    <sheet name="INPAME S.A.S" sheetId="23" r:id="rId6"/>
    <sheet name="Ponderables" sheetId="5" state="hidden" r:id="rId7"/>
    <sheet name="SMMLV" sheetId="2" state="hidden" r:id="rId8"/>
    <sheet name="Experiencia (2)" sheetId="11" state="hidden" r:id="rId9"/>
  </sheets>
  <definedNames>
    <definedName name="_xlnm.Print_Area" localSheetId="8">'Experiencia (2)'!$B$2:$Z$30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7" i="23" l="1"/>
  <c r="O27" i="23"/>
  <c r="R27" i="23" s="1"/>
  <c r="S27" i="23" s="1"/>
  <c r="P26" i="23"/>
  <c r="O26" i="23"/>
  <c r="R26" i="23" s="1"/>
  <c r="S26" i="23" s="1"/>
  <c r="D17" i="23"/>
  <c r="D13" i="23"/>
  <c r="P27" i="22"/>
  <c r="O27" i="22"/>
  <c r="R27" i="22" s="1"/>
  <c r="S27" i="22" s="1"/>
  <c r="P26" i="22"/>
  <c r="O26" i="22"/>
  <c r="R26" i="22" s="1"/>
  <c r="S26" i="22" s="1"/>
  <c r="D17" i="22"/>
  <c r="D13" i="22"/>
  <c r="P27" i="21"/>
  <c r="O27" i="21"/>
  <c r="R27" i="21" s="1"/>
  <c r="S27" i="21" s="1"/>
  <c r="P26" i="21"/>
  <c r="O26" i="21"/>
  <c r="R26" i="21" s="1"/>
  <c r="S26" i="21" s="1"/>
  <c r="D17" i="21"/>
  <c r="D13" i="21"/>
  <c r="P26" i="20"/>
  <c r="O26" i="20"/>
  <c r="R26" i="20" s="1"/>
  <c r="S26" i="20" s="1"/>
  <c r="D17" i="20"/>
  <c r="D13" i="20"/>
  <c r="D17" i="15"/>
  <c r="D14" i="23" l="1"/>
  <c r="E14" i="23" s="1"/>
  <c r="D14" i="22"/>
  <c r="E14" i="22" s="1"/>
  <c r="D14" i="21"/>
  <c r="E14" i="21" s="1"/>
  <c r="D14" i="20"/>
  <c r="E14" i="20" s="1"/>
  <c r="O28" i="15"/>
  <c r="R28" i="15" s="1"/>
  <c r="S28" i="15" s="1"/>
  <c r="P28" i="15"/>
  <c r="P26" i="15"/>
  <c r="O27" i="15"/>
  <c r="R27" i="15" s="1"/>
  <c r="S27" i="15" s="1"/>
  <c r="P27" i="15"/>
  <c r="O26" i="15"/>
  <c r="R26" i="15" s="1"/>
  <c r="D13" i="15"/>
  <c r="S26" i="15" l="1"/>
  <c r="P30" i="11"/>
  <c r="O30" i="11"/>
  <c r="R30" i="11" s="1"/>
  <c r="S30" i="11" s="1"/>
  <c r="P29" i="11"/>
  <c r="O29" i="11"/>
  <c r="R29" i="11" s="1"/>
  <c r="S29" i="11" s="1"/>
  <c r="P28" i="11"/>
  <c r="O28" i="11"/>
  <c r="R28" i="11" s="1"/>
  <c r="S28" i="11" s="1"/>
  <c r="D20" i="11"/>
  <c r="F19" i="11"/>
  <c r="F18" i="11"/>
  <c r="F17" i="11"/>
  <c r="F20" i="11" s="1"/>
  <c r="D14" i="11" s="1"/>
  <c r="E14" i="11" s="1"/>
  <c r="D13" i="11"/>
  <c r="B49" i="2"/>
  <c r="D14" i="15" l="1"/>
  <c r="E14" i="15" s="1"/>
  <c r="G30" i="5"/>
  <c r="G32" i="5" l="1"/>
  <c r="G36" i="5" s="1"/>
  <c r="B48" i="2" l="1"/>
  <c r="B47" i="2" l="1"/>
  <c r="B46" i="2"/>
  <c r="B45" i="2"/>
  <c r="B44" i="2"/>
</calcChain>
</file>

<file path=xl/sharedStrings.xml><?xml version="1.0" encoding="utf-8"?>
<sst xmlns="http://schemas.openxmlformats.org/spreadsheetml/2006/main" count="622" uniqueCount="189">
  <si>
    <t>Salario mínimo legal en Colombia</t>
  </si>
  <si>
    <t>1.1.1. Serie histórica en pesos colombianos_periodicidad anual</t>
  </si>
  <si>
    <t/>
  </si>
  <si>
    <t>Información disponible desde el 1 de julio de 1984.</t>
  </si>
  <si>
    <t>Año</t>
  </si>
  <si>
    <t>Salario mínimo diario</t>
  </si>
  <si>
    <t>Salario mínimo mensual</t>
  </si>
  <si>
    <r>
      <rPr>
        <b/>
        <sz val="9"/>
        <color indexed="8"/>
        <rFont val="Helvetica"/>
        <family val="2"/>
      </rPr>
      <t xml:space="preserve">Fuente: </t>
    </r>
    <r>
      <rPr>
        <sz val="9"/>
        <color indexed="8"/>
        <rFont val="Helvetica"/>
        <family val="2"/>
      </rPr>
      <t>Ministerio del Trabajo (</t>
    </r>
    <r>
      <rPr>
        <u/>
        <sz val="9"/>
        <color indexed="12"/>
        <rFont val="Helvetica"/>
        <family val="2"/>
      </rPr>
      <t>www.mintrabajo.gov.co</t>
    </r>
    <r>
      <rPr>
        <sz val="9"/>
        <color indexed="8"/>
        <rFont val="Helvetica"/>
        <family val="2"/>
      </rPr>
      <t>) y decretos del Gobierno Nacional (</t>
    </r>
    <r>
      <rPr>
        <u/>
        <sz val="9"/>
        <color indexed="12"/>
        <rFont val="Helvetica"/>
        <family val="2"/>
      </rPr>
      <t>www.presidencia.gov.co</t>
    </r>
    <r>
      <rPr>
        <sz val="9"/>
        <color indexed="8"/>
        <rFont val="Helvetica"/>
        <family val="2"/>
      </rPr>
      <t>).</t>
    </r>
  </si>
  <si>
    <r>
      <rPr>
        <sz val="9"/>
        <color indexed="8"/>
        <rFont val="Helvetica"/>
        <family val="2"/>
      </rPr>
      <t xml:space="preserve"> </t>
    </r>
    <r>
      <rPr>
        <b/>
        <sz val="9"/>
        <color indexed="8"/>
        <rFont val="Helvetica"/>
        <family val="2"/>
      </rPr>
      <t xml:space="preserve">Nota: </t>
    </r>
    <r>
      <rPr>
        <sz val="9"/>
        <color indexed="8"/>
        <rFont val="Helvetica"/>
        <family val="2"/>
      </rPr>
      <t xml:space="preserve"> desde el 1 de julio de 1984 se unificó el salario mínimo para todos los sectores de la economía.</t>
    </r>
  </si>
  <si>
    <t xml:space="preserve">AÑO ACTUAL </t>
  </si>
  <si>
    <t>Fecha del Cierre del Proceso</t>
  </si>
  <si>
    <t xml:space="preserve">No. </t>
  </si>
  <si>
    <t>Entidad Contratante</t>
  </si>
  <si>
    <t>Objeto</t>
  </si>
  <si>
    <t>SMMLV RUP</t>
  </si>
  <si>
    <t>Fecha de Terminacion</t>
  </si>
  <si>
    <t>No contrato</t>
  </si>
  <si>
    <t>OBSERVACIONES</t>
  </si>
  <si>
    <t xml:space="preserve">Nombre del Proponente </t>
  </si>
  <si>
    <t>CUMPLE</t>
  </si>
  <si>
    <t>46171600</t>
  </si>
  <si>
    <t>92121500</t>
  </si>
  <si>
    <t>92121700</t>
  </si>
  <si>
    <t>CÓDIGOS DE CLASIFICACIÓN UNSPSC</t>
  </si>
  <si>
    <t>Integrantes</t>
  </si>
  <si>
    <t>% de Participación</t>
  </si>
  <si>
    <t>Mayor Experiencia del integrante  con participación minima del 50%</t>
  </si>
  <si>
    <t>Fecha de Inicio</t>
  </si>
  <si>
    <t>Certificación / Acta de Liquidación</t>
  </si>
  <si>
    <t>Experiencia Aportada</t>
  </si>
  <si>
    <t>No. Contratos Aportados</t>
  </si>
  <si>
    <t>Presupuesto oficial estimado (SMMLV)</t>
  </si>
  <si>
    <t>X</t>
  </si>
  <si>
    <t>APORTA FORMATO DE RELACIÓN DE EXPERIENCIA</t>
  </si>
  <si>
    <t>LICITACIÓN PÚBLICA No. LP-008-2023</t>
  </si>
  <si>
    <t>OBJETO: Prestación del servicio integral de vigilancia, guarda, custodia y seguridad privada en la modalidad fija y móvil, con y sin arma de fuego con medios de apoyo tecnológicos, para los bienes muebles e inmuebles del ministerio de transporte a nivel nacional y de todos aquellos por los cuales llegase a ser legalmente responsable.</t>
  </si>
  <si>
    <t>Presupuesto oficial estimado (POE)</t>
  </si>
  <si>
    <t>Numeral Pliego</t>
  </si>
  <si>
    <t>4.2</t>
  </si>
  <si>
    <t>Factor de Evaluaciòn</t>
  </si>
  <si>
    <t>GERENTE DE PROYECTO (14 puntos)</t>
  </si>
  <si>
    <t>Requisitos</t>
  </si>
  <si>
    <t>Acredita</t>
  </si>
  <si>
    <t>Puntaje</t>
  </si>
  <si>
    <t>Hoja de Vida, acompañada de documento de compromiso que realiza el proponente frente al personal que propone, la aceptación por parte del personal propuesto y la aceptación de publicación de sus hojas de vida y soportes en el expediente virtual secop ii.</t>
  </si>
  <si>
    <t>Copia de la cedula de ciudadanía</t>
  </si>
  <si>
    <t>Certificado de vigencia de la matricula profesional -Cuando Aplique</t>
  </si>
  <si>
    <t>CRITERIOS DE EVALUACIÓN DE LAS PROPUESTAS</t>
  </si>
  <si>
    <t>Observaciones</t>
  </si>
  <si>
    <t>COORDINADOR DE MEDIOS TECNOLOGICOS (10 puntos)</t>
  </si>
  <si>
    <t>Experiencia en manejo de medios tecnológicos en empresas de vigilancia y seguridad privada  no menor a tres (3) años</t>
  </si>
  <si>
    <t>SUCURSALES O AGENCIAS ADICIONALES (9 puntos)</t>
  </si>
  <si>
    <t>4.3</t>
  </si>
  <si>
    <t>APOYO A LA INDUSTRIA NACIONAL (10 PUNTOS)</t>
  </si>
  <si>
    <t>• Promoción en procesos cuyo objeto solo incluye servicios nacionales, y 
• Vincular el porcentaje mínimo establecido por el Ministerio de transporte que para el presente proceso equivaldrá al 40% del total de los empleados y contratistas por prestación de servicios colombianos asociados al cumplimiento del contrato.</t>
  </si>
  <si>
    <t>4.4</t>
  </si>
  <si>
    <t>TRABAJADORES EN CONDICION DE DISCAPACIDAD (1 PUNTO)</t>
  </si>
  <si>
    <t>4.5</t>
  </si>
  <si>
    <t>EMPRENDIMIENTOS Y EMPRESA DE MUJERES (0,25 PUNTOS) E INCENTIVOS MIPYME (0,25 PUNTOS)</t>
  </si>
  <si>
    <t>INCENTIVO PARA EMPRENDIMIENTO Y EMPRESAS DE MUJERES</t>
  </si>
  <si>
    <t>INCENTIVO MIPYMES</t>
  </si>
  <si>
    <t>4.6</t>
  </si>
  <si>
    <t>(0,5%) se le otorgará al proponente o los proponentes que acrediten el mayor porcentaje de mujeres vinculadas dentro de su personal operativo</t>
  </si>
  <si>
    <t>(0,5%) se le otorgará al proponente o los proponentes que acrediten el mayor número de mujeres vinculadas dentro de su personal operativo</t>
  </si>
  <si>
    <t>El cero punto cinco por ciento (0,5%) se le otorgará al proponente o los proponentes que acrediten el mayor porcentaje de personas mayores de 45 años vinculadas dentro de su personal operativo</t>
  </si>
  <si>
    <t>(0,5%) se le otorgará al proponente o los proponentes que acrediten mayor número de personas mayores de 45 años vinculadas dentro de su personal operativo</t>
  </si>
  <si>
    <t>El cero punto cinco por ciento (0,5%) se le otorgará al proponente o los proponentes que acrediten el mayor porcentaje de personas con discapacidad vinculadas dentro de su personal operativo</t>
  </si>
  <si>
    <t>El cero punto cinco por ciento (0,5%) se le otorgará al proponente o los proponentes que acrediten mayor número de personas con discapacidad vinculadas dentro de su personal operativo</t>
  </si>
  <si>
    <t>PUNTAJE ADICIONAL Decreto 1279 (3 Puntos)</t>
  </si>
  <si>
    <t>TOTAL PUNTAJE SIN OFERTA ECONOMICA</t>
  </si>
  <si>
    <t>PUNTAJE TOTAL DE LA OFERTA ECONOMICA</t>
  </si>
  <si>
    <t>TOTAL PUNTAJE PROPONENTE</t>
  </si>
  <si>
    <t>DESCUENTO DE PUNTAJE</t>
  </si>
  <si>
    <t>TOTAL PUNTAJE FINAL DEL PROPONENTE</t>
  </si>
  <si>
    <t>Valor Total Ejecutado del Contrato ($)</t>
  </si>
  <si>
    <t>SMMLV AÑO DE TERMINACIÓN</t>
  </si>
  <si>
    <t>Valor Total Ejecutado del Contrato expresado en SMMLV</t>
  </si>
  <si>
    <t>Año de Terminación</t>
  </si>
  <si>
    <t>100% del POE  (EXPERIENCIA ACREDITADA)</t>
  </si>
  <si>
    <t>RESULTADO EVALUACIÓN</t>
  </si>
  <si>
    <t>Seguridad privada en la modalidad fija y móvil, con y sin arma de fuego, con medios de apoyo tecnológicos</t>
  </si>
  <si>
    <t>1 Contrato con Prestación de los servicios en mínimo 8 departamentos</t>
  </si>
  <si>
    <t>EXPERIENCIA</t>
  </si>
  <si>
    <t>Contratista o Integrante que aporta experiencia</t>
  </si>
  <si>
    <t>Indivicual / Consorcio / UT</t>
  </si>
  <si>
    <t>% de Participacion</t>
  </si>
  <si>
    <t># Consecutivo RUP</t>
  </si>
  <si>
    <t>Total SMMLV * % Participación (RUP)</t>
  </si>
  <si>
    <t>Cumple / No Cumple</t>
  </si>
  <si>
    <t>Especialización o Maestría en Seguridad o seguridad integral o Administración de la Seguridad o Seguridad y Defensa Nacional o seguridad pública (acta de grado y/o diploma)</t>
  </si>
  <si>
    <t>Título universitario cuyo NBC se encuentre clasificado en Ingeniería electrónica o, telecomunicaciones y afines o Ingeniería de sistemas, telemática y afines (Diploma o Acta de Grado)</t>
  </si>
  <si>
    <t>Sucursales o Agencias Adicionales en ciudades donde se prestara el servicio de vigilancia humana</t>
  </si>
  <si>
    <t xml:space="preserve">COBERTURA DIRECTA DEL RIESGO (7,5 puntos) </t>
  </si>
  <si>
    <t>• Certificaciòn del número total de trabajadores 
vinculados a la planta de personal del proponente o sus integrantes a la fecha de cierre del proceso de selección.
• Certificado expedido por el Ministerio del Trabajo, el cual deberá́ estar vigente a la fecha de cierre del proceso de selección</t>
  </si>
  <si>
    <t xml:space="preserve">Credencial o Resolución de Consultor vigente expedido por la Superintendencia de Vigilancia y Seguridad Privada. </t>
  </si>
  <si>
    <t>Credencial o Resolución de Consultor vigente expedido por la Superintendencia de Vigilancia y Seguridad Privada.</t>
  </si>
  <si>
    <t>Vinculado con el Proponente o integrante durante los últimos 3 meses - Certificaciòn laboral y Planilla de Seguridad Social</t>
  </si>
  <si>
    <t>El proponente además del ofrecimiento de la cobertura deberá hacer la manifestación expresa de reponer o reparar el bien perdido o dañado, por otro de las mismas características, en un término no superior a treinta (30) días calendario, contados a partir del aviso. Vencido dicho plazo el Ministerio está autorizado para descontar los valores de las pérdidas, de las sumas que se paguen mensualmente al contratista.</t>
  </si>
  <si>
    <t>Documento de 
asociación</t>
  </si>
  <si>
    <t>EVALUACIÓN TÉCNICA</t>
  </si>
  <si>
    <t>DILIGENCIAMIENTO DE LA CARTA DE PRESENTACIÒN DE LA PROPUESTA</t>
  </si>
  <si>
    <t>DILIGENCIAMIENTO REQUISITOS TECNICOS MINIMOS REQUERIDOS (ANEXO NO. 1)</t>
  </si>
  <si>
    <t>LICITACIÓN PÚBLICA No. LP-003-2024</t>
  </si>
  <si>
    <t>OBJETO: SUMINISTRO E INSTALACIÓN DE ESTANTERÍA PESADA PARA ARCHIVOS DEL MINISTERIO DE TRANSPORTE A NIVEL NACIONAL.</t>
  </si>
  <si>
    <t>APORTA DOCUMENTO</t>
  </si>
  <si>
    <t>ARCHIVOS Y CARPETAS DE COLOMBIA SAS</t>
  </si>
  <si>
    <t>FORMATO No. 6 RELACIÓN DE EXPERIENCIA INSCRITA EN EL RUP</t>
  </si>
  <si>
    <t>RESULTADO
CUMPLE / NO CUMPLE</t>
  </si>
  <si>
    <t>PROPONENTE</t>
  </si>
  <si>
    <t>ANEXO TECNICO</t>
  </si>
  <si>
    <t>RESULTADO</t>
  </si>
  <si>
    <t>Ver Hoja de Evaluación Detallada</t>
  </si>
  <si>
    <t>CARTA DE PRESENTACIÓN</t>
  </si>
  <si>
    <t>CONSOLIDADO EVALUACIÓN TECNICA</t>
  </si>
  <si>
    <t>72101500</t>
  </si>
  <si>
    <t>40101700</t>
  </si>
  <si>
    <t>72151200</t>
  </si>
  <si>
    <t>72151800</t>
  </si>
  <si>
    <t>Servicios de mantenimiento correctivo de aires acondicionados</t>
  </si>
  <si>
    <t>Servicios de mantenimiento preventivo de aires acondicionados</t>
  </si>
  <si>
    <t>Suministro e instalación de aires acondicionados</t>
  </si>
  <si>
    <t>Suministro e instalación mediante bolsa de repuestos</t>
  </si>
  <si>
    <t>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t>
  </si>
  <si>
    <t>PROCESO: SELECCIÓN ABREVIADA DE MENOR CUANTÍA No. SAMC-028-2024</t>
  </si>
  <si>
    <t>SELECCIÓN ABREVIADA DE MENOR CUANTÍA No. SAMC-028-2024</t>
  </si>
  <si>
    <t>OBJETO: MANTENIMIENTO PREVENTIVO, CORRECTIVO, BOLSA DE REPUESTOS Y COMPRA DE EQUIPOS AIRE ACONDICIONADO PARA LAS SEDES DEL MINISTERIO A NIVEL NACIONAL</t>
  </si>
  <si>
    <t>REFRICESAR INGENIERIA</t>
  </si>
  <si>
    <t>DILIGENCIAMIENTO REQUISITOS TECNICOS MINIMOS REQUERIDOS (ANEXO NO. 2)</t>
  </si>
  <si>
    <t>SE ANEXA</t>
  </si>
  <si>
    <t>MIGRACION COLOMBIA</t>
  </si>
  <si>
    <t>RAMA JUDICIAL</t>
  </si>
  <si>
    <t>SERVICIOS BOLIVAR FACILITIES SAS</t>
  </si>
  <si>
    <t>REFRICESAR SAS</t>
  </si>
  <si>
    <t>N 168-2023</t>
  </si>
  <si>
    <t>CO1.PCCNTR 995522 DEL 7/06/2019 EDC 1</t>
  </si>
  <si>
    <t>11000OFC ORPDV278</t>
  </si>
  <si>
    <t>ADQUISICION DE AIRES ACONDICIONADOS PARA LAS
DIFERENTES SEDES DE MIGRACION COLOMBIA A NIVEL
NACIONAL.</t>
  </si>
  <si>
    <t>CERTIFICACION</t>
  </si>
  <si>
    <t>I</t>
  </si>
  <si>
    <t>N/A</t>
  </si>
  <si>
    <t>Prestar el servicios de mantenimiento preventivo y correctivo de equipos
acondicionadores de aire (tipo central, mini split y de ventana) que se
encuentran ubicados en las diferentes dependencias y despachos
judiciales de la Rama Judicial del Departamento del Cesar, adscritos a
la Dirección Ejecutiva Seccional de Administración Judicial de
Valledupar.</t>
  </si>
  <si>
    <t>CERTIFICACION
ACTA DE SERVICIO
ORDEN DE TRABAJO</t>
  </si>
  <si>
    <t>NO CUMPLE</t>
  </si>
  <si>
    <t>REVISAR OBSERVACIONES</t>
  </si>
  <si>
    <t>HIDRAULIC &amp; ENVIROMENTAL DESIGN</t>
  </si>
  <si>
    <t>DESCA</t>
  </si>
  <si>
    <t>H&amp;E SAS</t>
  </si>
  <si>
    <t>MULTISISTEMAS MD</t>
  </si>
  <si>
    <t>FISCALIA GENERAL DE LA NACION</t>
  </si>
  <si>
    <t>MARINO DUARTE SILVA</t>
  </si>
  <si>
    <t>005 DE 2018</t>
  </si>
  <si>
    <t>005 DE 2019</t>
  </si>
  <si>
    <t>Mantenimiento preventivo y correctivo a todo costo (incluido repuestos, mano de obra, técnica, civil y eléctrica, así como todos los trabajos que sean necesarios para la puesta en funcionamiento para los equipos de aire acondicionado al servicio de la Fiscalía General de la Nación - Subdirección Regional de Apoyo del Pacífico.</t>
  </si>
  <si>
    <t>CERTIFICA</t>
  </si>
  <si>
    <t>Mantenimiento preventivo, correctivo, instalación y desinstalación a todo costo (incluidos repuestos, mano de obra, técnica, civil, eléctrica y mecánica así como todos los trabajos que sean necesarios para la puesta en funcionamiento) para los equipos de aire acondicionado al servicio de la Fiscalía General de la Nación - Subdirección Regional de Apoyo del Pacífico.</t>
  </si>
  <si>
    <t>APICOM S.A.S</t>
  </si>
  <si>
    <t>EMTEL ESP</t>
  </si>
  <si>
    <t>UNION TEMPORTAL TAYRONA</t>
  </si>
  <si>
    <t>037 DE 2020</t>
  </si>
  <si>
    <t>059 DE 2019</t>
  </si>
  <si>
    <t>UT</t>
  </si>
  <si>
    <t>EL CONTRATISTA S OBLIGA CON LA EMPRESA DE TELECOMUNICACIONES DE POPAYAN SA EMTEL ESP, A PRESTAR LOS SERVICIOS DE ADMINISTRACION CENTRO DE COMPUTO, INFRAESTRUCTURA CENTRO DE COMPUTO ALTERNO (CCA), SERVICIO DE ADMINISTRACION DE INFRAESTRUCTURA DE CENTROS DE DATOS, SERVICIOS DE MESA DE AYUDA TECNOLOGICA, SERVICIOS DE SOPORTE, ADMINISTRACION Y MANTENIMIENTO DE NIVEL I, II, III DEL SISTEMA DE INFORMACION REGISTRAL - SIR, SERVICIO DE VOZ IP Y VIDEOCONFERENCIA PARA LA SUPERINTENDENCIA DE NOTARIADO Y REGISTRO - SNR</t>
  </si>
  <si>
    <t>PROVEER EL SERVICIO DE MANTENIMIENTO Y SOPROTE PARA LA INFRAESTRUCTURA DE PLANTAS ELECTRICAS Y UPS, SERVICIOS DE ADMINISTRACION Y SOPORTE PARA SERVIDORES DE ALTA DISPONIBILIDAD EXALOGIC Y ALMACENAMIENTO SERVICIO DE ADMINISTRACION, INCLUIDO EL SERVICIO DECOLACION EN CENTRO DE COMPUTO, ADIMINISTRACION, SOPORTE Y MANTENIMIENTO DEL SISTEMA DE INFORMACION REGISTRAL (SIR), SERVICIOS DE MESA TECNOLOGICA, SERVICIOS DE VOZ IP Y VIDEOCONFERENCIA Y DEMAS SERVICIOS TECNOLOGICOS REQEURIDOS POR LA ENTIDAD. EL CONTRATISTA DEBERA HCER ENTREGA DE LOS EQUIPOS UICADOS EN UN CENTRO DE COMPUTO ALTERNO Y DE LOS ENTREGABLES ACORDADOS A QUIEN LA OFICINA TECNOLOGICA DE LA INFORMACION (OTI) DESIGNE EN LA SUPERINTENDENCIA DE NOTARIADO Y REGISTRO</t>
  </si>
  <si>
    <t>INPAME S.A.S</t>
  </si>
  <si>
    <t>DEPARTAMENTO PARA LA PROSPERIDAD DPS</t>
  </si>
  <si>
    <t>MINISTERIO DE TRANSPORTE</t>
  </si>
  <si>
    <t>CONSORCIO TERMOINCA</t>
  </si>
  <si>
    <t>INPAME SAS</t>
  </si>
  <si>
    <t>829-2016</t>
  </si>
  <si>
    <t>630-2020</t>
  </si>
  <si>
    <t>C</t>
  </si>
  <si>
    <t>PRESATR EL SERVICIO DE MANTENIMIENTO PREVENTIVO Y CORRECTIVO ASI COMO EL SUMINISTRO DE MATERIALES, EQUIPOS, PARTES Y REPUESTOS PARA LOS EQUIPOS DE AIRE ACONDICONADO DEL DEPARTAMENTO ADMINISTRATIVO PARA LA PROSPERIDAD SOCIAL - PROSPERIDAD SOCIAL, EN LAS SEDES DEL NIVEL CENTRAL Y EN LAS DIRECCIONES REGIONALES A NIVEL NACIONAL</t>
  </si>
  <si>
    <t>2 ACREDITADAS</t>
  </si>
  <si>
    <t>3 ACREDITADAS</t>
  </si>
  <si>
    <t>Adquisición de equipos de aire acondicionado para las sedes del Ministerio de Transporte a nivel nacional, incluye instalación y puesta en funcionamiento. grupos 2, 3 y 4 zonas atlántica, centro y oriente, y llanos orientales y amazonia, respectivamente.</t>
  </si>
  <si>
    <t>4 ACREDITADAS</t>
  </si>
  <si>
    <t xml:space="preserve">No se incluye documentacion en donde se evidencien las actividades exigidas en el pliego de condiciones, motivo por el cual el proponente debera tener en cuenta lo establecido en el pliego de condiciones el cual reza:
NOTA 1: En caso de presentar certificaciones de experiencia en donde se ejecutaron actividades distintas a las solicitadas, se tendrá en cuenta únicamente el valor de las actividades requeridas para acreditar la experiencia indicada en la(s) viñeta(s) I, II, III y IV para lo cual el proponente deberá anexar documento expedido por la entidad contratante donde se evidencie los valores de las actividades, con el fin de establecer el valor de las actividades a acreditar.
No se incluye documentio de asociacion de la Union Temporal.
Por lo anterior el proponente debe subsanar. </t>
  </si>
  <si>
    <t>EL DOCUMENTO ANEXO NO SE ENCUENTRO BAJO LA GRAVEDAD DE JURAMENTO. COMO SE EXIGE EN EL PLIEGO DE CONDICIONES</t>
  </si>
  <si>
    <r>
      <t xml:space="preserve">CRITERIOS DE SOSTENIBILIDAD AMBIENTAL
</t>
    </r>
    <r>
      <rPr>
        <sz val="11"/>
        <color theme="0"/>
        <rFont val="Calibri"/>
        <family val="2"/>
        <scheme val="minor"/>
      </rPr>
      <t xml:space="preserve">El proponente deberá anexar </t>
    </r>
    <r>
      <rPr>
        <b/>
        <sz val="11"/>
        <color theme="0"/>
        <rFont val="Calibri"/>
        <family val="2"/>
        <scheme val="minor"/>
      </rPr>
      <t>declaración juramentada</t>
    </r>
    <r>
      <rPr>
        <sz val="11"/>
        <color theme="0"/>
        <rFont val="Calibri"/>
        <family val="2"/>
        <scheme val="minor"/>
      </rPr>
      <t xml:space="preserve"> firmada por el representante legal, en la que se compromete con lo siguiente:
a. Asegurar la gestión adecuada de los residuos (ordinarios, orgánicos, aprovechables, y peligrosos) generados durante la ejecución del contrato. De acuerdo con las medidas establecidas en la resolución 2184 de 2019, la ley 1672 de 2013 y Decreto 1076 de 2015, o la normativa que lo sustituya.
b. Acogerse a las buenas prácticas ambientales establecidas en el Ministerio de Transporte.</t>
    </r>
  </si>
  <si>
    <t>Mantenimiento preventivo y/o correctivo con suministros de repuestos, accesorios e insumos nuevos y originales, para los equipos de aire acondicionado y ventilación mecánica en las sedes de Medellín y Cali.</t>
  </si>
  <si>
    <r>
      <t xml:space="preserve">No se incluye el numero de contrato de la certifiacion adjutna.
El proponente no cumple con minimo 3 actividades exigidas en experiencia tal como es exigido en el pliego de condiciones, motivo por el cual el proponente debera tener en cuenta lo establecido en el pliego de condiciones el cual reza:
</t>
    </r>
    <r>
      <rPr>
        <i/>
        <sz val="11"/>
        <color rgb="FFFF0000"/>
        <rFont val="Calibri"/>
        <family val="2"/>
        <scheme val="minor"/>
      </rPr>
      <t>"Que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Si bien es cierto, el contrato cumple con dos actividades, en conjunto con el otro contrato aprotado no cumple con el minimo de las 3 actvidades.</t>
    </r>
    <r>
      <rPr>
        <sz val="11"/>
        <color rgb="FFFF0000"/>
        <rFont val="Calibri"/>
        <family val="2"/>
        <scheme val="minor"/>
      </rPr>
      <t xml:space="preserve">
Por lo anterior el proponente debe subsanar. </t>
    </r>
  </si>
  <si>
    <t xml:space="preserve">El objeto de contrato hace referencia a la adquision de aires acondiconados, pero no hace referencia a la instalacion, tal cual como se pide en el pliego de condiciones:
"Que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Por lo anterior el proponente debe subsanar. </t>
  </si>
  <si>
    <t xml:space="preserve">El proponente no cumple con minimo 3 actividades exigidas en experiencia tal como es exigido en el pliego de condiciones, motivo por el cual el proponente debera tener en cuenta lo establecido en el pliego de condiciones el cual reza:
"Que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Si bien es cierto, el contrato cumple con dos actividades, en conjunto con el otro contrato aprotado no cumple con el minimo de las 3 actvidades.
Por lo anterior el proponente debe subsanar. </t>
  </si>
  <si>
    <t>Servicios de mantenimiento y atención de emergencias de equipos de aire acondicionado</t>
  </si>
  <si>
    <t>RECHAZADO</t>
  </si>
  <si>
    <t>Elaborado por: Andrea Carolina Sanchez Mnedez</t>
  </si>
  <si>
    <t>El proponente no cumple con minimo 3 actividades exigidas en experiencia tal como es exigido en el pliego de condiciones, motivo por el cual el proponente debera tener en cuenta lo establecido en el pliego de condiciones el cual reza:
"Que el objeto y/o alcance y/o las actividades ejecutadas dentro de los contratos certificados en sumatoria estén relacionados como mínimo con tres (3) de las siguientes actividades: Servicios de mantenimiento correctivo de aires acondicionados - Servicios de mantenimiento preventivo de aires acondicionados - Suministro e instalación de aires acondicionados - Suministro e instalación mediante bolsa de repuestos". 
Si bien es cierto, el contrato cumple con dos actividades, en conjunto con el otro contrato aprotado no cumple con el minimo de las 3 actvidades.
El proponente se encuentra inmerso en las causales de rechazo n. 5 y  n.8 del numeroal 4.3 CAUSALES DE RECHAZO del pliego de condiciones definitivo</t>
  </si>
  <si>
    <t>Coordinadora Encargada Grupo Bienes y Servicios</t>
  </si>
  <si>
    <t>Fecha de Verificación 12/08/2024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</si>
</sst>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6" formatCode="&quot;$&quot;\ #,##0;[Red]\-&quot;$&quot;\ #,##0"/>
    <numFmt numFmtId="8" formatCode="&quot;$&quot;\ #,##0.00;[Red]\-&quot;$&quot;\ #,##0.00"/>
    <numFmt numFmtId="43" formatCode="_-* #,##0.00_-;\-* #,##0.00_-;_-* &quot;-&quot;??_-;_-@_-"/>
    <numFmt numFmtId="164" formatCode="[$$]\ #,##0.00;\-[$$]\ #,##0.00"/>
    <numFmt numFmtId="165" formatCode="#,##0.00\ &quot;SMMLV&quot;"/>
    <numFmt numFmtId="166" formatCode="_(* #,##0.00_);_(* \(#,##0.00\);_(* &quot;-&quot;??_);_(@_)"/>
  </numFmts>
  <fonts count="28" x14ac:knownFonts="1">
    <font>
      <sz val="11"/>
      <color theme="1"/>
      <name val="Calibri"/>
      <family val="2"/>
      <scheme val="minor"/>
    </font>
    <font>
      <sz val="11"/>
      <color theme="1"/>
      <name val="Calibri"/>
      <family val="2"/>
      <scheme val="minor"/>
    </font>
    <font>
      <b/>
      <sz val="11"/>
      <color rgb="FF333399"/>
      <name val="Calibri"/>
      <family val="2"/>
    </font>
    <font>
      <sz val="11"/>
      <color rgb="FF333399"/>
      <name val="Calibri"/>
      <family val="2"/>
    </font>
    <font>
      <sz val="9"/>
      <color theme="1"/>
      <name val="Helvetica"/>
      <family val="2"/>
    </font>
    <font>
      <b/>
      <sz val="11"/>
      <color theme="1"/>
      <name val="Calibri"/>
      <family val="2"/>
    </font>
    <font>
      <b/>
      <sz val="9"/>
      <color indexed="8"/>
      <name val="Helvetica"/>
      <family val="2"/>
    </font>
    <font>
      <sz val="9"/>
      <color indexed="8"/>
      <name val="Helvetica"/>
      <family val="2"/>
    </font>
    <font>
      <u/>
      <sz val="9"/>
      <color indexed="12"/>
      <name val="Helvetica"/>
      <family val="2"/>
    </font>
    <font>
      <sz val="11"/>
      <color theme="1"/>
      <name val="Arial"/>
      <family val="2"/>
    </font>
    <font>
      <b/>
      <sz val="11"/>
      <color theme="0"/>
      <name val="Calibri"/>
      <family val="2"/>
      <scheme val="minor"/>
    </font>
    <font>
      <b/>
      <sz val="11"/>
      <color theme="1"/>
      <name val="Calibri"/>
      <family val="2"/>
      <scheme val="minor"/>
    </font>
    <font>
      <b/>
      <sz val="11"/>
      <color theme="1"/>
      <name val="Arial Narrow"/>
      <family val="2"/>
    </font>
    <font>
      <sz val="11"/>
      <name val="Calibri"/>
      <family val="2"/>
      <scheme val="minor"/>
    </font>
    <font>
      <b/>
      <sz val="11"/>
      <name val="Calibri"/>
      <family val="2"/>
      <scheme val="minor"/>
    </font>
    <font>
      <sz val="11"/>
      <color theme="1"/>
      <name val="Arial Narrow"/>
      <family val="2"/>
    </font>
    <font>
      <sz val="11"/>
      <name val="Calibri"/>
      <family val="2"/>
      <scheme val="minor"/>
    </font>
    <font>
      <sz val="11"/>
      <color rgb="FFFF0000"/>
      <name val="Calibri"/>
      <family val="2"/>
      <scheme val="minor"/>
    </font>
    <font>
      <b/>
      <sz val="11"/>
      <color rgb="FFFF0000"/>
      <name val="Calibri"/>
      <family val="2"/>
      <scheme val="minor"/>
    </font>
    <font>
      <b/>
      <sz val="10"/>
      <color theme="1"/>
      <name val="Arial Narrow"/>
      <family val="2"/>
    </font>
    <font>
      <sz val="8"/>
      <name val="Calibri"/>
      <family val="2"/>
      <scheme val="minor"/>
    </font>
    <font>
      <b/>
      <sz val="20"/>
      <name val="Arial Narrow"/>
      <family val="2"/>
    </font>
    <font>
      <b/>
      <sz val="12"/>
      <color theme="1"/>
      <name val="Arial Narrow"/>
      <family val="2"/>
    </font>
    <font>
      <sz val="10"/>
      <name val="Arial Narrow"/>
      <family val="2"/>
    </font>
    <font>
      <b/>
      <sz val="12"/>
      <name val="Arial Narrow"/>
      <family val="2"/>
    </font>
    <font>
      <i/>
      <sz val="11"/>
      <color rgb="FFFF0000"/>
      <name val="Calibri"/>
      <family val="2"/>
      <scheme val="minor"/>
    </font>
    <font>
      <sz val="11"/>
      <color theme="0"/>
      <name val="Calibri"/>
      <family val="2"/>
      <scheme val="minor"/>
    </font>
    <font>
      <sz val="10"/>
      <color rgb="FFFF0000"/>
      <name val="Arial Narrow"/>
      <family val="2"/>
    </font>
  </fonts>
  <fills count="10">
    <fill>
      <patternFill patternType="none"/>
    </fill>
    <fill>
      <patternFill patternType="gray125"/>
    </fill>
    <fill>
      <patternFill patternType="solid">
        <fgColor rgb="FFFFFFFF"/>
      </patternFill>
    </fill>
    <fill>
      <patternFill patternType="solid">
        <fgColor rgb="FFCFE0F1"/>
      </patternFill>
    </fill>
    <fill>
      <patternFill patternType="solid">
        <fgColor rgb="FFF2F5F9"/>
      </patternFill>
    </fill>
    <fill>
      <patternFill patternType="solid">
        <fgColor rgb="FFCFE0F1"/>
        <bgColor indexed="64"/>
      </patternFill>
    </fill>
    <fill>
      <patternFill patternType="solid">
        <fgColor rgb="FFFFFFFF"/>
        <bgColor indexed="64"/>
      </patternFill>
    </fill>
    <fill>
      <patternFill patternType="solid">
        <fgColor rgb="FF867EEC"/>
        <bgColor indexed="64"/>
      </patternFill>
    </fill>
    <fill>
      <patternFill patternType="solid">
        <fgColor theme="0"/>
        <bgColor indexed="64"/>
      </patternFill>
    </fill>
    <fill>
      <patternFill patternType="solid">
        <fgColor theme="9" tint="0.59999389629810485"/>
        <bgColor indexed="64"/>
      </patternFill>
    </fill>
  </fills>
  <borders count="49">
    <border>
      <left/>
      <right/>
      <top/>
      <bottom/>
      <diagonal/>
    </border>
    <border>
      <left/>
      <right/>
      <top/>
      <bottom style="thick">
        <color rgb="FFA3BED8"/>
      </bottom>
      <diagonal/>
    </border>
    <border>
      <left style="thin">
        <color rgb="FF979991"/>
      </left>
      <right/>
      <top/>
      <bottom/>
      <diagonal/>
    </border>
    <border>
      <left/>
      <right/>
      <top style="thin">
        <color rgb="FF979991"/>
      </top>
      <bottom/>
      <diagonal/>
    </border>
    <border>
      <left style="thin">
        <color rgb="FF979991"/>
      </left>
      <right/>
      <top style="thin">
        <color rgb="FF979991"/>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5">
    <xf numFmtId="0" fontId="0" fillId="0" borderId="0"/>
    <xf numFmtId="0" fontId="9" fillId="0" borderId="0"/>
    <xf numFmtId="43"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cellStyleXfs>
  <cellXfs count="200">
    <xf numFmtId="0" fontId="0" fillId="0" borderId="0" xfId="0"/>
    <xf numFmtId="0" fontId="0" fillId="0" borderId="0" xfId="0" applyAlignment="1">
      <alignment horizontal="center" vertical="top" wrapText="1"/>
    </xf>
    <xf numFmtId="0" fontId="4" fillId="0" borderId="0" xfId="0" applyFont="1" applyAlignment="1">
      <alignment horizontal="left" wrapText="1"/>
    </xf>
    <xf numFmtId="0" fontId="5" fillId="2" borderId="0" xfId="0" applyFont="1" applyFill="1" applyAlignment="1">
      <alignment horizontal="center" vertical="center" wrapText="1"/>
    </xf>
    <xf numFmtId="0" fontId="5" fillId="2" borderId="2" xfId="0" applyFont="1" applyFill="1" applyBorder="1" applyAlignment="1">
      <alignment horizontal="center" vertical="center" wrapText="1"/>
    </xf>
    <xf numFmtId="1" fontId="0" fillId="3" borderId="3" xfId="0" applyNumberFormat="1" applyFill="1" applyBorder="1" applyAlignment="1">
      <alignment horizontal="right" vertical="center" wrapText="1"/>
    </xf>
    <xf numFmtId="164" fontId="0" fillId="2" borderId="4" xfId="0" applyNumberFormat="1" applyFill="1" applyBorder="1" applyAlignment="1">
      <alignment horizontal="right" vertical="center" wrapText="1"/>
    </xf>
    <xf numFmtId="164" fontId="0" fillId="4" borderId="4" xfId="0" applyNumberFormat="1" applyFill="1" applyBorder="1" applyAlignment="1">
      <alignment horizontal="right" vertical="center" wrapText="1"/>
    </xf>
    <xf numFmtId="1" fontId="0" fillId="5" borderId="3" xfId="0" applyNumberFormat="1" applyFill="1" applyBorder="1" applyAlignment="1">
      <alignment horizontal="right" vertical="center" wrapText="1"/>
    </xf>
    <xf numFmtId="164" fontId="0" fillId="6" borderId="4" xfId="0" applyNumberFormat="1" applyFill="1" applyBorder="1" applyAlignment="1">
      <alignment horizontal="right" vertical="center" wrapText="1"/>
    </xf>
    <xf numFmtId="0" fontId="0" fillId="0" borderId="0" xfId="0" applyAlignment="1">
      <alignment horizontal="left" vertical="top" wrapText="1"/>
    </xf>
    <xf numFmtId="0" fontId="0" fillId="0" borderId="0" xfId="0" applyAlignment="1">
      <alignment vertical="center"/>
    </xf>
    <xf numFmtId="0" fontId="10" fillId="7" borderId="5" xfId="0" applyFont="1" applyFill="1" applyBorder="1" applyAlignment="1">
      <alignment horizontal="center" vertical="center" wrapText="1"/>
    </xf>
    <xf numFmtId="0" fontId="0" fillId="0" borderId="0" xfId="0" applyAlignment="1">
      <alignment vertical="center" wrapText="1"/>
    </xf>
    <xf numFmtId="0" fontId="11" fillId="9" borderId="5" xfId="0" applyFont="1" applyFill="1" applyBorder="1" applyAlignment="1">
      <alignment horizontal="center" vertical="center" wrapText="1"/>
    </xf>
    <xf numFmtId="0" fontId="0" fillId="8" borderId="0" xfId="0" applyFill="1" applyAlignment="1">
      <alignment vertical="center"/>
    </xf>
    <xf numFmtId="0" fontId="13" fillId="8" borderId="0" xfId="0" applyFont="1" applyFill="1" applyAlignment="1">
      <alignment vertical="center"/>
    </xf>
    <xf numFmtId="0" fontId="13" fillId="8" borderId="9" xfId="0" applyFont="1" applyFill="1" applyBorder="1" applyAlignment="1">
      <alignment horizontal="center" vertical="center" wrapText="1"/>
    </xf>
    <xf numFmtId="0" fontId="13" fillId="8" borderId="7" xfId="0" applyFont="1" applyFill="1" applyBorder="1" applyAlignment="1">
      <alignment horizontal="center" vertical="center" wrapText="1"/>
    </xf>
    <xf numFmtId="0" fontId="0" fillId="0" borderId="10" xfId="0" applyBorder="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justify" vertical="center" wrapText="1"/>
    </xf>
    <xf numFmtId="0" fontId="0" fillId="8" borderId="5" xfId="0" applyFill="1" applyBorder="1" applyAlignment="1">
      <alignment horizontal="center" vertical="center"/>
    </xf>
    <xf numFmtId="9" fontId="0" fillId="0" borderId="5" xfId="0" applyNumberFormat="1" applyBorder="1" applyAlignment="1">
      <alignment horizontal="center" vertical="center"/>
    </xf>
    <xf numFmtId="0" fontId="0" fillId="0" borderId="5" xfId="0" applyBorder="1" applyAlignment="1">
      <alignment horizontal="center" vertical="center"/>
    </xf>
    <xf numFmtId="4" fontId="0" fillId="8" borderId="5" xfId="0" applyNumberFormat="1" applyFill="1" applyBorder="1" applyAlignment="1">
      <alignment horizontal="center" vertical="center"/>
    </xf>
    <xf numFmtId="15" fontId="0" fillId="0" borderId="5" xfId="0" applyNumberFormat="1" applyBorder="1" applyAlignment="1">
      <alignment horizontal="center" vertical="center"/>
    </xf>
    <xf numFmtId="8" fontId="0" fillId="0" borderId="5" xfId="0" applyNumberFormat="1" applyBorder="1" applyAlignment="1">
      <alignment vertical="center"/>
    </xf>
    <xf numFmtId="4" fontId="0" fillId="0" borderId="5" xfId="0" applyNumberFormat="1" applyBorder="1" applyAlignment="1">
      <alignment horizontal="center" vertical="center"/>
    </xf>
    <xf numFmtId="0" fontId="0" fillId="0" borderId="5" xfId="0" applyBorder="1" applyAlignment="1">
      <alignment horizontal="left" vertical="center" wrapText="1"/>
    </xf>
    <xf numFmtId="0" fontId="0" fillId="0" borderId="11" xfId="0" applyBorder="1" applyAlignment="1">
      <alignment horizontal="center" vertical="center"/>
    </xf>
    <xf numFmtId="0" fontId="0" fillId="0" borderId="8" xfId="0" applyBorder="1" applyAlignment="1">
      <alignment horizontal="center" vertical="center" wrapText="1"/>
    </xf>
    <xf numFmtId="0" fontId="0" fillId="0" borderId="8" xfId="0" applyBorder="1" applyAlignment="1">
      <alignment horizontal="center" vertical="center"/>
    </xf>
    <xf numFmtId="0" fontId="0" fillId="0" borderId="8" xfId="0" applyBorder="1" applyAlignment="1">
      <alignment horizontal="justify" vertical="center" wrapText="1"/>
    </xf>
    <xf numFmtId="9" fontId="0" fillId="0" borderId="8" xfId="0" applyNumberFormat="1" applyBorder="1" applyAlignment="1">
      <alignment horizontal="center" vertical="center"/>
    </xf>
    <xf numFmtId="4" fontId="0" fillId="0" borderId="8" xfId="0" applyNumberFormat="1" applyBorder="1" applyAlignment="1">
      <alignment horizontal="center" vertical="center"/>
    </xf>
    <xf numFmtId="15" fontId="0" fillId="0" borderId="8" xfId="0" applyNumberFormat="1" applyBorder="1" applyAlignment="1">
      <alignment horizontal="center" vertical="center"/>
    </xf>
    <xf numFmtId="8" fontId="0" fillId="0" borderId="8" xfId="0" applyNumberFormat="1" applyBorder="1" applyAlignment="1">
      <alignment vertical="center"/>
    </xf>
    <xf numFmtId="0" fontId="0" fillId="0" borderId="8" xfId="0" applyBorder="1" applyAlignment="1">
      <alignment horizontal="left" vertical="center" wrapText="1"/>
    </xf>
    <xf numFmtId="0" fontId="11" fillId="9" borderId="5" xfId="0" applyFont="1" applyFill="1" applyBorder="1" applyAlignment="1">
      <alignment horizontal="center" vertical="center"/>
    </xf>
    <xf numFmtId="165" fontId="11" fillId="8" borderId="0" xfId="0" applyNumberFormat="1" applyFont="1" applyFill="1" applyAlignment="1">
      <alignment vertical="center"/>
    </xf>
    <xf numFmtId="9" fontId="11" fillId="9" borderId="5" xfId="3" applyFont="1" applyFill="1" applyBorder="1" applyAlignment="1">
      <alignment horizontal="center" vertical="center"/>
    </xf>
    <xf numFmtId="43" fontId="11" fillId="8" borderId="5" xfId="2" applyFont="1" applyFill="1" applyBorder="1" applyAlignment="1">
      <alignment vertical="center"/>
    </xf>
    <xf numFmtId="165" fontId="11" fillId="0" borderId="7" xfId="0" applyNumberFormat="1" applyFont="1" applyBorder="1" applyAlignment="1">
      <alignment vertical="center"/>
    </xf>
    <xf numFmtId="4" fontId="0" fillId="8" borderId="8" xfId="0" applyNumberFormat="1" applyFill="1" applyBorder="1" applyAlignment="1">
      <alignment horizontal="center" vertical="center"/>
    </xf>
    <xf numFmtId="0" fontId="11" fillId="0" borderId="0" xfId="0" applyFont="1" applyAlignment="1">
      <alignment horizontal="left" vertical="center" wrapText="1"/>
    </xf>
    <xf numFmtId="0" fontId="11" fillId="0" borderId="0" xfId="0" applyFont="1" applyAlignment="1">
      <alignment horizontal="center" vertical="center"/>
    </xf>
    <xf numFmtId="0" fontId="0" fillId="8" borderId="0" xfId="0" applyFill="1"/>
    <xf numFmtId="0" fontId="0" fillId="0" borderId="5" xfId="0" applyBorder="1" applyAlignment="1">
      <alignment wrapText="1"/>
    </xf>
    <xf numFmtId="0" fontId="11" fillId="8" borderId="0" xfId="0" applyFont="1" applyFill="1" applyAlignment="1">
      <alignment horizontal="left" vertical="center" wrapText="1"/>
    </xf>
    <xf numFmtId="0" fontId="0" fillId="8" borderId="5" xfId="0" applyFill="1" applyBorder="1"/>
    <xf numFmtId="0" fontId="0" fillId="8" borderId="14" xfId="0" applyFill="1" applyBorder="1"/>
    <xf numFmtId="0" fontId="0" fillId="8" borderId="15" xfId="0" applyFill="1" applyBorder="1"/>
    <xf numFmtId="0" fontId="0" fillId="8" borderId="17" xfId="0" applyFill="1" applyBorder="1"/>
    <xf numFmtId="0" fontId="0" fillId="8" borderId="19" xfId="0" applyFill="1" applyBorder="1"/>
    <xf numFmtId="0" fontId="0" fillId="8" borderId="20" xfId="0" applyFill="1" applyBorder="1"/>
    <xf numFmtId="0" fontId="0" fillId="8" borderId="8" xfId="0" applyFill="1" applyBorder="1"/>
    <xf numFmtId="0" fontId="0" fillId="8" borderId="23" xfId="0" applyFill="1" applyBorder="1"/>
    <xf numFmtId="0" fontId="15" fillId="0" borderId="14" xfId="0" applyFont="1" applyBorder="1" applyAlignment="1">
      <alignment horizontal="center" vertical="center" wrapText="1"/>
    </xf>
    <xf numFmtId="0" fontId="0" fillId="0" borderId="29" xfId="0" applyBorder="1" applyAlignment="1">
      <alignment wrapText="1"/>
    </xf>
    <xf numFmtId="0" fontId="0" fillId="8" borderId="30" xfId="0" applyFill="1" applyBorder="1"/>
    <xf numFmtId="0" fontId="0" fillId="8" borderId="31" xfId="0" applyFill="1" applyBorder="1"/>
    <xf numFmtId="0" fontId="0" fillId="0" borderId="32" xfId="0" applyBorder="1" applyAlignment="1">
      <alignment wrapText="1"/>
    </xf>
    <xf numFmtId="0" fontId="0" fillId="8" borderId="22" xfId="0" applyFill="1" applyBorder="1"/>
    <xf numFmtId="0" fontId="0" fillId="8" borderId="34" xfId="0" applyFill="1" applyBorder="1"/>
    <xf numFmtId="0" fontId="0" fillId="8" borderId="0" xfId="0" applyFill="1" applyAlignment="1">
      <alignment horizontal="left"/>
    </xf>
    <xf numFmtId="0" fontId="0" fillId="0" borderId="14" xfId="0" applyBorder="1" applyAlignment="1">
      <alignment horizontal="left" vertical="center"/>
    </xf>
    <xf numFmtId="0" fontId="0" fillId="0" borderId="8" xfId="0" applyBorder="1" applyAlignment="1">
      <alignment horizontal="left" vertical="center"/>
    </xf>
    <xf numFmtId="0" fontId="0" fillId="0" borderId="14" xfId="0" applyBorder="1" applyAlignment="1">
      <alignment wrapText="1"/>
    </xf>
    <xf numFmtId="0" fontId="11" fillId="8" borderId="33" xfId="0" applyFont="1" applyFill="1" applyBorder="1" applyAlignment="1">
      <alignment horizontal="center" vertical="center"/>
    </xf>
    <xf numFmtId="0" fontId="11" fillId="8" borderId="27" xfId="0" applyFont="1" applyFill="1" applyBorder="1" applyAlignment="1">
      <alignment horizontal="center" vertical="center"/>
    </xf>
    <xf numFmtId="0" fontId="0" fillId="0" borderId="8" xfId="0" applyBorder="1" applyAlignment="1">
      <alignment wrapText="1"/>
    </xf>
    <xf numFmtId="0" fontId="11" fillId="8" borderId="15" xfId="0" applyFont="1" applyFill="1" applyBorder="1" applyAlignment="1">
      <alignment horizontal="center" vertical="center"/>
    </xf>
    <xf numFmtId="0" fontId="11" fillId="8" borderId="20" xfId="0" applyFont="1" applyFill="1" applyBorder="1" applyAlignment="1">
      <alignment horizontal="center"/>
    </xf>
    <xf numFmtId="0" fontId="0" fillId="8" borderId="24" xfId="0" applyFill="1" applyBorder="1"/>
    <xf numFmtId="0" fontId="11" fillId="8" borderId="24" xfId="0" applyFont="1" applyFill="1" applyBorder="1" applyAlignment="1">
      <alignment horizontal="center"/>
    </xf>
    <xf numFmtId="0" fontId="0" fillId="8" borderId="14" xfId="0" applyFill="1" applyBorder="1" applyAlignment="1">
      <alignment horizontal="center" vertical="center"/>
    </xf>
    <xf numFmtId="0" fontId="0" fillId="8" borderId="30" xfId="0" applyFill="1" applyBorder="1" applyAlignment="1">
      <alignment horizontal="center" vertical="center"/>
    </xf>
    <xf numFmtId="0" fontId="0" fillId="8" borderId="22" xfId="0" applyFill="1" applyBorder="1" applyAlignment="1">
      <alignment horizontal="center" vertical="center"/>
    </xf>
    <xf numFmtId="0" fontId="0" fillId="8" borderId="8" xfId="0" applyFill="1" applyBorder="1" applyAlignment="1">
      <alignment horizontal="center" vertical="center"/>
    </xf>
    <xf numFmtId="0" fontId="0" fillId="8" borderId="17" xfId="0" applyFill="1" applyBorder="1" applyAlignment="1">
      <alignment horizontal="center"/>
    </xf>
    <xf numFmtId="4" fontId="0" fillId="0" borderId="5" xfId="0" applyNumberFormat="1" applyBorder="1" applyAlignment="1">
      <alignment vertical="center"/>
    </xf>
    <xf numFmtId="4" fontId="0" fillId="0" borderId="7" xfId="0" applyNumberFormat="1" applyBorder="1" applyAlignment="1">
      <alignment vertical="center"/>
    </xf>
    <xf numFmtId="4" fontId="0" fillId="0" borderId="8" xfId="0" applyNumberFormat="1" applyBorder="1" applyAlignment="1">
      <alignment vertical="center"/>
    </xf>
    <xf numFmtId="0" fontId="16" fillId="8" borderId="7" xfId="0" applyFont="1" applyFill="1" applyBorder="1" applyAlignment="1">
      <alignment horizontal="center" vertical="center" wrapText="1"/>
    </xf>
    <xf numFmtId="0" fontId="0" fillId="0" borderId="5" xfId="2" applyNumberFormat="1" applyFont="1" applyBorder="1" applyAlignment="1">
      <alignment horizontal="center" vertical="center"/>
    </xf>
    <xf numFmtId="43" fontId="0" fillId="0" borderId="0" xfId="2" applyFont="1" applyAlignment="1">
      <alignment vertical="center"/>
    </xf>
    <xf numFmtId="43" fontId="11" fillId="9" borderId="5" xfId="0" applyNumberFormat="1" applyFont="1" applyFill="1" applyBorder="1" applyAlignment="1">
      <alignment vertical="center"/>
    </xf>
    <xf numFmtId="0" fontId="11" fillId="0" borderId="5" xfId="0" applyFont="1" applyBorder="1" applyAlignment="1">
      <alignment horizontal="center" vertical="center"/>
    </xf>
    <xf numFmtId="165" fontId="11" fillId="0" borderId="0" xfId="0" applyNumberFormat="1" applyFont="1" applyAlignment="1">
      <alignment vertical="center"/>
    </xf>
    <xf numFmtId="165" fontId="11" fillId="0" borderId="5" xfId="0" applyNumberFormat="1" applyFont="1" applyBorder="1" applyAlignment="1">
      <alignment horizontal="center" vertical="center"/>
    </xf>
    <xf numFmtId="15" fontId="11" fillId="0" borderId="5" xfId="0" applyNumberFormat="1" applyFont="1" applyBorder="1" applyAlignment="1">
      <alignment horizontal="center" vertical="center"/>
    </xf>
    <xf numFmtId="0" fontId="0" fillId="8" borderId="7" xfId="0" applyFill="1" applyBorder="1"/>
    <xf numFmtId="0" fontId="0" fillId="8" borderId="39" xfId="0" applyFill="1" applyBorder="1"/>
    <xf numFmtId="0" fontId="14" fillId="8" borderId="6" xfId="0" applyFont="1" applyFill="1" applyBorder="1" applyAlignment="1">
      <alignment horizontal="center" vertical="center" wrapText="1"/>
    </xf>
    <xf numFmtId="0" fontId="0" fillId="8" borderId="35" xfId="0" applyFill="1" applyBorder="1"/>
    <xf numFmtId="0" fontId="0" fillId="8" borderId="41" xfId="0" applyFill="1" applyBorder="1"/>
    <xf numFmtId="0" fontId="13" fillId="8" borderId="36" xfId="0" applyFont="1" applyFill="1" applyBorder="1" applyAlignment="1">
      <alignment horizontal="left" vertical="center" wrapText="1"/>
    </xf>
    <xf numFmtId="0" fontId="13" fillId="8" borderId="40" xfId="0" applyFont="1" applyFill="1" applyBorder="1" applyAlignment="1">
      <alignment horizontal="left" vertical="center" wrapText="1"/>
    </xf>
    <xf numFmtId="0" fontId="14" fillId="8" borderId="32" xfId="0" applyFont="1" applyFill="1" applyBorder="1" applyAlignment="1">
      <alignment horizontal="center" vertical="center" wrapText="1"/>
    </xf>
    <xf numFmtId="0" fontId="14" fillId="8" borderId="25" xfId="0" applyFont="1" applyFill="1" applyBorder="1" applyAlignment="1">
      <alignment horizontal="center" vertical="center" wrapText="1"/>
    </xf>
    <xf numFmtId="0" fontId="14" fillId="8" borderId="43" xfId="0" applyFont="1" applyFill="1" applyBorder="1" applyAlignment="1">
      <alignment horizontal="center" vertical="center" wrapText="1"/>
    </xf>
    <xf numFmtId="0" fontId="0" fillId="8" borderId="9" xfId="0" applyFill="1" applyBorder="1"/>
    <xf numFmtId="0" fontId="0" fillId="8" borderId="10" xfId="0" applyFill="1" applyBorder="1"/>
    <xf numFmtId="0" fontId="13" fillId="8" borderId="46" xfId="0" applyFont="1" applyFill="1" applyBorder="1" applyAlignment="1">
      <alignment horizontal="left" vertical="center" wrapText="1"/>
    </xf>
    <xf numFmtId="0" fontId="13" fillId="8" borderId="38" xfId="0" applyFont="1" applyFill="1" applyBorder="1" applyAlignment="1">
      <alignment horizontal="left" vertical="center" wrapText="1"/>
    </xf>
    <xf numFmtId="0" fontId="0" fillId="0" borderId="38" xfId="0" applyBorder="1" applyAlignment="1">
      <alignment wrapText="1"/>
    </xf>
    <xf numFmtId="0" fontId="0" fillId="0" borderId="38" xfId="0" applyBorder="1"/>
    <xf numFmtId="0" fontId="0" fillId="8" borderId="22" xfId="0" applyFill="1" applyBorder="1" applyAlignment="1">
      <alignment horizontal="center"/>
    </xf>
    <xf numFmtId="0" fontId="11" fillId="0" borderId="13" xfId="0" applyFont="1" applyBorder="1" applyAlignment="1">
      <alignment horizontal="center" vertical="center" wrapText="1"/>
    </xf>
    <xf numFmtId="0" fontId="0" fillId="0" borderId="14" xfId="0" applyBorder="1" applyAlignment="1">
      <alignment horizontal="left" vertical="center" wrapText="1"/>
    </xf>
    <xf numFmtId="0" fontId="11" fillId="0" borderId="28" xfId="0" applyFont="1" applyBorder="1" applyAlignment="1">
      <alignment horizontal="center" vertical="center" wrapText="1"/>
    </xf>
    <xf numFmtId="0" fontId="11" fillId="0" borderId="21" xfId="0" applyFont="1" applyBorder="1" applyAlignment="1">
      <alignment horizontal="center" vertical="center" wrapText="1"/>
    </xf>
    <xf numFmtId="6" fontId="12" fillId="0" borderId="5" xfId="2" applyNumberFormat="1" applyFont="1" applyBorder="1" applyAlignment="1">
      <alignment horizontal="center"/>
    </xf>
    <xf numFmtId="4" fontId="17" fillId="8" borderId="5" xfId="0" applyNumberFormat="1" applyFont="1" applyFill="1" applyBorder="1" applyAlignment="1">
      <alignment horizontal="center" vertical="center"/>
    </xf>
    <xf numFmtId="0" fontId="11" fillId="0" borderId="0" xfId="0" applyFont="1" applyAlignment="1">
      <alignment vertical="center"/>
    </xf>
    <xf numFmtId="0" fontId="17" fillId="0" borderId="5" xfId="0" applyFont="1" applyBorder="1" applyAlignment="1">
      <alignment horizontal="left" vertical="center" wrapText="1"/>
    </xf>
    <xf numFmtId="0" fontId="18" fillId="8" borderId="5" xfId="0" applyFont="1" applyFill="1" applyBorder="1" applyAlignment="1">
      <alignment horizontal="center" vertical="center" wrapText="1"/>
    </xf>
    <xf numFmtId="0" fontId="11" fillId="8" borderId="5" xfId="0" applyFont="1" applyFill="1" applyBorder="1" applyAlignment="1">
      <alignment horizontal="center"/>
    </xf>
    <xf numFmtId="0" fontId="13" fillId="0" borderId="5" xfId="0" applyFont="1" applyBorder="1" applyAlignment="1">
      <alignment horizontal="center" vertical="center" wrapText="1"/>
    </xf>
    <xf numFmtId="4" fontId="13" fillId="0" borderId="5" xfId="0" applyNumberFormat="1" applyFont="1" applyBorder="1" applyAlignment="1">
      <alignment horizontal="center" vertical="center" wrapText="1"/>
    </xf>
    <xf numFmtId="15" fontId="11" fillId="0" borderId="8" xfId="0" applyNumberFormat="1" applyFont="1" applyBorder="1" applyAlignment="1">
      <alignment horizontal="center" vertical="center"/>
    </xf>
    <xf numFmtId="4" fontId="13" fillId="8" borderId="5" xfId="0" applyNumberFormat="1" applyFont="1" applyFill="1" applyBorder="1" applyAlignment="1">
      <alignment horizontal="center" vertical="center"/>
    </xf>
    <xf numFmtId="0" fontId="19" fillId="8" borderId="5" xfId="0" applyFont="1" applyFill="1" applyBorder="1" applyAlignment="1">
      <alignment horizontal="center" vertical="center"/>
    </xf>
    <xf numFmtId="0" fontId="11" fillId="8" borderId="5" xfId="0" applyFont="1" applyFill="1" applyBorder="1"/>
    <xf numFmtId="0" fontId="14" fillId="0" borderId="0" xfId="0" applyFont="1" applyAlignment="1">
      <alignment horizontal="center" vertical="center"/>
    </xf>
    <xf numFmtId="0" fontId="0" fillId="8" borderId="5" xfId="0" applyFill="1" applyBorder="1" applyAlignment="1">
      <alignment horizontal="center" vertical="center"/>
    </xf>
    <xf numFmtId="8" fontId="13" fillId="0" borderId="5" xfId="0" applyNumberFormat="1" applyFont="1" applyBorder="1" applyAlignment="1">
      <alignment vertical="center"/>
    </xf>
    <xf numFmtId="4" fontId="18" fillId="8" borderId="5" xfId="0" applyNumberFormat="1" applyFont="1" applyFill="1" applyBorder="1" applyAlignment="1">
      <alignment horizontal="center" vertical="center"/>
    </xf>
    <xf numFmtId="0" fontId="14" fillId="8" borderId="5" xfId="0" applyFont="1" applyFill="1" applyBorder="1" applyAlignment="1">
      <alignment horizontal="center"/>
    </xf>
    <xf numFmtId="0" fontId="13" fillId="8" borderId="5" xfId="0" applyFont="1" applyFill="1" applyBorder="1" applyAlignment="1">
      <alignment horizontal="center"/>
    </xf>
    <xf numFmtId="0" fontId="17" fillId="8" borderId="0" xfId="0" applyFont="1" applyFill="1" applyAlignment="1">
      <alignment vertical="center" wrapText="1"/>
    </xf>
    <xf numFmtId="0" fontId="13" fillId="8" borderId="0" xfId="0" applyFont="1" applyFill="1"/>
    <xf numFmtId="4" fontId="13" fillId="8" borderId="5" xfId="0" applyNumberFormat="1" applyFont="1" applyFill="1" applyBorder="1" applyAlignment="1">
      <alignment horizontal="center" vertical="center" wrapText="1"/>
    </xf>
    <xf numFmtId="0" fontId="11" fillId="0" borderId="5" xfId="0" applyFont="1" applyBorder="1" applyAlignment="1">
      <alignment horizontal="center" vertical="center"/>
    </xf>
    <xf numFmtId="0" fontId="11" fillId="0" borderId="0" xfId="0" applyFont="1" applyAlignment="1">
      <alignment horizontal="left" vertical="center" wrapText="1"/>
    </xf>
    <xf numFmtId="0" fontId="0" fillId="8" borderId="5" xfId="0" applyFill="1" applyBorder="1" applyAlignment="1">
      <alignment horizontal="center" vertical="center"/>
    </xf>
    <xf numFmtId="0" fontId="23" fillId="8" borderId="5" xfId="0" applyFont="1" applyFill="1" applyBorder="1" applyAlignment="1">
      <alignment horizontal="left" vertical="center" wrapText="1"/>
    </xf>
    <xf numFmtId="4" fontId="14" fillId="8" borderId="5" xfId="0" applyNumberFormat="1" applyFont="1" applyFill="1" applyBorder="1" applyAlignment="1">
      <alignment horizontal="center" vertical="center"/>
    </xf>
    <xf numFmtId="0" fontId="14" fillId="8" borderId="7" xfId="0" applyFont="1" applyFill="1" applyBorder="1" applyAlignment="1">
      <alignment horizontal="center" vertical="center"/>
    </xf>
    <xf numFmtId="0" fontId="18" fillId="8" borderId="5" xfId="0" applyFont="1" applyFill="1" applyBorder="1" applyAlignment="1">
      <alignment horizontal="center"/>
    </xf>
    <xf numFmtId="8" fontId="17" fillId="0" borderId="5" xfId="0" applyNumberFormat="1" applyFont="1" applyBorder="1" applyAlignment="1">
      <alignment vertical="center"/>
    </xf>
    <xf numFmtId="165" fontId="18" fillId="0" borderId="5" xfId="0" applyNumberFormat="1" applyFont="1" applyBorder="1" applyAlignment="1">
      <alignment horizontal="center" vertical="center"/>
    </xf>
    <xf numFmtId="0" fontId="18" fillId="0" borderId="0" xfId="0" applyFont="1" applyAlignment="1">
      <alignment horizontal="center" vertical="center"/>
    </xf>
    <xf numFmtId="165" fontId="18" fillId="0" borderId="7" xfId="0" applyNumberFormat="1" applyFont="1" applyBorder="1" applyAlignment="1">
      <alignment vertical="center"/>
    </xf>
    <xf numFmtId="0" fontId="18" fillId="9" borderId="5" xfId="0" applyFont="1" applyFill="1" applyBorder="1" applyAlignment="1">
      <alignment horizontal="center" vertical="center" wrapText="1"/>
    </xf>
    <xf numFmtId="0" fontId="0" fillId="0" borderId="0" xfId="0" applyAlignment="1">
      <alignment wrapText="1"/>
    </xf>
    <xf numFmtId="9" fontId="17" fillId="0" borderId="5" xfId="0" applyNumberFormat="1" applyFont="1" applyBorder="1" applyAlignment="1">
      <alignment horizontal="center" vertical="center"/>
    </xf>
    <xf numFmtId="165" fontId="11" fillId="0" borderId="7" xfId="0" applyNumberFormat="1" applyFont="1" applyBorder="1" applyAlignment="1">
      <alignment vertical="center" wrapText="1"/>
    </xf>
    <xf numFmtId="0" fontId="17" fillId="0" borderId="5" xfId="0" applyFont="1" applyBorder="1" applyAlignment="1">
      <alignment horizontal="center" vertical="center" wrapText="1"/>
    </xf>
    <xf numFmtId="0" fontId="18" fillId="9" borderId="5" xfId="0" applyFont="1" applyFill="1" applyBorder="1" applyAlignment="1">
      <alignment horizontal="center" vertical="center"/>
    </xf>
    <xf numFmtId="4" fontId="21" fillId="8" borderId="0" xfId="0" applyNumberFormat="1" applyFont="1" applyFill="1" applyAlignment="1">
      <alignment horizontal="center" vertical="center" wrapText="1"/>
    </xf>
    <xf numFmtId="0" fontId="24" fillId="8" borderId="0" xfId="0" applyFont="1" applyFill="1" applyAlignment="1">
      <alignment horizontal="center" vertical="center"/>
    </xf>
    <xf numFmtId="0" fontId="22" fillId="8" borderId="0" xfId="0" applyFont="1" applyFill="1" applyAlignment="1">
      <alignment horizontal="center" vertical="center" wrapText="1"/>
    </xf>
    <xf numFmtId="0" fontId="22" fillId="8" borderId="48" xfId="0" applyFont="1" applyFill="1" applyBorder="1" applyAlignment="1">
      <alignment horizontal="center" vertical="center" wrapText="1"/>
    </xf>
    <xf numFmtId="0" fontId="11" fillId="0" borderId="8" xfId="0" applyFont="1" applyBorder="1" applyAlignment="1">
      <alignment horizontal="center" vertical="center"/>
    </xf>
    <xf numFmtId="0" fontId="11" fillId="0" borderId="5"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wrapText="1"/>
    </xf>
    <xf numFmtId="0" fontId="11" fillId="8" borderId="5" xfId="0" applyFont="1" applyFill="1" applyBorder="1" applyAlignment="1">
      <alignment horizontal="center" vertical="center" wrapText="1"/>
    </xf>
    <xf numFmtId="0" fontId="11" fillId="9" borderId="5" xfId="0" applyFont="1" applyFill="1" applyBorder="1" applyAlignment="1">
      <alignment horizontal="center" vertical="center"/>
    </xf>
    <xf numFmtId="0" fontId="14" fillId="8" borderId="47" xfId="0" applyFont="1" applyFill="1" applyBorder="1" applyAlignment="1">
      <alignment horizontal="center" vertical="center"/>
    </xf>
    <xf numFmtId="0" fontId="14" fillId="8" borderId="10" xfId="0" applyFont="1" applyFill="1" applyBorder="1" applyAlignment="1">
      <alignment horizontal="center" vertical="center"/>
    </xf>
    <xf numFmtId="0" fontId="11" fillId="0" borderId="0" xfId="0" applyFont="1" applyAlignment="1">
      <alignment horizontal="center"/>
    </xf>
    <xf numFmtId="0" fontId="11" fillId="8" borderId="0" xfId="0" applyFont="1" applyFill="1" applyAlignment="1">
      <alignment horizontal="left" vertical="center"/>
    </xf>
    <xf numFmtId="0" fontId="11" fillId="8" borderId="5" xfId="0" applyFont="1" applyFill="1" applyBorder="1" applyAlignment="1">
      <alignment horizontal="left" vertical="center" wrapText="1"/>
    </xf>
    <xf numFmtId="0" fontId="11" fillId="0" borderId="42" xfId="0" applyFont="1" applyBorder="1" applyAlignment="1">
      <alignment horizontal="center" vertical="center" wrapText="1"/>
    </xf>
    <xf numFmtId="0" fontId="0" fillId="8" borderId="12" xfId="0" applyFill="1" applyBorder="1" applyAlignment="1">
      <alignment horizontal="center" vertical="center"/>
    </xf>
    <xf numFmtId="0" fontId="11" fillId="0" borderId="44" xfId="0" applyFont="1" applyBorder="1" applyAlignment="1">
      <alignment horizontal="center" vertical="center" wrapText="1"/>
    </xf>
    <xf numFmtId="0" fontId="11" fillId="0" borderId="45" xfId="0" applyFont="1" applyBorder="1" applyAlignment="1">
      <alignment horizontal="center" vertical="center" wrapText="1"/>
    </xf>
    <xf numFmtId="0" fontId="0" fillId="8" borderId="14" xfId="0" applyFill="1" applyBorder="1" applyAlignment="1">
      <alignment horizontal="center" vertical="center"/>
    </xf>
    <xf numFmtId="0" fontId="0" fillId="8" borderId="19" xfId="0" applyFill="1" applyBorder="1" applyAlignment="1">
      <alignment horizontal="center" vertical="center"/>
    </xf>
    <xf numFmtId="0" fontId="14" fillId="8" borderId="42" xfId="0" applyFont="1" applyFill="1" applyBorder="1" applyAlignment="1">
      <alignment horizontal="center" vertical="center"/>
    </xf>
    <xf numFmtId="0" fontId="14" fillId="8" borderId="26" xfId="0" applyFont="1" applyFill="1" applyBorder="1" applyAlignment="1">
      <alignment horizontal="center" vertical="center"/>
    </xf>
    <xf numFmtId="0" fontId="11" fillId="8" borderId="16" xfId="0" applyFont="1" applyFill="1" applyBorder="1" applyAlignment="1">
      <alignment horizontal="center"/>
    </xf>
    <xf numFmtId="0" fontId="11" fillId="8" borderId="5" xfId="0" applyFont="1" applyFill="1" applyBorder="1" applyAlignment="1">
      <alignment horizontal="center"/>
    </xf>
    <xf numFmtId="0" fontId="11" fillId="8" borderId="18" xfId="0" applyFont="1" applyFill="1" applyBorder="1" applyAlignment="1">
      <alignment horizontal="center"/>
    </xf>
    <xf numFmtId="0" fontId="11" fillId="8" borderId="19" xfId="0" applyFont="1" applyFill="1" applyBorder="1" applyAlignment="1">
      <alignment horizontal="center"/>
    </xf>
    <xf numFmtId="0" fontId="11" fillId="8" borderId="28" xfId="0" applyFont="1" applyFill="1" applyBorder="1" applyAlignment="1">
      <alignment horizontal="center"/>
    </xf>
    <xf numFmtId="0" fontId="11" fillId="8" borderId="30" xfId="0" applyFont="1" applyFill="1" applyBorder="1" applyAlignment="1">
      <alignment horizontal="center"/>
    </xf>
    <xf numFmtId="0" fontId="11" fillId="8" borderId="36" xfId="0" applyFont="1" applyFill="1" applyBorder="1" applyAlignment="1">
      <alignment horizontal="center" vertical="center"/>
    </xf>
    <xf numFmtId="0" fontId="11" fillId="8" borderId="37" xfId="0" applyFont="1" applyFill="1" applyBorder="1" applyAlignment="1">
      <alignment horizontal="center" vertical="center"/>
    </xf>
    <xf numFmtId="0" fontId="11" fillId="0" borderId="35"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37" xfId="0" applyFont="1" applyBorder="1" applyAlignment="1">
      <alignment horizontal="center" vertical="center" wrapText="1"/>
    </xf>
    <xf numFmtId="0" fontId="11" fillId="8" borderId="35" xfId="0" applyFont="1" applyFill="1" applyBorder="1" applyAlignment="1">
      <alignment horizontal="center" vertical="center" wrapText="1"/>
    </xf>
    <xf numFmtId="0" fontId="11" fillId="8" borderId="10" xfId="0" applyFont="1" applyFill="1" applyBorder="1" applyAlignment="1">
      <alignment horizontal="center" vertical="center" wrapText="1"/>
    </xf>
    <xf numFmtId="0" fontId="11" fillId="8" borderId="11" xfId="0" applyFont="1" applyFill="1" applyBorder="1" applyAlignment="1">
      <alignment horizontal="center" vertical="center" wrapText="1"/>
    </xf>
    <xf numFmtId="0" fontId="11" fillId="8" borderId="13" xfId="0" applyFont="1" applyFill="1" applyBorder="1" applyAlignment="1">
      <alignment horizontal="center"/>
    </xf>
    <xf numFmtId="0" fontId="11" fillId="8" borderId="14" xfId="0" applyFont="1" applyFill="1" applyBorder="1" applyAlignment="1">
      <alignment horizontal="center"/>
    </xf>
    <xf numFmtId="0" fontId="2" fillId="0" borderId="0" xfId="0" applyFont="1" applyAlignment="1">
      <alignment horizontal="left" vertical="top" wrapText="1"/>
    </xf>
    <xf numFmtId="0" fontId="3" fillId="0" borderId="1" xfId="0" applyFont="1" applyBorder="1" applyAlignment="1">
      <alignment horizontal="left" vertical="top" wrapText="1"/>
    </xf>
    <xf numFmtId="0" fontId="10" fillId="7" borderId="8"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0" fillId="8" borderId="5" xfId="0" applyFill="1" applyBorder="1" applyAlignment="1">
      <alignment horizontal="center" vertical="center"/>
    </xf>
    <xf numFmtId="0" fontId="27" fillId="8" borderId="5" xfId="0" applyFont="1" applyFill="1" applyBorder="1" applyAlignment="1">
      <alignment horizontal="left" vertical="center" wrapText="1"/>
    </xf>
    <xf numFmtId="0" fontId="17" fillId="8" borderId="5" xfId="0" applyFont="1" applyFill="1" applyBorder="1" applyAlignment="1">
      <alignment horizontal="center"/>
    </xf>
  </cellXfs>
  <cellStyles count="5">
    <cellStyle name="Millares" xfId="2" builtinId="3"/>
    <cellStyle name="Millares 2" xfId="4" xr:uid="{00000000-0005-0000-0000-000001000000}"/>
    <cellStyle name="Normal" xfId="0" builtinId="0"/>
    <cellStyle name="Normal 2" xfId="1" xr:uid="{00000000-0005-0000-0000-000003000000}"/>
    <cellStyle name="Porcentaje" xfId="3" builtinId="5"/>
  </cellStyles>
  <dxfs count="359">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general"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rgb="FF979991"/>
        </left>
        <right/>
        <top style="thin">
          <color rgb="FF979991"/>
        </top>
        <bottom/>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rgb="FF979991"/>
        </left>
        <right/>
        <top style="thin">
          <color rgb="FF979991"/>
        </top>
        <bottom/>
      </border>
    </dxf>
    <dxf>
      <numFmt numFmtId="1" formatCode="0"/>
      <fill>
        <patternFill patternType="solid">
          <fgColor indexed="64"/>
          <bgColor rgb="FFCFE0F1"/>
        </patternFill>
      </fill>
      <alignment horizontal="right" vertical="center" textRotation="0" wrapText="1" indent="0" justifyLastLine="0" shrinkToFit="0" readingOrder="0"/>
      <border diagonalUp="0" diagonalDown="0">
        <left/>
        <right/>
        <top style="thin">
          <color rgb="FF979991"/>
        </top>
        <bottom/>
      </border>
    </dxf>
    <dxf>
      <border outline="0">
        <left style="thin">
          <color rgb="FF979991"/>
        </left>
        <right style="thin">
          <color rgb="FF979991"/>
        </right>
        <top style="thin">
          <color rgb="FF979991"/>
        </top>
        <bottom style="thin">
          <color rgb="FF979991"/>
        </bottom>
      </border>
    </dxf>
    <dxf>
      <fill>
        <patternFill patternType="solid">
          <fgColor indexed="64"/>
          <bgColor rgb="FFFFFFFF"/>
        </patternFill>
      </fill>
      <alignment horizontal="right" vertical="center" textRotation="0" wrapText="1" indent="0" justifyLastLine="0" shrinkToFit="0" readingOrder="0"/>
    </dxf>
    <dxf>
      <font>
        <b/>
        <i val="0"/>
        <strike val="0"/>
        <condense val="0"/>
        <extend val="0"/>
        <outline val="0"/>
        <shadow val="0"/>
        <u val="none"/>
        <vertAlign val="baseline"/>
        <sz val="11"/>
        <color theme="1"/>
        <name val="Calibri"/>
        <scheme val="none"/>
      </font>
      <fill>
        <patternFill patternType="solid">
          <fgColor indexed="64"/>
          <bgColor rgb="FFFFFFFF"/>
        </patternFill>
      </fill>
      <alignment horizontal="center" vertical="center" textRotation="0" wrapText="1" indent="0" justifyLastLine="0" shrinkToFit="0" readingOrder="0"/>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outline="0">
        <left style="thin">
          <color indexed="64"/>
        </left>
        <right style="thin">
          <color indexed="64"/>
        </righ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solid">
          <fgColor rgb="FFD9E2F3"/>
          <bgColor rgb="FFD9E2F3"/>
        </patternFill>
      </fill>
    </dxf>
    <dxf>
      <fill>
        <patternFill patternType="solid">
          <fgColor rgb="FFB4C6E7"/>
          <bgColor rgb="FFB4C6E7"/>
        </patternFill>
      </fill>
    </dxf>
    <dxf>
      <fill>
        <patternFill patternType="solid">
          <fgColor theme="8"/>
          <bgColor theme="8"/>
        </patternFill>
      </fill>
    </dxf>
    <dxf>
      <fill>
        <patternFill patternType="solid">
          <fgColor rgb="FFD9E2F3"/>
          <bgColor rgb="FFD9E2F3"/>
        </patternFill>
      </fill>
    </dxf>
    <dxf>
      <fill>
        <patternFill patternType="solid">
          <fgColor rgb="FFB4C6E7"/>
          <bgColor rgb="FFB4C6E7"/>
        </patternFill>
      </fill>
    </dxf>
    <dxf>
      <fill>
        <patternFill patternType="solid">
          <fgColor theme="0"/>
          <bgColor theme="0"/>
        </patternFill>
      </fill>
    </dxf>
    <dxf>
      <fill>
        <patternFill patternType="solid">
          <fgColor theme="8"/>
          <bgColor theme="8"/>
        </patternFill>
      </fill>
    </dxf>
  </dxfs>
  <tableStyles count="2" defaultTableStyle="TableStyleMedium2" defaultPivotStyle="PivotStyleLight16">
    <tableStyle name="EXPERIENCIA-style" pivot="0" count="4" xr9:uid="{00000000-0011-0000-FFFF-FFFF00000000}">
      <tableStyleElement type="headerRow" dxfId="358"/>
      <tableStyleElement type="totalRow" dxfId="357"/>
      <tableStyleElement type="firstRowStripe" dxfId="356"/>
      <tableStyleElement type="secondRowStripe" dxfId="355"/>
    </tableStyle>
    <tableStyle name="SMMLV-style" pivot="0" count="3" xr9:uid="{00000000-0011-0000-FFFF-FFFF01000000}">
      <tableStyleElement type="headerRow" dxfId="354"/>
      <tableStyleElement type="firstRowStripe" dxfId="353"/>
      <tableStyleElement type="secondRowStripe" dxfId="352"/>
    </tableStyle>
  </tableStyles>
  <colors>
    <mruColors>
      <color rgb="FFFF3300"/>
      <color rgb="FFFED5C2"/>
      <color rgb="FFFC560C"/>
      <color rgb="FF867E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lum/>
          <a:alphaModFix/>
        </a:blip>
        <a:srcRect/>
        <a:stretch>
          <a:fillRect/>
        </a:stretch>
      </xdr:blipFill>
      <xdr:spPr>
        <a:xfrm>
          <a:off x="818877" y="216898"/>
          <a:ext cx="3762102" cy="651782"/>
        </a:xfrm>
        <a:prstGeom prst="rect">
          <a:avLst/>
        </a:prstGeom>
        <a:noFill/>
        <a:ln>
          <a:noFill/>
          <a:prstDash/>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4487C924-A2A6-4532-BD9F-382D11F7028C}"/>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A4638393-7F13-4EED-9CDC-1CC09C2D90AD}"/>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39F27874-3D9D-4A6E-A043-9B4347FC1376}"/>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2</xdr:col>
      <xdr:colOff>3068409</xdr:colOff>
      <xdr:row>5</xdr:row>
      <xdr:rowOff>0</xdr:rowOff>
    </xdr:to>
    <xdr:pic>
      <xdr:nvPicPr>
        <xdr:cNvPr id="2" name="Imagen 1">
          <a:extLst>
            <a:ext uri="{FF2B5EF4-FFF2-40B4-BE49-F238E27FC236}">
              <a16:creationId xmlns:a16="http://schemas.microsoft.com/office/drawing/2014/main" id="{DFE2C9AE-173B-459A-B51D-29EEE1F2FA4E}"/>
            </a:ext>
          </a:extLst>
        </xdr:cNvPr>
        <xdr:cNvPicPr/>
      </xdr:nvPicPr>
      <xdr:blipFill>
        <a:blip xmlns:r="http://schemas.openxmlformats.org/officeDocument/2006/relationships" r:embed="rId1">
          <a:lum/>
          <a:alphaModFix/>
        </a:blip>
        <a:srcRect/>
        <a:stretch>
          <a:fillRect/>
        </a:stretch>
      </xdr:blipFill>
      <xdr:spPr>
        <a:xfrm>
          <a:off x="796017" y="224518"/>
          <a:ext cx="3663042" cy="680357"/>
        </a:xfrm>
        <a:prstGeom prst="rect">
          <a:avLst/>
        </a:prstGeom>
        <a:noFill/>
        <a:ln>
          <a:noFill/>
          <a:prstDash/>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448611</xdr:colOff>
      <xdr:row>2</xdr:row>
      <xdr:rowOff>175532</xdr:rowOff>
    </xdr:to>
    <xdr:pic>
      <xdr:nvPicPr>
        <xdr:cNvPr id="2" name="Imagen 1">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a:lum/>
          <a:alphaModFix/>
        </a:blip>
        <a:srcRect/>
        <a:stretch>
          <a:fillRect/>
        </a:stretch>
      </xdr:blipFill>
      <xdr:spPr>
        <a:xfrm>
          <a:off x="0" y="0"/>
          <a:ext cx="3134662" cy="543832"/>
        </a:xfrm>
        <a:prstGeom prst="rect">
          <a:avLst/>
        </a:prstGeom>
        <a:noFill/>
        <a:ln>
          <a:noFill/>
          <a:prstDash/>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3</xdr:col>
      <xdr:colOff>306159</xdr:colOff>
      <xdr:row>5</xdr:row>
      <xdr:rowOff>0</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lum/>
          <a:alphaModFix/>
        </a:blip>
        <a:srcRect/>
        <a:stretch>
          <a:fillRect/>
        </a:stretch>
      </xdr:blipFill>
      <xdr:spPr>
        <a:xfrm>
          <a:off x="796017" y="224518"/>
          <a:ext cx="3670662" cy="682262"/>
        </a:xfrm>
        <a:prstGeom prst="rect">
          <a:avLst/>
        </a:prstGeom>
        <a:noFill/>
        <a:ln>
          <a:noFill/>
          <a:prstDash/>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Tabla2568" displayName="Tabla2568" ref="B25:AD28" totalsRowShown="0" headerRowDxfId="351" dataDxfId="349" headerRowBorderDxfId="350" tableBorderDxfId="348" totalsRowBorderDxfId="347">
  <autoFilter ref="B25:AD28" xr:uid="{00000000-0009-0000-0100-000007000000}"/>
  <tableColumns count="29">
    <tableColumn id="1" xr3:uid="{00000000-0010-0000-0000-000001000000}" name="No. " dataDxfId="346" totalsRowDxfId="345"/>
    <tableColumn id="2" xr3:uid="{00000000-0010-0000-0000-000002000000}" name="Entidad Contratante" dataDxfId="344" totalsRowDxfId="343"/>
    <tableColumn id="3" xr3:uid="{00000000-0010-0000-0000-000003000000}" name="Contratista o Integrante que aporta experiencia" dataDxfId="342" totalsRowDxfId="341"/>
    <tableColumn id="14" xr3:uid="{00000000-0010-0000-0000-00000E000000}" name="No contrato" dataDxfId="340" totalsRowDxfId="339"/>
    <tableColumn id="21" xr3:uid="{00000000-0010-0000-0000-000015000000}" name="Certificación / Acta de Liquidación" totalsRowDxfId="338"/>
    <tableColumn id="4" xr3:uid="{00000000-0010-0000-0000-000004000000}" name="Objeto" dataDxfId="337" totalsRowDxfId="336"/>
    <tableColumn id="5" xr3:uid="{00000000-0010-0000-0000-000005000000}" name="Indivicual / Consorcio / UT" dataDxfId="335" totalsRowDxfId="334"/>
    <tableColumn id="6" xr3:uid="{00000000-0010-0000-0000-000006000000}" name="% de Participacion" dataDxfId="333" totalsRowDxfId="332"/>
    <tableColumn id="10" xr3:uid="{00000000-0010-0000-0000-00000A000000}" name="Documento de _x000a_asociación" dataDxfId="331" totalsRowDxfId="330"/>
    <tableColumn id="7" xr3:uid="{00000000-0010-0000-0000-000007000000}" name="# Consecutivo RUP" dataDxfId="329" totalsRowDxfId="328"/>
    <tableColumn id="8" xr3:uid="{00000000-0010-0000-0000-000008000000}" name="SMMLV RUP" dataDxfId="327" totalsRowDxfId="326"/>
    <tableColumn id="22" xr3:uid="{00000000-0010-0000-0000-000016000000}" name="Fecha de Inicio" totalsRowDxfId="325"/>
    <tableColumn id="9" xr3:uid="{00000000-0010-0000-0000-000009000000}" name="Fecha de Terminacion" dataDxfId="324" totalsRowDxfId="323"/>
    <tableColumn id="26" xr3:uid="{00000000-0010-0000-0000-00001A000000}" name="Año de Terminación" dataDxfId="322" totalsRowDxfId="321" dataCellStyle="Millares">
      <calculatedColumnFormula>YEAR(Tabla2568[[#This Row],[Fecha de Terminacion]])</calculatedColumnFormula>
    </tableColumn>
    <tableColumn id="23" xr3:uid="{00000000-0010-0000-0000-000017000000}" name="Total SMMLV * % Participación (RUP)" dataDxfId="320" totalsRowDxfId="319">
      <calculatedColumnFormula>+Tabla2568[[#This Row],[SMMLV RUP]]*Tabla2568[[#This Row],[% de Participacion]]</calculatedColumnFormula>
    </tableColumn>
    <tableColumn id="15" xr3:uid="{00000000-0010-0000-0000-00000F000000}" name="Valor Total Ejecutado del Contrato ($)" dataDxfId="318" totalsRowDxfId="317"/>
    <tableColumn id="12" xr3:uid="{00000000-0010-0000-0000-00000C000000}" name="SMMLV AÑO DE TERMINACIÓN" dataDxfId="316" totalsRowDxfId="315">
      <calculatedColumnFormula>VLOOKUP(Tabla2568[[#This Row],[Año de Terminación]],Tabla36[[Año]:[Salario mínimo mensual]],3,0)</calculatedColumnFormula>
    </tableColumn>
    <tableColumn id="25" xr3:uid="{00000000-0010-0000-0000-000019000000}" name="Valor Total Ejecutado del Contrato expresado en SMMLV" dataDxfId="314" totalsRowDxfId="313">
      <calculatedColumnFormula>+Tabla2568[[#This Row],[Valor Total Ejecutado del Contrato ($)]]/Tabla2568[[#This Row],[SMMLV AÑO DE TERMINACIÓN]]*Tabla2568[[#This Row],[% de Participacion]]</calculatedColumnFormula>
    </tableColumn>
    <tableColumn id="19" xr3:uid="{00000000-0010-0000-0000-000013000000}" name="72101500" totalsRowDxfId="312"/>
    <tableColumn id="18" xr3:uid="{00000000-0010-0000-0000-000012000000}" name="40101700" dataDxfId="311" totalsRowDxfId="310"/>
    <tableColumn id="28" xr3:uid="{00000000-0010-0000-0000-00001C000000}" name="72151200" dataDxfId="309" totalsRowDxfId="308"/>
    <tableColumn id="29" xr3:uid="{00000000-0010-0000-0000-00001D000000}" name="72151800" dataDxfId="307" totalsRowDxfId="306"/>
    <tableColumn id="16" xr3:uid="{00000000-0010-0000-0000-000010000000}" name="Servicios de mantenimiento correctivo de aires acondicionados" dataDxfId="305" totalsRowDxfId="304"/>
    <tableColumn id="11" xr3:uid="{00000000-0010-0000-0000-00000B000000}" name="Servicios de mantenimiento preventivo de aires acondicionados" dataDxfId="303" totalsRowDxfId="302"/>
    <tableColumn id="13" xr3:uid="{00000000-0010-0000-0000-00000D000000}" name="Suministro e instalación de aires acondicionados" dataDxfId="301" totalsRowDxfId="300"/>
    <tableColumn id="20" xr3:uid="{00000000-0010-0000-0000-000014000000}" name="Suministro e instalación mediante bolsa de repuestos" dataDxfId="299" totalsRowDxfId="298"/>
    <tableColumn id="24" xr3:uid="{00000000-0010-0000-0000-000018000000}" name="FORMATO No. 6 RELACIÓN DE EXPERIENCIA INSCRITA EN EL RUP" dataDxfId="297" totalsRowDxfId="296"/>
    <tableColumn id="27" xr3:uid="{00000000-0010-0000-0000-00001B000000}" name="RESULTADO_x000a_CUMPLE / NO CUMPLE" totalsRowDxfId="295"/>
    <tableColumn id="31" xr3:uid="{00000000-0010-0000-0000-00001F000000}" name="OBSERVACIONES" dataDxfId="294" totalsRowDxfId="293"/>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5683" displayName="Tabla25683" ref="B25:AD28" totalsRowShown="0" headerRowDxfId="292" dataDxfId="290" headerRowBorderDxfId="291" tableBorderDxfId="289" totalsRowBorderDxfId="288">
  <autoFilter ref="B25:AD28" xr:uid="{00000000-0009-0000-0100-000002000000}"/>
  <tableColumns count="29">
    <tableColumn id="1" xr3:uid="{00000000-0010-0000-0100-000001000000}" name="No. " dataDxfId="287" totalsRowDxfId="286"/>
    <tableColumn id="2" xr3:uid="{00000000-0010-0000-0100-000002000000}" name="Entidad Contratante" dataDxfId="285" totalsRowDxfId="284"/>
    <tableColumn id="3" xr3:uid="{00000000-0010-0000-0100-000003000000}" name="Contratista o Integrante que aporta experiencia" dataDxfId="283" totalsRowDxfId="282"/>
    <tableColumn id="14" xr3:uid="{00000000-0010-0000-0100-00000E000000}" name="No contrato" dataDxfId="281" totalsRowDxfId="280"/>
    <tableColumn id="21" xr3:uid="{00000000-0010-0000-0100-000015000000}" name="Certificación / Acta de Liquidación" totalsRowDxfId="279"/>
    <tableColumn id="4" xr3:uid="{00000000-0010-0000-0100-000004000000}" name="Objeto" dataDxfId="278" totalsRowDxfId="277"/>
    <tableColumn id="5" xr3:uid="{00000000-0010-0000-0100-000005000000}" name="Indivicual / Consorcio / UT" dataDxfId="276" totalsRowDxfId="275"/>
    <tableColumn id="6" xr3:uid="{00000000-0010-0000-0100-000006000000}" name="% de Participacion" dataDxfId="274" totalsRowDxfId="273"/>
    <tableColumn id="10" xr3:uid="{00000000-0010-0000-0100-00000A000000}" name="Documento de _x000a_asociación" dataDxfId="272" totalsRowDxfId="271"/>
    <tableColumn id="7" xr3:uid="{00000000-0010-0000-0100-000007000000}" name="# Consecutivo RUP" dataDxfId="270" totalsRowDxfId="269"/>
    <tableColumn id="8" xr3:uid="{00000000-0010-0000-0100-000008000000}" name="SMMLV RUP" dataDxfId="268" totalsRowDxfId="267"/>
    <tableColumn id="22" xr3:uid="{00000000-0010-0000-0100-000016000000}" name="Fecha de Inicio" totalsRowDxfId="266"/>
    <tableColumn id="9" xr3:uid="{00000000-0010-0000-0100-000009000000}" name="Fecha de Terminacion" dataDxfId="265" totalsRowDxfId="264"/>
    <tableColumn id="26" xr3:uid="{00000000-0010-0000-0100-00001A000000}" name="Año de Terminación" dataDxfId="263" totalsRowDxfId="262" dataCellStyle="Millares">
      <calculatedColumnFormula>YEAR(Tabla25683[[#This Row],[Fecha de Terminacion]])</calculatedColumnFormula>
    </tableColumn>
    <tableColumn id="23" xr3:uid="{00000000-0010-0000-0100-000017000000}" name="Total SMMLV * % Participación (RUP)" dataDxfId="261" totalsRowDxfId="260">
      <calculatedColumnFormula>+Tabla25683[[#This Row],[SMMLV RUP]]*Tabla25683[[#This Row],[% de Participacion]]</calculatedColumnFormula>
    </tableColumn>
    <tableColumn id="15" xr3:uid="{00000000-0010-0000-0100-00000F000000}" name="Valor Total Ejecutado del Contrato ($)" dataDxfId="259" totalsRowDxfId="258"/>
    <tableColumn id="12" xr3:uid="{00000000-0010-0000-0100-00000C000000}" name="SMMLV AÑO DE TERMINACIÓN" dataDxfId="257" totalsRowDxfId="256">
      <calculatedColumnFormula>VLOOKUP(Tabla25683[[#This Row],[Año de Terminación]],Tabla36[[Año]:[Salario mínimo mensual]],3,0)</calculatedColumnFormula>
    </tableColumn>
    <tableColumn id="25" xr3:uid="{00000000-0010-0000-0100-000019000000}" name="Valor Total Ejecutado del Contrato expresado en SMMLV" dataDxfId="255" totalsRowDxfId="254">
      <calculatedColumnFormula>+Tabla25683[[#This Row],[Valor Total Ejecutado del Contrato ($)]]/Tabla25683[[#This Row],[SMMLV AÑO DE TERMINACIÓN]]*Tabla25683[[#This Row],[% de Participacion]]</calculatedColumnFormula>
    </tableColumn>
    <tableColumn id="19" xr3:uid="{00000000-0010-0000-0100-000013000000}" name="72101500" totalsRowDxfId="253"/>
    <tableColumn id="18" xr3:uid="{00000000-0010-0000-0100-000012000000}" name="40101700" dataDxfId="252" totalsRowDxfId="251"/>
    <tableColumn id="28" xr3:uid="{00000000-0010-0000-0100-00001C000000}" name="72151200" dataDxfId="250" totalsRowDxfId="249"/>
    <tableColumn id="29" xr3:uid="{00000000-0010-0000-0100-00001D000000}" name="72151800" dataDxfId="248" totalsRowDxfId="247"/>
    <tableColumn id="16" xr3:uid="{00000000-0010-0000-0100-000010000000}" name="Servicios de mantenimiento correctivo de aires acondicionados" dataDxfId="246" totalsRowDxfId="245"/>
    <tableColumn id="11" xr3:uid="{00000000-0010-0000-0100-00000B000000}" name="Servicios de mantenimiento preventivo de aires acondicionados" dataDxfId="244" totalsRowDxfId="243"/>
    <tableColumn id="13" xr3:uid="{00000000-0010-0000-0100-00000D000000}" name="Suministro e instalación de aires acondicionados" dataDxfId="242" totalsRowDxfId="241"/>
    <tableColumn id="20" xr3:uid="{00000000-0010-0000-0100-000014000000}" name="Suministro e instalación mediante bolsa de repuestos" dataDxfId="240" totalsRowDxfId="239"/>
    <tableColumn id="24" xr3:uid="{00000000-0010-0000-0100-000018000000}" name="FORMATO No. 6 RELACIÓN DE EXPERIENCIA INSCRITA EN EL RUP" dataDxfId="238" totalsRowDxfId="237"/>
    <tableColumn id="27" xr3:uid="{00000000-0010-0000-0100-00001B000000}" name="RESULTADO_x000a_CUMPLE / NO CUMPLE" totalsRowDxfId="236"/>
    <tableColumn id="31" xr3:uid="{00000000-0010-0000-0100-00001F000000}" name="OBSERVACIONES" dataDxfId="235" totalsRowDxfId="234"/>
  </tableColumns>
  <tableStyleInfo name="TableStyleLight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a256835" displayName="Tabla256835" ref="B25:AD28" totalsRowShown="0" headerRowDxfId="233" dataDxfId="231" headerRowBorderDxfId="232" tableBorderDxfId="230" totalsRowBorderDxfId="229">
  <autoFilter ref="B25:AD28" xr:uid="{00000000-0009-0000-0100-000004000000}"/>
  <tableColumns count="29">
    <tableColumn id="1" xr3:uid="{00000000-0010-0000-0200-000001000000}" name="No. " dataDxfId="228" totalsRowDxfId="227"/>
    <tableColumn id="2" xr3:uid="{00000000-0010-0000-0200-000002000000}" name="Entidad Contratante" dataDxfId="226" totalsRowDxfId="225"/>
    <tableColumn id="3" xr3:uid="{00000000-0010-0000-0200-000003000000}" name="Contratista o Integrante que aporta experiencia" dataDxfId="224" totalsRowDxfId="223"/>
    <tableColumn id="14" xr3:uid="{00000000-0010-0000-0200-00000E000000}" name="No contrato" dataDxfId="222" totalsRowDxfId="221"/>
    <tableColumn id="21" xr3:uid="{00000000-0010-0000-0200-000015000000}" name="Certificación / Acta de Liquidación" totalsRowDxfId="220"/>
    <tableColumn id="4" xr3:uid="{00000000-0010-0000-0200-000004000000}" name="Objeto" dataDxfId="219" totalsRowDxfId="218"/>
    <tableColumn id="5" xr3:uid="{00000000-0010-0000-0200-000005000000}" name="Indivicual / Consorcio / UT" dataDxfId="217" totalsRowDxfId="216"/>
    <tableColumn id="6" xr3:uid="{00000000-0010-0000-0200-000006000000}" name="% de Participacion" dataDxfId="215" totalsRowDxfId="214"/>
    <tableColumn id="10" xr3:uid="{00000000-0010-0000-0200-00000A000000}" name="Documento de _x000a_asociación" dataDxfId="213" totalsRowDxfId="212"/>
    <tableColumn id="7" xr3:uid="{00000000-0010-0000-0200-000007000000}" name="# Consecutivo RUP" dataDxfId="211" totalsRowDxfId="210"/>
    <tableColumn id="8" xr3:uid="{00000000-0010-0000-0200-000008000000}" name="SMMLV RUP" dataDxfId="209" totalsRowDxfId="208"/>
    <tableColumn id="22" xr3:uid="{00000000-0010-0000-0200-000016000000}" name="Fecha de Inicio" totalsRowDxfId="207"/>
    <tableColumn id="9" xr3:uid="{00000000-0010-0000-0200-000009000000}" name="Fecha de Terminacion" dataDxfId="206" totalsRowDxfId="205"/>
    <tableColumn id="26" xr3:uid="{00000000-0010-0000-0200-00001A000000}" name="Año de Terminación" dataDxfId="204" totalsRowDxfId="203" dataCellStyle="Millares">
      <calculatedColumnFormula>YEAR(Tabla256835[[#This Row],[Fecha de Terminacion]])</calculatedColumnFormula>
    </tableColumn>
    <tableColumn id="23" xr3:uid="{00000000-0010-0000-0200-000017000000}" name="Total SMMLV * % Participación (RUP)" dataDxfId="202" totalsRowDxfId="201">
      <calculatedColumnFormula>+Tabla256835[[#This Row],[SMMLV RUP]]*Tabla256835[[#This Row],[% de Participacion]]</calculatedColumnFormula>
    </tableColumn>
    <tableColumn id="15" xr3:uid="{00000000-0010-0000-0200-00000F000000}" name="Valor Total Ejecutado del Contrato ($)" dataDxfId="200" totalsRowDxfId="199"/>
    <tableColumn id="12" xr3:uid="{00000000-0010-0000-0200-00000C000000}" name="SMMLV AÑO DE TERMINACIÓN" dataDxfId="198" totalsRowDxfId="197">
      <calculatedColumnFormula>VLOOKUP(Tabla256835[[#This Row],[Año de Terminación]],Tabla36[[Año]:[Salario mínimo mensual]],3,0)</calculatedColumnFormula>
    </tableColumn>
    <tableColumn id="25" xr3:uid="{00000000-0010-0000-0200-000019000000}" name="Valor Total Ejecutado del Contrato expresado en SMMLV" dataDxfId="196" totalsRowDxfId="195">
      <calculatedColumnFormula>+Tabla256835[[#This Row],[Valor Total Ejecutado del Contrato ($)]]/Tabla256835[[#This Row],[SMMLV AÑO DE TERMINACIÓN]]*Tabla256835[[#This Row],[% de Participacion]]</calculatedColumnFormula>
    </tableColumn>
    <tableColumn id="19" xr3:uid="{00000000-0010-0000-0200-000013000000}" name="72101500" totalsRowDxfId="194"/>
    <tableColumn id="18" xr3:uid="{00000000-0010-0000-0200-000012000000}" name="40101700" dataDxfId="193" totalsRowDxfId="192"/>
    <tableColumn id="28" xr3:uid="{00000000-0010-0000-0200-00001C000000}" name="72151200" dataDxfId="191" totalsRowDxfId="190"/>
    <tableColumn id="29" xr3:uid="{00000000-0010-0000-0200-00001D000000}" name="72151800" dataDxfId="189" totalsRowDxfId="188"/>
    <tableColumn id="16" xr3:uid="{00000000-0010-0000-0200-000010000000}" name="Servicios de mantenimiento correctivo de aires acondicionados" dataDxfId="187" totalsRowDxfId="186"/>
    <tableColumn id="11" xr3:uid="{00000000-0010-0000-0200-00000B000000}" name="Servicios de mantenimiento preventivo de aires acondicionados" dataDxfId="185" totalsRowDxfId="184"/>
    <tableColumn id="13" xr3:uid="{00000000-0010-0000-0200-00000D000000}" name="Suministro e instalación de aires acondicionados" dataDxfId="183" totalsRowDxfId="182"/>
    <tableColumn id="20" xr3:uid="{00000000-0010-0000-0200-000014000000}" name="Suministro e instalación mediante bolsa de repuestos" dataDxfId="181" totalsRowDxfId="180"/>
    <tableColumn id="24" xr3:uid="{00000000-0010-0000-0200-000018000000}" name="FORMATO No. 6 RELACIÓN DE EXPERIENCIA INSCRITA EN EL RUP" dataDxfId="179" totalsRowDxfId="178"/>
    <tableColumn id="27" xr3:uid="{00000000-0010-0000-0200-00001B000000}" name="RESULTADO_x000a_CUMPLE / NO CUMPLE" totalsRowDxfId="177"/>
    <tableColumn id="31" xr3:uid="{00000000-0010-0000-0200-00001F000000}" name="OBSERVACIONES" dataDxfId="176" totalsRowDxfId="175"/>
  </tableColumns>
  <tableStyleInfo name="TableStyleLight1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a2568356" displayName="Tabla2568356" ref="B25:AD28" totalsRowShown="0" headerRowDxfId="174" dataDxfId="172" headerRowBorderDxfId="173" tableBorderDxfId="171" totalsRowBorderDxfId="170">
  <autoFilter ref="B25:AD28" xr:uid="{00000000-0009-0000-0100-000005000000}"/>
  <tableColumns count="29">
    <tableColumn id="1" xr3:uid="{00000000-0010-0000-0300-000001000000}" name="No. " dataDxfId="169" totalsRowDxfId="168"/>
    <tableColumn id="2" xr3:uid="{00000000-0010-0000-0300-000002000000}" name="Entidad Contratante" dataDxfId="167" totalsRowDxfId="166"/>
    <tableColumn id="3" xr3:uid="{00000000-0010-0000-0300-000003000000}" name="Contratista o Integrante que aporta experiencia" dataDxfId="165" totalsRowDxfId="164"/>
    <tableColumn id="14" xr3:uid="{00000000-0010-0000-0300-00000E000000}" name="No contrato" dataDxfId="163" totalsRowDxfId="162"/>
    <tableColumn id="21" xr3:uid="{00000000-0010-0000-0300-000015000000}" name="Certificación / Acta de Liquidación" totalsRowDxfId="161"/>
    <tableColumn id="4" xr3:uid="{00000000-0010-0000-0300-000004000000}" name="Objeto" dataDxfId="160" totalsRowDxfId="159"/>
    <tableColumn id="5" xr3:uid="{00000000-0010-0000-0300-000005000000}" name="Indivicual / Consorcio / UT" dataDxfId="158" totalsRowDxfId="157"/>
    <tableColumn id="6" xr3:uid="{00000000-0010-0000-0300-000006000000}" name="% de Participacion" dataDxfId="156" totalsRowDxfId="155"/>
    <tableColumn id="10" xr3:uid="{00000000-0010-0000-0300-00000A000000}" name="Documento de _x000a_asociación" dataDxfId="154" totalsRowDxfId="153"/>
    <tableColumn id="7" xr3:uid="{00000000-0010-0000-0300-000007000000}" name="# Consecutivo RUP" dataDxfId="152" totalsRowDxfId="151"/>
    <tableColumn id="8" xr3:uid="{00000000-0010-0000-0300-000008000000}" name="SMMLV RUP" dataDxfId="150" totalsRowDxfId="149"/>
    <tableColumn id="22" xr3:uid="{00000000-0010-0000-0300-000016000000}" name="Fecha de Inicio" totalsRowDxfId="148"/>
    <tableColumn id="9" xr3:uid="{00000000-0010-0000-0300-000009000000}" name="Fecha de Terminacion" dataDxfId="147" totalsRowDxfId="146"/>
    <tableColumn id="26" xr3:uid="{00000000-0010-0000-0300-00001A000000}" name="Año de Terminación" dataDxfId="145" totalsRowDxfId="144" dataCellStyle="Millares">
      <calculatedColumnFormula>YEAR(Tabla2568356[[#This Row],[Fecha de Terminacion]])</calculatedColumnFormula>
    </tableColumn>
    <tableColumn id="23" xr3:uid="{00000000-0010-0000-0300-000017000000}" name="Total SMMLV * % Participación (RUP)" dataDxfId="143" totalsRowDxfId="142">
      <calculatedColumnFormula>+Tabla2568356[[#This Row],[SMMLV RUP]]*Tabla2568356[[#This Row],[% de Participacion]]</calculatedColumnFormula>
    </tableColumn>
    <tableColumn id="15" xr3:uid="{00000000-0010-0000-0300-00000F000000}" name="Valor Total Ejecutado del Contrato ($)" dataDxfId="141" totalsRowDxfId="140"/>
    <tableColumn id="12" xr3:uid="{00000000-0010-0000-0300-00000C000000}" name="SMMLV AÑO DE TERMINACIÓN" dataDxfId="139" totalsRowDxfId="138">
      <calculatedColumnFormula>VLOOKUP(Tabla2568356[[#This Row],[Año de Terminación]],Tabla36[[Año]:[Salario mínimo mensual]],3,0)</calculatedColumnFormula>
    </tableColumn>
    <tableColumn id="25" xr3:uid="{00000000-0010-0000-0300-000019000000}" name="Valor Total Ejecutado del Contrato expresado en SMMLV" dataDxfId="137" totalsRowDxfId="136">
      <calculatedColumnFormula>+Tabla2568356[[#This Row],[Valor Total Ejecutado del Contrato ($)]]/Tabla2568356[[#This Row],[SMMLV AÑO DE TERMINACIÓN]]*Tabla2568356[[#This Row],[% de Participacion]]</calculatedColumnFormula>
    </tableColumn>
    <tableColumn id="19" xr3:uid="{00000000-0010-0000-0300-000013000000}" name="72101500" totalsRowDxfId="135"/>
    <tableColumn id="18" xr3:uid="{00000000-0010-0000-0300-000012000000}" name="40101700" dataDxfId="134" totalsRowDxfId="133"/>
    <tableColumn id="28" xr3:uid="{00000000-0010-0000-0300-00001C000000}" name="72151200" dataDxfId="132" totalsRowDxfId="131"/>
    <tableColumn id="29" xr3:uid="{00000000-0010-0000-0300-00001D000000}" name="72151800" dataDxfId="130" totalsRowDxfId="129"/>
    <tableColumn id="16" xr3:uid="{00000000-0010-0000-0300-000010000000}" name="Servicios de mantenimiento correctivo de aires acondicionados" dataDxfId="128" totalsRowDxfId="127"/>
    <tableColumn id="11" xr3:uid="{00000000-0010-0000-0300-00000B000000}" name="Servicios de mantenimiento preventivo de aires acondicionados" dataDxfId="126" totalsRowDxfId="125"/>
    <tableColumn id="13" xr3:uid="{00000000-0010-0000-0300-00000D000000}" name="Suministro e instalación de aires acondicionados" dataDxfId="124" totalsRowDxfId="123"/>
    <tableColumn id="20" xr3:uid="{00000000-0010-0000-0300-000014000000}" name="Suministro e instalación mediante bolsa de repuestos" dataDxfId="122" totalsRowDxfId="121"/>
    <tableColumn id="24" xr3:uid="{00000000-0010-0000-0300-000018000000}" name="FORMATO No. 6 RELACIÓN DE EXPERIENCIA INSCRITA EN EL RUP" dataDxfId="120" totalsRowDxfId="119"/>
    <tableColumn id="27" xr3:uid="{00000000-0010-0000-0300-00001B000000}" name="RESULTADO_x000a_CUMPLE / NO CUMPLE" totalsRowDxfId="118"/>
    <tableColumn id="31" xr3:uid="{00000000-0010-0000-0300-00001F000000}" name="OBSERVACIONES" dataDxfId="117" totalsRowDxfId="116"/>
  </tableColumns>
  <tableStyleInfo name="TableStyleLight1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la25683567" displayName="Tabla25683567" ref="B25:AD28" totalsRowShown="0" headerRowDxfId="115" dataDxfId="113" headerRowBorderDxfId="114" tableBorderDxfId="112" totalsRowBorderDxfId="111">
  <autoFilter ref="B25:AD28" xr:uid="{00000000-0009-0000-0100-000006000000}"/>
  <tableColumns count="29">
    <tableColumn id="1" xr3:uid="{00000000-0010-0000-0400-000001000000}" name="No. " dataDxfId="110" totalsRowDxfId="109"/>
    <tableColumn id="2" xr3:uid="{00000000-0010-0000-0400-000002000000}" name="Entidad Contratante" dataDxfId="108" totalsRowDxfId="107"/>
    <tableColumn id="3" xr3:uid="{00000000-0010-0000-0400-000003000000}" name="Contratista o Integrante que aporta experiencia" dataDxfId="106" totalsRowDxfId="105"/>
    <tableColumn id="14" xr3:uid="{00000000-0010-0000-0400-00000E000000}" name="No contrato" dataDxfId="104" totalsRowDxfId="103"/>
    <tableColumn id="21" xr3:uid="{00000000-0010-0000-0400-000015000000}" name="Certificación / Acta de Liquidación" totalsRowDxfId="102"/>
    <tableColumn id="4" xr3:uid="{00000000-0010-0000-0400-000004000000}" name="Objeto" dataDxfId="101" totalsRowDxfId="100"/>
    <tableColumn id="5" xr3:uid="{00000000-0010-0000-0400-000005000000}" name="Indivicual / Consorcio / UT" dataDxfId="99" totalsRowDxfId="98"/>
    <tableColumn id="6" xr3:uid="{00000000-0010-0000-0400-000006000000}" name="% de Participacion" dataDxfId="97" totalsRowDxfId="96"/>
    <tableColumn id="10" xr3:uid="{00000000-0010-0000-0400-00000A000000}" name="Documento de _x000a_asociación" dataDxfId="95" totalsRowDxfId="94"/>
    <tableColumn id="7" xr3:uid="{00000000-0010-0000-0400-000007000000}" name="# Consecutivo RUP" dataDxfId="93" totalsRowDxfId="92"/>
    <tableColumn id="8" xr3:uid="{00000000-0010-0000-0400-000008000000}" name="SMMLV RUP" dataDxfId="91" totalsRowDxfId="90"/>
    <tableColumn id="22" xr3:uid="{00000000-0010-0000-0400-000016000000}" name="Fecha de Inicio" totalsRowDxfId="89"/>
    <tableColumn id="9" xr3:uid="{00000000-0010-0000-0400-000009000000}" name="Fecha de Terminacion" dataDxfId="88" totalsRowDxfId="87"/>
    <tableColumn id="26" xr3:uid="{00000000-0010-0000-0400-00001A000000}" name="Año de Terminación" dataDxfId="86" totalsRowDxfId="85" dataCellStyle="Millares">
      <calculatedColumnFormula>YEAR(Tabla25683567[[#This Row],[Fecha de Terminacion]])</calculatedColumnFormula>
    </tableColumn>
    <tableColumn id="23" xr3:uid="{00000000-0010-0000-0400-000017000000}" name="Total SMMLV * % Participación (RUP)" dataDxfId="84" totalsRowDxfId="83">
      <calculatedColumnFormula>+Tabla25683567[[#This Row],[SMMLV RUP]]*Tabla25683567[[#This Row],[% de Participacion]]</calculatedColumnFormula>
    </tableColumn>
    <tableColumn id="15" xr3:uid="{00000000-0010-0000-0400-00000F000000}" name="Valor Total Ejecutado del Contrato ($)" dataDxfId="82" totalsRowDxfId="81"/>
    <tableColumn id="12" xr3:uid="{00000000-0010-0000-0400-00000C000000}" name="SMMLV AÑO DE TERMINACIÓN" dataDxfId="80" totalsRowDxfId="79">
      <calculatedColumnFormula>VLOOKUP(Tabla25683567[[#This Row],[Año de Terminación]],Tabla36[[Año]:[Salario mínimo mensual]],3,0)</calculatedColumnFormula>
    </tableColumn>
    <tableColumn id="25" xr3:uid="{00000000-0010-0000-0400-000019000000}" name="Valor Total Ejecutado del Contrato expresado en SMMLV" dataDxfId="78" totalsRowDxfId="77">
      <calculatedColumnFormula>+Tabla25683567[[#This Row],[Valor Total Ejecutado del Contrato ($)]]/Tabla25683567[[#This Row],[SMMLV AÑO DE TERMINACIÓN]]*Tabla25683567[[#This Row],[% de Participacion]]</calculatedColumnFormula>
    </tableColumn>
    <tableColumn id="19" xr3:uid="{00000000-0010-0000-0400-000013000000}" name="72101500" totalsRowDxfId="76"/>
    <tableColumn id="18" xr3:uid="{00000000-0010-0000-0400-000012000000}" name="40101700" dataDxfId="75" totalsRowDxfId="74"/>
    <tableColumn id="28" xr3:uid="{00000000-0010-0000-0400-00001C000000}" name="72151200" dataDxfId="73" totalsRowDxfId="72"/>
    <tableColumn id="29" xr3:uid="{00000000-0010-0000-0400-00001D000000}" name="72151800" dataDxfId="71" totalsRowDxfId="70"/>
    <tableColumn id="16" xr3:uid="{00000000-0010-0000-0400-000010000000}" name="Servicios de mantenimiento correctivo de aires acondicionados" dataDxfId="69" totalsRowDxfId="68"/>
    <tableColumn id="11" xr3:uid="{00000000-0010-0000-0400-00000B000000}" name="Servicios de mantenimiento preventivo de aires acondicionados" dataDxfId="67" totalsRowDxfId="66"/>
    <tableColumn id="13" xr3:uid="{00000000-0010-0000-0400-00000D000000}" name="Suministro e instalación de aires acondicionados" dataDxfId="65" totalsRowDxfId="64"/>
    <tableColumn id="20" xr3:uid="{00000000-0010-0000-0400-000014000000}" name="Suministro e instalación mediante bolsa de repuestos" dataDxfId="63" totalsRowDxfId="62"/>
    <tableColumn id="24" xr3:uid="{00000000-0010-0000-0400-000018000000}" name="FORMATO No. 6 RELACIÓN DE EXPERIENCIA INSCRITA EN EL RUP" dataDxfId="61" totalsRowDxfId="60"/>
    <tableColumn id="27" xr3:uid="{00000000-0010-0000-0400-00001B000000}" name="RESULTADO_x000a_CUMPLE / NO CUMPLE" totalsRowDxfId="59"/>
    <tableColumn id="31" xr3:uid="{00000000-0010-0000-0400-00001F000000}" name="OBSERVACIONES" dataDxfId="58" totalsRowDxfId="57"/>
  </tableColumns>
  <tableStyleInfo name="TableStyleLight1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Tabla36" displayName="Tabla36" ref="A8:C49" totalsRowShown="0" headerRowDxfId="56" dataDxfId="55" tableBorderDxfId="54">
  <autoFilter ref="A8:C49" xr:uid="{00000000-0009-0000-0100-000001000000}"/>
  <sortState xmlns:xlrd2="http://schemas.microsoft.com/office/spreadsheetml/2017/richdata2" ref="A9:E46">
    <sortCondition ref="A8:A46"/>
  </sortState>
  <tableColumns count="3">
    <tableColumn id="1" xr3:uid="{00000000-0010-0000-0500-000001000000}" name="Año" dataDxfId="53"/>
    <tableColumn id="2" xr3:uid="{00000000-0010-0000-0500-000002000000}" name="Salario mínimo diario" dataDxfId="52"/>
    <tableColumn id="3" xr3:uid="{00000000-0010-0000-0500-000003000000}" name="Salario mínimo mensual" dataDxfId="51"/>
  </tableColumns>
  <tableStyleInfo name="TableStyleLight1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6000000}" name="Tabla24" displayName="Tabla24" ref="B27:Z30" totalsRowShown="0" headerRowDxfId="50" dataDxfId="48" headerRowBorderDxfId="49" tableBorderDxfId="47" totalsRowBorderDxfId="46">
  <autoFilter ref="B27:Z30" xr:uid="{00000000-0009-0000-0100-000003000000}"/>
  <tableColumns count="25">
    <tableColumn id="1" xr3:uid="{00000000-0010-0000-0600-000001000000}" name="No. " dataDxfId="45" totalsRowDxfId="44">
      <calculatedColumnFormula>B27+1</calculatedColumnFormula>
    </tableColumn>
    <tableColumn id="2" xr3:uid="{00000000-0010-0000-0600-000002000000}" name="Entidad Contratante" dataDxfId="43" totalsRowDxfId="42"/>
    <tableColumn id="3" xr3:uid="{00000000-0010-0000-0600-000003000000}" name="Contratista o Integrante que aporta experiencia" dataDxfId="41" totalsRowDxfId="40"/>
    <tableColumn id="14" xr3:uid="{00000000-0010-0000-0600-00000E000000}" name="No contrato" dataDxfId="39" totalsRowDxfId="38"/>
    <tableColumn id="21" xr3:uid="{00000000-0010-0000-0600-000015000000}" name="Certificación / Acta de Liquidación" totalsRowDxfId="37"/>
    <tableColumn id="4" xr3:uid="{00000000-0010-0000-0600-000004000000}" name="Objeto" dataDxfId="36" totalsRowDxfId="35"/>
    <tableColumn id="5" xr3:uid="{00000000-0010-0000-0600-000005000000}" name="Indivicual / Consorcio / UT" dataDxfId="34" totalsRowDxfId="33"/>
    <tableColumn id="6" xr3:uid="{00000000-0010-0000-0600-000006000000}" name="% de Participacion" dataDxfId="32" totalsRowDxfId="31"/>
    <tableColumn id="10" xr3:uid="{00000000-0010-0000-0600-00000A000000}" name="Documento de _x000a_asociación" dataDxfId="30" totalsRowDxfId="29"/>
    <tableColumn id="7" xr3:uid="{00000000-0010-0000-0600-000007000000}" name="# Consecutivo RUP" dataDxfId="28" totalsRowDxfId="27"/>
    <tableColumn id="8" xr3:uid="{00000000-0010-0000-0600-000008000000}" name="SMMLV RUP" dataDxfId="26" totalsRowDxfId="25"/>
    <tableColumn id="22" xr3:uid="{00000000-0010-0000-0600-000016000000}" name="Fecha de Inicio" totalsRowDxfId="24"/>
    <tableColumn id="9" xr3:uid="{00000000-0010-0000-0600-000009000000}" name="Fecha de Terminacion" dataDxfId="23" totalsRowDxfId="22"/>
    <tableColumn id="26" xr3:uid="{00000000-0010-0000-0600-00001A000000}" name="Año de Terminación" dataDxfId="21" totalsRowDxfId="20" dataCellStyle="Millares">
      <calculatedColumnFormula>YEAR(Tabla24[[#This Row],[Fecha de Terminacion]])</calculatedColumnFormula>
    </tableColumn>
    <tableColumn id="23" xr3:uid="{00000000-0010-0000-0600-000017000000}" name="Total SMMLV * % Participación (RUP)" dataDxfId="19" totalsRowDxfId="18">
      <calculatedColumnFormula>+Tabla24[[#This Row],[SMMLV RUP]]*Tabla24[[#This Row],[% de Participacion]]</calculatedColumnFormula>
    </tableColumn>
    <tableColumn id="15" xr3:uid="{00000000-0010-0000-0600-00000F000000}" name="Valor Total Ejecutado del Contrato ($)" dataDxfId="17" totalsRowDxfId="16"/>
    <tableColumn id="12" xr3:uid="{00000000-0010-0000-0600-00000C000000}" name="SMMLV AÑO DE TERMINACIÓN" dataDxfId="15" totalsRowDxfId="14">
      <calculatedColumnFormula>VLOOKUP(Tabla24[[#This Row],[Año de Terminación]],Tabla36[[Año]:[Salario mínimo mensual]],3,0)</calculatedColumnFormula>
    </tableColumn>
    <tableColumn id="25" xr3:uid="{00000000-0010-0000-0600-000019000000}" name="Valor Total Ejecutado del Contrato expresado en SMMLV" dataDxfId="13" totalsRowDxfId="12">
      <calculatedColumnFormula>+Tabla24[[#This Row],[Valor Total Ejecutado del Contrato ($)]]/Tabla24[[#This Row],[SMMLV AÑO DE TERMINACIÓN]]*Tabla24[[#This Row],[% de Participacion]]</calculatedColumnFormula>
    </tableColumn>
    <tableColumn id="19" xr3:uid="{00000000-0010-0000-0600-000013000000}" name="46171600" totalsRowDxfId="11"/>
    <tableColumn id="18" xr3:uid="{00000000-0010-0000-0600-000012000000}" name="92121500" dataDxfId="10" totalsRowDxfId="9"/>
    <tableColumn id="17" xr3:uid="{00000000-0010-0000-0600-000011000000}" name="92121700" dataDxfId="8" totalsRowDxfId="7"/>
    <tableColumn id="16" xr3:uid="{00000000-0010-0000-0600-000010000000}" name="Seguridad privada en la modalidad fija y móvil, con y sin arma de fuego, con medios de apoyo tecnológicos" dataDxfId="6" totalsRowDxfId="5"/>
    <tableColumn id="20" xr3:uid="{00000000-0010-0000-0600-000014000000}" name="1 Contrato con Prestación de los servicios en mínimo 8 departamentos" totalsRowDxfId="4"/>
    <tableColumn id="24" xr3:uid="{00000000-0010-0000-0600-000018000000}" name="APORTA FORMATO DE RELACIÓN DE EXPERIENCIA" dataDxfId="3" totalsRowDxfId="2"/>
    <tableColumn id="13" xr3:uid="{00000000-0010-0000-0600-00000D000000}" name="OBSERVACIONES" dataDxfId="1" totalsRow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printerSettings" Target="../printerSettings/printerSettings8.bin"/><Relationship Id="rId1" Type="http://schemas.openxmlformats.org/officeDocument/2006/relationships/hyperlink" Target="http://www.presidencia.gov.co/" TargetMode="External"/></Relationships>
</file>

<file path=xl/worksheets/_rels/sheet9.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18"/>
  <sheetViews>
    <sheetView tabSelected="1" workbookViewId="0">
      <selection activeCell="B22" sqref="B22"/>
    </sheetView>
  </sheetViews>
  <sheetFormatPr baseColWidth="10" defaultColWidth="11.42578125" defaultRowHeight="15" x14ac:dyDescent="0.25"/>
  <cols>
    <col min="1" max="1" width="11.42578125" style="47"/>
    <col min="2" max="2" width="45.85546875" style="47" bestFit="1" customWidth="1"/>
    <col min="3" max="3" width="12.140625" style="47" bestFit="1" customWidth="1"/>
    <col min="4" max="4" width="14.85546875" style="47" bestFit="1" customWidth="1"/>
    <col min="5" max="5" width="23.140625" style="47" bestFit="1" customWidth="1"/>
    <col min="6" max="6" width="11.85546875" style="47" bestFit="1" customWidth="1"/>
    <col min="7" max="7" width="31.7109375" style="47" customWidth="1"/>
    <col min="8" max="16384" width="11.42578125" style="47"/>
  </cols>
  <sheetData>
    <row r="1" spans="2:7" x14ac:dyDescent="0.25">
      <c r="B1" s="151" t="s">
        <v>113</v>
      </c>
      <c r="C1" s="151"/>
      <c r="D1" s="151"/>
      <c r="E1" s="151"/>
      <c r="F1" s="151"/>
      <c r="G1" s="151"/>
    </row>
    <row r="2" spans="2:7" x14ac:dyDescent="0.25">
      <c r="B2" s="151"/>
      <c r="C2" s="151"/>
      <c r="D2" s="151"/>
      <c r="E2" s="151"/>
      <c r="F2" s="151"/>
      <c r="G2" s="151"/>
    </row>
    <row r="3" spans="2:7" ht="15.75" x14ac:dyDescent="0.25">
      <c r="B3" s="152" t="s">
        <v>123</v>
      </c>
      <c r="C3" s="152"/>
      <c r="D3" s="152"/>
      <c r="E3" s="152"/>
      <c r="F3" s="152"/>
      <c r="G3" s="152"/>
    </row>
    <row r="4" spans="2:7" x14ac:dyDescent="0.25">
      <c r="B4" s="153"/>
      <c r="C4" s="153"/>
      <c r="D4" s="153"/>
      <c r="E4" s="153"/>
      <c r="F4" s="153"/>
      <c r="G4" s="153"/>
    </row>
    <row r="5" spans="2:7" x14ac:dyDescent="0.25">
      <c r="B5" s="154"/>
      <c r="C5" s="154"/>
      <c r="D5" s="154"/>
      <c r="E5" s="154"/>
      <c r="F5" s="154"/>
      <c r="G5" s="154"/>
    </row>
    <row r="7" spans="2:7" x14ac:dyDescent="0.25">
      <c r="B7" s="123" t="s">
        <v>108</v>
      </c>
      <c r="C7" s="124" t="s">
        <v>82</v>
      </c>
      <c r="D7" s="124" t="s">
        <v>109</v>
      </c>
      <c r="E7" s="124" t="s">
        <v>112</v>
      </c>
      <c r="F7" s="124" t="s">
        <v>110</v>
      </c>
      <c r="G7" s="118" t="s">
        <v>17</v>
      </c>
    </row>
    <row r="8" spans="2:7" x14ac:dyDescent="0.25">
      <c r="B8" s="137" t="s">
        <v>126</v>
      </c>
      <c r="C8" s="129" t="s">
        <v>142</v>
      </c>
      <c r="D8" s="130" t="s">
        <v>19</v>
      </c>
      <c r="E8" s="130" t="s">
        <v>19</v>
      </c>
      <c r="F8" s="140" t="s">
        <v>142</v>
      </c>
      <c r="G8" s="50" t="s">
        <v>111</v>
      </c>
    </row>
    <row r="9" spans="2:7" x14ac:dyDescent="0.25">
      <c r="B9" s="137" t="s">
        <v>144</v>
      </c>
      <c r="C9" s="129" t="s">
        <v>142</v>
      </c>
      <c r="D9" s="130" t="s">
        <v>19</v>
      </c>
      <c r="E9" s="130" t="s">
        <v>19</v>
      </c>
      <c r="F9" s="140" t="s">
        <v>142</v>
      </c>
      <c r="G9" s="50" t="s">
        <v>111</v>
      </c>
    </row>
    <row r="10" spans="2:7" x14ac:dyDescent="0.25">
      <c r="B10" s="198" t="s">
        <v>147</v>
      </c>
      <c r="C10" s="140" t="s">
        <v>142</v>
      </c>
      <c r="D10" s="199" t="s">
        <v>19</v>
      </c>
      <c r="E10" s="199" t="s">
        <v>19</v>
      </c>
      <c r="F10" s="140" t="s">
        <v>184</v>
      </c>
      <c r="G10" s="50" t="s">
        <v>111</v>
      </c>
    </row>
    <row r="11" spans="2:7" x14ac:dyDescent="0.25">
      <c r="B11" s="137" t="s">
        <v>155</v>
      </c>
      <c r="C11" s="129" t="s">
        <v>142</v>
      </c>
      <c r="D11" s="130" t="s">
        <v>19</v>
      </c>
      <c r="E11" s="130" t="s">
        <v>19</v>
      </c>
      <c r="F11" s="140" t="s">
        <v>142</v>
      </c>
      <c r="G11" s="50" t="s">
        <v>111</v>
      </c>
    </row>
    <row r="12" spans="2:7" x14ac:dyDescent="0.25">
      <c r="B12" s="137" t="s">
        <v>163</v>
      </c>
      <c r="C12" s="129" t="s">
        <v>142</v>
      </c>
      <c r="D12" s="130" t="s">
        <v>19</v>
      </c>
      <c r="E12" s="130" t="s">
        <v>19</v>
      </c>
      <c r="F12" s="140" t="s">
        <v>142</v>
      </c>
      <c r="G12" s="50" t="s">
        <v>111</v>
      </c>
    </row>
    <row r="16" spans="2:7" x14ac:dyDescent="0.25">
      <c r="B16" s="47" t="s">
        <v>185</v>
      </c>
    </row>
    <row r="17" spans="2:2" x14ac:dyDescent="0.25">
      <c r="B17" s="47" t="s">
        <v>187</v>
      </c>
    </row>
    <row r="18" spans="2:2" x14ac:dyDescent="0.25">
      <c r="B18" s="132" t="s">
        <v>188</v>
      </c>
    </row>
  </sheetData>
  <mergeCells count="3">
    <mergeCell ref="B1:G2"/>
    <mergeCell ref="B3:G3"/>
    <mergeCell ref="B4:G5"/>
  </mergeCells>
  <pageMargins left="0.7" right="0.7" top="0.75" bottom="0.75" header="0.3" footer="0.3"/>
  <pageSetup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5:AD29"/>
  <sheetViews>
    <sheetView showGridLines="0" view="pageBreakPreview" topLeftCell="A4" zoomScale="70" zoomScaleNormal="70" zoomScaleSheetLayoutView="70" workbookViewId="0">
      <selection activeCell="C19" sqref="C19:E19"/>
    </sheetView>
  </sheetViews>
  <sheetFormatPr baseColWidth="10" defaultColWidth="11.42578125" defaultRowHeight="15" x14ac:dyDescent="0.25"/>
  <cols>
    <col min="1" max="1" width="11.42578125" style="11"/>
    <col min="2" max="2" width="9.42578125" style="11" bestFit="1" customWidth="1"/>
    <col min="3" max="3" width="55.2851562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2" style="11" customWidth="1"/>
    <col min="31" max="31" width="0" style="11" hidden="1" customWidth="1"/>
    <col min="32" max="16384" width="11.42578125" style="11"/>
  </cols>
  <sheetData>
    <row r="5" spans="3:7" ht="11.25" customHeight="1" x14ac:dyDescent="0.25"/>
    <row r="6" spans="3:7" ht="18.75" customHeight="1" x14ac:dyDescent="0.25">
      <c r="C6" s="157" t="s">
        <v>99</v>
      </c>
      <c r="D6" s="157"/>
      <c r="E6" s="157"/>
      <c r="F6" s="157"/>
    </row>
    <row r="7" spans="3:7" x14ac:dyDescent="0.25">
      <c r="C7" s="157" t="s">
        <v>124</v>
      </c>
      <c r="D7" s="157"/>
      <c r="E7" s="157"/>
      <c r="F7" s="157"/>
    </row>
    <row r="8" spans="3:7" ht="15" customHeight="1" x14ac:dyDescent="0.25">
      <c r="C8" s="158" t="s">
        <v>125</v>
      </c>
      <c r="D8" s="158"/>
      <c r="E8" s="158"/>
      <c r="F8" s="158"/>
      <c r="G8" s="158"/>
    </row>
    <row r="9" spans="3:7" x14ac:dyDescent="0.25">
      <c r="C9" s="158"/>
      <c r="D9" s="158"/>
      <c r="E9" s="158"/>
      <c r="F9" s="158"/>
      <c r="G9" s="158"/>
    </row>
    <row r="10" spans="3:7" x14ac:dyDescent="0.25">
      <c r="C10" s="45"/>
      <c r="D10" s="45"/>
      <c r="E10" s="45"/>
      <c r="F10" s="45"/>
      <c r="G10" s="45"/>
    </row>
    <row r="11" spans="3:7" ht="16.5" x14ac:dyDescent="0.3">
      <c r="C11" s="12" t="s">
        <v>36</v>
      </c>
      <c r="D11" s="113">
        <v>370000000</v>
      </c>
      <c r="G11" s="13"/>
    </row>
    <row r="12" spans="3:7" x14ac:dyDescent="0.25">
      <c r="C12" s="12" t="s">
        <v>9</v>
      </c>
      <c r="D12" s="88">
        <v>2024</v>
      </c>
      <c r="G12" s="13"/>
    </row>
    <row r="13" spans="3:7" x14ac:dyDescent="0.25">
      <c r="C13" s="12" t="s">
        <v>31</v>
      </c>
      <c r="D13" s="90">
        <f>D11/(VLOOKUP($D$12,Tabla36[#All],3,FALSE))</f>
        <v>284.61538461538464</v>
      </c>
      <c r="E13" s="115"/>
      <c r="F13" s="40"/>
    </row>
    <row r="14" spans="3:7" x14ac:dyDescent="0.25">
      <c r="C14" s="12" t="s">
        <v>78</v>
      </c>
      <c r="D14" s="90">
        <f>+S26+S27+S28</f>
        <v>455.1399875194312</v>
      </c>
      <c r="E14" s="125" t="str">
        <f>IF(D14&gt;=D13,"CUMPLE","NO CUMPLE")</f>
        <v>CUMPLE</v>
      </c>
      <c r="F14" s="40"/>
    </row>
    <row r="15" spans="3:7" x14ac:dyDescent="0.25">
      <c r="C15" s="12" t="s">
        <v>10</v>
      </c>
      <c r="D15" s="121"/>
      <c r="F15" s="15"/>
    </row>
    <row r="16" spans="3:7" x14ac:dyDescent="0.25">
      <c r="C16" s="12" t="s">
        <v>18</v>
      </c>
      <c r="D16" s="159" t="s">
        <v>126</v>
      </c>
      <c r="E16" s="159"/>
      <c r="F16" s="15"/>
    </row>
    <row r="17" spans="2:30" x14ac:dyDescent="0.25">
      <c r="C17" s="12" t="s">
        <v>30</v>
      </c>
      <c r="D17" s="160">
        <f>+COUNT(B26,B27,B28)</f>
        <v>3</v>
      </c>
      <c r="E17" s="160"/>
      <c r="F17" s="15"/>
    </row>
    <row r="18" spans="2:30" ht="155.25" customHeight="1" x14ac:dyDescent="0.25">
      <c r="C18" s="12" t="s">
        <v>122</v>
      </c>
      <c r="D18" s="139" t="s">
        <v>172</v>
      </c>
      <c r="E18" s="150" t="s">
        <v>142</v>
      </c>
      <c r="F18" s="131"/>
    </row>
    <row r="19" spans="2:30" ht="155.25" customHeight="1" x14ac:dyDescent="0.25">
      <c r="C19" s="12" t="s">
        <v>178</v>
      </c>
      <c r="D19" s="148" t="s">
        <v>128</v>
      </c>
      <c r="E19" s="14" t="s">
        <v>19</v>
      </c>
      <c r="F19" s="131"/>
    </row>
    <row r="20" spans="2:30" ht="30" x14ac:dyDescent="0.25">
      <c r="C20" s="12" t="s">
        <v>100</v>
      </c>
      <c r="D20" s="43" t="s">
        <v>128</v>
      </c>
      <c r="E20" s="14" t="s">
        <v>19</v>
      </c>
      <c r="F20" s="40"/>
    </row>
    <row r="21" spans="2:30" ht="30" x14ac:dyDescent="0.25">
      <c r="C21" s="12" t="s">
        <v>127</v>
      </c>
      <c r="D21" s="43" t="s">
        <v>128</v>
      </c>
      <c r="E21" s="14" t="s">
        <v>19</v>
      </c>
      <c r="F21" s="40"/>
    </row>
    <row r="22" spans="2:30" x14ac:dyDescent="0.25">
      <c r="C22" s="12" t="s">
        <v>79</v>
      </c>
      <c r="D22" s="117" t="s">
        <v>142</v>
      </c>
      <c r="E22" s="161" t="s">
        <v>143</v>
      </c>
      <c r="F22" s="162"/>
    </row>
    <row r="24" spans="2:30" x14ac:dyDescent="0.25">
      <c r="F24" s="86"/>
      <c r="T24" s="155" t="s">
        <v>23</v>
      </c>
      <c r="U24" s="155"/>
      <c r="V24" s="155"/>
      <c r="W24" s="155"/>
      <c r="X24" s="156" t="s">
        <v>82</v>
      </c>
      <c r="Y24" s="156"/>
      <c r="Z24" s="156"/>
      <c r="AA24" s="156"/>
    </row>
    <row r="25" spans="2:30"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row>
    <row r="26" spans="2:30" ht="165" x14ac:dyDescent="0.25">
      <c r="B26" s="19">
        <v>1</v>
      </c>
      <c r="C26" s="20" t="s">
        <v>129</v>
      </c>
      <c r="D26" s="20" t="s">
        <v>132</v>
      </c>
      <c r="E26" s="20" t="s">
        <v>133</v>
      </c>
      <c r="F26" s="20" t="s">
        <v>137</v>
      </c>
      <c r="G26" s="21" t="s">
        <v>136</v>
      </c>
      <c r="H26" s="22" t="s">
        <v>138</v>
      </c>
      <c r="I26" s="23">
        <v>1</v>
      </c>
      <c r="J26" s="23" t="s">
        <v>139</v>
      </c>
      <c r="K26" s="24">
        <v>46</v>
      </c>
      <c r="L26" s="25">
        <v>151.69</v>
      </c>
      <c r="M26" s="26">
        <v>45166</v>
      </c>
      <c r="N26" s="26">
        <v>45288</v>
      </c>
      <c r="O26" s="85">
        <f>YEAR(Tabla2568[[#This Row],[Fecha de Terminacion]])</f>
        <v>2023</v>
      </c>
      <c r="P26" s="28">
        <f>+Tabla2568[[#This Row],[SMMLV RUP]]*Tabla2568[[#This Row],[% de Participacion]]</f>
        <v>151.69</v>
      </c>
      <c r="Q26" s="127">
        <v>175971457.52000001</v>
      </c>
      <c r="R26" s="82">
        <f>VLOOKUP(Tabla2568[[#This Row],[Año de Terminación]],Tabla36[[Año]:[Salario mínimo mensual]],3,0)</f>
        <v>1160000</v>
      </c>
      <c r="S26" s="82">
        <f>+Tabla2568[[#This Row],[Valor Total Ejecutado del Contrato ($)]]/Tabla2568[[#This Row],[SMMLV AÑO DE TERMINACIÓN]]*Tabla2568[[#This Row],[% de Participacion]]</f>
        <v>151.69953234482759</v>
      </c>
      <c r="T26" s="122" t="s">
        <v>19</v>
      </c>
      <c r="U26" s="122" t="s">
        <v>19</v>
      </c>
      <c r="V26" s="122" t="s">
        <v>139</v>
      </c>
      <c r="W26" s="122" t="s">
        <v>139</v>
      </c>
      <c r="X26" s="114" t="s">
        <v>142</v>
      </c>
      <c r="Y26" s="114" t="s">
        <v>142</v>
      </c>
      <c r="Z26" s="114" t="s">
        <v>142</v>
      </c>
      <c r="AA26" s="114" t="s">
        <v>142</v>
      </c>
      <c r="AB26" s="133" t="s">
        <v>19</v>
      </c>
      <c r="AC26" s="128" t="s">
        <v>142</v>
      </c>
      <c r="AD26" s="116" t="s">
        <v>181</v>
      </c>
    </row>
    <row r="27" spans="2:30" ht="210" x14ac:dyDescent="0.25">
      <c r="B27" s="19">
        <v>2</v>
      </c>
      <c r="C27" s="20" t="s">
        <v>130</v>
      </c>
      <c r="D27" s="20" t="s">
        <v>132</v>
      </c>
      <c r="E27" s="20" t="s">
        <v>134</v>
      </c>
      <c r="F27" s="20" t="s">
        <v>137</v>
      </c>
      <c r="G27" s="21" t="s">
        <v>140</v>
      </c>
      <c r="H27" s="126" t="s">
        <v>138</v>
      </c>
      <c r="I27" s="23">
        <v>1</v>
      </c>
      <c r="J27" s="23" t="s">
        <v>139</v>
      </c>
      <c r="K27" s="119">
        <v>18</v>
      </c>
      <c r="L27" s="120">
        <v>93.33</v>
      </c>
      <c r="M27" s="26">
        <v>43635</v>
      </c>
      <c r="N27" s="26">
        <v>43830</v>
      </c>
      <c r="O27" s="85">
        <f>YEAR(Tabla2568[[#This Row],[Fecha de Terminacion]])</f>
        <v>2019</v>
      </c>
      <c r="P27" s="120">
        <f>+Tabla2568[[#This Row],[SMMLV RUP]]*Tabla2568[[#This Row],[% de Participacion]]</f>
        <v>93.33</v>
      </c>
      <c r="Q27" s="127">
        <v>96000000</v>
      </c>
      <c r="R27" s="81">
        <f>VLOOKUP(Tabla2568[[#This Row],[Año de Terminación]],Tabla36[[Año]:[Salario mínimo mensual]],3,0)</f>
        <v>828116</v>
      </c>
      <c r="S27" s="82">
        <f>+Tabla2568[[#This Row],[Valor Total Ejecutado del Contrato ($)]]/Tabla2568[[#This Row],[SMMLV AÑO DE TERMINACIÓN]]*Tabla2568[[#This Row],[% de Participacion]]</f>
        <v>115.92578817460355</v>
      </c>
      <c r="T27" s="122" t="s">
        <v>19</v>
      </c>
      <c r="U27" s="122" t="s">
        <v>19</v>
      </c>
      <c r="V27" s="122" t="s">
        <v>19</v>
      </c>
      <c r="W27" s="122" t="s">
        <v>139</v>
      </c>
      <c r="X27" s="122" t="s">
        <v>19</v>
      </c>
      <c r="Y27" s="122" t="s">
        <v>19</v>
      </c>
      <c r="Z27" s="114" t="s">
        <v>142</v>
      </c>
      <c r="AA27" s="114" t="s">
        <v>142</v>
      </c>
      <c r="AB27" s="133" t="s">
        <v>19</v>
      </c>
      <c r="AC27" s="138" t="s">
        <v>19</v>
      </c>
      <c r="AD27" s="116" t="s">
        <v>182</v>
      </c>
    </row>
    <row r="28" spans="2:30" ht="210" x14ac:dyDescent="0.25">
      <c r="B28" s="30">
        <v>3</v>
      </c>
      <c r="C28" s="31" t="s">
        <v>131</v>
      </c>
      <c r="D28" s="20" t="s">
        <v>132</v>
      </c>
      <c r="E28" s="31" t="s">
        <v>135</v>
      </c>
      <c r="F28" s="20" t="s">
        <v>141</v>
      </c>
      <c r="G28" s="33" t="s">
        <v>183</v>
      </c>
      <c r="H28" s="126" t="s">
        <v>138</v>
      </c>
      <c r="I28" s="23">
        <v>1</v>
      </c>
      <c r="J28" s="23" t="s">
        <v>139</v>
      </c>
      <c r="K28" s="32">
        <v>51</v>
      </c>
      <c r="L28" s="35">
        <v>187.51</v>
      </c>
      <c r="M28" s="26">
        <v>44378</v>
      </c>
      <c r="N28" s="36">
        <v>44926</v>
      </c>
      <c r="O28" s="85">
        <f>YEAR(Tabla2568[[#This Row],[Fecha de Terminacion]])</f>
        <v>2022</v>
      </c>
      <c r="P28" s="120">
        <f>+Tabla2568[[#This Row],[SMMLV RUP]]*Tabla2568[[#This Row],[% de Participacion]]</f>
        <v>187.51</v>
      </c>
      <c r="Q28" s="127">
        <v>187514667</v>
      </c>
      <c r="R28" s="81">
        <f>VLOOKUP(Tabla2568[[#This Row],[Año de Terminación]],Tabla36[[Año]:[Salario mínimo mensual]],3,0)</f>
        <v>1000000</v>
      </c>
      <c r="S28" s="82">
        <f>+Tabla2568[[#This Row],[Valor Total Ejecutado del Contrato ($)]]/Tabla2568[[#This Row],[SMMLV AÑO DE TERMINACIÓN]]*Tabla2568[[#This Row],[% de Participacion]]</f>
        <v>187.514667</v>
      </c>
      <c r="T28" s="122" t="s">
        <v>19</v>
      </c>
      <c r="U28" s="122" t="s">
        <v>19</v>
      </c>
      <c r="V28" s="122" t="s">
        <v>139</v>
      </c>
      <c r="W28" s="122" t="s">
        <v>139</v>
      </c>
      <c r="X28" s="114" t="s">
        <v>142</v>
      </c>
      <c r="Y28" s="122" t="s">
        <v>19</v>
      </c>
      <c r="Z28" s="114" t="s">
        <v>142</v>
      </c>
      <c r="AA28" s="114" t="s">
        <v>142</v>
      </c>
      <c r="AB28" s="133" t="s">
        <v>19</v>
      </c>
      <c r="AC28" s="128" t="s">
        <v>142</v>
      </c>
      <c r="AD28" s="116" t="s">
        <v>182</v>
      </c>
    </row>
    <row r="29" spans="2:30" ht="112.5" customHeight="1" x14ac:dyDescent="0.25"/>
  </sheetData>
  <mergeCells count="8">
    <mergeCell ref="T24:W24"/>
    <mergeCell ref="X24:AA24"/>
    <mergeCell ref="C6:F6"/>
    <mergeCell ref="C7:F7"/>
    <mergeCell ref="C8:G9"/>
    <mergeCell ref="D16:E16"/>
    <mergeCell ref="D17:E17"/>
    <mergeCell ref="E22:F22"/>
  </mergeCells>
  <phoneticPr fontId="20" type="noConversion"/>
  <pageMargins left="0.7" right="0.7" top="0.75" bottom="0.75" header="0.3" footer="0.3"/>
  <pageSetup paperSize="9" scale="17"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5:AD29"/>
  <sheetViews>
    <sheetView showGridLines="0" view="pageBreakPreview" zoomScale="70" zoomScaleNormal="70" zoomScaleSheetLayoutView="70" workbookViewId="0">
      <selection activeCell="AC26" sqref="AC26"/>
    </sheetView>
  </sheetViews>
  <sheetFormatPr baseColWidth="10" defaultColWidth="11.42578125" defaultRowHeight="15" x14ac:dyDescent="0.25"/>
  <cols>
    <col min="1" max="1" width="11.42578125" style="11"/>
    <col min="2" max="2" width="9.42578125" style="11" bestFit="1" customWidth="1"/>
    <col min="3" max="3" width="55.2851562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2" style="11" customWidth="1"/>
    <col min="31" max="31" width="0" style="11" hidden="1" customWidth="1"/>
    <col min="32" max="16384" width="11.42578125" style="11"/>
  </cols>
  <sheetData>
    <row r="5" spans="3:7" ht="11.25" customHeight="1" x14ac:dyDescent="0.25"/>
    <row r="6" spans="3:7" ht="18.75" customHeight="1" x14ac:dyDescent="0.25">
      <c r="C6" s="157" t="s">
        <v>99</v>
      </c>
      <c r="D6" s="157"/>
      <c r="E6" s="157"/>
      <c r="F6" s="157"/>
    </row>
    <row r="7" spans="3:7" x14ac:dyDescent="0.25">
      <c r="C7" s="157" t="s">
        <v>124</v>
      </c>
      <c r="D7" s="157"/>
      <c r="E7" s="157"/>
      <c r="F7" s="157"/>
    </row>
    <row r="8" spans="3:7" ht="15" customHeight="1" x14ac:dyDescent="0.25">
      <c r="C8" s="158" t="s">
        <v>125</v>
      </c>
      <c r="D8" s="158"/>
      <c r="E8" s="158"/>
      <c r="F8" s="158"/>
      <c r="G8" s="158"/>
    </row>
    <row r="9" spans="3:7" x14ac:dyDescent="0.25">
      <c r="C9" s="158"/>
      <c r="D9" s="158"/>
      <c r="E9" s="158"/>
      <c r="F9" s="158"/>
      <c r="G9" s="158"/>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90">
        <f>+S26+S27+S28</f>
        <v>406.66000647944946</v>
      </c>
      <c r="E14" s="125" t="str">
        <f>IF(D14&gt;=D13,"CUMPLE","NO CUMPLE")</f>
        <v>CUMPLE</v>
      </c>
      <c r="F14" s="40"/>
    </row>
    <row r="15" spans="3:7" x14ac:dyDescent="0.25">
      <c r="C15" s="12" t="s">
        <v>10</v>
      </c>
      <c r="D15" s="121"/>
      <c r="F15" s="15"/>
    </row>
    <row r="16" spans="3:7" x14ac:dyDescent="0.25">
      <c r="C16" s="12" t="s">
        <v>18</v>
      </c>
      <c r="D16" s="159" t="s">
        <v>144</v>
      </c>
      <c r="E16" s="159"/>
      <c r="F16" s="15"/>
    </row>
    <row r="17" spans="2:30" x14ac:dyDescent="0.25">
      <c r="C17" s="12" t="s">
        <v>30</v>
      </c>
      <c r="D17" s="160">
        <f>+COUNT(B26,B27,B28)</f>
        <v>1</v>
      </c>
      <c r="E17" s="160"/>
      <c r="F17" s="15"/>
    </row>
    <row r="18" spans="2:30" ht="155.25" customHeight="1" x14ac:dyDescent="0.25">
      <c r="C18" s="12" t="s">
        <v>122</v>
      </c>
      <c r="D18" s="144" t="s">
        <v>172</v>
      </c>
      <c r="E18" s="145" t="s">
        <v>142</v>
      </c>
      <c r="F18" s="131"/>
    </row>
    <row r="19" spans="2:30" ht="155.25" customHeight="1" x14ac:dyDescent="0.25">
      <c r="C19" s="12" t="s">
        <v>178</v>
      </c>
      <c r="D19" s="148" t="s">
        <v>177</v>
      </c>
      <c r="E19" s="145" t="s">
        <v>142</v>
      </c>
      <c r="F19" s="131"/>
    </row>
    <row r="20" spans="2:30" ht="30" x14ac:dyDescent="0.25">
      <c r="C20" s="12" t="s">
        <v>100</v>
      </c>
      <c r="D20" s="43" t="s">
        <v>128</v>
      </c>
      <c r="E20" s="14" t="s">
        <v>19</v>
      </c>
      <c r="F20" s="40"/>
    </row>
    <row r="21" spans="2:30" ht="30" x14ac:dyDescent="0.25">
      <c r="C21" s="12" t="s">
        <v>101</v>
      </c>
      <c r="D21" s="43" t="s">
        <v>128</v>
      </c>
      <c r="E21" s="14" t="s">
        <v>19</v>
      </c>
      <c r="F21" s="40"/>
    </row>
    <row r="22" spans="2:30" x14ac:dyDescent="0.25">
      <c r="C22" s="12" t="s">
        <v>79</v>
      </c>
      <c r="D22" s="117" t="s">
        <v>142</v>
      </c>
      <c r="E22" s="161" t="s">
        <v>143</v>
      </c>
      <c r="F22" s="162"/>
    </row>
    <row r="24" spans="2:30" x14ac:dyDescent="0.25">
      <c r="F24" s="86"/>
      <c r="T24" s="155" t="s">
        <v>23</v>
      </c>
      <c r="U24" s="155"/>
      <c r="V24" s="155"/>
      <c r="W24" s="155"/>
      <c r="X24" s="156" t="s">
        <v>82</v>
      </c>
      <c r="Y24" s="156"/>
      <c r="Z24" s="156"/>
      <c r="AA24" s="156"/>
    </row>
    <row r="25" spans="2:30"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row>
    <row r="26" spans="2:30" ht="209.25" customHeight="1" x14ac:dyDescent="0.25">
      <c r="B26" s="19">
        <v>1</v>
      </c>
      <c r="C26" s="20" t="s">
        <v>145</v>
      </c>
      <c r="D26" s="20" t="s">
        <v>146</v>
      </c>
      <c r="E26" s="149" t="s">
        <v>142</v>
      </c>
      <c r="F26" s="20" t="s">
        <v>137</v>
      </c>
      <c r="G26" s="21" t="s">
        <v>179</v>
      </c>
      <c r="H26" s="136" t="s">
        <v>138</v>
      </c>
      <c r="I26" s="23">
        <v>1</v>
      </c>
      <c r="J26" s="23" t="s">
        <v>139</v>
      </c>
      <c r="K26" s="24">
        <v>70</v>
      </c>
      <c r="L26" s="25">
        <v>406.66</v>
      </c>
      <c r="M26" s="26">
        <v>42005</v>
      </c>
      <c r="N26" s="26">
        <v>43099</v>
      </c>
      <c r="O26" s="85">
        <f>YEAR(Tabla25683[[#This Row],[Fecha de Terminacion]])</f>
        <v>2017</v>
      </c>
      <c r="P26" s="28">
        <f>+Tabla25683[[#This Row],[SMMLV RUP]]*Tabla25683[[#This Row],[% de Participacion]]</f>
        <v>406.66</v>
      </c>
      <c r="Q26" s="127">
        <v>300000000</v>
      </c>
      <c r="R26" s="82">
        <f>VLOOKUP(Tabla25683[[#This Row],[Año de Terminación]],Tabla36[[Año]:[Salario mínimo mensual]],3,0)</f>
        <v>737717</v>
      </c>
      <c r="S26" s="82">
        <f>+Tabla25683[[#This Row],[Valor Total Ejecutado del Contrato ($)]]/Tabla25683[[#This Row],[SMMLV AÑO DE TERMINACIÓN]]*Tabla25683[[#This Row],[% de Participacion]]</f>
        <v>406.66000647944946</v>
      </c>
      <c r="T26" s="120" t="s">
        <v>19</v>
      </c>
      <c r="U26" s="120" t="s">
        <v>19</v>
      </c>
      <c r="V26" s="120" t="s">
        <v>19</v>
      </c>
      <c r="W26" s="120" t="s">
        <v>19</v>
      </c>
      <c r="X26" s="120" t="s">
        <v>19</v>
      </c>
      <c r="Y26" s="120" t="s">
        <v>19</v>
      </c>
      <c r="Z26" s="122" t="s">
        <v>142</v>
      </c>
      <c r="AA26" s="122" t="s">
        <v>142</v>
      </c>
      <c r="AB26" s="120" t="s">
        <v>19</v>
      </c>
      <c r="AC26" s="128" t="s">
        <v>142</v>
      </c>
      <c r="AD26" s="116" t="s">
        <v>180</v>
      </c>
    </row>
    <row r="27" spans="2:30" x14ac:dyDescent="0.25">
      <c r="B27" s="19"/>
      <c r="C27" s="20"/>
      <c r="D27" s="20"/>
      <c r="E27" s="24"/>
      <c r="F27" s="20"/>
      <c r="G27" s="21"/>
      <c r="H27" s="136"/>
      <c r="I27" s="23"/>
      <c r="J27" s="23"/>
      <c r="K27" s="119"/>
      <c r="L27" s="120"/>
      <c r="M27" s="26"/>
      <c r="N27" s="26"/>
      <c r="O27" s="85"/>
      <c r="P27" s="120"/>
      <c r="Q27" s="127"/>
      <c r="R27" s="81"/>
      <c r="S27" s="82"/>
      <c r="T27" s="120"/>
      <c r="U27" s="120"/>
      <c r="V27" s="120"/>
      <c r="W27" s="120"/>
      <c r="X27" s="122"/>
      <c r="Y27" s="122"/>
      <c r="Z27" s="122"/>
      <c r="AA27" s="114"/>
      <c r="AB27" s="133"/>
      <c r="AC27" s="128"/>
      <c r="AD27" s="116"/>
    </row>
    <row r="28" spans="2:30"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row>
    <row r="29" spans="2:30" ht="112.5" customHeight="1" x14ac:dyDescent="0.25"/>
  </sheetData>
  <mergeCells count="8">
    <mergeCell ref="T24:W24"/>
    <mergeCell ref="X24:AA24"/>
    <mergeCell ref="C6:F6"/>
    <mergeCell ref="C7:F7"/>
    <mergeCell ref="C8:G9"/>
    <mergeCell ref="D16:E16"/>
    <mergeCell ref="D17:E17"/>
    <mergeCell ref="E22:F22"/>
  </mergeCells>
  <pageMargins left="0.7" right="0.7" top="0.75" bottom="0.75" header="0.3" footer="0.3"/>
  <pageSetup paperSize="9" scale="17"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5:AD29"/>
  <sheetViews>
    <sheetView showGridLines="0" view="pageBreakPreview" zoomScale="70" zoomScaleNormal="70" zoomScaleSheetLayoutView="70" workbookViewId="0">
      <selection activeCell="AA27" sqref="AA27"/>
    </sheetView>
  </sheetViews>
  <sheetFormatPr baseColWidth="10" defaultColWidth="11.42578125" defaultRowHeight="15" x14ac:dyDescent="0.25"/>
  <cols>
    <col min="1" max="1" width="11.42578125" style="11"/>
    <col min="2" max="2" width="9.42578125" style="11" bestFit="1" customWidth="1"/>
    <col min="3" max="3" width="58.570312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2" style="11" customWidth="1"/>
    <col min="31" max="31" width="0" style="11" hidden="1" customWidth="1"/>
    <col min="32" max="16384" width="11.42578125" style="11"/>
  </cols>
  <sheetData>
    <row r="5" spans="3:7" ht="11.25" customHeight="1" x14ac:dyDescent="0.25"/>
    <row r="6" spans="3:7" ht="18.75" customHeight="1" x14ac:dyDescent="0.25">
      <c r="C6" s="157" t="s">
        <v>99</v>
      </c>
      <c r="D6" s="157"/>
      <c r="E6" s="157"/>
      <c r="F6" s="157"/>
    </row>
    <row r="7" spans="3:7" x14ac:dyDescent="0.25">
      <c r="C7" s="157" t="s">
        <v>124</v>
      </c>
      <c r="D7" s="157"/>
      <c r="E7" s="157"/>
      <c r="F7" s="157"/>
    </row>
    <row r="8" spans="3:7" ht="15" customHeight="1" x14ac:dyDescent="0.25">
      <c r="C8" s="158" t="s">
        <v>125</v>
      </c>
      <c r="D8" s="158"/>
      <c r="E8" s="158"/>
      <c r="F8" s="158"/>
      <c r="G8" s="158"/>
    </row>
    <row r="9" spans="3:7" x14ac:dyDescent="0.25">
      <c r="C9" s="158"/>
      <c r="D9" s="158"/>
      <c r="E9" s="158"/>
      <c r="F9" s="158"/>
      <c r="G9" s="158"/>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90">
        <f>+S26+S27+S28</f>
        <v>982.90088360055449</v>
      </c>
      <c r="E14" s="125" t="str">
        <f>IF(D14&gt;=D13,"CUMPLE","NO CUMPLE")</f>
        <v>CUMPLE</v>
      </c>
      <c r="F14" s="40"/>
    </row>
    <row r="15" spans="3:7" x14ac:dyDescent="0.25">
      <c r="C15" s="12" t="s">
        <v>10</v>
      </c>
      <c r="D15" s="121"/>
      <c r="F15" s="15"/>
    </row>
    <row r="16" spans="3:7" x14ac:dyDescent="0.25">
      <c r="C16" s="12" t="s">
        <v>18</v>
      </c>
      <c r="D16" s="159" t="s">
        <v>147</v>
      </c>
      <c r="E16" s="159"/>
      <c r="F16" s="15"/>
    </row>
    <row r="17" spans="2:30" x14ac:dyDescent="0.25">
      <c r="C17" s="12" t="s">
        <v>30</v>
      </c>
      <c r="D17" s="160">
        <f>+COUNT(B26,B27,B28)</f>
        <v>2</v>
      </c>
      <c r="E17" s="160"/>
      <c r="F17" s="15"/>
    </row>
    <row r="18" spans="2:30" ht="120" x14ac:dyDescent="0.25">
      <c r="C18" s="12" t="s">
        <v>122</v>
      </c>
      <c r="D18" s="144" t="s">
        <v>172</v>
      </c>
      <c r="E18" s="145" t="s">
        <v>142</v>
      </c>
      <c r="F18" s="131"/>
    </row>
    <row r="19" spans="2:30" ht="155.25" customHeight="1" x14ac:dyDescent="0.25">
      <c r="C19" s="12" t="s">
        <v>178</v>
      </c>
      <c r="D19" s="148" t="s">
        <v>128</v>
      </c>
      <c r="E19" s="14" t="s">
        <v>19</v>
      </c>
      <c r="F19" s="131"/>
    </row>
    <row r="20" spans="2:30" ht="30" x14ac:dyDescent="0.25">
      <c r="C20" s="12" t="s">
        <v>100</v>
      </c>
      <c r="D20" s="43" t="s">
        <v>128</v>
      </c>
      <c r="E20" s="14" t="s">
        <v>19</v>
      </c>
      <c r="F20" s="40"/>
    </row>
    <row r="21" spans="2:30" ht="30" x14ac:dyDescent="0.25">
      <c r="C21" s="12" t="s">
        <v>101</v>
      </c>
      <c r="D21" s="43" t="s">
        <v>128</v>
      </c>
      <c r="E21" s="14" t="s">
        <v>19</v>
      </c>
      <c r="F21" s="40"/>
    </row>
    <row r="22" spans="2:30" x14ac:dyDescent="0.25">
      <c r="C22" s="12" t="s">
        <v>79</v>
      </c>
      <c r="D22" s="117" t="s">
        <v>142</v>
      </c>
      <c r="E22" s="161" t="s">
        <v>143</v>
      </c>
      <c r="F22" s="162"/>
    </row>
    <row r="24" spans="2:30" x14ac:dyDescent="0.25">
      <c r="F24" s="86"/>
      <c r="T24" s="155" t="s">
        <v>23</v>
      </c>
      <c r="U24" s="155"/>
      <c r="V24" s="155"/>
      <c r="W24" s="155"/>
      <c r="X24" s="156" t="s">
        <v>82</v>
      </c>
      <c r="Y24" s="156"/>
      <c r="Z24" s="156"/>
      <c r="AA24" s="156"/>
    </row>
    <row r="25" spans="2:30"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row>
    <row r="26" spans="2:30" ht="268.5" customHeight="1" x14ac:dyDescent="0.25">
      <c r="B26" s="19">
        <v>1</v>
      </c>
      <c r="C26" s="20" t="s">
        <v>148</v>
      </c>
      <c r="D26" s="20" t="s">
        <v>149</v>
      </c>
      <c r="E26" s="20" t="s">
        <v>150</v>
      </c>
      <c r="F26" s="20" t="s">
        <v>153</v>
      </c>
      <c r="G26" s="21" t="s">
        <v>152</v>
      </c>
      <c r="H26" s="136" t="s">
        <v>138</v>
      </c>
      <c r="I26" s="23">
        <v>1</v>
      </c>
      <c r="J26" s="23" t="s">
        <v>139</v>
      </c>
      <c r="K26" s="24">
        <v>107</v>
      </c>
      <c r="L26" s="25">
        <v>423.8</v>
      </c>
      <c r="M26" s="26">
        <v>43235</v>
      </c>
      <c r="N26" s="26">
        <v>43465</v>
      </c>
      <c r="O26" s="85">
        <f>YEAR(Tabla256835[[#This Row],[Fecha de Terminacion]])</f>
        <v>2018</v>
      </c>
      <c r="P26" s="28">
        <f>+Tabla256835[[#This Row],[SMMLV RUP]]*Tabla256835[[#This Row],[% de Participacion]]</f>
        <v>423.8</v>
      </c>
      <c r="Q26" s="127">
        <v>331090725</v>
      </c>
      <c r="R26" s="82">
        <f>VLOOKUP(Tabla256835[[#This Row],[Año de Terminación]],Tabla36[[Año]:[Salario mínimo mensual]],3,0)</f>
        <v>781242</v>
      </c>
      <c r="S26" s="82">
        <f>+Tabla256835[[#This Row],[Valor Total Ejecutado del Contrato ($)]]/Tabla256835[[#This Row],[SMMLV AÑO DE TERMINACIÓN]]*Tabla256835[[#This Row],[% de Participacion]]</f>
        <v>423.8004677167894</v>
      </c>
      <c r="T26" s="120" t="s">
        <v>19</v>
      </c>
      <c r="U26" s="120" t="s">
        <v>19</v>
      </c>
      <c r="V26" s="120" t="s">
        <v>19</v>
      </c>
      <c r="W26" s="120" t="s">
        <v>139</v>
      </c>
      <c r="X26" s="122" t="s">
        <v>19</v>
      </c>
      <c r="Y26" s="122" t="s">
        <v>19</v>
      </c>
      <c r="Z26" s="114" t="s">
        <v>142</v>
      </c>
      <c r="AA26" s="114" t="s">
        <v>142</v>
      </c>
      <c r="AB26" s="133" t="s">
        <v>19</v>
      </c>
      <c r="AC26" s="128" t="s">
        <v>184</v>
      </c>
      <c r="AD26" s="116" t="s">
        <v>186</v>
      </c>
    </row>
    <row r="27" spans="2:30" ht="268.5" customHeight="1" x14ac:dyDescent="0.25">
      <c r="B27" s="19">
        <v>2</v>
      </c>
      <c r="C27" s="20" t="s">
        <v>148</v>
      </c>
      <c r="D27" s="20" t="s">
        <v>149</v>
      </c>
      <c r="E27" s="24" t="s">
        <v>151</v>
      </c>
      <c r="F27" s="20" t="s">
        <v>153</v>
      </c>
      <c r="G27" s="21" t="s">
        <v>154</v>
      </c>
      <c r="H27" s="136" t="s">
        <v>138</v>
      </c>
      <c r="I27" s="23">
        <v>1</v>
      </c>
      <c r="J27" s="23" t="s">
        <v>139</v>
      </c>
      <c r="K27" s="119">
        <v>117</v>
      </c>
      <c r="L27" s="120">
        <v>559.1</v>
      </c>
      <c r="M27" s="26">
        <v>43532</v>
      </c>
      <c r="N27" s="26">
        <v>43830</v>
      </c>
      <c r="O27" s="85">
        <f>YEAR(Tabla256835[[#This Row],[Fecha de Terminacion]])</f>
        <v>2019</v>
      </c>
      <c r="P27" s="120">
        <f>+Tabla256835[[#This Row],[SMMLV RUP]]*Tabla256835[[#This Row],[% de Participacion]]</f>
        <v>559.1</v>
      </c>
      <c r="Q27" s="127">
        <v>463000000</v>
      </c>
      <c r="R27" s="81">
        <f>VLOOKUP(Tabla256835[[#This Row],[Año de Terminación]],Tabla36[[Año]:[Salario mínimo mensual]],3,0)</f>
        <v>828116</v>
      </c>
      <c r="S27" s="82">
        <f>+Tabla256835[[#This Row],[Valor Total Ejecutado del Contrato ($)]]/Tabla256835[[#This Row],[SMMLV AÑO DE TERMINACIÓN]]*Tabla256835[[#This Row],[% de Participacion]]</f>
        <v>559.10041588376509</v>
      </c>
      <c r="T27" s="120" t="s">
        <v>19</v>
      </c>
      <c r="U27" s="120" t="s">
        <v>19</v>
      </c>
      <c r="V27" s="120" t="s">
        <v>19</v>
      </c>
      <c r="W27" s="120" t="s">
        <v>139</v>
      </c>
      <c r="X27" s="122" t="s">
        <v>19</v>
      </c>
      <c r="Y27" s="122" t="s">
        <v>19</v>
      </c>
      <c r="Z27" s="114" t="s">
        <v>142</v>
      </c>
      <c r="AA27" s="114" t="s">
        <v>142</v>
      </c>
      <c r="AB27" s="133" t="s">
        <v>19</v>
      </c>
      <c r="AC27" s="128" t="s">
        <v>184</v>
      </c>
      <c r="AD27" s="116" t="s">
        <v>186</v>
      </c>
    </row>
    <row r="28" spans="2:30"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row>
    <row r="29" spans="2:30" ht="112.5" customHeight="1" x14ac:dyDescent="0.25"/>
  </sheetData>
  <mergeCells count="8">
    <mergeCell ref="T24:W24"/>
    <mergeCell ref="X24:AA24"/>
    <mergeCell ref="C6:F6"/>
    <mergeCell ref="C7:F7"/>
    <mergeCell ref="C8:G9"/>
    <mergeCell ref="D16:E16"/>
    <mergeCell ref="D17:E17"/>
    <mergeCell ref="E22:F22"/>
  </mergeCells>
  <pageMargins left="0.7" right="0.7" top="0.75" bottom="0.75" header="0.3" footer="0.3"/>
  <pageSetup paperSize="9" scale="17"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5:AD29"/>
  <sheetViews>
    <sheetView showGridLines="0" view="pageBreakPreview" zoomScale="70" zoomScaleNormal="70" zoomScaleSheetLayoutView="70" workbookViewId="0">
      <selection activeCell="D19" sqref="D19:E19"/>
    </sheetView>
  </sheetViews>
  <sheetFormatPr baseColWidth="10" defaultColWidth="11.42578125" defaultRowHeight="15" x14ac:dyDescent="0.25"/>
  <cols>
    <col min="1" max="1" width="11.42578125" style="11"/>
    <col min="2" max="2" width="9.42578125" style="11" bestFit="1" customWidth="1"/>
    <col min="3" max="3" width="55.28515625" style="11" customWidth="1"/>
    <col min="4" max="4" width="30.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24.4257812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2" style="11" customWidth="1"/>
    <col min="31" max="31" width="0" style="11" hidden="1" customWidth="1"/>
    <col min="32" max="16384" width="11.42578125" style="11"/>
  </cols>
  <sheetData>
    <row r="5" spans="3:7" ht="11.25" customHeight="1" x14ac:dyDescent="0.25"/>
    <row r="6" spans="3:7" ht="18.75" customHeight="1" x14ac:dyDescent="0.25">
      <c r="C6" s="157" t="s">
        <v>99</v>
      </c>
      <c r="D6" s="157"/>
      <c r="E6" s="157"/>
      <c r="F6" s="157"/>
    </row>
    <row r="7" spans="3:7" x14ac:dyDescent="0.25">
      <c r="C7" s="157" t="s">
        <v>124</v>
      </c>
      <c r="D7" s="157"/>
      <c r="E7" s="157"/>
      <c r="F7" s="157"/>
    </row>
    <row r="8" spans="3:7" ht="15" customHeight="1" x14ac:dyDescent="0.25">
      <c r="C8" s="158" t="s">
        <v>125</v>
      </c>
      <c r="D8" s="158"/>
      <c r="E8" s="158"/>
      <c r="F8" s="158"/>
      <c r="G8" s="158"/>
    </row>
    <row r="9" spans="3:7" x14ac:dyDescent="0.25">
      <c r="C9" s="158"/>
      <c r="D9" s="158"/>
      <c r="E9" s="158"/>
      <c r="F9" s="158"/>
      <c r="G9" s="158"/>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142">
        <f>+S26+S27+S28</f>
        <v>0</v>
      </c>
      <c r="E14" s="143" t="str">
        <f>IF(D14&gt;=D13,"CUMPLE","NO CUMPLE")</f>
        <v>NO CUMPLE</v>
      </c>
      <c r="F14" s="40"/>
    </row>
    <row r="15" spans="3:7" x14ac:dyDescent="0.25">
      <c r="C15" s="12" t="s">
        <v>10</v>
      </c>
      <c r="D15" s="121"/>
      <c r="F15" s="15"/>
    </row>
    <row r="16" spans="3:7" x14ac:dyDescent="0.25">
      <c r="C16" s="12" t="s">
        <v>18</v>
      </c>
      <c r="D16" s="159" t="s">
        <v>155</v>
      </c>
      <c r="E16" s="159"/>
      <c r="F16" s="15"/>
    </row>
    <row r="17" spans="2:30" x14ac:dyDescent="0.25">
      <c r="C17" s="12" t="s">
        <v>30</v>
      </c>
      <c r="D17" s="160">
        <f>+COUNT(B26,B27,B28)</f>
        <v>2</v>
      </c>
      <c r="E17" s="160"/>
      <c r="F17" s="15"/>
    </row>
    <row r="18" spans="2:30" ht="120" x14ac:dyDescent="0.25">
      <c r="C18" s="12" t="s">
        <v>122</v>
      </c>
      <c r="D18" s="43" t="s">
        <v>173</v>
      </c>
      <c r="E18" s="14" t="s">
        <v>19</v>
      </c>
      <c r="F18" s="131"/>
    </row>
    <row r="19" spans="2:30" ht="165" x14ac:dyDescent="0.25">
      <c r="C19" s="12" t="s">
        <v>178</v>
      </c>
      <c r="D19" s="148" t="s">
        <v>177</v>
      </c>
      <c r="E19" s="145" t="s">
        <v>142</v>
      </c>
      <c r="F19" s="131"/>
    </row>
    <row r="20" spans="2:30" ht="30" x14ac:dyDescent="0.25">
      <c r="C20" s="12" t="s">
        <v>100</v>
      </c>
      <c r="D20" s="43" t="s">
        <v>128</v>
      </c>
      <c r="E20" s="14" t="s">
        <v>19</v>
      </c>
      <c r="F20" s="40"/>
    </row>
    <row r="21" spans="2:30" ht="30" x14ac:dyDescent="0.25">
      <c r="C21" s="12" t="s">
        <v>101</v>
      </c>
      <c r="D21" s="43" t="s">
        <v>128</v>
      </c>
      <c r="E21" s="14" t="s">
        <v>19</v>
      </c>
      <c r="F21" s="40"/>
    </row>
    <row r="22" spans="2:30" x14ac:dyDescent="0.25">
      <c r="C22" s="12" t="s">
        <v>79</v>
      </c>
      <c r="D22" s="117" t="s">
        <v>142</v>
      </c>
      <c r="E22" s="161" t="s">
        <v>143</v>
      </c>
      <c r="F22" s="162"/>
    </row>
    <row r="24" spans="2:30" x14ac:dyDescent="0.25">
      <c r="F24" s="86"/>
      <c r="T24" s="155" t="s">
        <v>23</v>
      </c>
      <c r="U24" s="155"/>
      <c r="V24" s="155"/>
      <c r="W24" s="155"/>
      <c r="X24" s="156" t="s">
        <v>82</v>
      </c>
      <c r="Y24" s="156"/>
      <c r="Z24" s="156"/>
      <c r="AA24" s="156"/>
    </row>
    <row r="25" spans="2:30"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row>
    <row r="26" spans="2:30" ht="197.25" customHeight="1" x14ac:dyDescent="0.25">
      <c r="B26" s="19">
        <v>1</v>
      </c>
      <c r="C26" s="20" t="s">
        <v>156</v>
      </c>
      <c r="D26" s="20" t="s">
        <v>157</v>
      </c>
      <c r="E26" s="20" t="s">
        <v>158</v>
      </c>
      <c r="F26" s="20" t="s">
        <v>137</v>
      </c>
      <c r="G26" s="21" t="s">
        <v>161</v>
      </c>
      <c r="H26" s="136" t="s">
        <v>160</v>
      </c>
      <c r="I26" s="23">
        <v>0.5</v>
      </c>
      <c r="J26" s="147" t="s">
        <v>142</v>
      </c>
      <c r="K26" s="24">
        <v>112</v>
      </c>
      <c r="L26" s="25">
        <v>9505.48</v>
      </c>
      <c r="M26" s="26">
        <v>43878</v>
      </c>
      <c r="N26" s="26">
        <v>44224</v>
      </c>
      <c r="O26" s="85">
        <f>YEAR(Tabla2568356[[#This Row],[Fecha de Terminacion]])</f>
        <v>2021</v>
      </c>
      <c r="P26" s="28">
        <f>+Tabla2568356[[#This Row],[SMMLV RUP]]*Tabla2568356[[#This Row],[% de Participacion]]</f>
        <v>4752.74</v>
      </c>
      <c r="Q26" s="141">
        <v>0</v>
      </c>
      <c r="R26" s="82">
        <f>VLOOKUP(Tabla2568356[[#This Row],[Año de Terminación]],Tabla36[[Año]:[Salario mínimo mensual]],3,0)</f>
        <v>908526</v>
      </c>
      <c r="S26" s="82">
        <f>+Tabla2568356[[#This Row],[Valor Total Ejecutado del Contrato ($)]]/Tabla2568356[[#This Row],[SMMLV AÑO DE TERMINACIÓN]]*Tabla2568356[[#This Row],[% de Participacion]]</f>
        <v>0</v>
      </c>
      <c r="T26" s="120" t="s">
        <v>139</v>
      </c>
      <c r="U26" s="122" t="s">
        <v>19</v>
      </c>
      <c r="V26" s="122" t="s">
        <v>19</v>
      </c>
      <c r="W26" s="122" t="s">
        <v>19</v>
      </c>
      <c r="X26" s="122" t="s">
        <v>19</v>
      </c>
      <c r="Y26" s="122" t="s">
        <v>19</v>
      </c>
      <c r="Z26" s="122" t="s">
        <v>19</v>
      </c>
      <c r="AA26" s="122" t="s">
        <v>139</v>
      </c>
      <c r="AB26" s="122" t="s">
        <v>19</v>
      </c>
      <c r="AC26" s="128" t="s">
        <v>142</v>
      </c>
      <c r="AD26" s="116" t="s">
        <v>176</v>
      </c>
    </row>
    <row r="27" spans="2:30" ht="197.25" customHeight="1" x14ac:dyDescent="0.25">
      <c r="B27" s="19">
        <v>2</v>
      </c>
      <c r="C27" s="20" t="s">
        <v>156</v>
      </c>
      <c r="D27" s="20" t="s">
        <v>157</v>
      </c>
      <c r="E27" s="24" t="s">
        <v>159</v>
      </c>
      <c r="F27" s="20" t="s">
        <v>137</v>
      </c>
      <c r="G27" s="21" t="s">
        <v>162</v>
      </c>
      <c r="H27" s="136" t="s">
        <v>160</v>
      </c>
      <c r="I27" s="23">
        <v>0.5</v>
      </c>
      <c r="J27" s="147" t="s">
        <v>142</v>
      </c>
      <c r="K27" s="119">
        <v>98</v>
      </c>
      <c r="L27" s="120">
        <v>14087.88</v>
      </c>
      <c r="M27" s="26">
        <v>43501</v>
      </c>
      <c r="N27" s="26">
        <v>43854</v>
      </c>
      <c r="O27" s="85">
        <f>YEAR(Tabla2568356[[#This Row],[Fecha de Terminacion]])</f>
        <v>2020</v>
      </c>
      <c r="P27" s="120">
        <f>+Tabla2568356[[#This Row],[SMMLV RUP]]*Tabla2568356[[#This Row],[% de Participacion]]</f>
        <v>7043.94</v>
      </c>
      <c r="Q27" s="141">
        <v>0</v>
      </c>
      <c r="R27" s="81">
        <f>VLOOKUP(Tabla2568356[[#This Row],[Año de Terminación]],Tabla36[[Año]:[Salario mínimo mensual]],3,0)</f>
        <v>877803</v>
      </c>
      <c r="S27" s="82">
        <f>+Tabla2568356[[#This Row],[Valor Total Ejecutado del Contrato ($)]]/Tabla2568356[[#This Row],[SMMLV AÑO DE TERMINACIÓN]]*Tabla2568356[[#This Row],[% de Participacion]]</f>
        <v>0</v>
      </c>
      <c r="T27" s="122" t="s">
        <v>19</v>
      </c>
      <c r="U27" s="122" t="s">
        <v>19</v>
      </c>
      <c r="V27" s="122" t="s">
        <v>19</v>
      </c>
      <c r="W27" s="122" t="s">
        <v>19</v>
      </c>
      <c r="X27" s="122" t="s">
        <v>19</v>
      </c>
      <c r="Y27" s="122" t="s">
        <v>19</v>
      </c>
      <c r="Z27" s="122" t="s">
        <v>19</v>
      </c>
      <c r="AA27" s="122" t="s">
        <v>139</v>
      </c>
      <c r="AB27" s="122" t="s">
        <v>19</v>
      </c>
      <c r="AC27" s="128" t="s">
        <v>142</v>
      </c>
      <c r="AD27" s="116" t="s">
        <v>176</v>
      </c>
    </row>
    <row r="28" spans="2:30"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row>
    <row r="29" spans="2:30" ht="112.5" customHeight="1" x14ac:dyDescent="0.25"/>
  </sheetData>
  <mergeCells count="8">
    <mergeCell ref="T24:W24"/>
    <mergeCell ref="X24:AA24"/>
    <mergeCell ref="C6:F6"/>
    <mergeCell ref="C7:F7"/>
    <mergeCell ref="C8:G9"/>
    <mergeCell ref="D16:E16"/>
    <mergeCell ref="D17:E17"/>
    <mergeCell ref="E22:F22"/>
  </mergeCells>
  <pageMargins left="0.7" right="0.7" top="0.75" bottom="0.75" header="0.3" footer="0.3"/>
  <pageSetup paperSize="9" scale="17"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5:AD29"/>
  <sheetViews>
    <sheetView showGridLines="0" view="pageBreakPreview" zoomScale="70" zoomScaleNormal="70" zoomScaleSheetLayoutView="70" workbookViewId="0">
      <selection activeCell="C8" sqref="C8:G9"/>
    </sheetView>
  </sheetViews>
  <sheetFormatPr baseColWidth="10" defaultColWidth="11.42578125" defaultRowHeight="15" x14ac:dyDescent="0.25"/>
  <cols>
    <col min="1" max="1" width="11.42578125" style="11"/>
    <col min="2" max="2" width="9.42578125" style="11" bestFit="1" customWidth="1"/>
    <col min="3" max="3" width="57.85546875" style="1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3" width="12.140625" style="11" customWidth="1"/>
    <col min="24" max="26" width="17.42578125" style="11" customWidth="1"/>
    <col min="27" max="27" width="15.42578125" style="11" customWidth="1"/>
    <col min="28" max="28" width="17" style="11" customWidth="1"/>
    <col min="29" max="29" width="25.42578125" style="11" bestFit="1" customWidth="1"/>
    <col min="30" max="30" width="72" style="11" customWidth="1"/>
    <col min="31" max="31" width="0" style="11" hidden="1" customWidth="1"/>
    <col min="32" max="16384" width="11.42578125" style="11"/>
  </cols>
  <sheetData>
    <row r="5" spans="3:7" ht="11.25" customHeight="1" x14ac:dyDescent="0.25"/>
    <row r="6" spans="3:7" ht="18.75" customHeight="1" x14ac:dyDescent="0.25">
      <c r="C6" s="157" t="s">
        <v>99</v>
      </c>
      <c r="D6" s="157"/>
      <c r="E6" s="157"/>
      <c r="F6" s="157"/>
    </row>
    <row r="7" spans="3:7" x14ac:dyDescent="0.25">
      <c r="C7" s="157" t="s">
        <v>124</v>
      </c>
      <c r="D7" s="157"/>
      <c r="E7" s="157"/>
      <c r="F7" s="157"/>
    </row>
    <row r="8" spans="3:7" ht="15" customHeight="1" x14ac:dyDescent="0.25">
      <c r="C8" s="158" t="s">
        <v>125</v>
      </c>
      <c r="D8" s="158"/>
      <c r="E8" s="158"/>
      <c r="F8" s="158"/>
      <c r="G8" s="158"/>
    </row>
    <row r="9" spans="3:7" x14ac:dyDescent="0.25">
      <c r="C9" s="158"/>
      <c r="D9" s="158"/>
      <c r="E9" s="158"/>
      <c r="F9" s="158"/>
      <c r="G9" s="158"/>
    </row>
    <row r="10" spans="3:7" x14ac:dyDescent="0.25">
      <c r="C10" s="135"/>
      <c r="D10" s="135"/>
      <c r="E10" s="135"/>
      <c r="F10" s="135"/>
      <c r="G10" s="135"/>
    </row>
    <row r="11" spans="3:7" ht="16.5" x14ac:dyDescent="0.3">
      <c r="C11" s="12" t="s">
        <v>36</v>
      </c>
      <c r="D11" s="113">
        <v>370000000</v>
      </c>
      <c r="G11" s="13"/>
    </row>
    <row r="12" spans="3:7" x14ac:dyDescent="0.25">
      <c r="C12" s="12" t="s">
        <v>9</v>
      </c>
      <c r="D12" s="134">
        <v>2024</v>
      </c>
      <c r="G12" s="13"/>
    </row>
    <row r="13" spans="3:7" x14ac:dyDescent="0.25">
      <c r="C13" s="12" t="s">
        <v>31</v>
      </c>
      <c r="D13" s="90">
        <f>D11/(VLOOKUP($D$12,Tabla36[#All],3,FALSE))</f>
        <v>284.61538461538464</v>
      </c>
      <c r="E13" s="115"/>
      <c r="F13" s="40"/>
    </row>
    <row r="14" spans="3:7" x14ac:dyDescent="0.25">
      <c r="C14" s="12" t="s">
        <v>78</v>
      </c>
      <c r="D14" s="90">
        <f>+S26+S27+S28</f>
        <v>923.40435794835741</v>
      </c>
      <c r="E14" s="125" t="str">
        <f>IF(D14&gt;=D13,"CUMPLE","NO CUMPLE")</f>
        <v>CUMPLE</v>
      </c>
      <c r="F14" s="40"/>
    </row>
    <row r="15" spans="3:7" x14ac:dyDescent="0.25">
      <c r="C15" s="12" t="s">
        <v>10</v>
      </c>
      <c r="D15" s="121"/>
      <c r="F15" s="15"/>
    </row>
    <row r="16" spans="3:7" x14ac:dyDescent="0.25">
      <c r="C16" s="12" t="s">
        <v>18</v>
      </c>
      <c r="D16" s="159" t="s">
        <v>163</v>
      </c>
      <c r="E16" s="159"/>
      <c r="F16" s="15"/>
    </row>
    <row r="17" spans="2:30" x14ac:dyDescent="0.25">
      <c r="C17" s="12" t="s">
        <v>30</v>
      </c>
      <c r="D17" s="160">
        <f>+COUNT(B26,B27,B28)</f>
        <v>2</v>
      </c>
      <c r="E17" s="160"/>
      <c r="F17" s="15"/>
    </row>
    <row r="18" spans="2:30" ht="120" x14ac:dyDescent="0.25">
      <c r="C18" s="12" t="s">
        <v>122</v>
      </c>
      <c r="D18" s="139" t="s">
        <v>175</v>
      </c>
      <c r="E18" s="14" t="s">
        <v>19</v>
      </c>
      <c r="F18" s="131"/>
    </row>
    <row r="19" spans="2:30" ht="155.25" customHeight="1" x14ac:dyDescent="0.25">
      <c r="C19" s="12" t="s">
        <v>178</v>
      </c>
      <c r="D19" s="148" t="s">
        <v>177</v>
      </c>
      <c r="E19" s="145" t="s">
        <v>142</v>
      </c>
      <c r="F19" s="131"/>
    </row>
    <row r="20" spans="2:30" ht="30" x14ac:dyDescent="0.25">
      <c r="C20" s="12" t="s">
        <v>100</v>
      </c>
      <c r="D20" s="43" t="s">
        <v>128</v>
      </c>
      <c r="E20" s="14" t="s">
        <v>19</v>
      </c>
      <c r="F20" s="40"/>
    </row>
    <row r="21" spans="2:30" ht="30" x14ac:dyDescent="0.25">
      <c r="C21" s="12" t="s">
        <v>101</v>
      </c>
      <c r="D21" s="43" t="s">
        <v>128</v>
      </c>
      <c r="E21" s="14" t="s">
        <v>19</v>
      </c>
      <c r="F21" s="40"/>
    </row>
    <row r="22" spans="2:30" x14ac:dyDescent="0.25">
      <c r="C22" s="12" t="s">
        <v>79</v>
      </c>
      <c r="D22" s="117" t="s">
        <v>142</v>
      </c>
      <c r="E22" s="161" t="s">
        <v>143</v>
      </c>
      <c r="F22" s="162"/>
    </row>
    <row r="24" spans="2:30" x14ac:dyDescent="0.25">
      <c r="F24" s="86"/>
      <c r="T24" s="155" t="s">
        <v>23</v>
      </c>
      <c r="U24" s="155"/>
      <c r="V24" s="155"/>
      <c r="W24" s="155"/>
      <c r="X24" s="156" t="s">
        <v>82</v>
      </c>
      <c r="Y24" s="156"/>
      <c r="Z24" s="156"/>
      <c r="AA24" s="156"/>
    </row>
    <row r="25" spans="2:30" s="16" customFormat="1" ht="102.6" customHeight="1" x14ac:dyDescent="0.25">
      <c r="B25" s="17" t="s">
        <v>11</v>
      </c>
      <c r="C25" s="18" t="s">
        <v>12</v>
      </c>
      <c r="D25" s="18" t="s">
        <v>83</v>
      </c>
      <c r="E25" s="18" t="s">
        <v>16</v>
      </c>
      <c r="F25" s="18" t="s">
        <v>28</v>
      </c>
      <c r="G25" s="18" t="s">
        <v>13</v>
      </c>
      <c r="H25" s="18" t="s">
        <v>84</v>
      </c>
      <c r="I25" s="18" t="s">
        <v>85</v>
      </c>
      <c r="J25" s="18" t="s">
        <v>98</v>
      </c>
      <c r="K25" s="18" t="s">
        <v>86</v>
      </c>
      <c r="L25" s="18" t="s">
        <v>14</v>
      </c>
      <c r="M25" s="18" t="s">
        <v>27</v>
      </c>
      <c r="N25" s="18" t="s">
        <v>15</v>
      </c>
      <c r="O25" s="18" t="s">
        <v>77</v>
      </c>
      <c r="P25" s="18" t="s">
        <v>87</v>
      </c>
      <c r="Q25" s="18" t="s">
        <v>74</v>
      </c>
      <c r="R25" s="84" t="s">
        <v>75</v>
      </c>
      <c r="S25" s="18" t="s">
        <v>76</v>
      </c>
      <c r="T25" s="18" t="s">
        <v>114</v>
      </c>
      <c r="U25" s="18" t="s">
        <v>115</v>
      </c>
      <c r="V25" s="18" t="s">
        <v>116</v>
      </c>
      <c r="W25" s="18" t="s">
        <v>117</v>
      </c>
      <c r="X25" s="18" t="s">
        <v>118</v>
      </c>
      <c r="Y25" s="18" t="s">
        <v>119</v>
      </c>
      <c r="Z25" s="18" t="s">
        <v>120</v>
      </c>
      <c r="AA25" s="18" t="s">
        <v>121</v>
      </c>
      <c r="AB25" s="18" t="s">
        <v>106</v>
      </c>
      <c r="AC25" s="18" t="s">
        <v>107</v>
      </c>
      <c r="AD25" s="18" t="s">
        <v>17</v>
      </c>
    </row>
    <row r="26" spans="2:30" ht="111.75" customHeight="1" x14ac:dyDescent="0.25">
      <c r="B26" s="19">
        <v>1</v>
      </c>
      <c r="C26" s="20" t="s">
        <v>164</v>
      </c>
      <c r="D26" s="20" t="s">
        <v>166</v>
      </c>
      <c r="E26" s="20" t="s">
        <v>168</v>
      </c>
      <c r="F26" s="20" t="s">
        <v>137</v>
      </c>
      <c r="G26" s="21" t="s">
        <v>171</v>
      </c>
      <c r="H26" s="136" t="s">
        <v>170</v>
      </c>
      <c r="I26" s="23">
        <v>0.7</v>
      </c>
      <c r="J26" s="23" t="s">
        <v>19</v>
      </c>
      <c r="K26" s="24">
        <v>29</v>
      </c>
      <c r="L26" s="25">
        <v>1058.81</v>
      </c>
      <c r="M26" s="26">
        <v>42500</v>
      </c>
      <c r="N26" s="26">
        <v>42735</v>
      </c>
      <c r="O26" s="85">
        <f>YEAR(Tabla25683567[[#This Row],[Fecha de Terminacion]])</f>
        <v>2016</v>
      </c>
      <c r="P26" s="28">
        <f>+Tabla25683567[[#This Row],[SMMLV RUP]]*Tabla25683567[[#This Row],[% de Participacion]]</f>
        <v>741.16699999999992</v>
      </c>
      <c r="Q26" s="127">
        <v>730000000</v>
      </c>
      <c r="R26" s="82">
        <f>VLOOKUP(Tabla25683567[[#This Row],[Año de Terminación]],Tabla36[[Año]:[Salario mínimo mensual]],3,0)</f>
        <v>689455</v>
      </c>
      <c r="S26" s="82">
        <f>+Tabla25683567[[#This Row],[Valor Total Ejecutado del Contrato ($)]]/Tabla25683567[[#This Row],[SMMLV AÑO DE TERMINACIÓN]]*Tabla25683567[[#This Row],[% de Participacion]]</f>
        <v>741.1651231770021</v>
      </c>
      <c r="T26" s="120" t="s">
        <v>19</v>
      </c>
      <c r="U26" s="120" t="s">
        <v>19</v>
      </c>
      <c r="V26" s="120" t="s">
        <v>19</v>
      </c>
      <c r="W26" s="120" t="s">
        <v>139</v>
      </c>
      <c r="X26" s="133" t="s">
        <v>19</v>
      </c>
      <c r="Y26" s="133" t="s">
        <v>19</v>
      </c>
      <c r="Z26" s="122" t="s">
        <v>139</v>
      </c>
      <c r="AA26" s="122" t="s">
        <v>139</v>
      </c>
      <c r="AB26" s="133" t="s">
        <v>19</v>
      </c>
      <c r="AC26" s="138" t="s">
        <v>19</v>
      </c>
      <c r="AD26" s="116"/>
    </row>
    <row r="27" spans="2:30" ht="60" x14ac:dyDescent="0.25">
      <c r="B27" s="19">
        <v>2</v>
      </c>
      <c r="C27" s="20" t="s">
        <v>165</v>
      </c>
      <c r="D27" s="20" t="s">
        <v>167</v>
      </c>
      <c r="E27" s="24" t="s">
        <v>169</v>
      </c>
      <c r="F27" s="20" t="s">
        <v>137</v>
      </c>
      <c r="G27" s="146" t="s">
        <v>174</v>
      </c>
      <c r="H27" s="136" t="s">
        <v>138</v>
      </c>
      <c r="I27" s="23">
        <v>1</v>
      </c>
      <c r="J27" s="23" t="s">
        <v>139</v>
      </c>
      <c r="K27" s="119">
        <v>78</v>
      </c>
      <c r="L27" s="120">
        <v>182.23</v>
      </c>
      <c r="M27" s="26">
        <v>44180</v>
      </c>
      <c r="N27" s="26">
        <v>44196</v>
      </c>
      <c r="O27" s="85">
        <f>YEAR(Tabla25683567[[#This Row],[Fecha de Terminacion]])</f>
        <v>2020</v>
      </c>
      <c r="P27" s="120">
        <f>+Tabla25683567[[#This Row],[SMMLV RUP]]*Tabla25683567[[#This Row],[% de Participacion]]</f>
        <v>182.23</v>
      </c>
      <c r="Q27" s="127">
        <v>159970147</v>
      </c>
      <c r="R27" s="81">
        <f>VLOOKUP(Tabla25683567[[#This Row],[Año de Terminación]],Tabla36[[Año]:[Salario mínimo mensual]],3,0)</f>
        <v>877803</v>
      </c>
      <c r="S27" s="82">
        <f>+Tabla25683567[[#This Row],[Valor Total Ejecutado del Contrato ($)]]/Tabla25683567[[#This Row],[SMMLV AÑO DE TERMINACIÓN]]*Tabla25683567[[#This Row],[% de Participacion]]</f>
        <v>182.23923477135531</v>
      </c>
      <c r="T27" s="120" t="s">
        <v>19</v>
      </c>
      <c r="U27" s="120" t="s">
        <v>19</v>
      </c>
      <c r="V27" s="120" t="s">
        <v>19</v>
      </c>
      <c r="W27" s="120" t="s">
        <v>139</v>
      </c>
      <c r="X27" s="122" t="s">
        <v>139</v>
      </c>
      <c r="Y27" s="122" t="s">
        <v>139</v>
      </c>
      <c r="Z27" s="133" t="s">
        <v>19</v>
      </c>
      <c r="AA27" s="122" t="s">
        <v>139</v>
      </c>
      <c r="AB27" s="133" t="s">
        <v>19</v>
      </c>
      <c r="AC27" s="138" t="s">
        <v>19</v>
      </c>
      <c r="AD27" s="116"/>
    </row>
    <row r="28" spans="2:30" x14ac:dyDescent="0.25">
      <c r="B28" s="30"/>
      <c r="C28" s="31"/>
      <c r="D28" s="20"/>
      <c r="E28" s="31"/>
      <c r="F28" s="20"/>
      <c r="G28" s="33"/>
      <c r="H28" s="136"/>
      <c r="I28" s="23"/>
      <c r="J28" s="23"/>
      <c r="K28" s="32"/>
      <c r="L28" s="35"/>
      <c r="M28" s="26"/>
      <c r="N28" s="36"/>
      <c r="O28" s="85"/>
      <c r="P28" s="120"/>
      <c r="Q28" s="127"/>
      <c r="R28" s="81"/>
      <c r="S28" s="82"/>
      <c r="T28" s="120"/>
      <c r="U28" s="120"/>
      <c r="V28" s="120"/>
      <c r="W28" s="120"/>
      <c r="X28" s="122"/>
      <c r="Y28" s="122"/>
      <c r="Z28" s="122"/>
      <c r="AA28" s="114"/>
      <c r="AB28" s="133"/>
      <c r="AC28" s="128"/>
      <c r="AD28" s="116"/>
    </row>
    <row r="29" spans="2:30" ht="112.5" customHeight="1" x14ac:dyDescent="0.25"/>
  </sheetData>
  <mergeCells count="8">
    <mergeCell ref="T24:W24"/>
    <mergeCell ref="X24:AA24"/>
    <mergeCell ref="C6:F6"/>
    <mergeCell ref="C7:F7"/>
    <mergeCell ref="C8:G9"/>
    <mergeCell ref="D16:E16"/>
    <mergeCell ref="D17:E17"/>
    <mergeCell ref="E22:F22"/>
  </mergeCells>
  <pageMargins left="0.7" right="0.7" top="0.75" bottom="0.75" header="0.3" footer="0.3"/>
  <pageSetup paperSize="9" scale="17"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4:H37"/>
  <sheetViews>
    <sheetView zoomScale="80" zoomScaleNormal="80" workbookViewId="0">
      <selection activeCell="B5" sqref="B5:H5"/>
    </sheetView>
  </sheetViews>
  <sheetFormatPr baseColWidth="10" defaultColWidth="10.85546875" defaultRowHeight="15" x14ac:dyDescent="0.25"/>
  <cols>
    <col min="1" max="1" width="10.85546875" style="47"/>
    <col min="2" max="2" width="9.28515625" style="47" customWidth="1"/>
    <col min="3" max="3" width="29.42578125" style="47" customWidth="1"/>
    <col min="4" max="4" width="59" style="47" customWidth="1"/>
    <col min="5" max="5" width="34.42578125" style="47" customWidth="1"/>
    <col min="6" max="6" width="12.85546875" style="47" customWidth="1"/>
    <col min="7" max="7" width="10.85546875" style="47"/>
    <col min="8" max="8" width="32.28515625" style="47" customWidth="1"/>
    <col min="9" max="16384" width="10.85546875" style="47"/>
  </cols>
  <sheetData>
    <row r="4" spans="2:8" x14ac:dyDescent="0.25">
      <c r="B4" s="163" t="s">
        <v>47</v>
      </c>
      <c r="C4" s="163"/>
      <c r="D4" s="163"/>
      <c r="E4" s="163"/>
      <c r="F4" s="163"/>
      <c r="G4" s="163"/>
      <c r="H4" s="163"/>
    </row>
    <row r="5" spans="2:8" x14ac:dyDescent="0.25">
      <c r="B5" s="164" t="s">
        <v>34</v>
      </c>
      <c r="C5" s="164"/>
      <c r="D5" s="164"/>
      <c r="E5" s="164"/>
      <c r="F5" s="164"/>
      <c r="G5" s="164"/>
      <c r="H5" s="164"/>
    </row>
    <row r="6" spans="2:8" ht="45.6" customHeight="1" x14ac:dyDescent="0.25">
      <c r="B6" s="165" t="s">
        <v>35</v>
      </c>
      <c r="C6" s="165"/>
      <c r="D6" s="165"/>
      <c r="E6" s="165"/>
      <c r="F6" s="165"/>
      <c r="G6" s="165"/>
      <c r="H6" s="165"/>
    </row>
    <row r="7" spans="2:8" ht="15.75" thickBot="1" x14ac:dyDescent="0.3">
      <c r="B7" s="49"/>
      <c r="C7" s="49"/>
      <c r="D7" s="49"/>
      <c r="E7" s="49"/>
      <c r="F7" s="49"/>
    </row>
    <row r="8" spans="2:8" ht="30.75" thickBot="1" x14ac:dyDescent="0.3">
      <c r="B8" s="94" t="s">
        <v>37</v>
      </c>
      <c r="C8" s="99" t="s">
        <v>39</v>
      </c>
      <c r="D8" s="100" t="s">
        <v>41</v>
      </c>
      <c r="E8" s="100" t="s">
        <v>42</v>
      </c>
      <c r="F8" s="100" t="s">
        <v>88</v>
      </c>
      <c r="G8" s="100" t="s">
        <v>43</v>
      </c>
      <c r="H8" s="101" t="s">
        <v>48</v>
      </c>
    </row>
    <row r="9" spans="2:8" ht="45" x14ac:dyDescent="0.25">
      <c r="B9" s="172" t="s">
        <v>38</v>
      </c>
      <c r="C9" s="168" t="s">
        <v>40</v>
      </c>
      <c r="D9" s="97" t="s">
        <v>89</v>
      </c>
      <c r="E9" s="95"/>
      <c r="F9" s="51"/>
      <c r="G9" s="170">
        <v>14</v>
      </c>
      <c r="H9" s="52"/>
    </row>
    <row r="10" spans="2:8" ht="30.75" thickBot="1" x14ac:dyDescent="0.3">
      <c r="B10" s="172"/>
      <c r="C10" s="169"/>
      <c r="D10" s="98" t="s">
        <v>94</v>
      </c>
      <c r="E10" s="96"/>
      <c r="F10" s="54"/>
      <c r="G10" s="171"/>
      <c r="H10" s="55"/>
    </row>
    <row r="11" spans="2:8" ht="60" x14ac:dyDescent="0.25">
      <c r="B11" s="173"/>
      <c r="C11" s="166" t="s">
        <v>49</v>
      </c>
      <c r="D11" s="104" t="s">
        <v>90</v>
      </c>
      <c r="E11" s="102"/>
      <c r="F11" s="92"/>
      <c r="G11" s="167">
        <v>10</v>
      </c>
      <c r="H11" s="93"/>
    </row>
    <row r="12" spans="2:8" ht="30" x14ac:dyDescent="0.25">
      <c r="B12" s="173"/>
      <c r="C12" s="166"/>
      <c r="D12" s="104" t="s">
        <v>95</v>
      </c>
      <c r="E12" s="102"/>
      <c r="F12" s="92"/>
      <c r="G12" s="167"/>
      <c r="H12" s="93"/>
    </row>
    <row r="13" spans="2:8" ht="30" x14ac:dyDescent="0.25">
      <c r="B13" s="173"/>
      <c r="C13" s="166"/>
      <c r="D13" s="105" t="s">
        <v>46</v>
      </c>
      <c r="E13" s="103"/>
      <c r="F13" s="50"/>
      <c r="G13" s="167"/>
      <c r="H13" s="53"/>
    </row>
    <row r="14" spans="2:8" ht="48" customHeight="1" x14ac:dyDescent="0.25">
      <c r="B14" s="173"/>
      <c r="C14" s="166"/>
      <c r="D14" s="105" t="s">
        <v>50</v>
      </c>
      <c r="E14" s="103"/>
      <c r="F14" s="50"/>
      <c r="G14" s="167"/>
      <c r="H14" s="53"/>
    </row>
    <row r="15" spans="2:8" ht="30" x14ac:dyDescent="0.25">
      <c r="B15" s="173"/>
      <c r="C15" s="166"/>
      <c r="D15" s="106" t="s">
        <v>96</v>
      </c>
      <c r="E15" s="103"/>
      <c r="F15" s="50"/>
      <c r="G15" s="167"/>
      <c r="H15" s="53"/>
    </row>
    <row r="16" spans="2:8" ht="60.6" customHeight="1" x14ac:dyDescent="0.25">
      <c r="B16" s="173"/>
      <c r="C16" s="166"/>
      <c r="D16" s="106" t="s">
        <v>44</v>
      </c>
      <c r="E16" s="103"/>
      <c r="F16" s="50"/>
      <c r="G16" s="167"/>
      <c r="H16" s="53"/>
    </row>
    <row r="17" spans="2:8" ht="15.75" thickBot="1" x14ac:dyDescent="0.3">
      <c r="B17" s="173"/>
      <c r="C17" s="166"/>
      <c r="D17" s="107" t="s">
        <v>45</v>
      </c>
      <c r="E17" s="103"/>
      <c r="F17" s="50"/>
      <c r="G17" s="167"/>
      <c r="H17" s="53"/>
    </row>
    <row r="18" spans="2:8" ht="105.75" thickBot="1" x14ac:dyDescent="0.3">
      <c r="B18" s="173"/>
      <c r="C18" s="109" t="s">
        <v>92</v>
      </c>
      <c r="D18" s="110" t="s">
        <v>97</v>
      </c>
      <c r="E18" s="51"/>
      <c r="F18" s="108"/>
      <c r="G18" s="78">
        <v>7.5</v>
      </c>
      <c r="H18" s="52"/>
    </row>
    <row r="19" spans="2:8" ht="30.75" thickBot="1" x14ac:dyDescent="0.3">
      <c r="B19" s="173"/>
      <c r="C19" s="109" t="s">
        <v>51</v>
      </c>
      <c r="D19" s="110" t="s">
        <v>91</v>
      </c>
      <c r="E19" s="58"/>
      <c r="F19" s="51"/>
      <c r="G19" s="78">
        <v>9</v>
      </c>
      <c r="H19" s="52"/>
    </row>
    <row r="20" spans="2:8" ht="90.75" thickBot="1" x14ac:dyDescent="0.3">
      <c r="B20" s="70" t="s">
        <v>52</v>
      </c>
      <c r="C20" s="111" t="s">
        <v>53</v>
      </c>
      <c r="D20" s="59" t="s">
        <v>54</v>
      </c>
      <c r="E20" s="60"/>
      <c r="F20" s="60"/>
      <c r="G20" s="77">
        <v>10</v>
      </c>
      <c r="H20" s="61"/>
    </row>
    <row r="21" spans="2:8" ht="90.75" thickBot="1" x14ac:dyDescent="0.3">
      <c r="B21" s="69" t="s">
        <v>55</v>
      </c>
      <c r="C21" s="112" t="s">
        <v>56</v>
      </c>
      <c r="D21" s="62" t="s">
        <v>93</v>
      </c>
      <c r="E21" s="63"/>
      <c r="F21" s="63"/>
      <c r="G21" s="78">
        <v>1</v>
      </c>
      <c r="H21" s="64"/>
    </row>
    <row r="22" spans="2:8" ht="35.450000000000003" customHeight="1" x14ac:dyDescent="0.25">
      <c r="B22" s="180" t="s">
        <v>57</v>
      </c>
      <c r="C22" s="182" t="s">
        <v>58</v>
      </c>
      <c r="D22" s="66" t="s">
        <v>59</v>
      </c>
      <c r="E22" s="51"/>
      <c r="F22" s="51"/>
      <c r="G22" s="76">
        <v>0.25</v>
      </c>
      <c r="H22" s="52"/>
    </row>
    <row r="23" spans="2:8" ht="35.450000000000003" customHeight="1" thickBot="1" x14ac:dyDescent="0.3">
      <c r="B23" s="181"/>
      <c r="C23" s="183"/>
      <c r="D23" s="67" t="s">
        <v>60</v>
      </c>
      <c r="E23" s="56"/>
      <c r="F23" s="56"/>
      <c r="G23" s="79">
        <v>0.25</v>
      </c>
      <c r="H23" s="57"/>
    </row>
    <row r="24" spans="2:8" ht="45" x14ac:dyDescent="0.25">
      <c r="B24" s="184" t="s">
        <v>61</v>
      </c>
      <c r="C24" s="187" t="s">
        <v>68</v>
      </c>
      <c r="D24" s="68" t="s">
        <v>62</v>
      </c>
      <c r="E24" s="51"/>
      <c r="F24" s="51"/>
      <c r="G24" s="76">
        <v>0.5</v>
      </c>
      <c r="H24" s="52"/>
    </row>
    <row r="25" spans="2:8" ht="45" x14ac:dyDescent="0.25">
      <c r="B25" s="185"/>
      <c r="C25" s="188"/>
      <c r="D25" s="48" t="s">
        <v>63</v>
      </c>
      <c r="E25" s="50"/>
      <c r="F25" s="50"/>
      <c r="G25" s="22">
        <v>0.5</v>
      </c>
      <c r="H25" s="53"/>
    </row>
    <row r="26" spans="2:8" ht="60" x14ac:dyDescent="0.25">
      <c r="B26" s="185"/>
      <c r="C26" s="188"/>
      <c r="D26" s="48" t="s">
        <v>64</v>
      </c>
      <c r="E26" s="50"/>
      <c r="F26" s="50"/>
      <c r="G26" s="22">
        <v>0.5</v>
      </c>
      <c r="H26" s="53"/>
    </row>
    <row r="27" spans="2:8" ht="45" x14ac:dyDescent="0.25">
      <c r="B27" s="185"/>
      <c r="C27" s="188"/>
      <c r="D27" s="48" t="s">
        <v>65</v>
      </c>
      <c r="E27" s="50"/>
      <c r="F27" s="50"/>
      <c r="G27" s="22">
        <v>0.5</v>
      </c>
      <c r="H27" s="53"/>
    </row>
    <row r="28" spans="2:8" ht="60" x14ac:dyDescent="0.25">
      <c r="B28" s="185"/>
      <c r="C28" s="188"/>
      <c r="D28" s="48" t="s">
        <v>66</v>
      </c>
      <c r="E28" s="50"/>
      <c r="F28" s="50"/>
      <c r="G28" s="22">
        <v>0.5</v>
      </c>
      <c r="H28" s="53"/>
    </row>
    <row r="29" spans="2:8" ht="60.75" thickBot="1" x14ac:dyDescent="0.3">
      <c r="B29" s="186"/>
      <c r="C29" s="189"/>
      <c r="D29" s="71" t="s">
        <v>67</v>
      </c>
      <c r="E29" s="56"/>
      <c r="F29" s="56"/>
      <c r="G29" s="79">
        <v>0.5</v>
      </c>
      <c r="H29" s="55"/>
    </row>
    <row r="30" spans="2:8" x14ac:dyDescent="0.25">
      <c r="B30" s="190" t="s">
        <v>69</v>
      </c>
      <c r="C30" s="191"/>
      <c r="D30" s="191"/>
      <c r="E30" s="191"/>
      <c r="F30" s="191"/>
      <c r="G30" s="72">
        <f>SUM(G9:G29)</f>
        <v>55</v>
      </c>
    </row>
    <row r="31" spans="2:8" x14ac:dyDescent="0.25">
      <c r="B31" s="174" t="s">
        <v>70</v>
      </c>
      <c r="C31" s="175"/>
      <c r="D31" s="175"/>
      <c r="E31" s="175"/>
      <c r="F31" s="175"/>
      <c r="G31" s="80"/>
    </row>
    <row r="32" spans="2:8" ht="15.75" thickBot="1" x14ac:dyDescent="0.3">
      <c r="B32" s="176" t="s">
        <v>71</v>
      </c>
      <c r="C32" s="177"/>
      <c r="D32" s="177"/>
      <c r="E32" s="177"/>
      <c r="F32" s="177"/>
      <c r="G32" s="73">
        <f>SUM(G30:G31)</f>
        <v>55</v>
      </c>
    </row>
    <row r="33" spans="2:7" ht="5.45" customHeight="1" thickBot="1" x14ac:dyDescent="0.3"/>
    <row r="34" spans="2:7" ht="15.75" thickBot="1" x14ac:dyDescent="0.3">
      <c r="B34" s="178" t="s">
        <v>72</v>
      </c>
      <c r="C34" s="179"/>
      <c r="D34" s="179"/>
      <c r="E34" s="179"/>
      <c r="F34" s="179"/>
      <c r="G34" s="74"/>
    </row>
    <row r="35" spans="2:7" ht="5.45" customHeight="1" thickBot="1" x14ac:dyDescent="0.3"/>
    <row r="36" spans="2:7" ht="15.75" thickBot="1" x14ac:dyDescent="0.3">
      <c r="B36" s="178" t="s">
        <v>73</v>
      </c>
      <c r="C36" s="179"/>
      <c r="D36" s="179"/>
      <c r="E36" s="179"/>
      <c r="F36" s="179"/>
      <c r="G36" s="75">
        <f>+G32-G34</f>
        <v>55</v>
      </c>
    </row>
    <row r="37" spans="2:7" x14ac:dyDescent="0.25">
      <c r="D37" s="65"/>
    </row>
  </sheetData>
  <mergeCells count="17">
    <mergeCell ref="B31:F31"/>
    <mergeCell ref="B32:F32"/>
    <mergeCell ref="B34:F34"/>
    <mergeCell ref="B36:F36"/>
    <mergeCell ref="B22:B23"/>
    <mergeCell ref="C22:C23"/>
    <mergeCell ref="B24:B29"/>
    <mergeCell ref="C24:C29"/>
    <mergeCell ref="B30:F30"/>
    <mergeCell ref="B4:H4"/>
    <mergeCell ref="B5:H5"/>
    <mergeCell ref="B6:H6"/>
    <mergeCell ref="C11:C17"/>
    <mergeCell ref="G11:G17"/>
    <mergeCell ref="C9:C10"/>
    <mergeCell ref="G9:G10"/>
    <mergeCell ref="B9:B1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56"/>
  <sheetViews>
    <sheetView topLeftCell="A38" workbookViewId="0">
      <selection activeCell="A50" sqref="A50"/>
    </sheetView>
  </sheetViews>
  <sheetFormatPr baseColWidth="10" defaultColWidth="9.140625" defaultRowHeight="15" x14ac:dyDescent="0.25"/>
  <cols>
    <col min="1" max="1" width="55.7109375" customWidth="1"/>
    <col min="2" max="2" width="22" customWidth="1"/>
    <col min="3" max="3" width="24.42578125" customWidth="1"/>
    <col min="4" max="4" width="95.28515625" customWidth="1"/>
    <col min="255" max="255" width="55.7109375" customWidth="1"/>
    <col min="256" max="256" width="22" customWidth="1"/>
    <col min="257" max="257" width="24.42578125" customWidth="1"/>
    <col min="258" max="258" width="27.7109375" customWidth="1"/>
    <col min="259" max="259" width="33.7109375" customWidth="1"/>
    <col min="260" max="260" width="95.28515625" customWidth="1"/>
    <col min="511" max="511" width="55.7109375" customWidth="1"/>
    <col min="512" max="512" width="22" customWidth="1"/>
    <col min="513" max="513" width="24.42578125" customWidth="1"/>
    <col min="514" max="514" width="27.7109375" customWidth="1"/>
    <col min="515" max="515" width="33.7109375" customWidth="1"/>
    <col min="516" max="516" width="95.28515625" customWidth="1"/>
    <col min="767" max="767" width="55.7109375" customWidth="1"/>
    <col min="768" max="768" width="22" customWidth="1"/>
    <col min="769" max="769" width="24.42578125" customWidth="1"/>
    <col min="770" max="770" width="27.7109375" customWidth="1"/>
    <col min="771" max="771" width="33.7109375" customWidth="1"/>
    <col min="772" max="772" width="95.28515625" customWidth="1"/>
    <col min="1023" max="1023" width="55.7109375" customWidth="1"/>
    <col min="1024" max="1024" width="22" customWidth="1"/>
    <col min="1025" max="1025" width="24.42578125" customWidth="1"/>
    <col min="1026" max="1026" width="27.7109375" customWidth="1"/>
    <col min="1027" max="1027" width="33.7109375" customWidth="1"/>
    <col min="1028" max="1028" width="95.28515625" customWidth="1"/>
    <col min="1279" max="1279" width="55.7109375" customWidth="1"/>
    <col min="1280" max="1280" width="22" customWidth="1"/>
    <col min="1281" max="1281" width="24.42578125" customWidth="1"/>
    <col min="1282" max="1282" width="27.7109375" customWidth="1"/>
    <col min="1283" max="1283" width="33.7109375" customWidth="1"/>
    <col min="1284" max="1284" width="95.28515625" customWidth="1"/>
    <col min="1535" max="1535" width="55.7109375" customWidth="1"/>
    <col min="1536" max="1536" width="22" customWidth="1"/>
    <col min="1537" max="1537" width="24.42578125" customWidth="1"/>
    <col min="1538" max="1538" width="27.7109375" customWidth="1"/>
    <col min="1539" max="1539" width="33.7109375" customWidth="1"/>
    <col min="1540" max="1540" width="95.28515625" customWidth="1"/>
    <col min="1791" max="1791" width="55.7109375" customWidth="1"/>
    <col min="1792" max="1792" width="22" customWidth="1"/>
    <col min="1793" max="1793" width="24.42578125" customWidth="1"/>
    <col min="1794" max="1794" width="27.7109375" customWidth="1"/>
    <col min="1795" max="1795" width="33.7109375" customWidth="1"/>
    <col min="1796" max="1796" width="95.28515625" customWidth="1"/>
    <col min="2047" max="2047" width="55.7109375" customWidth="1"/>
    <col min="2048" max="2048" width="22" customWidth="1"/>
    <col min="2049" max="2049" width="24.42578125" customWidth="1"/>
    <col min="2050" max="2050" width="27.7109375" customWidth="1"/>
    <col min="2051" max="2051" width="33.7109375" customWidth="1"/>
    <col min="2052" max="2052" width="95.28515625" customWidth="1"/>
    <col min="2303" max="2303" width="55.7109375" customWidth="1"/>
    <col min="2304" max="2304" width="22" customWidth="1"/>
    <col min="2305" max="2305" width="24.42578125" customWidth="1"/>
    <col min="2306" max="2306" width="27.7109375" customWidth="1"/>
    <col min="2307" max="2307" width="33.7109375" customWidth="1"/>
    <col min="2308" max="2308" width="95.28515625" customWidth="1"/>
    <col min="2559" max="2559" width="55.7109375" customWidth="1"/>
    <col min="2560" max="2560" width="22" customWidth="1"/>
    <col min="2561" max="2561" width="24.42578125" customWidth="1"/>
    <col min="2562" max="2562" width="27.7109375" customWidth="1"/>
    <col min="2563" max="2563" width="33.7109375" customWidth="1"/>
    <col min="2564" max="2564" width="95.28515625" customWidth="1"/>
    <col min="2815" max="2815" width="55.7109375" customWidth="1"/>
    <col min="2816" max="2816" width="22" customWidth="1"/>
    <col min="2817" max="2817" width="24.42578125" customWidth="1"/>
    <col min="2818" max="2818" width="27.7109375" customWidth="1"/>
    <col min="2819" max="2819" width="33.7109375" customWidth="1"/>
    <col min="2820" max="2820" width="95.28515625" customWidth="1"/>
    <col min="3071" max="3071" width="55.7109375" customWidth="1"/>
    <col min="3072" max="3072" width="22" customWidth="1"/>
    <col min="3073" max="3073" width="24.42578125" customWidth="1"/>
    <col min="3074" max="3074" width="27.7109375" customWidth="1"/>
    <col min="3075" max="3075" width="33.7109375" customWidth="1"/>
    <col min="3076" max="3076" width="95.28515625" customWidth="1"/>
    <col min="3327" max="3327" width="55.7109375" customWidth="1"/>
    <col min="3328" max="3328" width="22" customWidth="1"/>
    <col min="3329" max="3329" width="24.42578125" customWidth="1"/>
    <col min="3330" max="3330" width="27.7109375" customWidth="1"/>
    <col min="3331" max="3331" width="33.7109375" customWidth="1"/>
    <col min="3332" max="3332" width="95.28515625" customWidth="1"/>
    <col min="3583" max="3583" width="55.7109375" customWidth="1"/>
    <col min="3584" max="3584" width="22" customWidth="1"/>
    <col min="3585" max="3585" width="24.42578125" customWidth="1"/>
    <col min="3586" max="3586" width="27.7109375" customWidth="1"/>
    <col min="3587" max="3587" width="33.7109375" customWidth="1"/>
    <col min="3588" max="3588" width="95.28515625" customWidth="1"/>
    <col min="3839" max="3839" width="55.7109375" customWidth="1"/>
    <col min="3840" max="3840" width="22" customWidth="1"/>
    <col min="3841" max="3841" width="24.42578125" customWidth="1"/>
    <col min="3842" max="3842" width="27.7109375" customWidth="1"/>
    <col min="3843" max="3843" width="33.7109375" customWidth="1"/>
    <col min="3844" max="3844" width="95.28515625" customWidth="1"/>
    <col min="4095" max="4095" width="55.7109375" customWidth="1"/>
    <col min="4096" max="4096" width="22" customWidth="1"/>
    <col min="4097" max="4097" width="24.42578125" customWidth="1"/>
    <col min="4098" max="4098" width="27.7109375" customWidth="1"/>
    <col min="4099" max="4099" width="33.7109375" customWidth="1"/>
    <col min="4100" max="4100" width="95.28515625" customWidth="1"/>
    <col min="4351" max="4351" width="55.7109375" customWidth="1"/>
    <col min="4352" max="4352" width="22" customWidth="1"/>
    <col min="4353" max="4353" width="24.42578125" customWidth="1"/>
    <col min="4354" max="4354" width="27.7109375" customWidth="1"/>
    <col min="4355" max="4355" width="33.7109375" customWidth="1"/>
    <col min="4356" max="4356" width="95.28515625" customWidth="1"/>
    <col min="4607" max="4607" width="55.7109375" customWidth="1"/>
    <col min="4608" max="4608" width="22" customWidth="1"/>
    <col min="4609" max="4609" width="24.42578125" customWidth="1"/>
    <col min="4610" max="4610" width="27.7109375" customWidth="1"/>
    <col min="4611" max="4611" width="33.7109375" customWidth="1"/>
    <col min="4612" max="4612" width="95.28515625" customWidth="1"/>
    <col min="4863" max="4863" width="55.7109375" customWidth="1"/>
    <col min="4864" max="4864" width="22" customWidth="1"/>
    <col min="4865" max="4865" width="24.42578125" customWidth="1"/>
    <col min="4866" max="4866" width="27.7109375" customWidth="1"/>
    <col min="4867" max="4867" width="33.7109375" customWidth="1"/>
    <col min="4868" max="4868" width="95.28515625" customWidth="1"/>
    <col min="5119" max="5119" width="55.7109375" customWidth="1"/>
    <col min="5120" max="5120" width="22" customWidth="1"/>
    <col min="5121" max="5121" width="24.42578125" customWidth="1"/>
    <col min="5122" max="5122" width="27.7109375" customWidth="1"/>
    <col min="5123" max="5123" width="33.7109375" customWidth="1"/>
    <col min="5124" max="5124" width="95.28515625" customWidth="1"/>
    <col min="5375" max="5375" width="55.7109375" customWidth="1"/>
    <col min="5376" max="5376" width="22" customWidth="1"/>
    <col min="5377" max="5377" width="24.42578125" customWidth="1"/>
    <col min="5378" max="5378" width="27.7109375" customWidth="1"/>
    <col min="5379" max="5379" width="33.7109375" customWidth="1"/>
    <col min="5380" max="5380" width="95.28515625" customWidth="1"/>
    <col min="5631" max="5631" width="55.7109375" customWidth="1"/>
    <col min="5632" max="5632" width="22" customWidth="1"/>
    <col min="5633" max="5633" width="24.42578125" customWidth="1"/>
    <col min="5634" max="5634" width="27.7109375" customWidth="1"/>
    <col min="5635" max="5635" width="33.7109375" customWidth="1"/>
    <col min="5636" max="5636" width="95.28515625" customWidth="1"/>
    <col min="5887" max="5887" width="55.7109375" customWidth="1"/>
    <col min="5888" max="5888" width="22" customWidth="1"/>
    <col min="5889" max="5889" width="24.42578125" customWidth="1"/>
    <col min="5890" max="5890" width="27.7109375" customWidth="1"/>
    <col min="5891" max="5891" width="33.7109375" customWidth="1"/>
    <col min="5892" max="5892" width="95.28515625" customWidth="1"/>
    <col min="6143" max="6143" width="55.7109375" customWidth="1"/>
    <col min="6144" max="6144" width="22" customWidth="1"/>
    <col min="6145" max="6145" width="24.42578125" customWidth="1"/>
    <col min="6146" max="6146" width="27.7109375" customWidth="1"/>
    <col min="6147" max="6147" width="33.7109375" customWidth="1"/>
    <col min="6148" max="6148" width="95.28515625" customWidth="1"/>
    <col min="6399" max="6399" width="55.7109375" customWidth="1"/>
    <col min="6400" max="6400" width="22" customWidth="1"/>
    <col min="6401" max="6401" width="24.42578125" customWidth="1"/>
    <col min="6402" max="6402" width="27.7109375" customWidth="1"/>
    <col min="6403" max="6403" width="33.7109375" customWidth="1"/>
    <col min="6404" max="6404" width="95.28515625" customWidth="1"/>
    <col min="6655" max="6655" width="55.7109375" customWidth="1"/>
    <col min="6656" max="6656" width="22" customWidth="1"/>
    <col min="6657" max="6657" width="24.42578125" customWidth="1"/>
    <col min="6658" max="6658" width="27.7109375" customWidth="1"/>
    <col min="6659" max="6659" width="33.7109375" customWidth="1"/>
    <col min="6660" max="6660" width="95.28515625" customWidth="1"/>
    <col min="6911" max="6911" width="55.7109375" customWidth="1"/>
    <col min="6912" max="6912" width="22" customWidth="1"/>
    <col min="6913" max="6913" width="24.42578125" customWidth="1"/>
    <col min="6914" max="6914" width="27.7109375" customWidth="1"/>
    <col min="6915" max="6915" width="33.7109375" customWidth="1"/>
    <col min="6916" max="6916" width="95.28515625" customWidth="1"/>
    <col min="7167" max="7167" width="55.7109375" customWidth="1"/>
    <col min="7168" max="7168" width="22" customWidth="1"/>
    <col min="7169" max="7169" width="24.42578125" customWidth="1"/>
    <col min="7170" max="7170" width="27.7109375" customWidth="1"/>
    <col min="7171" max="7171" width="33.7109375" customWidth="1"/>
    <col min="7172" max="7172" width="95.28515625" customWidth="1"/>
    <col min="7423" max="7423" width="55.7109375" customWidth="1"/>
    <col min="7424" max="7424" width="22" customWidth="1"/>
    <col min="7425" max="7425" width="24.42578125" customWidth="1"/>
    <col min="7426" max="7426" width="27.7109375" customWidth="1"/>
    <col min="7427" max="7427" width="33.7109375" customWidth="1"/>
    <col min="7428" max="7428" width="95.28515625" customWidth="1"/>
    <col min="7679" max="7679" width="55.7109375" customWidth="1"/>
    <col min="7680" max="7680" width="22" customWidth="1"/>
    <col min="7681" max="7681" width="24.42578125" customWidth="1"/>
    <col min="7682" max="7682" width="27.7109375" customWidth="1"/>
    <col min="7683" max="7683" width="33.7109375" customWidth="1"/>
    <col min="7684" max="7684" width="95.28515625" customWidth="1"/>
    <col min="7935" max="7935" width="55.7109375" customWidth="1"/>
    <col min="7936" max="7936" width="22" customWidth="1"/>
    <col min="7937" max="7937" width="24.42578125" customWidth="1"/>
    <col min="7938" max="7938" width="27.7109375" customWidth="1"/>
    <col min="7939" max="7939" width="33.7109375" customWidth="1"/>
    <col min="7940" max="7940" width="95.28515625" customWidth="1"/>
    <col min="8191" max="8191" width="55.7109375" customWidth="1"/>
    <col min="8192" max="8192" width="22" customWidth="1"/>
    <col min="8193" max="8193" width="24.42578125" customWidth="1"/>
    <col min="8194" max="8194" width="27.7109375" customWidth="1"/>
    <col min="8195" max="8195" width="33.7109375" customWidth="1"/>
    <col min="8196" max="8196" width="95.28515625" customWidth="1"/>
    <col min="8447" max="8447" width="55.7109375" customWidth="1"/>
    <col min="8448" max="8448" width="22" customWidth="1"/>
    <col min="8449" max="8449" width="24.42578125" customWidth="1"/>
    <col min="8450" max="8450" width="27.7109375" customWidth="1"/>
    <col min="8451" max="8451" width="33.7109375" customWidth="1"/>
    <col min="8452" max="8452" width="95.28515625" customWidth="1"/>
    <col min="8703" max="8703" width="55.7109375" customWidth="1"/>
    <col min="8704" max="8704" width="22" customWidth="1"/>
    <col min="8705" max="8705" width="24.42578125" customWidth="1"/>
    <col min="8706" max="8706" width="27.7109375" customWidth="1"/>
    <col min="8707" max="8707" width="33.7109375" customWidth="1"/>
    <col min="8708" max="8708" width="95.28515625" customWidth="1"/>
    <col min="8959" max="8959" width="55.7109375" customWidth="1"/>
    <col min="8960" max="8960" width="22" customWidth="1"/>
    <col min="8961" max="8961" width="24.42578125" customWidth="1"/>
    <col min="8962" max="8962" width="27.7109375" customWidth="1"/>
    <col min="8963" max="8963" width="33.7109375" customWidth="1"/>
    <col min="8964" max="8964" width="95.28515625" customWidth="1"/>
    <col min="9215" max="9215" width="55.7109375" customWidth="1"/>
    <col min="9216" max="9216" width="22" customWidth="1"/>
    <col min="9217" max="9217" width="24.42578125" customWidth="1"/>
    <col min="9218" max="9218" width="27.7109375" customWidth="1"/>
    <col min="9219" max="9219" width="33.7109375" customWidth="1"/>
    <col min="9220" max="9220" width="95.28515625" customWidth="1"/>
    <col min="9471" max="9471" width="55.7109375" customWidth="1"/>
    <col min="9472" max="9472" width="22" customWidth="1"/>
    <col min="9473" max="9473" width="24.42578125" customWidth="1"/>
    <col min="9474" max="9474" width="27.7109375" customWidth="1"/>
    <col min="9475" max="9475" width="33.7109375" customWidth="1"/>
    <col min="9476" max="9476" width="95.28515625" customWidth="1"/>
    <col min="9727" max="9727" width="55.7109375" customWidth="1"/>
    <col min="9728" max="9728" width="22" customWidth="1"/>
    <col min="9729" max="9729" width="24.42578125" customWidth="1"/>
    <col min="9730" max="9730" width="27.7109375" customWidth="1"/>
    <col min="9731" max="9731" width="33.7109375" customWidth="1"/>
    <col min="9732" max="9732" width="95.28515625" customWidth="1"/>
    <col min="9983" max="9983" width="55.7109375" customWidth="1"/>
    <col min="9984" max="9984" width="22" customWidth="1"/>
    <col min="9985" max="9985" width="24.42578125" customWidth="1"/>
    <col min="9986" max="9986" width="27.7109375" customWidth="1"/>
    <col min="9987" max="9987" width="33.7109375" customWidth="1"/>
    <col min="9988" max="9988" width="95.28515625" customWidth="1"/>
    <col min="10239" max="10239" width="55.7109375" customWidth="1"/>
    <col min="10240" max="10240" width="22" customWidth="1"/>
    <col min="10241" max="10241" width="24.42578125" customWidth="1"/>
    <col min="10242" max="10242" width="27.7109375" customWidth="1"/>
    <col min="10243" max="10243" width="33.7109375" customWidth="1"/>
    <col min="10244" max="10244" width="95.28515625" customWidth="1"/>
    <col min="10495" max="10495" width="55.7109375" customWidth="1"/>
    <col min="10496" max="10496" width="22" customWidth="1"/>
    <col min="10497" max="10497" width="24.42578125" customWidth="1"/>
    <col min="10498" max="10498" width="27.7109375" customWidth="1"/>
    <col min="10499" max="10499" width="33.7109375" customWidth="1"/>
    <col min="10500" max="10500" width="95.28515625" customWidth="1"/>
    <col min="10751" max="10751" width="55.7109375" customWidth="1"/>
    <col min="10752" max="10752" width="22" customWidth="1"/>
    <col min="10753" max="10753" width="24.42578125" customWidth="1"/>
    <col min="10754" max="10754" width="27.7109375" customWidth="1"/>
    <col min="10755" max="10755" width="33.7109375" customWidth="1"/>
    <col min="10756" max="10756" width="95.28515625" customWidth="1"/>
    <col min="11007" max="11007" width="55.7109375" customWidth="1"/>
    <col min="11008" max="11008" width="22" customWidth="1"/>
    <col min="11009" max="11009" width="24.42578125" customWidth="1"/>
    <col min="11010" max="11010" width="27.7109375" customWidth="1"/>
    <col min="11011" max="11011" width="33.7109375" customWidth="1"/>
    <col min="11012" max="11012" width="95.28515625" customWidth="1"/>
    <col min="11263" max="11263" width="55.7109375" customWidth="1"/>
    <col min="11264" max="11264" width="22" customWidth="1"/>
    <col min="11265" max="11265" width="24.42578125" customWidth="1"/>
    <col min="11266" max="11266" width="27.7109375" customWidth="1"/>
    <col min="11267" max="11267" width="33.7109375" customWidth="1"/>
    <col min="11268" max="11268" width="95.28515625" customWidth="1"/>
    <col min="11519" max="11519" width="55.7109375" customWidth="1"/>
    <col min="11520" max="11520" width="22" customWidth="1"/>
    <col min="11521" max="11521" width="24.42578125" customWidth="1"/>
    <col min="11522" max="11522" width="27.7109375" customWidth="1"/>
    <col min="11523" max="11523" width="33.7109375" customWidth="1"/>
    <col min="11524" max="11524" width="95.28515625" customWidth="1"/>
    <col min="11775" max="11775" width="55.7109375" customWidth="1"/>
    <col min="11776" max="11776" width="22" customWidth="1"/>
    <col min="11777" max="11777" width="24.42578125" customWidth="1"/>
    <col min="11778" max="11778" width="27.7109375" customWidth="1"/>
    <col min="11779" max="11779" width="33.7109375" customWidth="1"/>
    <col min="11780" max="11780" width="95.28515625" customWidth="1"/>
    <col min="12031" max="12031" width="55.7109375" customWidth="1"/>
    <col min="12032" max="12032" width="22" customWidth="1"/>
    <col min="12033" max="12033" width="24.42578125" customWidth="1"/>
    <col min="12034" max="12034" width="27.7109375" customWidth="1"/>
    <col min="12035" max="12035" width="33.7109375" customWidth="1"/>
    <col min="12036" max="12036" width="95.28515625" customWidth="1"/>
    <col min="12287" max="12287" width="55.7109375" customWidth="1"/>
    <col min="12288" max="12288" width="22" customWidth="1"/>
    <col min="12289" max="12289" width="24.42578125" customWidth="1"/>
    <col min="12290" max="12290" width="27.7109375" customWidth="1"/>
    <col min="12291" max="12291" width="33.7109375" customWidth="1"/>
    <col min="12292" max="12292" width="95.28515625" customWidth="1"/>
    <col min="12543" max="12543" width="55.7109375" customWidth="1"/>
    <col min="12544" max="12544" width="22" customWidth="1"/>
    <col min="12545" max="12545" width="24.42578125" customWidth="1"/>
    <col min="12546" max="12546" width="27.7109375" customWidth="1"/>
    <col min="12547" max="12547" width="33.7109375" customWidth="1"/>
    <col min="12548" max="12548" width="95.28515625" customWidth="1"/>
    <col min="12799" max="12799" width="55.7109375" customWidth="1"/>
    <col min="12800" max="12800" width="22" customWidth="1"/>
    <col min="12801" max="12801" width="24.42578125" customWidth="1"/>
    <col min="12802" max="12802" width="27.7109375" customWidth="1"/>
    <col min="12803" max="12803" width="33.7109375" customWidth="1"/>
    <col min="12804" max="12804" width="95.28515625" customWidth="1"/>
    <col min="13055" max="13055" width="55.7109375" customWidth="1"/>
    <col min="13056" max="13056" width="22" customWidth="1"/>
    <col min="13057" max="13057" width="24.42578125" customWidth="1"/>
    <col min="13058" max="13058" width="27.7109375" customWidth="1"/>
    <col min="13059" max="13059" width="33.7109375" customWidth="1"/>
    <col min="13060" max="13060" width="95.28515625" customWidth="1"/>
    <col min="13311" max="13311" width="55.7109375" customWidth="1"/>
    <col min="13312" max="13312" width="22" customWidth="1"/>
    <col min="13313" max="13313" width="24.42578125" customWidth="1"/>
    <col min="13314" max="13314" width="27.7109375" customWidth="1"/>
    <col min="13315" max="13315" width="33.7109375" customWidth="1"/>
    <col min="13316" max="13316" width="95.28515625" customWidth="1"/>
    <col min="13567" max="13567" width="55.7109375" customWidth="1"/>
    <col min="13568" max="13568" width="22" customWidth="1"/>
    <col min="13569" max="13569" width="24.42578125" customWidth="1"/>
    <col min="13570" max="13570" width="27.7109375" customWidth="1"/>
    <col min="13571" max="13571" width="33.7109375" customWidth="1"/>
    <col min="13572" max="13572" width="95.28515625" customWidth="1"/>
    <col min="13823" max="13823" width="55.7109375" customWidth="1"/>
    <col min="13824" max="13824" width="22" customWidth="1"/>
    <col min="13825" max="13825" width="24.42578125" customWidth="1"/>
    <col min="13826" max="13826" width="27.7109375" customWidth="1"/>
    <col min="13827" max="13827" width="33.7109375" customWidth="1"/>
    <col min="13828" max="13828" width="95.28515625" customWidth="1"/>
    <col min="14079" max="14079" width="55.7109375" customWidth="1"/>
    <col min="14080" max="14080" width="22" customWidth="1"/>
    <col min="14081" max="14081" width="24.42578125" customWidth="1"/>
    <col min="14082" max="14082" width="27.7109375" customWidth="1"/>
    <col min="14083" max="14083" width="33.7109375" customWidth="1"/>
    <col min="14084" max="14084" width="95.28515625" customWidth="1"/>
    <col min="14335" max="14335" width="55.7109375" customWidth="1"/>
    <col min="14336" max="14336" width="22" customWidth="1"/>
    <col min="14337" max="14337" width="24.42578125" customWidth="1"/>
    <col min="14338" max="14338" width="27.7109375" customWidth="1"/>
    <col min="14339" max="14339" width="33.7109375" customWidth="1"/>
    <col min="14340" max="14340" width="95.28515625" customWidth="1"/>
    <col min="14591" max="14591" width="55.7109375" customWidth="1"/>
    <col min="14592" max="14592" width="22" customWidth="1"/>
    <col min="14593" max="14593" width="24.42578125" customWidth="1"/>
    <col min="14594" max="14594" width="27.7109375" customWidth="1"/>
    <col min="14595" max="14595" width="33.7109375" customWidth="1"/>
    <col min="14596" max="14596" width="95.28515625" customWidth="1"/>
    <col min="14847" max="14847" width="55.7109375" customWidth="1"/>
    <col min="14848" max="14848" width="22" customWidth="1"/>
    <col min="14849" max="14849" width="24.42578125" customWidth="1"/>
    <col min="14850" max="14850" width="27.7109375" customWidth="1"/>
    <col min="14851" max="14851" width="33.7109375" customWidth="1"/>
    <col min="14852" max="14852" width="95.28515625" customWidth="1"/>
    <col min="15103" max="15103" width="55.7109375" customWidth="1"/>
    <col min="15104" max="15104" width="22" customWidth="1"/>
    <col min="15105" max="15105" width="24.42578125" customWidth="1"/>
    <col min="15106" max="15106" width="27.7109375" customWidth="1"/>
    <col min="15107" max="15107" width="33.7109375" customWidth="1"/>
    <col min="15108" max="15108" width="95.28515625" customWidth="1"/>
    <col min="15359" max="15359" width="55.7109375" customWidth="1"/>
    <col min="15360" max="15360" width="22" customWidth="1"/>
    <col min="15361" max="15361" width="24.42578125" customWidth="1"/>
    <col min="15362" max="15362" width="27.7109375" customWidth="1"/>
    <col min="15363" max="15363" width="33.7109375" customWidth="1"/>
    <col min="15364" max="15364" width="95.28515625" customWidth="1"/>
    <col min="15615" max="15615" width="55.7109375" customWidth="1"/>
    <col min="15616" max="15616" width="22" customWidth="1"/>
    <col min="15617" max="15617" width="24.42578125" customWidth="1"/>
    <col min="15618" max="15618" width="27.7109375" customWidth="1"/>
    <col min="15619" max="15619" width="33.7109375" customWidth="1"/>
    <col min="15620" max="15620" width="95.28515625" customWidth="1"/>
    <col min="15871" max="15871" width="55.7109375" customWidth="1"/>
    <col min="15872" max="15872" width="22" customWidth="1"/>
    <col min="15873" max="15873" width="24.42578125" customWidth="1"/>
    <col min="15874" max="15874" width="27.7109375" customWidth="1"/>
    <col min="15875" max="15875" width="33.7109375" customWidth="1"/>
    <col min="15876" max="15876" width="95.28515625" customWidth="1"/>
    <col min="16127" max="16127" width="55.7109375" customWidth="1"/>
    <col min="16128" max="16128" width="22" customWidth="1"/>
    <col min="16129" max="16129" width="24.42578125" customWidth="1"/>
    <col min="16130" max="16130" width="27.7109375" customWidth="1"/>
    <col min="16131" max="16131" width="33.7109375" customWidth="1"/>
    <col min="16132" max="16132" width="95.28515625" customWidth="1"/>
  </cols>
  <sheetData>
    <row r="1" spans="1:4" x14ac:dyDescent="0.25">
      <c r="A1" s="192" t="s">
        <v>0</v>
      </c>
      <c r="B1" s="192"/>
      <c r="C1" s="192"/>
      <c r="D1" s="192"/>
    </row>
    <row r="2" spans="1:4" ht="15.75" thickBot="1" x14ac:dyDescent="0.3">
      <c r="A2" s="193" t="s">
        <v>1</v>
      </c>
      <c r="B2" s="193"/>
      <c r="C2" s="193"/>
      <c r="D2" s="193"/>
    </row>
    <row r="3" spans="1:4" ht="15.75" thickTop="1" x14ac:dyDescent="0.25">
      <c r="A3" s="1" t="s">
        <v>2</v>
      </c>
    </row>
    <row r="4" spans="1:4" x14ac:dyDescent="0.25">
      <c r="A4" s="2" t="s">
        <v>3</v>
      </c>
    </row>
    <row r="5" spans="1:4" x14ac:dyDescent="0.25">
      <c r="A5" s="2" t="s">
        <v>2</v>
      </c>
    </row>
    <row r="6" spans="1:4" x14ac:dyDescent="0.25">
      <c r="A6" s="2"/>
    </row>
    <row r="7" spans="1:4" x14ac:dyDescent="0.25">
      <c r="A7" s="1" t="s">
        <v>2</v>
      </c>
    </row>
    <row r="8" spans="1:4" x14ac:dyDescent="0.25">
      <c r="A8" s="3" t="s">
        <v>4</v>
      </c>
      <c r="B8" s="4" t="s">
        <v>5</v>
      </c>
      <c r="C8" s="4" t="s">
        <v>6</v>
      </c>
    </row>
    <row r="9" spans="1:4" x14ac:dyDescent="0.25">
      <c r="A9" s="5">
        <v>1984</v>
      </c>
      <c r="B9" s="6">
        <v>376.6</v>
      </c>
      <c r="C9" s="6">
        <v>11298</v>
      </c>
    </row>
    <row r="10" spans="1:4" x14ac:dyDescent="0.25">
      <c r="A10" s="5">
        <v>1985</v>
      </c>
      <c r="B10" s="7">
        <v>451.92</v>
      </c>
      <c r="C10" s="7">
        <v>13558</v>
      </c>
    </row>
    <row r="11" spans="1:4" x14ac:dyDescent="0.25">
      <c r="A11" s="5">
        <v>1986</v>
      </c>
      <c r="B11" s="6">
        <v>560.38</v>
      </c>
      <c r="C11" s="6">
        <v>16811</v>
      </c>
    </row>
    <row r="12" spans="1:4" x14ac:dyDescent="0.25">
      <c r="A12" s="5">
        <v>1987</v>
      </c>
      <c r="B12" s="7">
        <v>683.66</v>
      </c>
      <c r="C12" s="7">
        <v>20510</v>
      </c>
    </row>
    <row r="13" spans="1:4" x14ac:dyDescent="0.25">
      <c r="A13" s="5">
        <v>1988</v>
      </c>
      <c r="B13" s="6">
        <v>854.58</v>
      </c>
      <c r="C13" s="6">
        <v>25637</v>
      </c>
    </row>
    <row r="14" spans="1:4" x14ac:dyDescent="0.25">
      <c r="A14" s="5">
        <v>1989</v>
      </c>
      <c r="B14" s="7">
        <v>1085.32</v>
      </c>
      <c r="C14" s="7">
        <v>32560</v>
      </c>
    </row>
    <row r="15" spans="1:4" x14ac:dyDescent="0.25">
      <c r="A15" s="5">
        <v>1990</v>
      </c>
      <c r="B15" s="6">
        <v>1367.5</v>
      </c>
      <c r="C15" s="6">
        <v>41025</v>
      </c>
    </row>
    <row r="16" spans="1:4" x14ac:dyDescent="0.25">
      <c r="A16" s="5">
        <v>1991</v>
      </c>
      <c r="B16" s="7">
        <v>1723.87</v>
      </c>
      <c r="C16" s="7">
        <v>51716</v>
      </c>
    </row>
    <row r="17" spans="1:3" x14ac:dyDescent="0.25">
      <c r="A17" s="5">
        <v>1992</v>
      </c>
      <c r="B17" s="6">
        <v>2173</v>
      </c>
      <c r="C17" s="6">
        <v>65190</v>
      </c>
    </row>
    <row r="18" spans="1:3" x14ac:dyDescent="0.25">
      <c r="A18" s="5">
        <v>1993</v>
      </c>
      <c r="B18" s="7">
        <v>2717</v>
      </c>
      <c r="C18" s="7">
        <v>81510</v>
      </c>
    </row>
    <row r="19" spans="1:3" x14ac:dyDescent="0.25">
      <c r="A19" s="5">
        <v>1994</v>
      </c>
      <c r="B19" s="6">
        <v>3290</v>
      </c>
      <c r="C19" s="6">
        <v>98700</v>
      </c>
    </row>
    <row r="20" spans="1:3" x14ac:dyDescent="0.25">
      <c r="A20" s="5">
        <v>1995</v>
      </c>
      <c r="B20" s="7">
        <v>3964.45</v>
      </c>
      <c r="C20" s="7">
        <v>118934</v>
      </c>
    </row>
    <row r="21" spans="1:3" x14ac:dyDescent="0.25">
      <c r="A21" s="5">
        <v>1996</v>
      </c>
      <c r="B21" s="6">
        <v>4737.5</v>
      </c>
      <c r="C21" s="6">
        <v>142125</v>
      </c>
    </row>
    <row r="22" spans="1:3" x14ac:dyDescent="0.25">
      <c r="A22" s="5">
        <v>1997</v>
      </c>
      <c r="B22" s="7">
        <v>5733.5</v>
      </c>
      <c r="C22" s="7">
        <v>172005</v>
      </c>
    </row>
    <row r="23" spans="1:3" x14ac:dyDescent="0.25">
      <c r="A23" s="5">
        <v>1998</v>
      </c>
      <c r="B23" s="6">
        <v>6794.2</v>
      </c>
      <c r="C23" s="6">
        <v>203826</v>
      </c>
    </row>
    <row r="24" spans="1:3" x14ac:dyDescent="0.25">
      <c r="A24" s="5">
        <v>1999</v>
      </c>
      <c r="B24" s="7">
        <v>7882</v>
      </c>
      <c r="C24" s="7">
        <v>236460</v>
      </c>
    </row>
    <row r="25" spans="1:3" x14ac:dyDescent="0.25">
      <c r="A25" s="5">
        <v>2000</v>
      </c>
      <c r="B25" s="6">
        <v>8670</v>
      </c>
      <c r="C25" s="6">
        <v>260100</v>
      </c>
    </row>
    <row r="26" spans="1:3" x14ac:dyDescent="0.25">
      <c r="A26" s="5">
        <v>2001</v>
      </c>
      <c r="B26" s="7">
        <v>9533.33</v>
      </c>
      <c r="C26" s="7">
        <v>286000</v>
      </c>
    </row>
    <row r="27" spans="1:3" x14ac:dyDescent="0.25">
      <c r="A27" s="5">
        <v>2002</v>
      </c>
      <c r="B27" s="6">
        <v>10300</v>
      </c>
      <c r="C27" s="6">
        <v>309000</v>
      </c>
    </row>
    <row r="28" spans="1:3" x14ac:dyDescent="0.25">
      <c r="A28" s="5">
        <v>2003</v>
      </c>
      <c r="B28" s="7">
        <v>11066.67</v>
      </c>
      <c r="C28" s="7">
        <v>332000</v>
      </c>
    </row>
    <row r="29" spans="1:3" x14ac:dyDescent="0.25">
      <c r="A29" s="5">
        <v>2004</v>
      </c>
      <c r="B29" s="6">
        <v>11933.33</v>
      </c>
      <c r="C29" s="6">
        <v>358000</v>
      </c>
    </row>
    <row r="30" spans="1:3" x14ac:dyDescent="0.25">
      <c r="A30" s="5">
        <v>2005</v>
      </c>
      <c r="B30" s="7">
        <v>12716.67</v>
      </c>
      <c r="C30" s="7">
        <v>381500</v>
      </c>
    </row>
    <row r="31" spans="1:3" x14ac:dyDescent="0.25">
      <c r="A31" s="5">
        <v>2006</v>
      </c>
      <c r="B31" s="6">
        <v>13600</v>
      </c>
      <c r="C31" s="6">
        <v>408000</v>
      </c>
    </row>
    <row r="32" spans="1:3" x14ac:dyDescent="0.25">
      <c r="A32" s="5">
        <v>2007</v>
      </c>
      <c r="B32" s="7">
        <v>14456.67</v>
      </c>
      <c r="C32" s="7">
        <v>433700</v>
      </c>
    </row>
    <row r="33" spans="1:3" x14ac:dyDescent="0.25">
      <c r="A33" s="5">
        <v>2008</v>
      </c>
      <c r="B33" s="6">
        <v>15383.33</v>
      </c>
      <c r="C33" s="6">
        <v>461500</v>
      </c>
    </row>
    <row r="34" spans="1:3" x14ac:dyDescent="0.25">
      <c r="A34" s="5">
        <v>2009</v>
      </c>
      <c r="B34" s="7">
        <v>16563.330000000002</v>
      </c>
      <c r="C34" s="7">
        <v>496900</v>
      </c>
    </row>
    <row r="35" spans="1:3" x14ac:dyDescent="0.25">
      <c r="A35" s="5">
        <v>2010</v>
      </c>
      <c r="B35" s="6">
        <v>17166.669999999998</v>
      </c>
      <c r="C35" s="6">
        <v>515000</v>
      </c>
    </row>
    <row r="36" spans="1:3" x14ac:dyDescent="0.25">
      <c r="A36" s="5">
        <v>2011</v>
      </c>
      <c r="B36" s="7">
        <v>17853.330000000002</v>
      </c>
      <c r="C36" s="7">
        <v>535600</v>
      </c>
    </row>
    <row r="37" spans="1:3" x14ac:dyDescent="0.25">
      <c r="A37" s="5">
        <v>2012</v>
      </c>
      <c r="B37" s="6">
        <v>18890</v>
      </c>
      <c r="C37" s="6">
        <v>566700</v>
      </c>
    </row>
    <row r="38" spans="1:3" x14ac:dyDescent="0.25">
      <c r="A38" s="5">
        <v>2013</v>
      </c>
      <c r="B38" s="7">
        <v>19650</v>
      </c>
      <c r="C38" s="7">
        <v>589500</v>
      </c>
    </row>
    <row r="39" spans="1:3" x14ac:dyDescent="0.25">
      <c r="A39" s="5">
        <v>2014</v>
      </c>
      <c r="B39" s="6">
        <v>20533.330000000002</v>
      </c>
      <c r="C39" s="6">
        <v>616000</v>
      </c>
    </row>
    <row r="40" spans="1:3" x14ac:dyDescent="0.25">
      <c r="A40" s="5">
        <v>2015</v>
      </c>
      <c r="B40" s="7">
        <v>21478.33</v>
      </c>
      <c r="C40" s="7">
        <v>644350</v>
      </c>
    </row>
    <row r="41" spans="1:3" x14ac:dyDescent="0.25">
      <c r="A41" s="5">
        <v>2016</v>
      </c>
      <c r="B41" s="6">
        <v>22981.83</v>
      </c>
      <c r="C41" s="6">
        <v>689455</v>
      </c>
    </row>
    <row r="42" spans="1:3" x14ac:dyDescent="0.25">
      <c r="A42" s="5">
        <v>2017</v>
      </c>
      <c r="B42" s="7">
        <v>24590.560000000001</v>
      </c>
      <c r="C42" s="7">
        <v>737717</v>
      </c>
    </row>
    <row r="43" spans="1:3" x14ac:dyDescent="0.25">
      <c r="A43" s="5">
        <v>2018</v>
      </c>
      <c r="B43" s="6">
        <v>26041.4</v>
      </c>
      <c r="C43" s="6">
        <v>781242</v>
      </c>
    </row>
    <row r="44" spans="1:3" x14ac:dyDescent="0.25">
      <c r="A44" s="8">
        <v>2019</v>
      </c>
      <c r="B44" s="9">
        <f>C44/30</f>
        <v>27603.866666666665</v>
      </c>
      <c r="C44" s="9">
        <v>828116</v>
      </c>
    </row>
    <row r="45" spans="1:3" x14ac:dyDescent="0.25">
      <c r="A45" s="8">
        <v>2020</v>
      </c>
      <c r="B45" s="9">
        <f>C45/30</f>
        <v>29260.1</v>
      </c>
      <c r="C45" s="9">
        <v>877803</v>
      </c>
    </row>
    <row r="46" spans="1:3" x14ac:dyDescent="0.25">
      <c r="A46" s="8">
        <v>2021</v>
      </c>
      <c r="B46" s="9">
        <f>C46/30</f>
        <v>30284.2</v>
      </c>
      <c r="C46" s="9">
        <v>908526</v>
      </c>
    </row>
    <row r="47" spans="1:3" x14ac:dyDescent="0.25">
      <c r="A47" s="8">
        <v>2022</v>
      </c>
      <c r="B47" s="9">
        <f>+Tabla36[[#This Row],[Salario mínimo mensual]]/30</f>
        <v>33333.333333333336</v>
      </c>
      <c r="C47" s="9">
        <v>1000000</v>
      </c>
    </row>
    <row r="48" spans="1:3" x14ac:dyDescent="0.25">
      <c r="A48" s="8">
        <v>2023</v>
      </c>
      <c r="B48" s="9">
        <f>+Tabla36[[#This Row],[Salario mínimo mensual]]/30</f>
        <v>38666.666666666664</v>
      </c>
      <c r="C48" s="9">
        <v>1160000</v>
      </c>
    </row>
    <row r="49" spans="1:3" x14ac:dyDescent="0.25">
      <c r="A49" s="8">
        <v>2024</v>
      </c>
      <c r="B49" s="9">
        <f>+Tabla36[[#This Row],[Salario mínimo mensual]]/30</f>
        <v>43333.333333333336</v>
      </c>
      <c r="C49" s="9">
        <v>1300000</v>
      </c>
    </row>
    <row r="50" spans="1:3" x14ac:dyDescent="0.25">
      <c r="A50" s="1" t="s">
        <v>2</v>
      </c>
    </row>
    <row r="51" spans="1:3" x14ac:dyDescent="0.25">
      <c r="A51" s="10" t="s">
        <v>2</v>
      </c>
    </row>
    <row r="52" spans="1:3" ht="24" x14ac:dyDescent="0.25">
      <c r="A52" s="10" t="s">
        <v>7</v>
      </c>
    </row>
    <row r="53" spans="1:3" x14ac:dyDescent="0.25">
      <c r="A53" s="10" t="s">
        <v>2</v>
      </c>
    </row>
    <row r="54" spans="1:3" ht="24" x14ac:dyDescent="0.25">
      <c r="A54" s="10" t="s">
        <v>8</v>
      </c>
    </row>
    <row r="55" spans="1:3" x14ac:dyDescent="0.25">
      <c r="A55" s="10" t="s">
        <v>2</v>
      </c>
    </row>
    <row r="56" spans="1:3" x14ac:dyDescent="0.25">
      <c r="A56" s="1" t="s">
        <v>2</v>
      </c>
    </row>
  </sheetData>
  <mergeCells count="2">
    <mergeCell ref="A1:D1"/>
    <mergeCell ref="A2:D2"/>
  </mergeCells>
  <hyperlinks>
    <hyperlink ref="A52" r:id="rId1" xr:uid="{00000000-0004-0000-0700-000000000000}"/>
  </hyperlinks>
  <pageMargins left="0.7" right="0.7" top="0.75" bottom="0.75" header="0.3" footer="0.3"/>
  <pageSetup orientation="portrait"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5:Z30"/>
  <sheetViews>
    <sheetView showGridLines="0" view="pageBreakPreview" zoomScale="84" zoomScaleNormal="70" zoomScaleSheetLayoutView="70" workbookViewId="0">
      <selection activeCell="D17" sqref="D17"/>
    </sheetView>
  </sheetViews>
  <sheetFormatPr baseColWidth="10" defaultColWidth="11.42578125" defaultRowHeight="15" x14ac:dyDescent="0.25"/>
  <cols>
    <col min="1" max="1" width="11.42578125" style="11"/>
    <col min="2" max="2" width="9.42578125" style="11" bestFit="1" customWidth="1"/>
    <col min="3" max="3" width="41.42578125" style="11" bestFit="1" customWidth="1"/>
    <col min="4" max="4" width="21.28515625" style="11" customWidth="1"/>
    <col min="5" max="5" width="19.140625" style="11" customWidth="1"/>
    <col min="6" max="6" width="20.42578125" style="11" customWidth="1"/>
    <col min="7" max="7" width="69.42578125" style="11" customWidth="1"/>
    <col min="8" max="11" width="13.140625" style="11" customWidth="1"/>
    <col min="12" max="15" width="13.42578125" style="11" customWidth="1"/>
    <col min="16" max="16" width="15" style="11" customWidth="1"/>
    <col min="17" max="17" width="18.85546875" style="11" bestFit="1" customWidth="1"/>
    <col min="18" max="18" width="20.85546875" style="11" bestFit="1" customWidth="1"/>
    <col min="19" max="19" width="13.42578125" style="11" customWidth="1"/>
    <col min="20" max="22" width="12.140625" style="11" customWidth="1"/>
    <col min="23" max="23" width="17.42578125" style="11" customWidth="1"/>
    <col min="24" max="24" width="15.42578125" style="11" customWidth="1"/>
    <col min="25" max="25" width="17" style="11" customWidth="1"/>
    <col min="26" max="26" width="61.28515625" style="11" customWidth="1"/>
    <col min="27" max="16384" width="11.42578125" style="11"/>
  </cols>
  <sheetData>
    <row r="5" spans="3:7" ht="11.25" customHeight="1" x14ac:dyDescent="0.25"/>
    <row r="6" spans="3:7" ht="18.75" customHeight="1" x14ac:dyDescent="0.25">
      <c r="C6" s="157" t="s">
        <v>99</v>
      </c>
      <c r="D6" s="157"/>
      <c r="E6" s="157"/>
      <c r="F6" s="157"/>
    </row>
    <row r="7" spans="3:7" x14ac:dyDescent="0.25">
      <c r="C7" s="157" t="s">
        <v>102</v>
      </c>
      <c r="D7" s="157"/>
      <c r="E7" s="157"/>
      <c r="F7" s="157"/>
    </row>
    <row r="8" spans="3:7" x14ac:dyDescent="0.25">
      <c r="C8" s="158" t="s">
        <v>103</v>
      </c>
      <c r="D8" s="158"/>
      <c r="E8" s="158"/>
      <c r="F8" s="158"/>
      <c r="G8" s="158"/>
    </row>
    <row r="9" spans="3:7" x14ac:dyDescent="0.25">
      <c r="C9" s="158"/>
      <c r="D9" s="158"/>
      <c r="E9" s="158"/>
      <c r="F9" s="158"/>
      <c r="G9" s="158"/>
    </row>
    <row r="10" spans="3:7" x14ac:dyDescent="0.25">
      <c r="C10" s="45"/>
      <c r="D10" s="45"/>
      <c r="E10" s="45"/>
      <c r="F10" s="45"/>
      <c r="G10" s="45"/>
    </row>
    <row r="11" spans="3:7" ht="16.5" x14ac:dyDescent="0.3">
      <c r="C11" s="12" t="s">
        <v>36</v>
      </c>
      <c r="D11" s="113">
        <v>1052217002</v>
      </c>
      <c r="G11" s="13"/>
    </row>
    <row r="12" spans="3:7" x14ac:dyDescent="0.25">
      <c r="C12" s="12" t="s">
        <v>9</v>
      </c>
      <c r="D12" s="88">
        <v>2024</v>
      </c>
      <c r="G12" s="13"/>
    </row>
    <row r="13" spans="3:7" x14ac:dyDescent="0.25">
      <c r="C13" s="12" t="s">
        <v>31</v>
      </c>
      <c r="D13" s="90">
        <f>D11/(VLOOKUP($D$12,Tabla36[#All],3,FALSE))</f>
        <v>809.39769384615386</v>
      </c>
      <c r="F13" s="40"/>
    </row>
    <row r="14" spans="3:7" x14ac:dyDescent="0.25">
      <c r="C14" s="12" t="s">
        <v>78</v>
      </c>
      <c r="D14" s="90" t="e">
        <f>+F20</f>
        <v>#N/A</v>
      </c>
      <c r="E14" s="46" t="e">
        <f>IF(D14&gt;=D13,"CUMPLE","NO CUMPLE")</f>
        <v>#N/A</v>
      </c>
      <c r="F14" s="40"/>
    </row>
    <row r="15" spans="3:7" x14ac:dyDescent="0.25">
      <c r="C15" s="12" t="s">
        <v>10</v>
      </c>
      <c r="D15" s="91">
        <v>45373</v>
      </c>
      <c r="F15" s="15"/>
    </row>
    <row r="16" spans="3:7" ht="45" x14ac:dyDescent="0.25">
      <c r="C16" s="12" t="s">
        <v>18</v>
      </c>
      <c r="D16" s="14" t="s">
        <v>105</v>
      </c>
      <c r="E16" s="12" t="s">
        <v>25</v>
      </c>
      <c r="F16" s="12" t="s">
        <v>29</v>
      </c>
    </row>
    <row r="17" spans="2:26" x14ac:dyDescent="0.25">
      <c r="C17" s="194" t="s">
        <v>24</v>
      </c>
      <c r="D17" s="14"/>
      <c r="E17" s="41"/>
      <c r="F17" s="42" t="e">
        <f>VLOOKUP(D17,Tabla24[[#Headers],[#Data],[Contratista o Integrante que aporta experiencia]:[Valor Total Ejecutado del Contrato expresado en SMMLV]],15,0)</f>
        <v>#N/A</v>
      </c>
    </row>
    <row r="18" spans="2:26" x14ac:dyDescent="0.25">
      <c r="C18" s="195"/>
      <c r="D18" s="39"/>
      <c r="E18" s="41"/>
      <c r="F18" s="42" t="e">
        <f>VLOOKUP(D18,Tabla24[[#Headers],[#Data],[Contratista o Integrante que aporta experiencia]:[Valor Total Ejecutado del Contrato expresado en SMMLV]],15,0)</f>
        <v>#N/A</v>
      </c>
    </row>
    <row r="19" spans="2:26" x14ac:dyDescent="0.25">
      <c r="C19" s="196"/>
      <c r="D19" s="39"/>
      <c r="E19" s="41"/>
      <c r="F19" s="42" t="e">
        <f>VLOOKUP(D19,Tabla24[[#Headers],[#Data],[Contratista o Integrante que aporta experiencia]:[Valor Total Ejecutado del Contrato expresado en SMMLV]],15,0)</f>
        <v>#N/A</v>
      </c>
    </row>
    <row r="20" spans="2:26" x14ac:dyDescent="0.25">
      <c r="C20" s="12" t="s">
        <v>30</v>
      </c>
      <c r="D20" s="160">
        <f>COUNT(Tabla24[No. ])</f>
        <v>3</v>
      </c>
      <c r="E20" s="160"/>
      <c r="F20" s="87" t="e">
        <f>SUM(F17:F19)</f>
        <v>#N/A</v>
      </c>
    </row>
    <row r="21" spans="2:26" ht="30" x14ac:dyDescent="0.25">
      <c r="C21" s="12" t="s">
        <v>26</v>
      </c>
      <c r="D21" s="43"/>
      <c r="E21" s="89"/>
      <c r="F21" s="40"/>
    </row>
    <row r="22" spans="2:26" ht="30" x14ac:dyDescent="0.25">
      <c r="C22" s="12" t="s">
        <v>100</v>
      </c>
      <c r="D22" s="43" t="s">
        <v>104</v>
      </c>
      <c r="E22" s="14" t="s">
        <v>19</v>
      </c>
      <c r="F22" s="40"/>
    </row>
    <row r="23" spans="2:26" ht="30" x14ac:dyDescent="0.25">
      <c r="C23" s="12" t="s">
        <v>101</v>
      </c>
      <c r="D23" s="43" t="s">
        <v>104</v>
      </c>
      <c r="E23" s="14" t="s">
        <v>19</v>
      </c>
      <c r="F23" s="40"/>
    </row>
    <row r="24" spans="2:26" x14ac:dyDescent="0.25">
      <c r="C24" s="12" t="s">
        <v>79</v>
      </c>
      <c r="D24" s="14" t="s">
        <v>19</v>
      </c>
      <c r="E24" s="197"/>
      <c r="F24" s="197"/>
    </row>
    <row r="26" spans="2:26" x14ac:dyDescent="0.25">
      <c r="F26" s="86"/>
      <c r="T26" s="155" t="s">
        <v>23</v>
      </c>
      <c r="U26" s="155"/>
      <c r="V26" s="155"/>
      <c r="W26" s="156" t="s">
        <v>82</v>
      </c>
      <c r="X26" s="156"/>
    </row>
    <row r="27" spans="2:26" s="16" customFormat="1" ht="96.75" customHeight="1" x14ac:dyDescent="0.25">
      <c r="B27" s="17" t="s">
        <v>11</v>
      </c>
      <c r="C27" s="18" t="s">
        <v>12</v>
      </c>
      <c r="D27" s="18" t="s">
        <v>83</v>
      </c>
      <c r="E27" s="18" t="s">
        <v>16</v>
      </c>
      <c r="F27" s="18" t="s">
        <v>28</v>
      </c>
      <c r="G27" s="18" t="s">
        <v>13</v>
      </c>
      <c r="H27" s="18" t="s">
        <v>84</v>
      </c>
      <c r="I27" s="18" t="s">
        <v>85</v>
      </c>
      <c r="J27" s="18" t="s">
        <v>98</v>
      </c>
      <c r="K27" s="18" t="s">
        <v>86</v>
      </c>
      <c r="L27" s="18" t="s">
        <v>14</v>
      </c>
      <c r="M27" s="18" t="s">
        <v>27</v>
      </c>
      <c r="N27" s="18" t="s">
        <v>15</v>
      </c>
      <c r="O27" s="18" t="s">
        <v>77</v>
      </c>
      <c r="P27" s="18" t="s">
        <v>87</v>
      </c>
      <c r="Q27" s="18" t="s">
        <v>74</v>
      </c>
      <c r="R27" s="84" t="s">
        <v>75</v>
      </c>
      <c r="S27" s="18" t="s">
        <v>76</v>
      </c>
      <c r="T27" s="18" t="s">
        <v>20</v>
      </c>
      <c r="U27" s="18" t="s">
        <v>21</v>
      </c>
      <c r="V27" s="18" t="s">
        <v>22</v>
      </c>
      <c r="W27" s="18" t="s">
        <v>80</v>
      </c>
      <c r="X27" s="18" t="s">
        <v>81</v>
      </c>
      <c r="Y27" s="18" t="s">
        <v>33</v>
      </c>
      <c r="Z27" s="18" t="s">
        <v>17</v>
      </c>
    </row>
    <row r="28" spans="2:26" x14ac:dyDescent="0.25">
      <c r="B28" s="19">
        <v>1</v>
      </c>
      <c r="C28" s="20"/>
      <c r="D28" s="20"/>
      <c r="E28" s="20"/>
      <c r="F28" s="20"/>
      <c r="G28" s="21"/>
      <c r="H28" s="22"/>
      <c r="I28" s="23"/>
      <c r="J28" s="23"/>
      <c r="K28" s="24"/>
      <c r="L28" s="25"/>
      <c r="M28" s="26"/>
      <c r="N28" s="26"/>
      <c r="O28" s="85">
        <f>YEAR(Tabla24[[#This Row],[Fecha de Terminacion]])</f>
        <v>1900</v>
      </c>
      <c r="P28" s="28">
        <f>+Tabla24[[#This Row],[SMMLV RUP]]*Tabla24[[#This Row],[% de Participacion]]</f>
        <v>0</v>
      </c>
      <c r="Q28" s="27"/>
      <c r="R28" s="82" t="e">
        <f>VLOOKUP(Tabla24[[#This Row],[Año de Terminación]],Tabla36[[Año]:[Salario mínimo mensual]],3,0)</f>
        <v>#N/A</v>
      </c>
      <c r="S28" s="82" t="e">
        <f>+Tabla24[[#This Row],[Valor Total Ejecutado del Contrato ($)]]/Tabla24[[#This Row],[SMMLV AÑO DE TERMINACIÓN]]*Tabla24[[#This Row],[% de Participacion]]</f>
        <v>#N/A</v>
      </c>
      <c r="T28" s="25" t="s">
        <v>32</v>
      </c>
      <c r="U28" s="25" t="s">
        <v>32</v>
      </c>
      <c r="V28" s="25" t="s">
        <v>32</v>
      </c>
      <c r="W28" s="25"/>
      <c r="X28" s="25"/>
      <c r="Y28" s="25"/>
      <c r="Z28" s="29"/>
    </row>
    <row r="29" spans="2:26" x14ac:dyDescent="0.25">
      <c r="B29" s="19">
        <v>2</v>
      </c>
      <c r="C29" s="20"/>
      <c r="D29" s="20"/>
      <c r="E29" s="24"/>
      <c r="F29" s="24"/>
      <c r="G29" s="21"/>
      <c r="H29" s="24"/>
      <c r="I29" s="23"/>
      <c r="J29" s="23"/>
      <c r="K29" s="24"/>
      <c r="L29" s="28"/>
      <c r="M29" s="28"/>
      <c r="N29" s="26"/>
      <c r="O29" s="85">
        <f>YEAR(Tabla24[[#This Row],[Fecha de Terminacion]])</f>
        <v>1900</v>
      </c>
      <c r="P29" s="28">
        <f>+Tabla24[[#This Row],[SMMLV RUP]]*Tabla24[[#This Row],[% de Participacion]]</f>
        <v>0</v>
      </c>
      <c r="Q29" s="27"/>
      <c r="R29" s="81" t="e">
        <f>VLOOKUP(Tabla24[[#This Row],[Año de Terminación]],Tabla36[[Año]:[Salario mínimo mensual]],3,0)</f>
        <v>#N/A</v>
      </c>
      <c r="S29" s="82" t="e">
        <f>+Tabla24[[#This Row],[Valor Total Ejecutado del Contrato ($)]]/Tabla24[[#This Row],[SMMLV AÑO DE TERMINACIÓN]]*Tabla24[[#This Row],[% de Participacion]]</f>
        <v>#N/A</v>
      </c>
      <c r="T29" s="28"/>
      <c r="U29" s="28"/>
      <c r="V29" s="28"/>
      <c r="W29" s="28"/>
      <c r="X29" s="28"/>
      <c r="Y29" s="25"/>
      <c r="Z29" s="29"/>
    </row>
    <row r="30" spans="2:26" x14ac:dyDescent="0.25">
      <c r="B30" s="30">
        <v>3</v>
      </c>
      <c r="C30" s="31"/>
      <c r="D30" s="31"/>
      <c r="E30" s="32"/>
      <c r="F30" s="32"/>
      <c r="G30" s="33"/>
      <c r="H30" s="32"/>
      <c r="I30" s="34"/>
      <c r="J30" s="34"/>
      <c r="K30" s="32"/>
      <c r="L30" s="35"/>
      <c r="M30" s="35"/>
      <c r="N30" s="36"/>
      <c r="O30" s="85">
        <f>YEAR(Tabla24[[#This Row],[Fecha de Terminacion]])</f>
        <v>1900</v>
      </c>
      <c r="P30" s="28">
        <f>+Tabla24[[#This Row],[SMMLV RUP]]*Tabla24[[#This Row],[% de Participacion]]</f>
        <v>0</v>
      </c>
      <c r="Q30" s="37"/>
      <c r="R30" s="83" t="e">
        <f>VLOOKUP(Tabla24[[#This Row],[Año de Terminación]],Tabla36[[Año]:[Salario mínimo mensual]],3,0)</f>
        <v>#N/A</v>
      </c>
      <c r="S30" s="82" t="e">
        <f>+Tabla24[[#This Row],[Valor Total Ejecutado del Contrato ($)]]/Tabla24[[#This Row],[SMMLV AÑO DE TERMINACIÓN]]*Tabla24[[#This Row],[% de Participacion]]</f>
        <v>#N/A</v>
      </c>
      <c r="T30" s="35"/>
      <c r="U30" s="35"/>
      <c r="V30" s="35"/>
      <c r="W30" s="35"/>
      <c r="Y30" s="44"/>
      <c r="Z30" s="38"/>
    </row>
  </sheetData>
  <mergeCells count="8">
    <mergeCell ref="T26:V26"/>
    <mergeCell ref="W26:X26"/>
    <mergeCell ref="C6:F6"/>
    <mergeCell ref="C7:F7"/>
    <mergeCell ref="C8:G9"/>
    <mergeCell ref="C17:C19"/>
    <mergeCell ref="D20:E20"/>
    <mergeCell ref="E24:F24"/>
  </mergeCells>
  <pageMargins left="0.7" right="0.7" top="0.75" bottom="0.75" header="0.3" footer="0.3"/>
  <pageSetup paperSize="9" scale="17"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CONSOLIDADO</vt:lpstr>
      <vt:lpstr>REFRICESAR ING</vt:lpstr>
      <vt:lpstr>HIDRAULIC &amp; ENVIROMENTAL DESIGN</vt:lpstr>
      <vt:lpstr>MULTISISTEMAS MD</vt:lpstr>
      <vt:lpstr>APICOM S.A.S</vt:lpstr>
      <vt:lpstr>INPAME S.A.S</vt:lpstr>
      <vt:lpstr>Ponderables</vt:lpstr>
      <vt:lpstr>SMMLV</vt:lpstr>
      <vt:lpstr>Experiencia (2)</vt:lpstr>
      <vt:lpstr>'Experiencia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dc:creator>
  <cp:keywords/>
  <dc:description/>
  <cp:lastModifiedBy>Julia Andrea Narvaez Toro</cp:lastModifiedBy>
  <cp:lastPrinted>2024-08-12T15:53:09Z</cp:lastPrinted>
  <dcterms:created xsi:type="dcterms:W3CDTF">2021-11-19T17:26:07Z</dcterms:created>
  <dcterms:modified xsi:type="dcterms:W3CDTF">2024-08-12T15:54:20Z</dcterms:modified>
  <cp:category/>
</cp:coreProperties>
</file>