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cal\Downloads\"/>
    </mc:Choice>
  </mc:AlternateContent>
  <xr:revisionPtr revIDLastSave="0" documentId="13_ncr:1_{0C7DAF95-CF94-4B79-8923-4556E2879E1F}" xr6:coauthVersionLast="47" xr6:coauthVersionMax="47" xr10:uidLastSave="{00000000-0000-0000-0000-000000000000}"/>
  <bookViews>
    <workbookView xWindow="-120" yWindow="-120" windowWidth="20730" windowHeight="11040" xr2:uid="{6C63123B-BF8C-4215-9A83-C0B9803A128A}"/>
  </bookViews>
  <sheets>
    <sheet name="Presupuesto" sheetId="1" r:id="rId1"/>
    <sheet name="APU" sheetId="2" r:id="rId2"/>
    <sheet name="Amarres y cantidades" sheetId="3" r:id="rId3"/>
    <sheet name="Cantidades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6" i="1" l="1"/>
  <c r="F54" i="1"/>
  <c r="F47" i="1"/>
  <c r="F43" i="1"/>
  <c r="F39" i="1"/>
  <c r="F33" i="1"/>
  <c r="F30" i="1"/>
  <c r="F28" i="1"/>
  <c r="F24" i="1"/>
  <c r="F18" i="1"/>
  <c r="F16" i="1"/>
  <c r="F13" i="1"/>
  <c r="F12" i="1"/>
  <c r="F11" i="1"/>
  <c r="F10" i="1"/>
  <c r="F34" i="1"/>
  <c r="F36" i="1"/>
  <c r="F37" i="1"/>
  <c r="F38" i="1"/>
  <c r="F35" i="1"/>
  <c r="F27" i="1"/>
  <c r="F53" i="1"/>
  <c r="C109" i="3"/>
  <c r="F159" i="2" l="1"/>
  <c r="F35" i="4"/>
  <c r="F36" i="4"/>
  <c r="F37" i="4"/>
  <c r="F38" i="4"/>
  <c r="F39" i="4"/>
  <c r="D104" i="2"/>
  <c r="D96" i="2"/>
  <c r="J80" i="3"/>
  <c r="J78" i="3"/>
  <c r="I80" i="3"/>
  <c r="I79" i="3"/>
  <c r="J79" i="3" s="1"/>
  <c r="J81" i="3" s="1"/>
  <c r="I78" i="3"/>
  <c r="D43" i="3"/>
  <c r="F81" i="2"/>
  <c r="F33" i="4" l="1"/>
  <c r="F34" i="4"/>
  <c r="F32" i="4"/>
  <c r="F31" i="4"/>
  <c r="F30" i="4"/>
  <c r="F29" i="4"/>
  <c r="F28" i="4"/>
  <c r="F27" i="4"/>
  <c r="F26" i="4"/>
  <c r="F132" i="2"/>
  <c r="F25" i="4"/>
  <c r="F18" i="4"/>
  <c r="F19" i="4"/>
  <c r="F20" i="4"/>
  <c r="F21" i="4"/>
  <c r="F22" i="4"/>
  <c r="F23" i="4"/>
  <c r="F24" i="4"/>
  <c r="F17" i="4"/>
  <c r="F16" i="4"/>
  <c r="F15" i="4"/>
  <c r="F4" i="4"/>
  <c r="F5" i="4"/>
  <c r="F6" i="4"/>
  <c r="F7" i="4"/>
  <c r="F8" i="4"/>
  <c r="F9" i="4"/>
  <c r="F10" i="4"/>
  <c r="F11" i="4"/>
  <c r="F13" i="4"/>
  <c r="F14" i="4"/>
  <c r="F3" i="4"/>
  <c r="F156" i="2"/>
  <c r="F155" i="2"/>
  <c r="F154" i="2"/>
  <c r="F153" i="2"/>
  <c r="F152" i="2"/>
  <c r="F149" i="2"/>
  <c r="F150" i="2"/>
  <c r="F151" i="2"/>
  <c r="F157" i="2"/>
  <c r="F146" i="2"/>
  <c r="F145" i="2"/>
  <c r="F144" i="2"/>
  <c r="F143" i="2"/>
  <c r="F142" i="2"/>
  <c r="F141" i="2"/>
  <c r="F131" i="2"/>
  <c r="F130" i="2"/>
  <c r="F129" i="2"/>
  <c r="F126" i="2"/>
  <c r="F127" i="2"/>
  <c r="F128" i="2"/>
  <c r="F125" i="2"/>
  <c r="F107" i="2"/>
  <c r="F114" i="2"/>
  <c r="F115" i="2"/>
  <c r="F116" i="2"/>
  <c r="F117" i="2"/>
  <c r="F113" i="2"/>
  <c r="F99" i="2"/>
  <c r="F49" i="1"/>
  <c r="F48" i="1"/>
  <c r="F51" i="1"/>
  <c r="F50" i="1"/>
  <c r="F26" i="1"/>
  <c r="F106" i="2"/>
  <c r="F105" i="2"/>
  <c r="E52" i="1" l="1"/>
  <c r="F52" i="1" s="1"/>
  <c r="E118" i="2"/>
  <c r="F133" i="2"/>
  <c r="E108" i="2"/>
  <c r="F108" i="2" l="1"/>
  <c r="F110" i="2" s="1"/>
  <c r="E46" i="1" s="1"/>
  <c r="F118" i="2"/>
  <c r="F120" i="2" s="1"/>
  <c r="E44" i="1" s="1"/>
  <c r="C98" i="3"/>
  <c r="E98" i="3" s="1"/>
  <c r="D94" i="3"/>
  <c r="C101" i="3"/>
  <c r="D97" i="2" s="1"/>
  <c r="F97" i="2" s="1"/>
  <c r="C100" i="3"/>
  <c r="D98" i="2" s="1"/>
  <c r="F98" i="2" s="1"/>
  <c r="C93" i="3"/>
  <c r="C97" i="3" s="1"/>
  <c r="G23" i="3"/>
  <c r="G24" i="3"/>
  <c r="G26" i="3"/>
  <c r="C99" i="3"/>
  <c r="E96" i="3"/>
  <c r="F49" i="2"/>
  <c r="C84" i="3"/>
  <c r="D80" i="3"/>
  <c r="C86" i="3"/>
  <c r="C85" i="3"/>
  <c r="E84" i="3"/>
  <c r="E81" i="3"/>
  <c r="D68" i="3"/>
  <c r="C74" i="3"/>
  <c r="C73" i="3"/>
  <c r="C72" i="3"/>
  <c r="E72" i="3" s="1"/>
  <c r="E69" i="3"/>
  <c r="C60" i="3"/>
  <c r="E60" i="3" s="1"/>
  <c r="C62" i="3"/>
  <c r="I47" i="3" s="1"/>
  <c r="C61" i="3"/>
  <c r="E57" i="3"/>
  <c r="D56" i="3"/>
  <c r="C48" i="3"/>
  <c r="C49" i="3" s="1"/>
  <c r="D89" i="2" s="1"/>
  <c r="F89" i="2" s="1"/>
  <c r="E45" i="3"/>
  <c r="C40" i="3"/>
  <c r="F91" i="2"/>
  <c r="F90" i="2"/>
  <c r="F82" i="2"/>
  <c r="F80" i="2"/>
  <c r="F79" i="2"/>
  <c r="F78" i="2"/>
  <c r="F72" i="2"/>
  <c r="F71" i="2"/>
  <c r="F70" i="2"/>
  <c r="F69" i="2"/>
  <c r="F62" i="2"/>
  <c r="F61" i="2"/>
  <c r="F63" i="2"/>
  <c r="F60" i="2"/>
  <c r="F59" i="2"/>
  <c r="F58" i="2"/>
  <c r="F42" i="2"/>
  <c r="F41" i="2"/>
  <c r="F40" i="2"/>
  <c r="F39" i="2"/>
  <c r="E101" i="3" l="1"/>
  <c r="E83" i="2"/>
  <c r="F83" i="2" s="1"/>
  <c r="F85" i="2" s="1"/>
  <c r="E40" i="1"/>
  <c r="E41" i="1"/>
  <c r="E100" i="2"/>
  <c r="E64" i="2"/>
  <c r="F64" i="2" s="1"/>
  <c r="C50" i="3"/>
  <c r="E73" i="2"/>
  <c r="F73" i="2" s="1"/>
  <c r="E43" i="2"/>
  <c r="F43" i="2" s="1"/>
  <c r="F45" i="2" s="1"/>
  <c r="E124" i="2" s="1"/>
  <c r="E50" i="3" l="1"/>
  <c r="D88" i="2"/>
  <c r="F88" i="2" s="1"/>
  <c r="E92" i="2" s="1"/>
  <c r="F92" i="2" s="1"/>
  <c r="F41" i="1"/>
  <c r="E42" i="1"/>
  <c r="F42" i="1" s="1"/>
  <c r="F124" i="2"/>
  <c r="E140" i="2"/>
  <c r="E147" i="2" s="1"/>
  <c r="F147" i="2" s="1"/>
  <c r="F100" i="2"/>
  <c r="F102" i="2" s="1"/>
  <c r="F75" i="2"/>
  <c r="E19" i="1"/>
  <c r="E21" i="1"/>
  <c r="E22" i="1" s="1"/>
  <c r="F94" i="2" l="1"/>
  <c r="E31" i="1" s="1"/>
  <c r="E32" i="1" s="1"/>
  <c r="F32" i="1" s="1"/>
  <c r="E23" i="1"/>
  <c r="F23" i="1" s="1"/>
  <c r="E139" i="2"/>
  <c r="F140" i="2"/>
  <c r="E148" i="2"/>
  <c r="F148" i="2" s="1"/>
  <c r="E38" i="1"/>
  <c r="E34" i="1"/>
  <c r="E35" i="1"/>
  <c r="E37" i="1"/>
  <c r="E36" i="1"/>
  <c r="F26" i="2"/>
  <c r="E28" i="2"/>
  <c r="F18" i="2"/>
  <c r="F19" i="2"/>
  <c r="F27" i="2"/>
  <c r="F25" i="2"/>
  <c r="F24" i="2"/>
  <c r="F46" i="1"/>
  <c r="G32" i="3"/>
  <c r="D112" i="2" s="1"/>
  <c r="G29" i="3"/>
  <c r="G25" i="3"/>
  <c r="G22" i="3"/>
  <c r="G19" i="3"/>
  <c r="G18" i="3"/>
  <c r="C39" i="3" s="1"/>
  <c r="G9" i="3"/>
  <c r="B17" i="3"/>
  <c r="C14" i="3"/>
  <c r="F14" i="3" s="1"/>
  <c r="G14" i="3" s="1"/>
  <c r="F25" i="1"/>
  <c r="G11" i="3"/>
  <c r="G10" i="3"/>
  <c r="G8" i="3"/>
  <c r="D38" i="2" s="1"/>
  <c r="G5" i="3"/>
  <c r="G4" i="3"/>
  <c r="A25" i="1"/>
  <c r="A26" i="1" s="1"/>
  <c r="A27" i="1" s="1"/>
  <c r="D87" i="2" l="1"/>
  <c r="D12" i="4"/>
  <c r="F12" i="4" s="1"/>
  <c r="F40" i="4" s="1"/>
  <c r="C42" i="3"/>
  <c r="C41" i="3"/>
  <c r="D11" i="2"/>
  <c r="D68" i="2"/>
  <c r="D77" i="2"/>
  <c r="F139" i="2"/>
  <c r="E123" i="2"/>
  <c r="F123" i="2" s="1"/>
  <c r="F134" i="2"/>
  <c r="F158" i="2"/>
  <c r="F21" i="1"/>
  <c r="F21" i="2"/>
  <c r="E14" i="1" s="1"/>
  <c r="F14" i="1" s="1"/>
  <c r="F28" i="2"/>
  <c r="F30" i="2" s="1"/>
  <c r="E15" i="1" s="1"/>
  <c r="F15" i="1" s="1"/>
  <c r="F45" i="1"/>
  <c r="F44" i="1"/>
  <c r="F29" i="1"/>
  <c r="F19" i="1"/>
  <c r="F161" i="2" l="1"/>
  <c r="E57" i="1" s="1"/>
  <c r="F57" i="1" s="1"/>
  <c r="C46" i="3"/>
  <c r="I46" i="3" s="1"/>
  <c r="C47" i="3"/>
  <c r="E47" i="3" s="1"/>
  <c r="I45" i="3" s="1"/>
  <c r="F136" i="2"/>
  <c r="E55" i="1" s="1"/>
  <c r="F55" i="1" s="1"/>
  <c r="A44" i="1"/>
  <c r="A45" i="1" s="1"/>
  <c r="A46" i="1" s="1"/>
  <c r="A19" i="1"/>
  <c r="A20" i="1" s="1"/>
  <c r="A21" i="1" s="1"/>
  <c r="A22" i="1" s="1"/>
  <c r="A23" i="1" s="1"/>
  <c r="A11" i="1"/>
  <c r="A12" i="1" s="1"/>
  <c r="A40" i="1"/>
  <c r="A34" i="1"/>
  <c r="A35" i="1" s="1"/>
  <c r="A36" i="1" s="1"/>
  <c r="A37" i="1" s="1"/>
  <c r="A38" i="1" s="1"/>
  <c r="A31" i="1"/>
  <c r="A32" i="1" s="1"/>
  <c r="A29" i="1"/>
  <c r="F52" i="2"/>
  <c r="F51" i="2"/>
  <c r="F50" i="2"/>
  <c r="F48" i="2"/>
  <c r="F34" i="2"/>
  <c r="F33" i="2"/>
  <c r="F12" i="2"/>
  <c r="F40" i="1"/>
  <c r="F31" i="1"/>
  <c r="E53" i="2" l="1"/>
  <c r="F53" i="2" s="1"/>
  <c r="F55" i="2" s="1"/>
  <c r="F36" i="2"/>
  <c r="E17" i="1" s="1"/>
  <c r="F17" i="1" s="1"/>
  <c r="E13" i="2"/>
  <c r="F13" i="2" s="1"/>
  <c r="F15" i="2" s="1"/>
  <c r="F66" i="2"/>
  <c r="F22" i="1" s="1"/>
  <c r="E20" i="1" l="1"/>
  <c r="F20" i="1" s="1"/>
  <c r="E11" i="1"/>
  <c r="E12" i="1"/>
  <c r="F58" i="1" l="1"/>
  <c r="F61" i="1" l="1"/>
  <c r="F62" i="1" l="1"/>
  <c r="F63" i="1"/>
  <c r="F6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PLANEACIÓN Y OBRAS</author>
  </authors>
  <commentList>
    <comment ref="B53" authorId="0" shapeId="0" xr:uid="{05D8F338-D1B2-4EC3-A89B-F63B1C0D8ACA}">
      <text>
        <r>
          <rPr>
            <b/>
            <sz val="9"/>
            <color indexed="81"/>
            <rFont val="Tahoma"/>
            <family val="2"/>
          </rPr>
          <t>PLANEACIÓN Y OBRAS:</t>
        </r>
        <r>
          <rPr>
            <sz val="9"/>
            <color indexed="81"/>
            <rFont val="Tahoma"/>
            <family val="2"/>
          </rPr>
          <t xml:space="preserve">
Lámina calibre 20, anticorrosivo, pintura, chapas, vidrios, luceta con sistema de apertura vertical y ventana cuerpo abatible."</t>
        </r>
      </text>
    </comment>
  </commentList>
</comments>
</file>

<file path=xl/sharedStrings.xml><?xml version="1.0" encoding="utf-8"?>
<sst xmlns="http://schemas.openxmlformats.org/spreadsheetml/2006/main" count="708" uniqueCount="309">
  <si>
    <t>ALCALDIA MUNICIPAL DE LA LLANADA</t>
  </si>
  <si>
    <t>SECRETARIA DE PLANEACIÓN Y OBRAS MUNICIPAL</t>
  </si>
  <si>
    <t>PRESUPUESTO MANTENIMIENTO EDIFICO ALCALDÍA MUNICIPAL</t>
  </si>
  <si>
    <t>PROYECTO</t>
  </si>
  <si>
    <t>FECHA</t>
  </si>
  <si>
    <t>UBICACIÓN</t>
  </si>
  <si>
    <t xml:space="preserve">DEPARAMENTO </t>
  </si>
  <si>
    <t>Nariño</t>
  </si>
  <si>
    <t>ITEM</t>
  </si>
  <si>
    <t>DETALLE</t>
  </si>
  <si>
    <t>UNID</t>
  </si>
  <si>
    <t xml:space="preserve">CANT </t>
  </si>
  <si>
    <t>PRECIO</t>
  </si>
  <si>
    <t>TOTAL</t>
  </si>
  <si>
    <t>m2</t>
  </si>
  <si>
    <t>Und</t>
  </si>
  <si>
    <t>COSTO DIRECTO</t>
  </si>
  <si>
    <t>Administración 20%</t>
  </si>
  <si>
    <t>Imprevisto 5%</t>
  </si>
  <si>
    <t>Utilidad 5%</t>
  </si>
  <si>
    <t>Item</t>
  </si>
  <si>
    <t>Nombre</t>
  </si>
  <si>
    <t>Rend</t>
  </si>
  <si>
    <t>Precio</t>
  </si>
  <si>
    <t>Total</t>
  </si>
  <si>
    <t xml:space="preserve">M.O </t>
  </si>
  <si>
    <t>Jor/H</t>
  </si>
  <si>
    <t>Herramienta Menor</t>
  </si>
  <si>
    <t>Glb</t>
  </si>
  <si>
    <t>Cemento</t>
  </si>
  <si>
    <t>m3</t>
  </si>
  <si>
    <t>M.O</t>
  </si>
  <si>
    <t>Mejoramiento y adecuaciones CDI</t>
  </si>
  <si>
    <t>Barrio Pichincha</t>
  </si>
  <si>
    <t>BATERIAS SANITARIAS</t>
  </si>
  <si>
    <t>MAMPOSTERÍA</t>
  </si>
  <si>
    <t>Selle de vanos (Puertas)</t>
  </si>
  <si>
    <t>REVOQUE</t>
  </si>
  <si>
    <t>PINTURA</t>
  </si>
  <si>
    <t>Cierre perimetral (h=47cm)</t>
  </si>
  <si>
    <t>DEMOLICIONES</t>
  </si>
  <si>
    <t>Vanos para reubicación de puertas</t>
  </si>
  <si>
    <t>División ampliación de aula</t>
  </si>
  <si>
    <t>CONCRETOS</t>
  </si>
  <si>
    <t>SUPER BOARD</t>
  </si>
  <si>
    <t>Estuco sobre ranuras y filetes</t>
  </si>
  <si>
    <t>Pintura</t>
  </si>
  <si>
    <t>Estructura</t>
  </si>
  <si>
    <t>ACEROS</t>
  </si>
  <si>
    <t>kg</t>
  </si>
  <si>
    <t xml:space="preserve"> </t>
  </si>
  <si>
    <t>L (m)</t>
  </si>
  <si>
    <t>h (m)</t>
  </si>
  <si>
    <t>Viga de cimentación para barda de cierre</t>
  </si>
  <si>
    <t>Total (m3)</t>
  </si>
  <si>
    <t>Castillos de cerramiento</t>
  </si>
  <si>
    <t>Cant</t>
  </si>
  <si>
    <t xml:space="preserve">Demolición vanos puertas </t>
  </si>
  <si>
    <t>b (m) o e</t>
  </si>
  <si>
    <t>Demolición divisón salón</t>
  </si>
  <si>
    <t>Dados concrto ciclópeo soporte de castillos</t>
  </si>
  <si>
    <t>Cinta de amarre</t>
  </si>
  <si>
    <t>Revoque barda de cerramiento</t>
  </si>
  <si>
    <t>Kg</t>
  </si>
  <si>
    <t>Refuerzo viga de cimentación #3</t>
  </si>
  <si>
    <t>L varilla</t>
  </si>
  <si>
    <t>-</t>
  </si>
  <si>
    <t>Ad</t>
  </si>
  <si>
    <t>Refuerzo longitudinal #3</t>
  </si>
  <si>
    <t>Refuerzo transversal</t>
  </si>
  <si>
    <t>Refuerzo transversal 1/4"</t>
  </si>
  <si>
    <t>Cant Long</t>
  </si>
  <si>
    <t>Afinado vanos puertas</t>
  </si>
  <si>
    <t>Afinado vano división</t>
  </si>
  <si>
    <t>Afinado puertas reubicadas</t>
  </si>
  <si>
    <t xml:space="preserve">REVOQUE </t>
  </si>
  <si>
    <t>M2</t>
  </si>
  <si>
    <t>ML</t>
  </si>
  <si>
    <t>Cierre perimetral (h=60cm)</t>
  </si>
  <si>
    <t>Revoque de corona barda de cerramiento</t>
  </si>
  <si>
    <t>Demolición de mampostería</t>
  </si>
  <si>
    <t>1</t>
  </si>
  <si>
    <t>2,1</t>
  </si>
  <si>
    <t>LOCALIZACIÓN Y REPLANTEO</t>
  </si>
  <si>
    <t>EXCAVACIONES</t>
  </si>
  <si>
    <t>Cal</t>
  </si>
  <si>
    <t xml:space="preserve">Maestro </t>
  </si>
  <si>
    <t>Obrero</t>
  </si>
  <si>
    <t>Estacas</t>
  </si>
  <si>
    <t>Descapote y limpieza</t>
  </si>
  <si>
    <t>Saco</t>
  </si>
  <si>
    <t>Nylon</t>
  </si>
  <si>
    <t>Viga de cimentación h=25cm</t>
  </si>
  <si>
    <t>Excavación Viga de cimentación</t>
  </si>
  <si>
    <t>3,1</t>
  </si>
  <si>
    <t>Trazado barda de cerramiento</t>
  </si>
  <si>
    <t>Concreto Ciclópeo</t>
  </si>
  <si>
    <t>Piedra</t>
  </si>
  <si>
    <t>Arena</t>
  </si>
  <si>
    <t>Triturado</t>
  </si>
  <si>
    <t>Bulto</t>
  </si>
  <si>
    <t>3,1,1</t>
  </si>
  <si>
    <t>3,1,2</t>
  </si>
  <si>
    <t>4,1,1</t>
  </si>
  <si>
    <t>4,1</t>
  </si>
  <si>
    <t>Grava</t>
  </si>
  <si>
    <t>Herrameinta Menor</t>
  </si>
  <si>
    <t>4,1,2</t>
  </si>
  <si>
    <t>4,1,3</t>
  </si>
  <si>
    <t>4,1,4</t>
  </si>
  <si>
    <t>4,1,5</t>
  </si>
  <si>
    <t>2,1,1</t>
  </si>
  <si>
    <t>2,1,2</t>
  </si>
  <si>
    <t>2,2</t>
  </si>
  <si>
    <t>2,2,1</t>
  </si>
  <si>
    <t>2,2,2</t>
  </si>
  <si>
    <t>2,2,3</t>
  </si>
  <si>
    <t>2,2,4</t>
  </si>
  <si>
    <t>2,2,5</t>
  </si>
  <si>
    <t>4,2</t>
  </si>
  <si>
    <t>4,2,1</t>
  </si>
  <si>
    <t>4,2,2</t>
  </si>
  <si>
    <t>4,2,3</t>
  </si>
  <si>
    <t>4,2,4</t>
  </si>
  <si>
    <t>4,2,5</t>
  </si>
  <si>
    <t>4,2,6</t>
  </si>
  <si>
    <t>4,3</t>
  </si>
  <si>
    <t>4,3,1</t>
  </si>
  <si>
    <t>4,3,2</t>
  </si>
  <si>
    <t>4,3,3</t>
  </si>
  <si>
    <t>4,3,4</t>
  </si>
  <si>
    <t>4,3,5</t>
  </si>
  <si>
    <t>4,3,6</t>
  </si>
  <si>
    <t>Castillo cerramiento</t>
  </si>
  <si>
    <t>Formaleta en madera</t>
  </si>
  <si>
    <t xml:space="preserve">Puntillas </t>
  </si>
  <si>
    <t>4,3,7</t>
  </si>
  <si>
    <t>4,4</t>
  </si>
  <si>
    <t>4,4,1</t>
  </si>
  <si>
    <t>4,4,2</t>
  </si>
  <si>
    <t>4,4,3</t>
  </si>
  <si>
    <t>4,4,6</t>
  </si>
  <si>
    <t>4,4,7</t>
  </si>
  <si>
    <t>4,5</t>
  </si>
  <si>
    <t>4,5,1</t>
  </si>
  <si>
    <t>4,5,2</t>
  </si>
  <si>
    <t>4,5,3</t>
  </si>
  <si>
    <t>4,5,4</t>
  </si>
  <si>
    <t>4,5,5</t>
  </si>
  <si>
    <t>7</t>
  </si>
  <si>
    <t>Mampostería</t>
  </si>
  <si>
    <t>Ladrillo</t>
  </si>
  <si>
    <t>A Ladrillo + e junta (1,5cm)</t>
  </si>
  <si>
    <t># Ladrillos incluye desperdicio</t>
  </si>
  <si>
    <t>Vol Mortero</t>
  </si>
  <si>
    <t xml:space="preserve">Dosificación </t>
  </si>
  <si>
    <t>Bultos</t>
  </si>
  <si>
    <t>Arena dos</t>
  </si>
  <si>
    <t>Cemento dos</t>
  </si>
  <si>
    <t xml:space="preserve">Arena </t>
  </si>
  <si>
    <t>Arena 1m2</t>
  </si>
  <si>
    <t>Cemento 1m2</t>
  </si>
  <si>
    <t>Vol Mortero 1m2</t>
  </si>
  <si>
    <t xml:space="preserve">PEGA DE LADRILLO </t>
  </si>
  <si>
    <t>CONCRETO 3000 PSI</t>
  </si>
  <si>
    <t>Fundición</t>
  </si>
  <si>
    <t>bultos</t>
  </si>
  <si>
    <t>Viga de cimentación 3000PSI</t>
  </si>
  <si>
    <t>Castillos cerramiento 3000PSI</t>
  </si>
  <si>
    <t>Cinta sobre barda de cerramiento 3000PSI</t>
  </si>
  <si>
    <t>Dados en ccto ciclópeo 2400PSI</t>
  </si>
  <si>
    <t>CONCRETO 2400 PSI</t>
  </si>
  <si>
    <t>Concreto para solado e=5cm 1500PSI</t>
  </si>
  <si>
    <t xml:space="preserve">  </t>
  </si>
  <si>
    <t>Revoque</t>
  </si>
  <si>
    <t>Espesor</t>
  </si>
  <si>
    <t>m</t>
  </si>
  <si>
    <t>8</t>
  </si>
  <si>
    <t>Revoques</t>
  </si>
  <si>
    <t>9</t>
  </si>
  <si>
    <t>Lija</t>
  </si>
  <si>
    <t>Galón</t>
  </si>
  <si>
    <t>Pintura vinilo tipo 1 a dos manos</t>
  </si>
  <si>
    <t>10.1</t>
  </si>
  <si>
    <t>Estructura super board</t>
  </si>
  <si>
    <t>10.1.1</t>
  </si>
  <si>
    <t>10.1.2</t>
  </si>
  <si>
    <t>10.1.3</t>
  </si>
  <si>
    <t>10.1.4</t>
  </si>
  <si>
    <t>Viguetas</t>
  </si>
  <si>
    <t>Tornillos estructura</t>
  </si>
  <si>
    <t>10.1.5</t>
  </si>
  <si>
    <t>10.1.6</t>
  </si>
  <si>
    <t xml:space="preserve">Superboard </t>
  </si>
  <si>
    <t>Ángulos 1 1/2" - 1/8"</t>
  </si>
  <si>
    <t xml:space="preserve">Tubo de cerramiento 2" galvanizado </t>
  </si>
  <si>
    <t>Malla eslabonada calibre 10 ojo 5</t>
  </si>
  <si>
    <t>Soldadura 60/11</t>
  </si>
  <si>
    <t>Mano de obra</t>
  </si>
  <si>
    <t>12</t>
  </si>
  <si>
    <t>Caseta vigilante</t>
  </si>
  <si>
    <t>12.1</t>
  </si>
  <si>
    <t>12.2</t>
  </si>
  <si>
    <t>12.3</t>
  </si>
  <si>
    <t>12.4</t>
  </si>
  <si>
    <t>12.5</t>
  </si>
  <si>
    <t>12.6</t>
  </si>
  <si>
    <t>Perfiles calibre 18</t>
  </si>
  <si>
    <t>Tornillos autoperforantes</t>
  </si>
  <si>
    <t xml:space="preserve">Zapatas </t>
  </si>
  <si>
    <t>12.7</t>
  </si>
  <si>
    <t>12.8</t>
  </si>
  <si>
    <t>12.9</t>
  </si>
  <si>
    <t>12.10</t>
  </si>
  <si>
    <t>Madera piso (incluye puntillas y tratamiento)</t>
  </si>
  <si>
    <t>CASETA VIGILANTE</t>
  </si>
  <si>
    <t>13</t>
  </si>
  <si>
    <t>Bodega</t>
  </si>
  <si>
    <t>13.1</t>
  </si>
  <si>
    <t>13.2</t>
  </si>
  <si>
    <t>13.3</t>
  </si>
  <si>
    <t>12.11</t>
  </si>
  <si>
    <t>Fundición de piso e=10cm</t>
  </si>
  <si>
    <t>Fundición de cinta de amarre</t>
  </si>
  <si>
    <t>Estribos 1/4"</t>
  </si>
  <si>
    <t>Acero longitudinal "3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</si>
  <si>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</si>
  <si>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</si>
  <si>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</si>
  <si>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</si>
  <si>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</si>
  <si>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</si>
  <si>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</si>
  <si>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</si>
  <si>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</si>
  <si>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</si>
  <si>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Solado de limpieza</t>
  </si>
  <si>
    <t>13.14</t>
  </si>
  <si>
    <t>13.15</t>
  </si>
  <si>
    <t>Canal amazona</t>
  </si>
  <si>
    <t>13.16</t>
  </si>
  <si>
    <t>13.17</t>
  </si>
  <si>
    <t>Teja arquitectonica roja</t>
  </si>
  <si>
    <t>Soportes</t>
  </si>
  <si>
    <t xml:space="preserve">Tapas internas </t>
  </si>
  <si>
    <t xml:space="preserve">Unión bajante </t>
  </si>
  <si>
    <t>Bajante cuadrado 3m</t>
  </si>
  <si>
    <t>13.18</t>
  </si>
  <si>
    <t>13.19</t>
  </si>
  <si>
    <t>Estuco en ranuras y filetes</t>
  </si>
  <si>
    <t>13.20</t>
  </si>
  <si>
    <t>BODEGA</t>
  </si>
  <si>
    <t>Bodega 3m x 3m</t>
  </si>
  <si>
    <t>Cal x 10Kg</t>
  </si>
  <si>
    <t>Rollo de Nylon</t>
  </si>
  <si>
    <t xml:space="preserve">Tablas </t>
  </si>
  <si>
    <t>Ladrillos</t>
  </si>
  <si>
    <t>Pintura vinilo tipo 1</t>
  </si>
  <si>
    <t>Grifería grival</t>
  </si>
  <si>
    <t>Cinta teflón</t>
  </si>
  <si>
    <t>Accesorios hidrosanitarios</t>
  </si>
  <si>
    <t>Perfiles</t>
  </si>
  <si>
    <t>Tornillos</t>
  </si>
  <si>
    <t>Acero 1/4"</t>
  </si>
  <si>
    <t>Alambre de amarre</t>
  </si>
  <si>
    <t>Mantenimiento y  arreglo baterias sanitarias</t>
  </si>
  <si>
    <t>Teja arquitectónica</t>
  </si>
  <si>
    <t xml:space="preserve">Teja arquitectónica </t>
  </si>
  <si>
    <t xml:space="preserve">Estuco </t>
  </si>
  <si>
    <t>Canal amazona 3m</t>
  </si>
  <si>
    <t>Soportes para canal</t>
  </si>
  <si>
    <t>Tapas canal</t>
  </si>
  <si>
    <t>Union a bajante</t>
  </si>
  <si>
    <t>Bajante</t>
  </si>
  <si>
    <t>Ciento</t>
  </si>
  <si>
    <t>Malla electrosoldada 4mm</t>
  </si>
  <si>
    <t xml:space="preserve">Tablones </t>
  </si>
  <si>
    <t>Cinta malla</t>
  </si>
  <si>
    <t>MATERIALES</t>
  </si>
  <si>
    <t>Viga de cimentación h=20 3000PSI</t>
  </si>
  <si>
    <t>Cinta corona barda</t>
  </si>
  <si>
    <t>4,5,6</t>
  </si>
  <si>
    <t>Formaleta madera</t>
  </si>
  <si>
    <t>Varilla #3 x 6m</t>
  </si>
  <si>
    <t>CONCRETO 1500 PSI - SOLADO</t>
  </si>
  <si>
    <t>Vigas</t>
  </si>
  <si>
    <t>cinta bodega</t>
  </si>
  <si>
    <t>zapatas</t>
  </si>
  <si>
    <t>Cuñete</t>
  </si>
  <si>
    <t>Caseta de 1,2m x 1,2m</t>
  </si>
  <si>
    <t>13,21</t>
  </si>
  <si>
    <t>Red eléctrica todo costo</t>
  </si>
  <si>
    <t>Area efectiva</t>
  </si>
  <si>
    <t>Caseta</t>
  </si>
  <si>
    <t xml:space="preserve">Cantidad de tejas </t>
  </si>
  <si>
    <t>Clavos de hierro</t>
  </si>
  <si>
    <t>Lb</t>
  </si>
  <si>
    <t>TEJA ARQUITECTÓNICA</t>
  </si>
  <si>
    <t>Glc</t>
  </si>
  <si>
    <t>CARPINTERÍA METÁLICA CIERRE, PUERTAS Y VENTANAS</t>
  </si>
  <si>
    <t>Superboard 4mm</t>
  </si>
  <si>
    <t>Elaboró</t>
  </si>
  <si>
    <t>Coordinadora de Obras</t>
  </si>
  <si>
    <t>T.P 11037 - 0708542 NRÑ</t>
  </si>
  <si>
    <t>Ing. Maria Carolina Ramos Arteaga</t>
  </si>
  <si>
    <t>Suministro y contrucción Caseta vigilante</t>
  </si>
  <si>
    <t>Suministro y construcción Bodega</t>
  </si>
  <si>
    <t>Perfiles rectangulares calibre 18</t>
  </si>
  <si>
    <t>Puerta 1.2x2, puerta 0.8x2, luceta 2 04x2, ventana 0.5x0.7m (Todo costo) Suminstro e Instalación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</si>
</sst>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#,##0.00"/>
    <numFmt numFmtId="166" formatCode="0.0"/>
    <numFmt numFmtId="167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0"/>
      <name val="Arial"/>
      <family val="2"/>
    </font>
    <font>
      <i/>
      <sz val="11"/>
      <color theme="1"/>
      <name val="Arial"/>
      <family val="2"/>
    </font>
    <font>
      <i/>
      <sz val="11"/>
      <color indexed="10"/>
      <name val="Arial"/>
      <family val="2"/>
    </font>
    <font>
      <b/>
      <i/>
      <sz val="11"/>
      <color theme="1"/>
      <name val="Arial"/>
      <family val="2"/>
    </font>
    <font>
      <sz val="11"/>
      <name val="Calibri"/>
      <family val="2"/>
      <scheme val="minor"/>
    </font>
    <font>
      <i/>
      <u/>
      <sz val="11"/>
      <color theme="4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i/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1" xfId="0" applyFont="1" applyBorder="1" applyAlignment="1">
      <alignment horizontal="center"/>
    </xf>
    <xf numFmtId="165" fontId="0" fillId="0" borderId="0" xfId="0" applyNumberFormat="1"/>
    <xf numFmtId="0" fontId="0" fillId="0" borderId="1" xfId="0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2" fillId="0" borderId="1" xfId="0" applyNumberFormat="1" applyFont="1" applyBorder="1"/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0" fontId="5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49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4" fontId="6" fillId="0" borderId="0" xfId="0" applyNumberFormat="1" applyFont="1"/>
    <xf numFmtId="3" fontId="6" fillId="0" borderId="0" xfId="0" applyNumberFormat="1" applyFont="1"/>
    <xf numFmtId="49" fontId="5" fillId="0" borderId="0" xfId="0" applyNumberFormat="1" applyFont="1"/>
    <xf numFmtId="0" fontId="5" fillId="0" borderId="0" xfId="0" applyFont="1" applyAlignment="1">
      <alignment horizontal="center"/>
    </xf>
    <xf numFmtId="4" fontId="5" fillId="0" borderId="0" xfId="0" applyNumberFormat="1" applyFont="1"/>
    <xf numFmtId="3" fontId="5" fillId="0" borderId="0" xfId="0" applyNumberFormat="1" applyFont="1"/>
    <xf numFmtId="3" fontId="7" fillId="3" borderId="0" xfId="0" applyNumberFormat="1" applyFont="1" applyFill="1"/>
    <xf numFmtId="0" fontId="8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0" fontId="9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49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1" fontId="5" fillId="0" borderId="0" xfId="0" applyNumberFormat="1" applyFont="1"/>
    <xf numFmtId="166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1" xfId="0" applyFont="1" applyFill="1" applyBorder="1"/>
    <xf numFmtId="0" fontId="2" fillId="0" borderId="0" xfId="0" applyFont="1"/>
    <xf numFmtId="0" fontId="11" fillId="0" borderId="1" xfId="0" applyFont="1" applyBorder="1" applyAlignment="1">
      <alignment horizontal="center"/>
    </xf>
    <xf numFmtId="43" fontId="0" fillId="0" borderId="1" xfId="2" applyNumberFormat="1" applyFont="1" applyBorder="1" applyAlignment="1">
      <alignment horizontal="center"/>
    </xf>
    <xf numFmtId="43" fontId="3" fillId="0" borderId="1" xfId="2" applyNumberFormat="1" applyFont="1" applyBorder="1" applyAlignment="1">
      <alignment horizontal="center" vertical="center"/>
    </xf>
    <xf numFmtId="43" fontId="0" fillId="0" borderId="1" xfId="2" applyNumberFormat="1" applyFont="1" applyBorder="1" applyAlignment="1">
      <alignment horizontal="center" vertical="center"/>
    </xf>
    <xf numFmtId="43" fontId="11" fillId="0" borderId="1" xfId="2" applyNumberFormat="1" applyFont="1" applyBorder="1" applyAlignment="1">
      <alignment horizontal="center" vertical="center"/>
    </xf>
    <xf numFmtId="43" fontId="11" fillId="0" borderId="1" xfId="2" applyNumberFormat="1" applyFont="1" applyBorder="1" applyAlignment="1">
      <alignment horizontal="center"/>
    </xf>
    <xf numFmtId="43" fontId="8" fillId="0" borderId="1" xfId="2" applyNumberFormat="1" applyFont="1" applyBorder="1" applyAlignment="1">
      <alignment horizontal="center" vertical="center"/>
    </xf>
    <xf numFmtId="43" fontId="8" fillId="0" borderId="1" xfId="2" applyNumberFormat="1" applyFont="1" applyBorder="1" applyAlignment="1">
      <alignment horizontal="center"/>
    </xf>
    <xf numFmtId="49" fontId="1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4" fontId="12" fillId="0" borderId="0" xfId="0" applyNumberFormat="1" applyFont="1"/>
    <xf numFmtId="3" fontId="12" fillId="0" borderId="0" xfId="0" applyNumberFormat="1" applyFont="1"/>
    <xf numFmtId="1" fontId="12" fillId="0" borderId="0" xfId="0" applyNumberFormat="1" applyFont="1"/>
    <xf numFmtId="167" fontId="0" fillId="0" borderId="1" xfId="1" applyNumberFormat="1" applyFont="1" applyBorder="1" applyAlignment="1">
      <alignment horizontal="center"/>
    </xf>
    <xf numFmtId="2" fontId="0" fillId="0" borderId="0" xfId="0" applyNumberFormat="1"/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165" fontId="11" fillId="0" borderId="1" xfId="1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/>
    </xf>
    <xf numFmtId="167" fontId="2" fillId="3" borderId="1" xfId="1" applyNumberFormat="1" applyFont="1" applyFill="1" applyBorder="1" applyAlignment="1">
      <alignment horizontal="center"/>
    </xf>
    <xf numFmtId="167" fontId="0" fillId="0" borderId="1" xfId="1" applyNumberFormat="1" applyFont="1" applyBorder="1"/>
    <xf numFmtId="0" fontId="0" fillId="8" borderId="1" xfId="0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43" fontId="0" fillId="8" borderId="1" xfId="2" applyNumberFormat="1" applyFont="1" applyFill="1" applyBorder="1" applyAlignment="1">
      <alignment horizontal="center"/>
    </xf>
    <xf numFmtId="43" fontId="0" fillId="8" borderId="1" xfId="2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/>
    <xf numFmtId="166" fontId="12" fillId="0" borderId="0" xfId="0" applyNumberFormat="1" applyFont="1"/>
    <xf numFmtId="2" fontId="5" fillId="0" borderId="0" xfId="0" applyNumberFormat="1" applyFont="1"/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47625</xdr:rowOff>
    </xdr:from>
    <xdr:to>
      <xdr:col>0</xdr:col>
      <xdr:colOff>714376</xdr:colOff>
      <xdr:row>3</xdr:row>
      <xdr:rowOff>180975</xdr:rowOff>
    </xdr:to>
    <xdr:pic>
      <xdr:nvPicPr>
        <xdr:cNvPr id="2" name="Imagen 1" descr="Imagen que contiene nombre de la empresa&#10;&#10;Descripción generada automáticamente">
          <a:extLst>
            <a:ext uri="{FF2B5EF4-FFF2-40B4-BE49-F238E27FC236}">
              <a16:creationId xmlns:a16="http://schemas.microsoft.com/office/drawing/2014/main" id="{70814C82-BE05-4D0F-91B6-A40A6B2F7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47625"/>
          <a:ext cx="704850" cy="704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228600</xdr:colOff>
      <xdr:row>1</xdr:row>
      <xdr:rowOff>76770</xdr:rowOff>
    </xdr:from>
    <xdr:to>
      <xdr:col>0</xdr:col>
      <xdr:colOff>745096</xdr:colOff>
      <xdr:row>4</xdr:row>
      <xdr:rowOff>21766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D2C26F-C0F1-4C12-8DA2-DD41D3647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267270"/>
          <a:ext cx="516496" cy="516496"/>
        </a:xfrm>
        <a:prstGeom prst="rect">
          <a:avLst/>
        </a:prstGeom>
        <a:ln>
          <a:noFill/>
        </a:ln>
        <a:effectLst>
          <a:glow rad="101600">
            <a:schemeClr val="tx1">
              <a:alpha val="60000"/>
            </a:schemeClr>
          </a:glow>
        </a:effectLst>
      </xdr:spPr>
    </xdr:pic>
    <xdr:clientData/>
  </xdr:twoCellAnchor>
  <xdr:twoCellAnchor editAs="oneCell">
    <xdr:from>
      <xdr:col>1</xdr:col>
      <xdr:colOff>1638301</xdr:colOff>
      <xdr:row>60</xdr:row>
      <xdr:rowOff>9526</xdr:rowOff>
    </xdr:from>
    <xdr:to>
      <xdr:col>1</xdr:col>
      <xdr:colOff>2628901</xdr:colOff>
      <xdr:row>61</xdr:row>
      <xdr:rowOff>181441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CBE6829-F180-7AAC-691B-563E5BB50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00301" y="11439526"/>
          <a:ext cx="990600" cy="36241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C3C95-E569-40E0-AF47-4C47C3CB0AEE}">
  <sheetPr>
    <tabColor theme="5" tint="0.39997558519241921"/>
  </sheetPr>
  <dimension ref="A2:K67"/>
  <sheetViews>
    <sheetView tabSelected="1" zoomScale="90" zoomScaleNormal="90" workbookViewId="0">
      <selection activeCell="H62" sqref="H62"/>
    </sheetView>
  </sheetViews>
  <sheetFormatPr baseColWidth="10" defaultRowHeight="15" x14ac:dyDescent="0.25"/>
  <cols>
    <col min="2" max="2" width="64.85546875" customWidth="1"/>
    <col min="5" max="5" width="13.85546875" style="2" bestFit="1" customWidth="1"/>
    <col min="6" max="6" width="15.140625" style="2" bestFit="1" customWidth="1"/>
  </cols>
  <sheetData>
    <row r="2" spans="1:8" x14ac:dyDescent="0.25">
      <c r="B2" s="80" t="s">
        <v>0</v>
      </c>
      <c r="C2" s="81"/>
      <c r="D2" s="81"/>
      <c r="E2" s="81"/>
      <c r="F2" s="81"/>
    </row>
    <row r="3" spans="1:8" x14ac:dyDescent="0.25">
      <c r="B3" s="80" t="s">
        <v>1</v>
      </c>
      <c r="C3" s="81"/>
      <c r="D3" s="81"/>
      <c r="E3" s="81"/>
      <c r="F3" s="81"/>
    </row>
    <row r="5" spans="1:8" x14ac:dyDescent="0.25">
      <c r="A5" s="85" t="s">
        <v>2</v>
      </c>
      <c r="B5" s="85"/>
      <c r="C5" s="85"/>
      <c r="D5" s="85"/>
      <c r="E5" s="85"/>
      <c r="F5" s="85"/>
    </row>
    <row r="6" spans="1:8" x14ac:dyDescent="0.25">
      <c r="A6" s="1" t="s">
        <v>3</v>
      </c>
      <c r="B6" s="84" t="s">
        <v>32</v>
      </c>
      <c r="C6" s="84"/>
      <c r="D6" s="84"/>
      <c r="E6" s="4" t="s">
        <v>4</v>
      </c>
      <c r="F6" s="5">
        <v>45457</v>
      </c>
    </row>
    <row r="7" spans="1:8" x14ac:dyDescent="0.25">
      <c r="A7" s="1" t="s">
        <v>5</v>
      </c>
      <c r="B7" s="3" t="s">
        <v>33</v>
      </c>
      <c r="C7" s="85" t="s">
        <v>6</v>
      </c>
      <c r="D7" s="85"/>
      <c r="E7" s="84" t="s">
        <v>7</v>
      </c>
      <c r="F7" s="84"/>
    </row>
    <row r="9" spans="1:8" x14ac:dyDescent="0.25">
      <c r="A9" s="1" t="s">
        <v>8</v>
      </c>
      <c r="B9" s="1" t="s">
        <v>9</v>
      </c>
      <c r="C9" s="1" t="s">
        <v>10</v>
      </c>
      <c r="D9" s="1" t="s">
        <v>11</v>
      </c>
      <c r="E9" s="4" t="s">
        <v>12</v>
      </c>
      <c r="F9" s="4" t="s">
        <v>13</v>
      </c>
      <c r="G9" s="33"/>
      <c r="H9" s="33"/>
    </row>
    <row r="10" spans="1:8" x14ac:dyDescent="0.25">
      <c r="A10" s="68">
        <v>1</v>
      </c>
      <c r="B10" s="50" t="s">
        <v>40</v>
      </c>
      <c r="C10" s="50"/>
      <c r="D10" s="50"/>
      <c r="E10" s="69"/>
      <c r="F10" s="55">
        <f>SUM(F11:F12)</f>
        <v>91980</v>
      </c>
      <c r="G10" s="9"/>
    </row>
    <row r="11" spans="1:8" x14ac:dyDescent="0.25">
      <c r="A11" s="73">
        <f>A10+0.1</f>
        <v>1.1000000000000001</v>
      </c>
      <c r="B11" s="73" t="s">
        <v>41</v>
      </c>
      <c r="C11" s="73" t="s">
        <v>30</v>
      </c>
      <c r="D11" s="74">
        <v>0.49</v>
      </c>
      <c r="E11" s="75">
        <f>APU!F15</f>
        <v>63000</v>
      </c>
      <c r="F11" s="75">
        <f>D11*E11</f>
        <v>30870</v>
      </c>
      <c r="G11" s="9"/>
    </row>
    <row r="12" spans="1:8" x14ac:dyDescent="0.25">
      <c r="A12" s="66">
        <f>A11+0.1</f>
        <v>1.2000000000000002</v>
      </c>
      <c r="B12" s="3" t="s">
        <v>42</v>
      </c>
      <c r="C12" s="3" t="s">
        <v>30</v>
      </c>
      <c r="D12" s="34">
        <v>0.97</v>
      </c>
      <c r="E12" s="51">
        <f>APU!F15</f>
        <v>63000</v>
      </c>
      <c r="F12" s="51">
        <f>D12*E12</f>
        <v>61110</v>
      </c>
      <c r="G12" s="9"/>
    </row>
    <row r="13" spans="1:8" x14ac:dyDescent="0.25">
      <c r="A13" s="68">
        <v>2</v>
      </c>
      <c r="B13" s="50" t="s">
        <v>83</v>
      </c>
      <c r="C13" s="50"/>
      <c r="D13" s="50"/>
      <c r="E13" s="54"/>
      <c r="F13" s="55">
        <f>SUM(F14:F15)</f>
        <v>220650</v>
      </c>
      <c r="G13" s="9"/>
    </row>
    <row r="14" spans="1:8" x14ac:dyDescent="0.25">
      <c r="A14" s="66">
        <v>2.1</v>
      </c>
      <c r="B14" s="3" t="s">
        <v>89</v>
      </c>
      <c r="C14" s="3" t="s">
        <v>28</v>
      </c>
      <c r="D14" s="34">
        <v>1</v>
      </c>
      <c r="E14" s="51">
        <f>APU!F21</f>
        <v>111200</v>
      </c>
      <c r="F14" s="51">
        <f>E14*D14</f>
        <v>111200</v>
      </c>
      <c r="G14" s="9"/>
    </row>
    <row r="15" spans="1:8" x14ac:dyDescent="0.25">
      <c r="A15" s="67">
        <v>2.2000000000000002</v>
      </c>
      <c r="B15" s="3" t="s">
        <v>95</v>
      </c>
      <c r="C15" s="3" t="s">
        <v>28</v>
      </c>
      <c r="D15" s="34">
        <v>1</v>
      </c>
      <c r="E15" s="51">
        <f>APU!F30</f>
        <v>109450</v>
      </c>
      <c r="F15" s="51">
        <f>E15*D15</f>
        <v>109450</v>
      </c>
      <c r="G15" s="9"/>
    </row>
    <row r="16" spans="1:8" x14ac:dyDescent="0.25">
      <c r="A16" s="68">
        <v>3</v>
      </c>
      <c r="B16" s="50" t="s">
        <v>84</v>
      </c>
      <c r="C16" s="50"/>
      <c r="D16" s="50"/>
      <c r="E16" s="54"/>
      <c r="F16" s="55">
        <f>F17</f>
        <v>111500</v>
      </c>
      <c r="G16" s="9"/>
    </row>
    <row r="17" spans="1:7" x14ac:dyDescent="0.25">
      <c r="A17" s="66">
        <v>3.1</v>
      </c>
      <c r="B17" s="3" t="s">
        <v>92</v>
      </c>
      <c r="C17" s="3" t="s">
        <v>28</v>
      </c>
      <c r="D17" s="34">
        <v>1</v>
      </c>
      <c r="E17" s="51">
        <f>APU!F36</f>
        <v>111500</v>
      </c>
      <c r="F17" s="51">
        <f>E17*D17</f>
        <v>111500</v>
      </c>
      <c r="G17" s="9"/>
    </row>
    <row r="18" spans="1:7" x14ac:dyDescent="0.25">
      <c r="A18" s="68">
        <v>4</v>
      </c>
      <c r="B18" s="50" t="s">
        <v>43</v>
      </c>
      <c r="C18" s="50"/>
      <c r="D18" s="70"/>
      <c r="E18" s="54"/>
      <c r="F18" s="55">
        <f>SUM(F19:F23)</f>
        <v>1874567.0919999997</v>
      </c>
      <c r="G18" s="9"/>
    </row>
    <row r="19" spans="1:7" x14ac:dyDescent="0.25">
      <c r="A19" s="66">
        <f>A18+0.1</f>
        <v>4.0999999999999996</v>
      </c>
      <c r="B19" s="3" t="s">
        <v>167</v>
      </c>
      <c r="C19" s="7" t="s">
        <v>30</v>
      </c>
      <c r="D19" s="3">
        <v>1.68</v>
      </c>
      <c r="E19" s="53">
        <f>APU!F45</f>
        <v>574945.5</v>
      </c>
      <c r="F19" s="51">
        <f>D19*E19</f>
        <v>965908.44</v>
      </c>
      <c r="G19" s="9"/>
    </row>
    <row r="20" spans="1:7" x14ac:dyDescent="0.25">
      <c r="A20" s="66">
        <f t="shared" ref="A20:A23" si="0">A19+0.1</f>
        <v>4.1999999999999993</v>
      </c>
      <c r="B20" s="3" t="s">
        <v>170</v>
      </c>
      <c r="C20" s="7" t="s">
        <v>28</v>
      </c>
      <c r="D20" s="46">
        <v>1</v>
      </c>
      <c r="E20" s="53">
        <f>APU!F55</f>
        <v>355879</v>
      </c>
      <c r="F20" s="51">
        <f>E20*D20</f>
        <v>355879</v>
      </c>
      <c r="G20" s="9"/>
    </row>
    <row r="21" spans="1:7" x14ac:dyDescent="0.25">
      <c r="A21" s="66">
        <f t="shared" si="0"/>
        <v>4.2999999999999989</v>
      </c>
      <c r="B21" s="3" t="s">
        <v>168</v>
      </c>
      <c r="C21" s="7" t="s">
        <v>30</v>
      </c>
      <c r="D21" s="34">
        <v>0.22</v>
      </c>
      <c r="E21" s="53">
        <f>APU!F45</f>
        <v>574945.5</v>
      </c>
      <c r="F21" s="51">
        <f>D21*E21</f>
        <v>126488.01</v>
      </c>
      <c r="G21" s="9"/>
    </row>
    <row r="22" spans="1:7" x14ac:dyDescent="0.25">
      <c r="A22" s="66">
        <f t="shared" si="0"/>
        <v>4.3999999999999986</v>
      </c>
      <c r="B22" s="3" t="s">
        <v>169</v>
      </c>
      <c r="C22" s="7" t="s">
        <v>30</v>
      </c>
      <c r="D22" s="3">
        <v>0.504</v>
      </c>
      <c r="E22" s="53">
        <f>E21</f>
        <v>574945.5</v>
      </c>
      <c r="F22" s="51">
        <f>D22*E22</f>
        <v>289772.53200000001</v>
      </c>
      <c r="G22" s="9"/>
    </row>
    <row r="23" spans="1:7" x14ac:dyDescent="0.25">
      <c r="A23" s="66">
        <f t="shared" si="0"/>
        <v>4.4999999999999982</v>
      </c>
      <c r="B23" s="3" t="s">
        <v>172</v>
      </c>
      <c r="C23" s="7" t="s">
        <v>30</v>
      </c>
      <c r="D23" s="3">
        <v>0.42</v>
      </c>
      <c r="E23" s="53">
        <f>APU!F75</f>
        <v>325045.5</v>
      </c>
      <c r="F23" s="51">
        <f>D23*E23</f>
        <v>136519.10999999999</v>
      </c>
      <c r="G23" s="9"/>
    </row>
    <row r="24" spans="1:7" x14ac:dyDescent="0.25">
      <c r="A24" s="68">
        <v>5</v>
      </c>
      <c r="B24" s="50" t="s">
        <v>48</v>
      </c>
      <c r="C24" s="50"/>
      <c r="D24" s="50" t="s">
        <v>50</v>
      </c>
      <c r="E24" s="54"/>
      <c r="F24" s="55">
        <f>SUM(F25:F27)</f>
        <v>2770312.7199999997</v>
      </c>
      <c r="G24" s="9"/>
    </row>
    <row r="25" spans="1:7" x14ac:dyDescent="0.25">
      <c r="A25" s="66">
        <f>A24+0.1</f>
        <v>5.0999999999999996</v>
      </c>
      <c r="B25" s="3" t="s">
        <v>68</v>
      </c>
      <c r="C25" s="7" t="s">
        <v>49</v>
      </c>
      <c r="D25" s="3">
        <v>220.92</v>
      </c>
      <c r="E25" s="53">
        <v>4666</v>
      </c>
      <c r="F25" s="51">
        <f t="shared" ref="F25" si="1">E25*D25</f>
        <v>1030812.72</v>
      </c>
      <c r="G25" s="9"/>
    </row>
    <row r="26" spans="1:7" x14ac:dyDescent="0.25">
      <c r="A26" s="66">
        <f t="shared" ref="A26:A27" si="2">A25+0.1</f>
        <v>5.1999999999999993</v>
      </c>
      <c r="B26" s="3" t="s">
        <v>69</v>
      </c>
      <c r="C26" s="7" t="s">
        <v>63</v>
      </c>
      <c r="D26" s="3">
        <v>65</v>
      </c>
      <c r="E26" s="53">
        <v>7300</v>
      </c>
      <c r="F26" s="51">
        <f>D26*E26</f>
        <v>474500</v>
      </c>
      <c r="G26" s="9"/>
    </row>
    <row r="27" spans="1:7" x14ac:dyDescent="0.25">
      <c r="A27" s="66">
        <f t="shared" si="2"/>
        <v>5.2999999999999989</v>
      </c>
      <c r="B27" s="3" t="s">
        <v>275</v>
      </c>
      <c r="C27" s="7" t="s">
        <v>14</v>
      </c>
      <c r="D27" s="3">
        <v>11.5</v>
      </c>
      <c r="E27" s="53">
        <v>110000</v>
      </c>
      <c r="F27" s="51">
        <f>D27*E27</f>
        <v>1265000</v>
      </c>
      <c r="G27" s="9"/>
    </row>
    <row r="28" spans="1:7" x14ac:dyDescent="0.25">
      <c r="A28" s="68">
        <v>6</v>
      </c>
      <c r="B28" s="50" t="s">
        <v>34</v>
      </c>
      <c r="C28" s="50"/>
      <c r="D28" s="50"/>
      <c r="E28" s="54"/>
      <c r="F28" s="55">
        <f>F29</f>
        <v>350000</v>
      </c>
      <c r="G28" s="9"/>
    </row>
    <row r="29" spans="1:7" x14ac:dyDescent="0.25">
      <c r="A29" s="66">
        <f>A28+0.1</f>
        <v>6.1</v>
      </c>
      <c r="B29" s="3" t="s">
        <v>265</v>
      </c>
      <c r="C29" s="7" t="s">
        <v>28</v>
      </c>
      <c r="D29" s="3">
        <v>1</v>
      </c>
      <c r="E29" s="53">
        <v>350000</v>
      </c>
      <c r="F29" s="51">
        <f>E29*D29</f>
        <v>350000</v>
      </c>
      <c r="G29" s="9"/>
    </row>
    <row r="30" spans="1:7" x14ac:dyDescent="0.25">
      <c r="A30" s="68">
        <v>7</v>
      </c>
      <c r="B30" s="50" t="s">
        <v>35</v>
      </c>
      <c r="C30" s="50"/>
      <c r="D30" s="50"/>
      <c r="E30" s="54"/>
      <c r="F30" s="55">
        <f>SUM(F31:F32)</f>
        <v>2311897.2360207196</v>
      </c>
      <c r="G30" s="9"/>
    </row>
    <row r="31" spans="1:7" x14ac:dyDescent="0.25">
      <c r="A31" s="73">
        <f>A30+0.1</f>
        <v>7.1</v>
      </c>
      <c r="B31" s="73" t="s">
        <v>36</v>
      </c>
      <c r="C31" s="73" t="s">
        <v>14</v>
      </c>
      <c r="D31" s="74">
        <v>4.12</v>
      </c>
      <c r="E31" s="76">
        <f>APU!F94</f>
        <v>78850.519646000001</v>
      </c>
      <c r="F31" s="75">
        <f>E31*D31</f>
        <v>324864.14094151999</v>
      </c>
      <c r="G31" s="9"/>
    </row>
    <row r="32" spans="1:7" x14ac:dyDescent="0.25">
      <c r="A32" s="66">
        <f>A31+0.1</f>
        <v>7.1999999999999993</v>
      </c>
      <c r="B32" s="3" t="s">
        <v>78</v>
      </c>
      <c r="C32" s="3" t="s">
        <v>14</v>
      </c>
      <c r="D32" s="3">
        <v>25.2</v>
      </c>
      <c r="E32" s="53">
        <f>E31</f>
        <v>78850.519646000001</v>
      </c>
      <c r="F32" s="51">
        <f>E32*D32</f>
        <v>1987033.0950791999</v>
      </c>
    </row>
    <row r="33" spans="1:7" x14ac:dyDescent="0.25">
      <c r="A33" s="68">
        <v>8</v>
      </c>
      <c r="B33" s="50" t="s">
        <v>37</v>
      </c>
      <c r="C33" s="50"/>
      <c r="D33" s="50"/>
      <c r="E33" s="54"/>
      <c r="F33" s="55">
        <f>SUM(F34:F38)</f>
        <v>2772927.2642512508</v>
      </c>
      <c r="G33" s="9"/>
    </row>
    <row r="34" spans="1:7" x14ac:dyDescent="0.25">
      <c r="A34" s="73">
        <f>A33+0.1</f>
        <v>8.1</v>
      </c>
      <c r="B34" s="73" t="s">
        <v>36</v>
      </c>
      <c r="C34" s="73" t="s">
        <v>14</v>
      </c>
      <c r="D34" s="74">
        <v>8.25</v>
      </c>
      <c r="E34" s="76">
        <f>APU!F102</f>
        <v>42058.657125000012</v>
      </c>
      <c r="F34" s="75">
        <f>D34*E34</f>
        <v>346983.92128125008</v>
      </c>
      <c r="G34" s="9"/>
    </row>
    <row r="35" spans="1:7" x14ac:dyDescent="0.25">
      <c r="A35" s="66">
        <f>A34+0.1</f>
        <v>8.1999999999999993</v>
      </c>
      <c r="B35" s="3" t="s">
        <v>62</v>
      </c>
      <c r="C35" s="3" t="s">
        <v>14</v>
      </c>
      <c r="D35" s="3">
        <v>50.4</v>
      </c>
      <c r="E35" s="53">
        <f>APU!F102</f>
        <v>42058.657125000012</v>
      </c>
      <c r="F35" s="51">
        <f>D35*E35</f>
        <v>2119756.3191000004</v>
      </c>
      <c r="G35" s="9"/>
    </row>
    <row r="36" spans="1:7" x14ac:dyDescent="0.25">
      <c r="A36" s="66">
        <f>A35+0.1</f>
        <v>8.2999999999999989</v>
      </c>
      <c r="B36" s="3" t="s">
        <v>79</v>
      </c>
      <c r="C36" s="3" t="s">
        <v>14</v>
      </c>
      <c r="D36" s="3">
        <v>5.04</v>
      </c>
      <c r="E36" s="53">
        <f>APU!F102</f>
        <v>42058.657125000012</v>
      </c>
      <c r="F36" s="51">
        <f t="shared" ref="F36:F38" si="3">D36*E36</f>
        <v>211975.63191000005</v>
      </c>
      <c r="G36" s="9"/>
    </row>
    <row r="37" spans="1:7" x14ac:dyDescent="0.25">
      <c r="A37" s="66">
        <f t="shared" ref="A37:A38" si="4">A36+0.1</f>
        <v>8.3999999999999986</v>
      </c>
      <c r="B37" s="3" t="s">
        <v>73</v>
      </c>
      <c r="C37" s="3" t="s">
        <v>14</v>
      </c>
      <c r="D37" s="3">
        <v>0.97</v>
      </c>
      <c r="E37" s="53">
        <f>APU!F102</f>
        <v>42058.657125000012</v>
      </c>
      <c r="F37" s="51">
        <f t="shared" si="3"/>
        <v>40796.897411250015</v>
      </c>
      <c r="G37" s="9"/>
    </row>
    <row r="38" spans="1:7" x14ac:dyDescent="0.25">
      <c r="A38" s="66">
        <f t="shared" si="4"/>
        <v>8.4999999999999982</v>
      </c>
      <c r="B38" s="3" t="s">
        <v>74</v>
      </c>
      <c r="C38" s="3" t="s">
        <v>14</v>
      </c>
      <c r="D38" s="3">
        <v>1.27</v>
      </c>
      <c r="E38" s="53">
        <f>APU!F102</f>
        <v>42058.657125000012</v>
      </c>
      <c r="F38" s="51">
        <f t="shared" si="3"/>
        <v>53414.494548750015</v>
      </c>
      <c r="G38" s="9"/>
    </row>
    <row r="39" spans="1:7" x14ac:dyDescent="0.25">
      <c r="A39" s="68">
        <v>9</v>
      </c>
      <c r="B39" s="50" t="s">
        <v>38</v>
      </c>
      <c r="C39" s="50"/>
      <c r="D39" s="50"/>
      <c r="E39" s="54"/>
      <c r="F39" s="55">
        <f>F40+F41+F42</f>
        <v>864424.59000000008</v>
      </c>
      <c r="G39" s="9"/>
    </row>
    <row r="40" spans="1:7" x14ac:dyDescent="0.25">
      <c r="A40" s="73">
        <f>A39+0.1</f>
        <v>9.1</v>
      </c>
      <c r="B40" s="73" t="s">
        <v>36</v>
      </c>
      <c r="C40" s="73" t="s">
        <v>14</v>
      </c>
      <c r="D40" s="73">
        <v>4.12</v>
      </c>
      <c r="E40" s="76">
        <f>APU!F110</f>
        <v>8904.25</v>
      </c>
      <c r="F40" s="75">
        <f t="shared" ref="F40:F41" si="5">D40*E40</f>
        <v>36685.51</v>
      </c>
      <c r="G40" s="9"/>
    </row>
    <row r="41" spans="1:7" x14ac:dyDescent="0.25">
      <c r="A41" s="66">
        <v>9.1999999999999993</v>
      </c>
      <c r="B41" s="3" t="s">
        <v>200</v>
      </c>
      <c r="C41" s="3" t="s">
        <v>14</v>
      </c>
      <c r="D41" s="3">
        <v>20.16</v>
      </c>
      <c r="E41" s="53">
        <f>APU!F110</f>
        <v>8904.25</v>
      </c>
      <c r="F41" s="51">
        <f t="shared" si="5"/>
        <v>179509.68</v>
      </c>
      <c r="G41" s="9"/>
    </row>
    <row r="42" spans="1:7" x14ac:dyDescent="0.25">
      <c r="A42" s="66">
        <v>9.3000000000000007</v>
      </c>
      <c r="B42" s="3" t="s">
        <v>217</v>
      </c>
      <c r="C42" s="3" t="s">
        <v>14</v>
      </c>
      <c r="D42" s="3">
        <v>72.8</v>
      </c>
      <c r="E42" s="53">
        <f>E41</f>
        <v>8904.25</v>
      </c>
      <c r="F42" s="51">
        <f>D42*E42</f>
        <v>648229.4</v>
      </c>
      <c r="G42" s="9"/>
    </row>
    <row r="43" spans="1:7" x14ac:dyDescent="0.25">
      <c r="A43" s="68">
        <v>10</v>
      </c>
      <c r="B43" s="50" t="s">
        <v>44</v>
      </c>
      <c r="C43" s="50"/>
      <c r="D43" s="50"/>
      <c r="E43" s="54"/>
      <c r="F43" s="55">
        <f>SUM(F44:F46)</f>
        <v>1905195.1224999998</v>
      </c>
      <c r="G43" s="9"/>
    </row>
    <row r="44" spans="1:7" x14ac:dyDescent="0.25">
      <c r="A44" s="66">
        <f>A43+0.1</f>
        <v>10.1</v>
      </c>
      <c r="B44" s="32" t="s">
        <v>47</v>
      </c>
      <c r="C44" s="32" t="s">
        <v>14</v>
      </c>
      <c r="D44" s="32">
        <v>9.1999999999999993</v>
      </c>
      <c r="E44" s="56">
        <f>APU!F120</f>
        <v>192970</v>
      </c>
      <c r="F44" s="57">
        <f>D44*E44</f>
        <v>1775323.9999999998</v>
      </c>
      <c r="G44" s="9"/>
    </row>
    <row r="45" spans="1:7" x14ac:dyDescent="0.25">
      <c r="A45" s="66">
        <f>A44+0.1</f>
        <v>10.199999999999999</v>
      </c>
      <c r="B45" s="3" t="s">
        <v>45</v>
      </c>
      <c r="C45" s="3" t="s">
        <v>28</v>
      </c>
      <c r="D45" s="3">
        <v>1</v>
      </c>
      <c r="E45" s="53">
        <v>50000</v>
      </c>
      <c r="F45" s="57">
        <f t="shared" ref="F45" si="6">D45*E45</f>
        <v>50000</v>
      </c>
      <c r="G45" s="9"/>
    </row>
    <row r="46" spans="1:7" x14ac:dyDescent="0.25">
      <c r="A46" s="66">
        <f>A45+0.1</f>
        <v>10.299999999999999</v>
      </c>
      <c r="B46" s="3" t="s">
        <v>46</v>
      </c>
      <c r="C46" s="3" t="s">
        <v>14</v>
      </c>
      <c r="D46" s="3">
        <v>8.9700000000000006</v>
      </c>
      <c r="E46" s="53">
        <f>APU!F110</f>
        <v>8904.25</v>
      </c>
      <c r="F46" s="57">
        <f>D46*E46</f>
        <v>79871.122500000012</v>
      </c>
      <c r="G46" s="9"/>
    </row>
    <row r="47" spans="1:7" x14ac:dyDescent="0.25">
      <c r="A47" s="68">
        <v>11</v>
      </c>
      <c r="B47" s="50" t="s">
        <v>299</v>
      </c>
      <c r="C47" s="50"/>
      <c r="D47" s="50"/>
      <c r="E47" s="54"/>
      <c r="F47" s="55">
        <f>SUM(F48:F53)</f>
        <v>7671000</v>
      </c>
      <c r="G47" s="9"/>
    </row>
    <row r="48" spans="1:7" x14ac:dyDescent="0.25">
      <c r="A48" s="66">
        <v>11.1</v>
      </c>
      <c r="B48" s="3" t="s">
        <v>194</v>
      </c>
      <c r="C48" s="3" t="s">
        <v>15</v>
      </c>
      <c r="D48" s="34">
        <v>15</v>
      </c>
      <c r="E48" s="53">
        <v>110000</v>
      </c>
      <c r="F48" s="51">
        <f>D48*E48</f>
        <v>1650000</v>
      </c>
      <c r="G48" s="9"/>
    </row>
    <row r="49" spans="1:9" x14ac:dyDescent="0.25">
      <c r="A49" s="66">
        <v>11.2</v>
      </c>
      <c r="B49" s="3" t="s">
        <v>195</v>
      </c>
      <c r="C49" s="3" t="s">
        <v>15</v>
      </c>
      <c r="D49" s="3">
        <v>5</v>
      </c>
      <c r="E49" s="53">
        <v>120000</v>
      </c>
      <c r="F49" s="51">
        <f>D49*E49</f>
        <v>600000</v>
      </c>
      <c r="G49" s="9"/>
    </row>
    <row r="50" spans="1:9" x14ac:dyDescent="0.25">
      <c r="A50" s="66">
        <v>11.3</v>
      </c>
      <c r="B50" s="3" t="s">
        <v>196</v>
      </c>
      <c r="C50" s="3" t="s">
        <v>14</v>
      </c>
      <c r="D50" s="3">
        <v>65</v>
      </c>
      <c r="E50" s="53">
        <v>20000</v>
      </c>
      <c r="F50" s="51">
        <f>D50*E50</f>
        <v>1300000</v>
      </c>
      <c r="G50" s="9"/>
    </row>
    <row r="51" spans="1:9" x14ac:dyDescent="0.25">
      <c r="A51" s="66">
        <v>11.4</v>
      </c>
      <c r="B51" s="3" t="s">
        <v>197</v>
      </c>
      <c r="C51" s="3" t="s">
        <v>63</v>
      </c>
      <c r="D51" s="3">
        <v>8</v>
      </c>
      <c r="E51" s="53">
        <v>15000</v>
      </c>
      <c r="F51" s="57">
        <f t="shared" ref="F51" si="7">D51*E51</f>
        <v>120000</v>
      </c>
      <c r="G51" s="9"/>
    </row>
    <row r="52" spans="1:9" x14ac:dyDescent="0.25">
      <c r="A52" s="66">
        <v>11.5</v>
      </c>
      <c r="B52" s="3" t="s">
        <v>198</v>
      </c>
      <c r="C52" s="3" t="s">
        <v>28</v>
      </c>
      <c r="D52" s="3">
        <v>1</v>
      </c>
      <c r="E52" s="53">
        <f>(SUM(F48:F51))*0.3</f>
        <v>1101000</v>
      </c>
      <c r="F52" s="57">
        <f t="shared" ref="F52:F53" si="8">D52*E52</f>
        <v>1101000</v>
      </c>
      <c r="G52" s="9"/>
      <c r="I52" t="s">
        <v>50</v>
      </c>
    </row>
    <row r="53" spans="1:9" ht="25.5" customHeight="1" x14ac:dyDescent="0.25">
      <c r="A53" s="93">
        <v>11.6</v>
      </c>
      <c r="B53" s="94" t="s">
        <v>308</v>
      </c>
      <c r="C53" s="94" t="s">
        <v>298</v>
      </c>
      <c r="D53" s="94">
        <v>1</v>
      </c>
      <c r="E53" s="53">
        <v>2900000</v>
      </c>
      <c r="F53" s="56">
        <f t="shared" si="8"/>
        <v>2900000</v>
      </c>
      <c r="G53" s="9"/>
    </row>
    <row r="54" spans="1:9" x14ac:dyDescent="0.25">
      <c r="A54" s="50">
        <v>12</v>
      </c>
      <c r="B54" s="50" t="s">
        <v>215</v>
      </c>
      <c r="C54" s="6"/>
      <c r="D54" s="6"/>
      <c r="E54" s="52"/>
      <c r="F54" s="55">
        <f>SUM(F55)</f>
        <v>1910845.2749999999</v>
      </c>
      <c r="G54" s="9"/>
    </row>
    <row r="55" spans="1:9" x14ac:dyDescent="0.25">
      <c r="A55" s="3">
        <v>12.1</v>
      </c>
      <c r="B55" s="3" t="s">
        <v>289</v>
      </c>
      <c r="C55" s="3" t="s">
        <v>15</v>
      </c>
      <c r="D55" s="34">
        <v>1</v>
      </c>
      <c r="E55" s="53">
        <f>APU!F136</f>
        <v>1910845.2749999999</v>
      </c>
      <c r="F55" s="51">
        <f>D55*E55</f>
        <v>1910845.2749999999</v>
      </c>
      <c r="G55" s="9"/>
    </row>
    <row r="56" spans="1:9" x14ac:dyDescent="0.25">
      <c r="A56" s="50">
        <v>13</v>
      </c>
      <c r="B56" s="50" t="s">
        <v>251</v>
      </c>
      <c r="C56" s="6"/>
      <c r="D56" s="6"/>
      <c r="E56" s="52"/>
      <c r="F56" s="55">
        <f>SUM(F57)</f>
        <v>5044259.4749999996</v>
      </c>
      <c r="G56" s="9"/>
    </row>
    <row r="57" spans="1:9" x14ac:dyDescent="0.25">
      <c r="A57" s="3">
        <v>13.1</v>
      </c>
      <c r="B57" s="3" t="s">
        <v>252</v>
      </c>
      <c r="C57" s="3" t="s">
        <v>15</v>
      </c>
      <c r="D57" s="34">
        <v>1</v>
      </c>
      <c r="E57" s="53">
        <f>APU!F161</f>
        <v>5044259.4749999996</v>
      </c>
      <c r="F57" s="51">
        <f>D57*E57</f>
        <v>5044259.4749999996</v>
      </c>
      <c r="G57" s="9"/>
    </row>
    <row r="58" spans="1:9" x14ac:dyDescent="0.25">
      <c r="D58" s="82" t="s">
        <v>16</v>
      </c>
      <c r="E58" s="83"/>
      <c r="F58" s="11">
        <f>F10+F13+F16+F18+F24+F28+F30+F33+F39+F43+F47+F54+F56</f>
        <v>27899558.774771966</v>
      </c>
    </row>
    <row r="59" spans="1:9" x14ac:dyDescent="0.25">
      <c r="D59" s="33"/>
      <c r="E59" s="33"/>
    </row>
    <row r="60" spans="1:9" x14ac:dyDescent="0.25">
      <c r="B60" s="9" t="s">
        <v>301</v>
      </c>
    </row>
    <row r="61" spans="1:9" x14ac:dyDescent="0.25">
      <c r="D61" s="84" t="s">
        <v>17</v>
      </c>
      <c r="E61" s="84"/>
      <c r="F61" s="8">
        <f>F58*0.2</f>
        <v>5579911.754954394</v>
      </c>
    </row>
    <row r="62" spans="1:9" x14ac:dyDescent="0.25">
      <c r="D62" s="84" t="s">
        <v>18</v>
      </c>
      <c r="E62" s="84"/>
      <c r="F62" s="8">
        <f>F58*0.05</f>
        <v>1394977.9387385985</v>
      </c>
    </row>
    <row r="63" spans="1:9" x14ac:dyDescent="0.25">
      <c r="B63" s="9" t="s">
        <v>304</v>
      </c>
      <c r="D63" s="84" t="s">
        <v>19</v>
      </c>
      <c r="E63" s="84"/>
      <c r="F63" s="8">
        <f>F58*0.05</f>
        <v>1394977.9387385985</v>
      </c>
    </row>
    <row r="64" spans="1:9" x14ac:dyDescent="0.25">
      <c r="B64" s="9" t="s">
        <v>303</v>
      </c>
      <c r="D64" s="9"/>
      <c r="E64" s="10"/>
    </row>
    <row r="65" spans="2:11" x14ac:dyDescent="0.25">
      <c r="B65" s="9" t="s">
        <v>302</v>
      </c>
      <c r="E65" s="77" t="s">
        <v>13</v>
      </c>
      <c r="F65" s="77">
        <f>SUM(F58:F63)</f>
        <v>36269426.407203555</v>
      </c>
    </row>
    <row r="67" spans="2:11" x14ac:dyDescent="0.25">
      <c r="K67" t="s">
        <v>173</v>
      </c>
    </row>
  </sheetData>
  <mergeCells count="10">
    <mergeCell ref="D63:E63"/>
    <mergeCell ref="A5:F5"/>
    <mergeCell ref="B6:D6"/>
    <mergeCell ref="C7:D7"/>
    <mergeCell ref="E7:F7"/>
    <mergeCell ref="B2:F2"/>
    <mergeCell ref="B3:F3"/>
    <mergeCell ref="D58:E58"/>
    <mergeCell ref="D61:E61"/>
    <mergeCell ref="D62:E62"/>
  </mergeCells>
  <phoneticPr fontId="10" type="noConversion"/>
  <pageMargins left="0.7" right="0.7" top="0.75" bottom="0.75" header="0.3" footer="0.3"/>
  <pageSetup paperSize="9" scale="65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5D35-F3BD-4B40-BA68-7FEF2E7F6E2E}">
  <sheetPr>
    <tabColor theme="7" tint="0.59999389629810485"/>
  </sheetPr>
  <dimension ref="A9:N161"/>
  <sheetViews>
    <sheetView topLeftCell="A99" workbookViewId="0">
      <selection activeCell="E134" sqref="E134"/>
    </sheetView>
  </sheetViews>
  <sheetFormatPr baseColWidth="10" defaultRowHeight="15" x14ac:dyDescent="0.25"/>
  <cols>
    <col min="2" max="2" width="43.42578125" bestFit="1" customWidth="1"/>
  </cols>
  <sheetData>
    <row r="9" spans="1:14" s="16" customFormat="1" ht="14.25" x14ac:dyDescent="0.2">
      <c r="A9" s="12" t="s">
        <v>20</v>
      </c>
      <c r="B9" s="13" t="s">
        <v>21</v>
      </c>
      <c r="C9" s="14" t="s">
        <v>15</v>
      </c>
      <c r="D9" s="14" t="s">
        <v>22</v>
      </c>
      <c r="E9" s="15" t="s">
        <v>23</v>
      </c>
      <c r="F9" s="15" t="s">
        <v>24</v>
      </c>
    </row>
    <row r="10" spans="1:14" s="16" customFormat="1" ht="14.25" x14ac:dyDescent="0.2">
      <c r="A10" s="17"/>
      <c r="B10" s="18"/>
      <c r="C10" s="19"/>
      <c r="D10" s="20"/>
      <c r="E10" s="21"/>
      <c r="F10" s="21"/>
    </row>
    <row r="11" spans="1:14" s="16" customFormat="1" ht="14.25" x14ac:dyDescent="0.2">
      <c r="A11" s="43" t="s">
        <v>81</v>
      </c>
      <c r="B11" s="23" t="s">
        <v>80</v>
      </c>
      <c r="C11" s="24" t="s">
        <v>30</v>
      </c>
      <c r="D11" s="25">
        <f>Presupuesto!D11+Presupuesto!D12</f>
        <v>1.46</v>
      </c>
      <c r="E11" s="26"/>
      <c r="F11" s="26"/>
    </row>
    <row r="12" spans="1:14" s="16" customFormat="1" ht="14.25" x14ac:dyDescent="0.2">
      <c r="A12" s="44"/>
      <c r="B12" s="16" t="s">
        <v>25</v>
      </c>
      <c r="C12" s="28" t="s">
        <v>26</v>
      </c>
      <c r="D12" s="29">
        <v>1</v>
      </c>
      <c r="E12" s="30">
        <v>60000</v>
      </c>
      <c r="F12" s="30">
        <f>D12*E12</f>
        <v>60000</v>
      </c>
    </row>
    <row r="13" spans="1:14" s="16" customFormat="1" x14ac:dyDescent="0.25">
      <c r="A13" s="44"/>
      <c r="B13" s="16" t="s">
        <v>27</v>
      </c>
      <c r="C13" s="28" t="s">
        <v>28</v>
      </c>
      <c r="D13" s="29">
        <v>1</v>
      </c>
      <c r="E13" s="30">
        <f>F12*0.05</f>
        <v>3000</v>
      </c>
      <c r="F13" s="30">
        <f>E13*D13</f>
        <v>3000</v>
      </c>
      <c r="H13"/>
      <c r="I13"/>
      <c r="J13"/>
      <c r="K13"/>
      <c r="L13"/>
      <c r="M13"/>
      <c r="N13"/>
    </row>
    <row r="14" spans="1:14" s="16" customFormat="1" x14ac:dyDescent="0.25">
      <c r="A14" s="28"/>
      <c r="C14" s="28"/>
      <c r="D14" s="29"/>
      <c r="E14" s="30"/>
      <c r="F14" s="30"/>
      <c r="H14"/>
      <c r="I14"/>
      <c r="J14"/>
      <c r="K14"/>
      <c r="L14"/>
      <c r="M14"/>
      <c r="N14"/>
    </row>
    <row r="15" spans="1:14" s="16" customFormat="1" x14ac:dyDescent="0.25">
      <c r="A15" s="28"/>
      <c r="C15" s="28"/>
      <c r="D15" s="29"/>
      <c r="E15" s="31" t="s">
        <v>13</v>
      </c>
      <c r="F15" s="31">
        <f>F12+F13</f>
        <v>63000</v>
      </c>
      <c r="H15"/>
      <c r="I15"/>
      <c r="J15"/>
      <c r="K15"/>
      <c r="L15"/>
      <c r="M15"/>
      <c r="N15"/>
    </row>
    <row r="16" spans="1:14" s="16" customFormat="1" ht="14.25" x14ac:dyDescent="0.2">
      <c r="A16" s="28"/>
      <c r="C16" s="28"/>
      <c r="D16" s="29"/>
      <c r="E16" s="30"/>
      <c r="F16" s="30"/>
    </row>
    <row r="17" spans="1:14" s="16" customFormat="1" ht="14.25" x14ac:dyDescent="0.2">
      <c r="A17" s="43" t="s">
        <v>82</v>
      </c>
      <c r="B17" s="23" t="s">
        <v>89</v>
      </c>
      <c r="C17" s="24" t="s">
        <v>28</v>
      </c>
      <c r="D17" s="25">
        <v>1</v>
      </c>
      <c r="E17" s="26"/>
      <c r="F17" s="26"/>
    </row>
    <row r="18" spans="1:14" s="16" customFormat="1" ht="14.25" x14ac:dyDescent="0.2">
      <c r="A18" s="28" t="s">
        <v>111</v>
      </c>
      <c r="B18" s="16" t="s">
        <v>31</v>
      </c>
      <c r="C18" s="28" t="s">
        <v>26</v>
      </c>
      <c r="D18" s="29">
        <v>1</v>
      </c>
      <c r="E18" s="16">
        <v>110000</v>
      </c>
      <c r="F18" s="16">
        <f>D18*E18</f>
        <v>110000</v>
      </c>
    </row>
    <row r="19" spans="1:14" s="16" customFormat="1" ht="14.25" x14ac:dyDescent="0.2">
      <c r="A19" s="28" t="s">
        <v>112</v>
      </c>
      <c r="B19" s="16" t="s">
        <v>27</v>
      </c>
      <c r="C19" s="28" t="s">
        <v>28</v>
      </c>
      <c r="D19" s="29">
        <v>1</v>
      </c>
      <c r="E19" s="16">
        <v>1200</v>
      </c>
      <c r="F19" s="16">
        <f>D19*E19</f>
        <v>1200</v>
      </c>
    </row>
    <row r="20" spans="1:14" s="16" customFormat="1" x14ac:dyDescent="0.25">
      <c r="A20" s="28"/>
      <c r="C20" s="28"/>
      <c r="D20" s="29"/>
      <c r="E20" s="30"/>
      <c r="F20" s="30"/>
      <c r="H20"/>
      <c r="I20"/>
      <c r="J20"/>
      <c r="K20"/>
      <c r="L20"/>
      <c r="M20"/>
      <c r="N20"/>
    </row>
    <row r="21" spans="1:14" s="16" customFormat="1" x14ac:dyDescent="0.25">
      <c r="A21" s="28"/>
      <c r="C21" s="28"/>
      <c r="D21" s="29"/>
      <c r="E21" s="31" t="s">
        <v>13</v>
      </c>
      <c r="F21" s="31">
        <f>F18+F19</f>
        <v>111200</v>
      </c>
      <c r="H21"/>
      <c r="I21"/>
      <c r="J21"/>
      <c r="K21"/>
      <c r="L21"/>
      <c r="M21"/>
      <c r="N21"/>
    </row>
    <row r="22" spans="1:14" s="16" customFormat="1" ht="14.25" x14ac:dyDescent="0.2">
      <c r="A22" s="28"/>
      <c r="C22" s="28"/>
      <c r="D22" s="29"/>
    </row>
    <row r="23" spans="1:14" s="16" customFormat="1" ht="14.25" x14ac:dyDescent="0.2">
      <c r="A23" s="43" t="s">
        <v>113</v>
      </c>
      <c r="B23" s="23" t="s">
        <v>95</v>
      </c>
      <c r="C23" s="24" t="s">
        <v>28</v>
      </c>
      <c r="D23" s="25">
        <v>1</v>
      </c>
      <c r="E23" s="26"/>
      <c r="F23" s="26"/>
    </row>
    <row r="24" spans="1:14" s="16" customFormat="1" ht="14.25" x14ac:dyDescent="0.2">
      <c r="A24" s="44" t="s">
        <v>114</v>
      </c>
      <c r="B24" s="16" t="s">
        <v>85</v>
      </c>
      <c r="C24" s="28" t="s">
        <v>90</v>
      </c>
      <c r="D24" s="29">
        <v>1</v>
      </c>
      <c r="E24" s="30">
        <v>20000</v>
      </c>
      <c r="F24" s="30">
        <f>D24*E24</f>
        <v>20000</v>
      </c>
    </row>
    <row r="25" spans="1:14" s="16" customFormat="1" ht="14.25" x14ac:dyDescent="0.2">
      <c r="A25" s="44" t="s">
        <v>115</v>
      </c>
      <c r="B25" s="16" t="s">
        <v>88</v>
      </c>
      <c r="C25" s="28" t="s">
        <v>15</v>
      </c>
      <c r="D25" s="29">
        <v>9</v>
      </c>
      <c r="E25" s="30">
        <v>3000</v>
      </c>
      <c r="F25" s="30">
        <f>D25*E25</f>
        <v>27000</v>
      </c>
    </row>
    <row r="26" spans="1:14" s="16" customFormat="1" ht="14.25" x14ac:dyDescent="0.2">
      <c r="A26" s="44" t="s">
        <v>116</v>
      </c>
      <c r="B26" s="16" t="s">
        <v>91</v>
      </c>
      <c r="C26" s="28" t="s">
        <v>15</v>
      </c>
      <c r="D26" s="29">
        <v>1</v>
      </c>
      <c r="E26" s="30">
        <v>6000</v>
      </c>
      <c r="F26" s="30">
        <f>D26*E26</f>
        <v>6000</v>
      </c>
    </row>
    <row r="27" spans="1:14" s="16" customFormat="1" ht="14.25" x14ac:dyDescent="0.2">
      <c r="A27" s="44" t="s">
        <v>117</v>
      </c>
      <c r="B27" s="16" t="s">
        <v>31</v>
      </c>
      <c r="C27" s="28" t="s">
        <v>26</v>
      </c>
      <c r="D27" s="29">
        <v>0.5</v>
      </c>
      <c r="E27" s="16">
        <v>110000</v>
      </c>
      <c r="F27" s="16">
        <f>D27*E27</f>
        <v>55000</v>
      </c>
    </row>
    <row r="28" spans="1:14" s="16" customFormat="1" ht="14.25" x14ac:dyDescent="0.2">
      <c r="A28" s="44" t="s">
        <v>118</v>
      </c>
      <c r="B28" s="16" t="s">
        <v>27</v>
      </c>
      <c r="C28" s="28" t="s">
        <v>28</v>
      </c>
      <c r="D28" s="29">
        <v>1</v>
      </c>
      <c r="E28" s="16">
        <f>0.05*(E24+E25+E26)</f>
        <v>1450</v>
      </c>
      <c r="F28" s="16">
        <f>D28*E28</f>
        <v>1450</v>
      </c>
    </row>
    <row r="29" spans="1:14" s="16" customFormat="1" x14ac:dyDescent="0.25">
      <c r="A29" s="28"/>
      <c r="C29" s="28"/>
      <c r="D29" s="29"/>
      <c r="E29" s="30"/>
      <c r="F29" s="30"/>
      <c r="H29"/>
      <c r="I29"/>
      <c r="J29"/>
      <c r="K29"/>
      <c r="L29"/>
      <c r="M29"/>
      <c r="N29"/>
    </row>
    <row r="30" spans="1:14" s="16" customFormat="1" x14ac:dyDescent="0.25">
      <c r="A30" s="28"/>
      <c r="C30" s="28"/>
      <c r="D30" s="29"/>
      <c r="E30" s="31" t="s">
        <v>13</v>
      </c>
      <c r="F30" s="31">
        <f>SUM(F24:F28)</f>
        <v>109450</v>
      </c>
      <c r="H30"/>
      <c r="I30"/>
      <c r="J30"/>
      <c r="K30"/>
      <c r="L30"/>
      <c r="M30"/>
      <c r="N30"/>
    </row>
    <row r="31" spans="1:14" s="16" customFormat="1" ht="14.25" x14ac:dyDescent="0.2">
      <c r="A31" s="28"/>
      <c r="C31" s="28"/>
      <c r="D31" s="29"/>
    </row>
    <row r="32" spans="1:14" s="16" customFormat="1" ht="14.25" x14ac:dyDescent="0.2">
      <c r="A32" s="43" t="s">
        <v>94</v>
      </c>
      <c r="B32" s="23" t="s">
        <v>93</v>
      </c>
      <c r="C32" s="24" t="s">
        <v>28</v>
      </c>
      <c r="D32" s="25">
        <v>1</v>
      </c>
      <c r="E32" s="26"/>
      <c r="F32" s="26"/>
    </row>
    <row r="33" spans="1:6" s="16" customFormat="1" ht="14.25" x14ac:dyDescent="0.2">
      <c r="A33" s="44" t="s">
        <v>101</v>
      </c>
      <c r="B33" s="16" t="s">
        <v>31</v>
      </c>
      <c r="C33" s="28" t="s">
        <v>26</v>
      </c>
      <c r="D33" s="29">
        <v>1</v>
      </c>
      <c r="E33" s="30">
        <v>110000</v>
      </c>
      <c r="F33" s="30">
        <f>D33*E33</f>
        <v>110000</v>
      </c>
    </row>
    <row r="34" spans="1:6" s="16" customFormat="1" ht="14.25" x14ac:dyDescent="0.2">
      <c r="A34" s="28" t="s">
        <v>102</v>
      </c>
      <c r="B34" s="16" t="s">
        <v>27</v>
      </c>
      <c r="C34" s="28" t="s">
        <v>28</v>
      </c>
      <c r="D34" s="29">
        <v>1</v>
      </c>
      <c r="E34" s="30">
        <v>1500</v>
      </c>
      <c r="F34" s="30">
        <f>D34*E34</f>
        <v>1500</v>
      </c>
    </row>
    <row r="35" spans="1:6" s="16" customFormat="1" ht="14.25" x14ac:dyDescent="0.2">
      <c r="A35" s="28"/>
      <c r="C35" s="28"/>
      <c r="D35" s="29"/>
    </row>
    <row r="36" spans="1:6" x14ac:dyDescent="0.25">
      <c r="A36" s="9"/>
      <c r="E36" s="31" t="s">
        <v>13</v>
      </c>
      <c r="F36" s="31">
        <f>SUM(F33:F34)</f>
        <v>111500</v>
      </c>
    </row>
    <row r="37" spans="1:6" x14ac:dyDescent="0.25">
      <c r="A37" s="9"/>
    </row>
    <row r="38" spans="1:6" s="16" customFormat="1" ht="14.25" x14ac:dyDescent="0.2">
      <c r="A38" s="43" t="s">
        <v>104</v>
      </c>
      <c r="B38" s="23" t="s">
        <v>279</v>
      </c>
      <c r="C38" s="24" t="s">
        <v>30</v>
      </c>
      <c r="D38" s="25">
        <f>Presupuesto!D19</f>
        <v>1.68</v>
      </c>
      <c r="E38" s="26"/>
      <c r="F38" s="26"/>
    </row>
    <row r="39" spans="1:6" s="16" customFormat="1" ht="14.25" x14ac:dyDescent="0.2">
      <c r="A39" s="44" t="s">
        <v>103</v>
      </c>
      <c r="B39" s="16" t="s">
        <v>29</v>
      </c>
      <c r="C39" s="28" t="s">
        <v>100</v>
      </c>
      <c r="D39" s="29">
        <v>7</v>
      </c>
      <c r="E39" s="30">
        <v>38000</v>
      </c>
      <c r="F39" s="30">
        <f>D39*E39</f>
        <v>266000</v>
      </c>
    </row>
    <row r="40" spans="1:6" s="16" customFormat="1" ht="14.25" x14ac:dyDescent="0.2">
      <c r="A40" s="44" t="s">
        <v>107</v>
      </c>
      <c r="B40" s="16" t="s">
        <v>98</v>
      </c>
      <c r="C40" s="28" t="s">
        <v>30</v>
      </c>
      <c r="D40" s="29">
        <v>0.7</v>
      </c>
      <c r="E40" s="30">
        <v>114300</v>
      </c>
      <c r="F40" s="30">
        <f>D40*E40</f>
        <v>80010</v>
      </c>
    </row>
    <row r="41" spans="1:6" s="16" customFormat="1" ht="14.25" x14ac:dyDescent="0.2">
      <c r="A41" s="44" t="s">
        <v>108</v>
      </c>
      <c r="B41" s="16" t="s">
        <v>105</v>
      </c>
      <c r="C41" s="28" t="s">
        <v>30</v>
      </c>
      <c r="D41" s="29">
        <v>1</v>
      </c>
      <c r="E41" s="16">
        <v>116700</v>
      </c>
      <c r="F41" s="16">
        <f>D41*E41</f>
        <v>116700</v>
      </c>
    </row>
    <row r="42" spans="1:6" s="16" customFormat="1" ht="14.25" x14ac:dyDescent="0.2">
      <c r="A42" s="44" t="s">
        <v>109</v>
      </c>
      <c r="B42" s="16" t="s">
        <v>31</v>
      </c>
      <c r="C42" s="28" t="s">
        <v>26</v>
      </c>
      <c r="D42" s="29">
        <v>0.81</v>
      </c>
      <c r="E42" s="16">
        <v>110000</v>
      </c>
      <c r="F42" s="16">
        <f>D42*E42</f>
        <v>89100</v>
      </c>
    </row>
    <row r="43" spans="1:6" s="16" customFormat="1" ht="14.25" x14ac:dyDescent="0.2">
      <c r="A43" s="44" t="s">
        <v>110</v>
      </c>
      <c r="B43" s="16" t="s">
        <v>106</v>
      </c>
      <c r="C43" s="28" t="s">
        <v>28</v>
      </c>
      <c r="D43" s="29">
        <v>1</v>
      </c>
      <c r="E43" s="45">
        <f>(SUM(F39:F41))*0.05</f>
        <v>23135.5</v>
      </c>
      <c r="F43" s="16">
        <f>E43*D43</f>
        <v>23135.5</v>
      </c>
    </row>
    <row r="44" spans="1:6" s="16" customFormat="1" ht="14.25" x14ac:dyDescent="0.2">
      <c r="C44" s="28"/>
      <c r="D44" s="29"/>
    </row>
    <row r="45" spans="1:6" x14ac:dyDescent="0.25">
      <c r="E45" s="31" t="s">
        <v>13</v>
      </c>
      <c r="F45" s="31">
        <f>SUM(F39:F43)</f>
        <v>574945.5</v>
      </c>
    </row>
    <row r="47" spans="1:6" s="16" customFormat="1" ht="14.25" x14ac:dyDescent="0.2">
      <c r="A47" s="43" t="s">
        <v>119</v>
      </c>
      <c r="B47" s="23" t="s">
        <v>96</v>
      </c>
      <c r="C47" s="24" t="s">
        <v>28</v>
      </c>
      <c r="D47" s="25">
        <v>1</v>
      </c>
      <c r="E47" s="26"/>
      <c r="F47" s="26"/>
    </row>
    <row r="48" spans="1:6" s="16" customFormat="1" ht="14.25" x14ac:dyDescent="0.2">
      <c r="A48" s="44" t="s">
        <v>120</v>
      </c>
      <c r="B48" s="16" t="s">
        <v>97</v>
      </c>
      <c r="C48" s="28" t="s">
        <v>30</v>
      </c>
      <c r="D48" s="29">
        <v>0.5</v>
      </c>
      <c r="E48" s="30">
        <v>100000</v>
      </c>
      <c r="F48" s="30">
        <f>D48*E48</f>
        <v>50000</v>
      </c>
    </row>
    <row r="49" spans="1:6" s="16" customFormat="1" ht="14.25" x14ac:dyDescent="0.2">
      <c r="A49" s="44" t="s">
        <v>121</v>
      </c>
      <c r="B49" s="16" t="s">
        <v>29</v>
      </c>
      <c r="C49" s="28" t="s">
        <v>100</v>
      </c>
      <c r="D49" s="29">
        <v>4</v>
      </c>
      <c r="E49" s="30">
        <v>38000</v>
      </c>
      <c r="F49" s="30">
        <f>D49*E49</f>
        <v>152000</v>
      </c>
    </row>
    <row r="50" spans="1:6" s="16" customFormat="1" ht="14.25" x14ac:dyDescent="0.2">
      <c r="A50" s="44" t="s">
        <v>122</v>
      </c>
      <c r="B50" s="16" t="s">
        <v>98</v>
      </c>
      <c r="C50" s="28" t="s">
        <v>30</v>
      </c>
      <c r="D50" s="29">
        <v>0.3</v>
      </c>
      <c r="E50" s="30">
        <v>114300</v>
      </c>
      <c r="F50" s="30">
        <f t="shared" ref="F50:F51" si="0">D50*E50</f>
        <v>34290</v>
      </c>
    </row>
    <row r="51" spans="1:6" s="16" customFormat="1" ht="14.25" x14ac:dyDescent="0.2">
      <c r="A51" s="44" t="s">
        <v>123</v>
      </c>
      <c r="B51" s="16" t="s">
        <v>99</v>
      </c>
      <c r="C51" s="28" t="s">
        <v>30</v>
      </c>
      <c r="D51" s="29">
        <v>0.7</v>
      </c>
      <c r="E51" s="30">
        <v>116700</v>
      </c>
      <c r="F51" s="30">
        <f t="shared" si="0"/>
        <v>81690</v>
      </c>
    </row>
    <row r="52" spans="1:6" s="16" customFormat="1" ht="14.25" x14ac:dyDescent="0.2">
      <c r="A52" s="44" t="s">
        <v>124</v>
      </c>
      <c r="B52" s="16" t="s">
        <v>31</v>
      </c>
      <c r="C52" s="28" t="s">
        <v>26</v>
      </c>
      <c r="D52" s="29">
        <v>0.2</v>
      </c>
      <c r="E52" s="16">
        <v>110000</v>
      </c>
      <c r="F52" s="16">
        <f>D52*E52</f>
        <v>22000</v>
      </c>
    </row>
    <row r="53" spans="1:6" s="16" customFormat="1" ht="14.25" x14ac:dyDescent="0.2">
      <c r="A53" s="44" t="s">
        <v>125</v>
      </c>
      <c r="B53" s="16" t="s">
        <v>27</v>
      </c>
      <c r="C53" s="28" t="s">
        <v>28</v>
      </c>
      <c r="D53" s="29">
        <v>1</v>
      </c>
      <c r="E53" s="45">
        <f>(SUM(F48:F51))*0.05</f>
        <v>15899</v>
      </c>
      <c r="F53" s="45">
        <f>D53*E53</f>
        <v>15899</v>
      </c>
    </row>
    <row r="54" spans="1:6" s="16" customFormat="1" ht="14.25" x14ac:dyDescent="0.2">
      <c r="A54" s="27"/>
      <c r="C54" s="28"/>
      <c r="D54" s="29"/>
    </row>
    <row r="55" spans="1:6" x14ac:dyDescent="0.25">
      <c r="E55" s="31" t="s">
        <v>13</v>
      </c>
      <c r="F55" s="31">
        <f>SUM(F48:F53)</f>
        <v>355879</v>
      </c>
    </row>
    <row r="57" spans="1:6" s="16" customFormat="1" ht="14.25" x14ac:dyDescent="0.2">
      <c r="A57" s="22" t="s">
        <v>126</v>
      </c>
      <c r="B57" s="23" t="s">
        <v>133</v>
      </c>
      <c r="C57" s="24" t="s">
        <v>30</v>
      </c>
      <c r="D57" s="25">
        <v>0.22</v>
      </c>
      <c r="E57" s="26"/>
      <c r="F57" s="26"/>
    </row>
    <row r="58" spans="1:6" s="16" customFormat="1" ht="14.25" x14ac:dyDescent="0.2">
      <c r="A58" s="27" t="s">
        <v>127</v>
      </c>
      <c r="B58" s="16" t="s">
        <v>29</v>
      </c>
      <c r="C58" s="28" t="s">
        <v>100</v>
      </c>
      <c r="D58" s="29">
        <v>7</v>
      </c>
      <c r="E58" s="30">
        <v>38000</v>
      </c>
      <c r="F58" s="30">
        <f>D58*E58</f>
        <v>266000</v>
      </c>
    </row>
    <row r="59" spans="1:6" s="16" customFormat="1" ht="14.25" x14ac:dyDescent="0.2">
      <c r="A59" s="27" t="s">
        <v>128</v>
      </c>
      <c r="B59" s="16" t="s">
        <v>98</v>
      </c>
      <c r="C59" s="28" t="s">
        <v>30</v>
      </c>
      <c r="D59" s="29">
        <v>0.7</v>
      </c>
      <c r="E59" s="30">
        <v>114300</v>
      </c>
      <c r="F59" s="30">
        <f t="shared" ref="F59:F62" si="1">D59*E59</f>
        <v>80010</v>
      </c>
    </row>
    <row r="60" spans="1:6" s="16" customFormat="1" ht="14.25" x14ac:dyDescent="0.2">
      <c r="A60" s="27" t="s">
        <v>129</v>
      </c>
      <c r="B60" s="16" t="s">
        <v>99</v>
      </c>
      <c r="C60" s="28" t="s">
        <v>30</v>
      </c>
      <c r="D60" s="29">
        <v>0.9</v>
      </c>
      <c r="E60" s="30">
        <v>116700</v>
      </c>
      <c r="F60" s="30">
        <f t="shared" si="1"/>
        <v>105030</v>
      </c>
    </row>
    <row r="61" spans="1:6" s="16" customFormat="1" ht="14.25" x14ac:dyDescent="0.2">
      <c r="A61" s="27" t="s">
        <v>130</v>
      </c>
      <c r="B61" s="16" t="s">
        <v>134</v>
      </c>
      <c r="C61" s="28" t="s">
        <v>15</v>
      </c>
      <c r="D61" s="29">
        <v>0.33</v>
      </c>
      <c r="E61" s="30">
        <v>13000</v>
      </c>
      <c r="F61" s="30">
        <f t="shared" si="1"/>
        <v>4290</v>
      </c>
    </row>
    <row r="62" spans="1:6" s="16" customFormat="1" ht="14.25" x14ac:dyDescent="0.2">
      <c r="A62" s="27" t="s">
        <v>131</v>
      </c>
      <c r="B62" s="16" t="s">
        <v>135</v>
      </c>
      <c r="C62" s="28" t="s">
        <v>28</v>
      </c>
      <c r="D62" s="29">
        <v>1</v>
      </c>
      <c r="E62" s="30">
        <v>8000</v>
      </c>
      <c r="F62" s="30">
        <f t="shared" si="1"/>
        <v>8000</v>
      </c>
    </row>
    <row r="63" spans="1:6" s="16" customFormat="1" ht="14.25" x14ac:dyDescent="0.2">
      <c r="A63" s="27" t="s">
        <v>132</v>
      </c>
      <c r="B63" s="16" t="s">
        <v>31</v>
      </c>
      <c r="C63" s="28" t="s">
        <v>26</v>
      </c>
      <c r="D63" s="29">
        <v>0.81</v>
      </c>
      <c r="E63" s="16">
        <v>110000</v>
      </c>
      <c r="F63" s="16">
        <f>D63*E63</f>
        <v>89100</v>
      </c>
    </row>
    <row r="64" spans="1:6" s="16" customFormat="1" ht="14.25" x14ac:dyDescent="0.2">
      <c r="A64" s="27" t="s">
        <v>136</v>
      </c>
      <c r="B64" s="16" t="s">
        <v>27</v>
      </c>
      <c r="C64" s="28" t="s">
        <v>28</v>
      </c>
      <c r="D64" s="29">
        <v>1</v>
      </c>
      <c r="E64" s="45">
        <f>(SUM(F58:F62))*0.05</f>
        <v>23166.5</v>
      </c>
      <c r="F64" s="45">
        <f>D64*E64</f>
        <v>23166.5</v>
      </c>
    </row>
    <row r="65" spans="1:6" s="16" customFormat="1" ht="14.25" x14ac:dyDescent="0.2">
      <c r="A65" s="27"/>
      <c r="C65" s="28"/>
      <c r="D65" s="29"/>
    </row>
    <row r="66" spans="1:6" x14ac:dyDescent="0.25">
      <c r="E66" s="31" t="s">
        <v>13</v>
      </c>
      <c r="F66" s="31">
        <f>SUM(F58:F64)</f>
        <v>575596.5</v>
      </c>
    </row>
    <row r="68" spans="1:6" s="16" customFormat="1" ht="14.25" x14ac:dyDescent="0.2">
      <c r="A68" s="22" t="s">
        <v>137</v>
      </c>
      <c r="B68" s="23" t="s">
        <v>236</v>
      </c>
      <c r="C68" s="24" t="s">
        <v>30</v>
      </c>
      <c r="D68" s="25">
        <f>Presupuesto!D22</f>
        <v>0.504</v>
      </c>
      <c r="E68" s="26"/>
      <c r="F68" s="26"/>
    </row>
    <row r="69" spans="1:6" s="16" customFormat="1" ht="14.25" x14ac:dyDescent="0.2">
      <c r="A69" s="27" t="s">
        <v>138</v>
      </c>
      <c r="B69" s="16" t="s">
        <v>29</v>
      </c>
      <c r="C69" s="28" t="s">
        <v>100</v>
      </c>
      <c r="D69" s="29">
        <v>3.5</v>
      </c>
      <c r="E69" s="30">
        <v>8000</v>
      </c>
      <c r="F69" s="30">
        <f>D69*E69</f>
        <v>28000</v>
      </c>
    </row>
    <row r="70" spans="1:6" s="16" customFormat="1" ht="14.25" x14ac:dyDescent="0.2">
      <c r="A70" s="27" t="s">
        <v>139</v>
      </c>
      <c r="B70" s="16" t="s">
        <v>98</v>
      </c>
      <c r="C70" s="28" t="s">
        <v>30</v>
      </c>
      <c r="D70" s="29">
        <v>0.7</v>
      </c>
      <c r="E70" s="30">
        <v>114300</v>
      </c>
      <c r="F70" s="30">
        <f t="shared" ref="F70:F71" si="2">D70*E70</f>
        <v>80010</v>
      </c>
    </row>
    <row r="71" spans="1:6" s="16" customFormat="1" ht="14.25" x14ac:dyDescent="0.2">
      <c r="A71" s="27" t="s">
        <v>140</v>
      </c>
      <c r="B71" s="16" t="s">
        <v>99</v>
      </c>
      <c r="C71" s="28" t="s">
        <v>30</v>
      </c>
      <c r="D71" s="29">
        <v>1</v>
      </c>
      <c r="E71" s="30">
        <v>116700</v>
      </c>
      <c r="F71" s="30">
        <f t="shared" si="2"/>
        <v>116700</v>
      </c>
    </row>
    <row r="72" spans="1:6" s="16" customFormat="1" ht="14.25" x14ac:dyDescent="0.2">
      <c r="A72" s="27" t="s">
        <v>141</v>
      </c>
      <c r="B72" s="16" t="s">
        <v>31</v>
      </c>
      <c r="C72" s="28" t="s">
        <v>26</v>
      </c>
      <c r="D72" s="29">
        <v>0.81</v>
      </c>
      <c r="E72" s="16">
        <v>110000</v>
      </c>
      <c r="F72" s="16">
        <f>D72*E72</f>
        <v>89100</v>
      </c>
    </row>
    <row r="73" spans="1:6" s="16" customFormat="1" ht="14.25" x14ac:dyDescent="0.2">
      <c r="A73" s="27" t="s">
        <v>142</v>
      </c>
      <c r="B73" s="16" t="s">
        <v>27</v>
      </c>
      <c r="C73" s="28" t="s">
        <v>28</v>
      </c>
      <c r="D73" s="29">
        <v>1</v>
      </c>
      <c r="E73" s="45">
        <f>(SUM(F69:F71))*0.05</f>
        <v>11235.5</v>
      </c>
      <c r="F73" s="45">
        <f>D73*E73</f>
        <v>11235.5</v>
      </c>
    </row>
    <row r="74" spans="1:6" s="16" customFormat="1" ht="14.25" x14ac:dyDescent="0.2">
      <c r="A74" s="27"/>
      <c r="C74" s="28"/>
      <c r="D74" s="29"/>
    </row>
    <row r="75" spans="1:6" x14ac:dyDescent="0.25">
      <c r="E75" s="31" t="s">
        <v>13</v>
      </c>
      <c r="F75" s="31">
        <f>SUM(F69:F73)</f>
        <v>325045.5</v>
      </c>
    </row>
    <row r="77" spans="1:6" s="16" customFormat="1" ht="14.25" x14ac:dyDescent="0.2">
      <c r="A77" s="22" t="s">
        <v>143</v>
      </c>
      <c r="B77" s="23" t="s">
        <v>280</v>
      </c>
      <c r="C77" s="24" t="s">
        <v>30</v>
      </c>
      <c r="D77" s="25">
        <f>Presupuesto!D22</f>
        <v>0.504</v>
      </c>
      <c r="E77" s="26"/>
      <c r="F77" s="26"/>
    </row>
    <row r="78" spans="1:6" s="16" customFormat="1" ht="14.25" x14ac:dyDescent="0.2">
      <c r="A78" s="27" t="s">
        <v>144</v>
      </c>
      <c r="B78" s="16" t="s">
        <v>29</v>
      </c>
      <c r="C78" s="28" t="s">
        <v>100</v>
      </c>
      <c r="D78" s="29">
        <v>3.5</v>
      </c>
      <c r="E78" s="30">
        <v>38000</v>
      </c>
      <c r="F78" s="30">
        <f>D78*E78</f>
        <v>133000</v>
      </c>
    </row>
    <row r="79" spans="1:6" s="16" customFormat="1" ht="14.25" x14ac:dyDescent="0.2">
      <c r="A79" s="27" t="s">
        <v>145</v>
      </c>
      <c r="B79" s="16" t="s">
        <v>98</v>
      </c>
      <c r="C79" s="28" t="s">
        <v>30</v>
      </c>
      <c r="D79" s="29">
        <v>0.7</v>
      </c>
      <c r="E79" s="30">
        <v>114300</v>
      </c>
      <c r="F79" s="30">
        <f t="shared" ref="F79:F81" si="3">D79*E79</f>
        <v>80010</v>
      </c>
    </row>
    <row r="80" spans="1:6" s="16" customFormat="1" ht="14.25" x14ac:dyDescent="0.2">
      <c r="A80" s="27" t="s">
        <v>146</v>
      </c>
      <c r="B80" s="16" t="s">
        <v>99</v>
      </c>
      <c r="C80" s="28" t="s">
        <v>30</v>
      </c>
      <c r="D80" s="29">
        <v>1</v>
      </c>
      <c r="E80" s="30">
        <v>116700</v>
      </c>
      <c r="F80" s="30">
        <f t="shared" si="3"/>
        <v>116700</v>
      </c>
    </row>
    <row r="81" spans="1:6" s="16" customFormat="1" ht="14.25" x14ac:dyDescent="0.2">
      <c r="A81" s="27" t="s">
        <v>147</v>
      </c>
      <c r="B81" s="16" t="s">
        <v>282</v>
      </c>
      <c r="C81" s="28" t="s">
        <v>15</v>
      </c>
      <c r="D81" s="29">
        <v>0.4</v>
      </c>
      <c r="E81" s="30">
        <v>13000</v>
      </c>
      <c r="F81" s="30">
        <f t="shared" si="3"/>
        <v>5200</v>
      </c>
    </row>
    <row r="82" spans="1:6" s="16" customFormat="1" ht="14.25" x14ac:dyDescent="0.2">
      <c r="A82" s="27" t="s">
        <v>148</v>
      </c>
      <c r="B82" s="16" t="s">
        <v>31</v>
      </c>
      <c r="C82" s="28" t="s">
        <v>26</v>
      </c>
      <c r="D82" s="29">
        <v>0.81</v>
      </c>
      <c r="E82" s="16">
        <v>110000</v>
      </c>
      <c r="F82" s="16">
        <f>D82*E82</f>
        <v>89100</v>
      </c>
    </row>
    <row r="83" spans="1:6" s="16" customFormat="1" ht="14.25" x14ac:dyDescent="0.2">
      <c r="A83" s="27" t="s">
        <v>281</v>
      </c>
      <c r="B83" s="16" t="s">
        <v>27</v>
      </c>
      <c r="C83" s="28" t="s">
        <v>28</v>
      </c>
      <c r="D83" s="29">
        <v>1</v>
      </c>
      <c r="E83" s="45">
        <f>(SUM(F78:F81))*0.05</f>
        <v>16745.5</v>
      </c>
      <c r="F83" s="45">
        <f>D83*E83</f>
        <v>16745.5</v>
      </c>
    </row>
    <row r="84" spans="1:6" s="16" customFormat="1" ht="14.25" x14ac:dyDescent="0.2">
      <c r="A84" s="27"/>
      <c r="C84" s="28"/>
      <c r="D84" s="29"/>
    </row>
    <row r="85" spans="1:6" x14ac:dyDescent="0.25">
      <c r="E85" s="31" t="s">
        <v>13</v>
      </c>
      <c r="F85" s="31">
        <f>SUM(F78:F83)</f>
        <v>440755.5</v>
      </c>
    </row>
    <row r="87" spans="1:6" x14ac:dyDescent="0.25">
      <c r="A87" s="22" t="s">
        <v>149</v>
      </c>
      <c r="B87" s="23" t="s">
        <v>150</v>
      </c>
      <c r="C87" s="24" t="s">
        <v>14</v>
      </c>
      <c r="D87" s="25">
        <f>'Amarres y cantidades'!C39</f>
        <v>29.323</v>
      </c>
      <c r="E87" s="26"/>
      <c r="F87" s="26"/>
    </row>
    <row r="88" spans="1:6" x14ac:dyDescent="0.25">
      <c r="A88" s="27" t="s">
        <v>144</v>
      </c>
      <c r="B88" s="16" t="s">
        <v>29</v>
      </c>
      <c r="C88" s="28" t="s">
        <v>100</v>
      </c>
      <c r="D88" s="29">
        <f>'Amarres y cantidades'!C50/100</f>
        <v>0.37379160000000006</v>
      </c>
      <c r="E88" s="30">
        <v>38000</v>
      </c>
      <c r="F88" s="30">
        <f>D88*E88</f>
        <v>14204.080800000002</v>
      </c>
    </row>
    <row r="89" spans="1:6" x14ac:dyDescent="0.25">
      <c r="A89" s="27" t="s">
        <v>145</v>
      </c>
      <c r="B89" s="16" t="s">
        <v>98</v>
      </c>
      <c r="C89" s="28" t="s">
        <v>30</v>
      </c>
      <c r="D89" s="29">
        <f>'Amarres y cantidades'!C49</f>
        <v>0.11912040000000002</v>
      </c>
      <c r="E89" s="30">
        <v>114300</v>
      </c>
      <c r="F89" s="30">
        <f t="shared" ref="F89:F90" si="4">D89*E89</f>
        <v>13615.461720000001</v>
      </c>
    </row>
    <row r="90" spans="1:6" x14ac:dyDescent="0.25">
      <c r="A90" s="27" t="s">
        <v>146</v>
      </c>
      <c r="B90" s="16" t="s">
        <v>151</v>
      </c>
      <c r="C90" s="28" t="s">
        <v>15</v>
      </c>
      <c r="D90" s="30">
        <v>46</v>
      </c>
      <c r="E90" s="30">
        <v>800</v>
      </c>
      <c r="F90" s="30">
        <f t="shared" si="4"/>
        <v>36800</v>
      </c>
    </row>
    <row r="91" spans="1:6" x14ac:dyDescent="0.25">
      <c r="A91" s="27" t="s">
        <v>147</v>
      </c>
      <c r="B91" s="16" t="s">
        <v>31</v>
      </c>
      <c r="C91" s="28" t="s">
        <v>26</v>
      </c>
      <c r="D91" s="29">
        <v>0.1</v>
      </c>
      <c r="E91" s="16">
        <v>110000</v>
      </c>
      <c r="F91" s="16">
        <f>D91*E91</f>
        <v>11000</v>
      </c>
    </row>
    <row r="92" spans="1:6" x14ac:dyDescent="0.25">
      <c r="A92" s="27" t="s">
        <v>148</v>
      </c>
      <c r="B92" s="16" t="s">
        <v>27</v>
      </c>
      <c r="C92" s="28" t="s">
        <v>28</v>
      </c>
      <c r="D92" s="29">
        <v>1</v>
      </c>
      <c r="E92" s="45">
        <f>(SUM(F88:F90))*0.05</f>
        <v>3230.9771260000002</v>
      </c>
      <c r="F92" s="45">
        <f>D92*E92</f>
        <v>3230.9771260000002</v>
      </c>
    </row>
    <row r="93" spans="1:6" x14ac:dyDescent="0.25">
      <c r="A93" s="27"/>
      <c r="B93" s="16"/>
      <c r="C93" s="28"/>
      <c r="D93" s="29"/>
      <c r="E93" s="16"/>
      <c r="F93" s="16"/>
    </row>
    <row r="94" spans="1:6" x14ac:dyDescent="0.25">
      <c r="E94" s="31" t="s">
        <v>13</v>
      </c>
      <c r="F94" s="31">
        <f>SUM(F88:F92)</f>
        <v>78850.519646000001</v>
      </c>
    </row>
    <row r="96" spans="1:6" x14ac:dyDescent="0.25">
      <c r="A96" s="22" t="s">
        <v>177</v>
      </c>
      <c r="B96" s="23" t="s">
        <v>178</v>
      </c>
      <c r="C96" s="24" t="s">
        <v>14</v>
      </c>
      <c r="D96" s="25">
        <f>'Amarres y cantidades'!C91</f>
        <v>66.3</v>
      </c>
      <c r="E96" s="26"/>
      <c r="F96" s="26"/>
    </row>
    <row r="97" spans="1:6" x14ac:dyDescent="0.25">
      <c r="A97" s="27" t="s">
        <v>144</v>
      </c>
      <c r="B97" s="16" t="s">
        <v>29</v>
      </c>
      <c r="C97" s="28" t="s">
        <v>100</v>
      </c>
      <c r="D97" s="29">
        <f>'Amarres y cantidades'!C101/100</f>
        <v>0.46621260000000009</v>
      </c>
      <c r="E97" s="30">
        <v>38000</v>
      </c>
      <c r="F97" s="30">
        <f>D97*E97</f>
        <v>17716.078800000003</v>
      </c>
    </row>
    <row r="98" spans="1:6" x14ac:dyDescent="0.25">
      <c r="A98" s="27" t="s">
        <v>145</v>
      </c>
      <c r="B98" s="16" t="s">
        <v>98</v>
      </c>
      <c r="C98" s="28" t="s">
        <v>30</v>
      </c>
      <c r="D98" s="29">
        <f>'Amarres y cantidades'!C100</f>
        <v>0.11295900000000003</v>
      </c>
      <c r="E98" s="30">
        <v>114300</v>
      </c>
      <c r="F98" s="30">
        <f t="shared" ref="F98" si="5">D98*E98</f>
        <v>12911.213700000004</v>
      </c>
    </row>
    <row r="99" spans="1:6" x14ac:dyDescent="0.25">
      <c r="A99" s="27" t="s">
        <v>147</v>
      </c>
      <c r="B99" s="16" t="s">
        <v>31</v>
      </c>
      <c r="C99" s="28" t="s">
        <v>26</v>
      </c>
      <c r="D99" s="29">
        <v>0.09</v>
      </c>
      <c r="E99" s="16">
        <v>110000</v>
      </c>
      <c r="F99" s="16">
        <f>D99*E99</f>
        <v>9900</v>
      </c>
    </row>
    <row r="100" spans="1:6" x14ac:dyDescent="0.25">
      <c r="A100" s="27" t="s">
        <v>148</v>
      </c>
      <c r="B100" s="16" t="s">
        <v>27</v>
      </c>
      <c r="C100" s="28" t="s">
        <v>28</v>
      </c>
      <c r="D100" s="29">
        <v>1</v>
      </c>
      <c r="E100" s="45">
        <f>(SUM(F97:F98))*0.05</f>
        <v>1531.3646250000004</v>
      </c>
      <c r="F100" s="45">
        <f>D100*E100</f>
        <v>1531.3646250000004</v>
      </c>
    </row>
    <row r="101" spans="1:6" x14ac:dyDescent="0.25">
      <c r="A101" s="27"/>
      <c r="B101" s="16"/>
      <c r="C101" s="28"/>
      <c r="D101" s="29"/>
      <c r="E101" s="16"/>
      <c r="F101" s="16"/>
    </row>
    <row r="102" spans="1:6" x14ac:dyDescent="0.25">
      <c r="E102" s="31" t="s">
        <v>13</v>
      </c>
      <c r="F102" s="31">
        <f>SUM(F97:F100)</f>
        <v>42058.657125000012</v>
      </c>
    </row>
    <row r="104" spans="1:6" x14ac:dyDescent="0.25">
      <c r="A104" s="22" t="s">
        <v>179</v>
      </c>
      <c r="B104" s="23" t="s">
        <v>46</v>
      </c>
      <c r="C104" s="24" t="s">
        <v>14</v>
      </c>
      <c r="D104" s="25">
        <f>SUM(Presupuesto!D40:D42)</f>
        <v>97.08</v>
      </c>
      <c r="E104" s="26"/>
      <c r="F104" s="26"/>
    </row>
    <row r="105" spans="1:6" x14ac:dyDescent="0.25">
      <c r="A105" s="27" t="s">
        <v>144</v>
      </c>
      <c r="B105" s="16" t="s">
        <v>182</v>
      </c>
      <c r="C105" s="28" t="s">
        <v>181</v>
      </c>
      <c r="D105" s="29">
        <v>0.09</v>
      </c>
      <c r="E105" s="30">
        <v>70000</v>
      </c>
      <c r="F105" s="30">
        <f>D105*E105</f>
        <v>6300</v>
      </c>
    </row>
    <row r="106" spans="1:6" x14ac:dyDescent="0.25">
      <c r="A106" s="27" t="s">
        <v>145</v>
      </c>
      <c r="B106" s="16" t="s">
        <v>180</v>
      </c>
      <c r="C106" s="28" t="s">
        <v>15</v>
      </c>
      <c r="D106" s="29">
        <v>0.05</v>
      </c>
      <c r="E106" s="30">
        <v>1700</v>
      </c>
      <c r="F106" s="30">
        <f t="shared" ref="F106" si="6">D106*E106</f>
        <v>85</v>
      </c>
    </row>
    <row r="107" spans="1:6" x14ac:dyDescent="0.25">
      <c r="A107" s="27" t="s">
        <v>147</v>
      </c>
      <c r="B107" s="16" t="s">
        <v>31</v>
      </c>
      <c r="C107" s="28" t="s">
        <v>26</v>
      </c>
      <c r="D107" s="29">
        <v>0.02</v>
      </c>
      <c r="E107" s="16">
        <v>110000</v>
      </c>
      <c r="F107" s="16">
        <f>D107*E107</f>
        <v>2200</v>
      </c>
    </row>
    <row r="108" spans="1:6" x14ac:dyDescent="0.25">
      <c r="A108" s="27" t="s">
        <v>148</v>
      </c>
      <c r="B108" s="16" t="s">
        <v>27</v>
      </c>
      <c r="C108" s="28" t="s">
        <v>28</v>
      </c>
      <c r="D108" s="29">
        <v>1</v>
      </c>
      <c r="E108" s="45">
        <f>(SUM(F105:F106))*0.05</f>
        <v>319.25</v>
      </c>
      <c r="F108" s="45">
        <f>D108*E108</f>
        <v>319.25</v>
      </c>
    </row>
    <row r="109" spans="1:6" x14ac:dyDescent="0.25">
      <c r="A109" s="27"/>
      <c r="B109" s="16"/>
      <c r="C109" s="28"/>
      <c r="D109" s="29"/>
      <c r="E109" s="16"/>
      <c r="F109" s="16"/>
    </row>
    <row r="110" spans="1:6" x14ac:dyDescent="0.25">
      <c r="E110" s="31" t="s">
        <v>13</v>
      </c>
      <c r="F110" s="31">
        <f>SUM(F105:F108)</f>
        <v>8904.25</v>
      </c>
    </row>
    <row r="112" spans="1:6" x14ac:dyDescent="0.25">
      <c r="A112" s="22" t="s">
        <v>183</v>
      </c>
      <c r="B112" s="23" t="s">
        <v>184</v>
      </c>
      <c r="C112" s="24" t="s">
        <v>14</v>
      </c>
      <c r="D112" s="25">
        <f>Presupuesto!D44</f>
        <v>9.1999999999999993</v>
      </c>
      <c r="E112" s="26"/>
      <c r="F112" s="26"/>
    </row>
    <row r="113" spans="1:6" x14ac:dyDescent="0.25">
      <c r="A113" s="27" t="s">
        <v>185</v>
      </c>
      <c r="B113" s="16" t="s">
        <v>307</v>
      </c>
      <c r="C113" s="28" t="s">
        <v>15</v>
      </c>
      <c r="D113" s="29">
        <v>1.4</v>
      </c>
      <c r="E113" s="30">
        <v>60000</v>
      </c>
      <c r="F113" s="30">
        <f>D113*E113</f>
        <v>84000</v>
      </c>
    </row>
    <row r="114" spans="1:6" x14ac:dyDescent="0.25">
      <c r="A114" s="27" t="s">
        <v>186</v>
      </c>
      <c r="B114" s="16" t="s">
        <v>189</v>
      </c>
      <c r="C114" s="28" t="s">
        <v>15</v>
      </c>
      <c r="D114" s="29">
        <v>3.6</v>
      </c>
      <c r="E114" s="30">
        <v>4000</v>
      </c>
      <c r="F114" s="30">
        <f t="shared" ref="F114:F118" si="7">D114*E114</f>
        <v>14400</v>
      </c>
    </row>
    <row r="115" spans="1:6" x14ac:dyDescent="0.25">
      <c r="A115" s="27" t="s">
        <v>187</v>
      </c>
      <c r="B115" s="16" t="s">
        <v>190</v>
      </c>
      <c r="C115" s="28" t="s">
        <v>28</v>
      </c>
      <c r="D115" s="29">
        <v>2</v>
      </c>
      <c r="E115" s="30">
        <v>6000</v>
      </c>
      <c r="F115" s="30">
        <f t="shared" si="7"/>
        <v>12000</v>
      </c>
    </row>
    <row r="116" spans="1:6" x14ac:dyDescent="0.25">
      <c r="A116" s="27" t="s">
        <v>188</v>
      </c>
      <c r="B116" s="16" t="s">
        <v>193</v>
      </c>
      <c r="C116" s="28" t="s">
        <v>15</v>
      </c>
      <c r="D116" s="29">
        <v>0.5</v>
      </c>
      <c r="E116" s="30">
        <v>42000</v>
      </c>
      <c r="F116" s="30">
        <f t="shared" si="7"/>
        <v>21000</v>
      </c>
    </row>
    <row r="117" spans="1:6" x14ac:dyDescent="0.25">
      <c r="A117" s="27" t="s">
        <v>191</v>
      </c>
      <c r="B117" s="16" t="s">
        <v>31</v>
      </c>
      <c r="C117" s="28" t="s">
        <v>26</v>
      </c>
      <c r="D117" s="29">
        <v>0.5</v>
      </c>
      <c r="E117" s="16">
        <v>110000</v>
      </c>
      <c r="F117" s="30">
        <f t="shared" si="7"/>
        <v>55000</v>
      </c>
    </row>
    <row r="118" spans="1:6" x14ac:dyDescent="0.25">
      <c r="A118" s="27" t="s">
        <v>192</v>
      </c>
      <c r="B118" s="16" t="s">
        <v>27</v>
      </c>
      <c r="C118" s="28" t="s">
        <v>28</v>
      </c>
      <c r="D118" s="29">
        <v>1</v>
      </c>
      <c r="E118" s="45">
        <f>(SUM(F113:F116))*0.05</f>
        <v>6570</v>
      </c>
      <c r="F118" s="30">
        <f t="shared" si="7"/>
        <v>6570</v>
      </c>
    </row>
    <row r="119" spans="1:6" x14ac:dyDescent="0.25">
      <c r="A119" s="27"/>
      <c r="B119" s="16"/>
      <c r="C119" s="28"/>
      <c r="D119" s="29"/>
      <c r="E119" s="16"/>
      <c r="F119" s="16"/>
    </row>
    <row r="120" spans="1:6" x14ac:dyDescent="0.25">
      <c r="E120" s="31" t="s">
        <v>13</v>
      </c>
      <c r="F120" s="31">
        <f>SUM(F113:F118)</f>
        <v>192970</v>
      </c>
    </row>
    <row r="122" spans="1:6" x14ac:dyDescent="0.25">
      <c r="A122" s="22" t="s">
        <v>199</v>
      </c>
      <c r="B122" s="23" t="s">
        <v>305</v>
      </c>
      <c r="C122" s="24" t="s">
        <v>28</v>
      </c>
      <c r="D122" s="25">
        <v>1</v>
      </c>
      <c r="E122" s="26"/>
      <c r="F122" s="26"/>
    </row>
    <row r="123" spans="1:6" x14ac:dyDescent="0.25">
      <c r="A123" s="58" t="s">
        <v>201</v>
      </c>
      <c r="B123" s="59" t="s">
        <v>236</v>
      </c>
      <c r="C123" s="60" t="s">
        <v>30</v>
      </c>
      <c r="D123" s="61">
        <v>0.2</v>
      </c>
      <c r="E123" s="62">
        <f>E139</f>
        <v>325045.5</v>
      </c>
      <c r="F123" s="62">
        <f>E123*D123</f>
        <v>65009.100000000006</v>
      </c>
    </row>
    <row r="124" spans="1:6" x14ac:dyDescent="0.25">
      <c r="A124" s="58" t="s">
        <v>201</v>
      </c>
      <c r="B124" s="59" t="s">
        <v>209</v>
      </c>
      <c r="C124" s="60" t="s">
        <v>30</v>
      </c>
      <c r="D124" s="61">
        <v>0.11</v>
      </c>
      <c r="E124" s="62">
        <f>APU!F45</f>
        <v>574945.5</v>
      </c>
      <c r="F124" s="62">
        <f>E124*D124</f>
        <v>63244.004999999997</v>
      </c>
    </row>
    <row r="125" spans="1:6" x14ac:dyDescent="0.25">
      <c r="A125" s="58" t="s">
        <v>202</v>
      </c>
      <c r="B125" s="59" t="s">
        <v>207</v>
      </c>
      <c r="C125" s="60" t="s">
        <v>15</v>
      </c>
      <c r="D125" s="61">
        <v>4</v>
      </c>
      <c r="E125" s="62">
        <v>60000</v>
      </c>
      <c r="F125" s="62">
        <f>D125*E125</f>
        <v>240000</v>
      </c>
    </row>
    <row r="126" spans="1:6" x14ac:dyDescent="0.25">
      <c r="A126" s="58" t="s">
        <v>203</v>
      </c>
      <c r="B126" s="59" t="s">
        <v>189</v>
      </c>
      <c r="C126" s="60" t="s">
        <v>15</v>
      </c>
      <c r="D126" s="61">
        <v>8</v>
      </c>
      <c r="E126" s="62">
        <v>4000</v>
      </c>
      <c r="F126" s="62">
        <f t="shared" ref="F126:F133" si="8">D126*E126</f>
        <v>32000</v>
      </c>
    </row>
    <row r="127" spans="1:6" x14ac:dyDescent="0.25">
      <c r="A127" s="58" t="s">
        <v>204</v>
      </c>
      <c r="B127" s="59" t="s">
        <v>190</v>
      </c>
      <c r="C127" s="60" t="s">
        <v>28</v>
      </c>
      <c r="D127" s="61">
        <v>3</v>
      </c>
      <c r="E127" s="62">
        <v>6000</v>
      </c>
      <c r="F127" s="62">
        <f t="shared" si="8"/>
        <v>18000</v>
      </c>
    </row>
    <row r="128" spans="1:6" x14ac:dyDescent="0.25">
      <c r="A128" s="58" t="s">
        <v>205</v>
      </c>
      <c r="B128" s="59" t="s">
        <v>193</v>
      </c>
      <c r="C128" s="60" t="s">
        <v>15</v>
      </c>
      <c r="D128" s="61">
        <v>4</v>
      </c>
      <c r="E128" s="62">
        <v>42000</v>
      </c>
      <c r="F128" s="62">
        <f t="shared" si="8"/>
        <v>168000</v>
      </c>
    </row>
    <row r="129" spans="1:10" x14ac:dyDescent="0.25">
      <c r="A129" s="27" t="s">
        <v>206</v>
      </c>
      <c r="B129" s="16" t="s">
        <v>266</v>
      </c>
      <c r="C129" s="28" t="s">
        <v>15</v>
      </c>
      <c r="D129" s="29">
        <v>1</v>
      </c>
      <c r="E129" s="30">
        <v>110000</v>
      </c>
      <c r="F129" s="30">
        <f t="shared" si="8"/>
        <v>110000</v>
      </c>
    </row>
    <row r="130" spans="1:10" x14ac:dyDescent="0.25">
      <c r="A130" s="27" t="s">
        <v>210</v>
      </c>
      <c r="B130" s="16" t="s">
        <v>208</v>
      </c>
      <c r="C130" s="28" t="s">
        <v>15</v>
      </c>
      <c r="D130" s="29">
        <v>12</v>
      </c>
      <c r="E130" s="30">
        <v>300</v>
      </c>
      <c r="F130" s="30">
        <f t="shared" si="8"/>
        <v>3600</v>
      </c>
    </row>
    <row r="131" spans="1:10" x14ac:dyDescent="0.25">
      <c r="A131" s="27" t="s">
        <v>211</v>
      </c>
      <c r="B131" s="16" t="s">
        <v>214</v>
      </c>
      <c r="C131" s="28" t="s">
        <v>15</v>
      </c>
      <c r="D131" s="29">
        <v>3</v>
      </c>
      <c r="E131" s="30">
        <v>95000</v>
      </c>
      <c r="F131" s="30">
        <f t="shared" si="8"/>
        <v>285000</v>
      </c>
    </row>
    <row r="132" spans="1:10" x14ac:dyDescent="0.25">
      <c r="A132" s="27" t="s">
        <v>212</v>
      </c>
      <c r="B132" s="16" t="s">
        <v>45</v>
      </c>
      <c r="C132" s="28" t="s">
        <v>28</v>
      </c>
      <c r="D132" s="29">
        <v>1</v>
      </c>
      <c r="E132" s="30">
        <v>180000</v>
      </c>
      <c r="F132" s="30">
        <f t="shared" si="8"/>
        <v>180000</v>
      </c>
    </row>
    <row r="133" spans="1:10" x14ac:dyDescent="0.25">
      <c r="A133" s="27" t="s">
        <v>213</v>
      </c>
      <c r="B133" s="16" t="s">
        <v>31</v>
      </c>
      <c r="C133" s="28" t="s">
        <v>26</v>
      </c>
      <c r="D133" s="29">
        <v>1</v>
      </c>
      <c r="E133" s="16">
        <v>700000</v>
      </c>
      <c r="F133" s="30">
        <f t="shared" si="8"/>
        <v>700000</v>
      </c>
      <c r="G133" t="s">
        <v>50</v>
      </c>
      <c r="I133" t="s">
        <v>50</v>
      </c>
    </row>
    <row r="134" spans="1:10" x14ac:dyDescent="0.25">
      <c r="A134" s="27" t="s">
        <v>221</v>
      </c>
      <c r="B134" s="16" t="s">
        <v>27</v>
      </c>
      <c r="C134" s="28" t="s">
        <v>28</v>
      </c>
      <c r="D134" s="29">
        <v>1</v>
      </c>
      <c r="E134" s="79">
        <v>45992.17</v>
      </c>
      <c r="F134" s="30">
        <f>D134*E134</f>
        <v>45992.17</v>
      </c>
      <c r="J134" t="s">
        <v>173</v>
      </c>
    </row>
    <row r="135" spans="1:10" x14ac:dyDescent="0.25">
      <c r="A135" s="27"/>
      <c r="B135" s="16"/>
      <c r="C135" s="28"/>
      <c r="D135" s="29"/>
      <c r="E135" s="16"/>
      <c r="F135" s="16"/>
    </row>
    <row r="136" spans="1:10" x14ac:dyDescent="0.25">
      <c r="E136" s="31" t="s">
        <v>13</v>
      </c>
      <c r="F136" s="31">
        <f>SUM(F123:F134)</f>
        <v>1910845.2749999999</v>
      </c>
    </row>
    <row r="138" spans="1:10" x14ac:dyDescent="0.25">
      <c r="A138" s="22" t="s">
        <v>216</v>
      </c>
      <c r="B138" s="23" t="s">
        <v>306</v>
      </c>
      <c r="C138" s="24" t="s">
        <v>28</v>
      </c>
      <c r="D138" s="25">
        <v>1</v>
      </c>
      <c r="E138" s="26"/>
      <c r="F138" s="26"/>
    </row>
    <row r="139" spans="1:10" x14ac:dyDescent="0.25">
      <c r="A139" s="58" t="s">
        <v>218</v>
      </c>
      <c r="B139" s="59" t="s">
        <v>236</v>
      </c>
      <c r="C139" s="60" t="s">
        <v>30</v>
      </c>
      <c r="D139" s="61">
        <v>0.27</v>
      </c>
      <c r="E139" s="62">
        <f>F75</f>
        <v>325045.5</v>
      </c>
      <c r="F139" s="62">
        <f>D139*E139</f>
        <v>87762.285000000003</v>
      </c>
    </row>
    <row r="140" spans="1:10" x14ac:dyDescent="0.25">
      <c r="A140" s="58" t="s">
        <v>219</v>
      </c>
      <c r="B140" s="59" t="s">
        <v>209</v>
      </c>
      <c r="C140" s="60" t="s">
        <v>30</v>
      </c>
      <c r="D140" s="61">
        <v>0.16</v>
      </c>
      <c r="E140" s="62">
        <f>E124</f>
        <v>574945.5</v>
      </c>
      <c r="F140" s="62">
        <f>E140*D140</f>
        <v>91991.28</v>
      </c>
    </row>
    <row r="141" spans="1:10" x14ac:dyDescent="0.25">
      <c r="A141" s="58" t="s">
        <v>220</v>
      </c>
      <c r="B141" s="59" t="s">
        <v>207</v>
      </c>
      <c r="C141" s="60" t="s">
        <v>15</v>
      </c>
      <c r="D141" s="61">
        <v>2</v>
      </c>
      <c r="E141" s="62">
        <v>60000</v>
      </c>
      <c r="F141" s="62">
        <f>D141*E141</f>
        <v>120000</v>
      </c>
    </row>
    <row r="142" spans="1:10" x14ac:dyDescent="0.25">
      <c r="A142" s="58" t="s">
        <v>226</v>
      </c>
      <c r="B142" s="59" t="s">
        <v>189</v>
      </c>
      <c r="C142" s="60" t="s">
        <v>15</v>
      </c>
      <c r="D142" s="61">
        <v>37</v>
      </c>
      <c r="E142" s="62">
        <v>4000</v>
      </c>
      <c r="F142" s="62">
        <f t="shared" ref="F142:F158" si="9">D142*E142</f>
        <v>148000</v>
      </c>
    </row>
    <row r="143" spans="1:10" x14ac:dyDescent="0.25">
      <c r="A143" s="58" t="s">
        <v>227</v>
      </c>
      <c r="B143" s="59" t="s">
        <v>190</v>
      </c>
      <c r="C143" s="60" t="s">
        <v>28</v>
      </c>
      <c r="D143" s="61">
        <v>5</v>
      </c>
      <c r="E143" s="62">
        <v>6000</v>
      </c>
      <c r="F143" s="62">
        <f t="shared" si="9"/>
        <v>30000</v>
      </c>
    </row>
    <row r="144" spans="1:10" x14ac:dyDescent="0.25">
      <c r="A144" s="58" t="s">
        <v>228</v>
      </c>
      <c r="B144" s="59" t="s">
        <v>193</v>
      </c>
      <c r="C144" s="60" t="s">
        <v>15</v>
      </c>
      <c r="D144" s="61">
        <v>12</v>
      </c>
      <c r="E144" s="62">
        <v>42000</v>
      </c>
      <c r="F144" s="62">
        <f t="shared" si="9"/>
        <v>504000</v>
      </c>
    </row>
    <row r="145" spans="1:12" x14ac:dyDescent="0.25">
      <c r="A145" s="58" t="s">
        <v>229</v>
      </c>
      <c r="B145" s="59" t="s">
        <v>242</v>
      </c>
      <c r="C145" s="60" t="s">
        <v>15</v>
      </c>
      <c r="D145" s="61">
        <v>3</v>
      </c>
      <c r="E145" s="62">
        <v>110000</v>
      </c>
      <c r="F145" s="62">
        <f t="shared" si="9"/>
        <v>330000</v>
      </c>
    </row>
    <row r="146" spans="1:12" x14ac:dyDescent="0.25">
      <c r="A146" s="58" t="s">
        <v>230</v>
      </c>
      <c r="B146" s="59" t="s">
        <v>208</v>
      </c>
      <c r="C146" s="60" t="s">
        <v>15</v>
      </c>
      <c r="D146" s="61">
        <v>30</v>
      </c>
      <c r="E146" s="62">
        <v>300</v>
      </c>
      <c r="F146" s="62">
        <f t="shared" si="9"/>
        <v>9000</v>
      </c>
    </row>
    <row r="147" spans="1:12" x14ac:dyDescent="0.25">
      <c r="A147" s="58" t="s">
        <v>231</v>
      </c>
      <c r="B147" s="59" t="s">
        <v>223</v>
      </c>
      <c r="C147" s="60" t="s">
        <v>30</v>
      </c>
      <c r="D147" s="61">
        <v>0.12</v>
      </c>
      <c r="E147" s="62">
        <f>E140</f>
        <v>574945.5</v>
      </c>
      <c r="F147" s="62">
        <f t="shared" si="9"/>
        <v>68993.459999999992</v>
      </c>
    </row>
    <row r="148" spans="1:12" x14ac:dyDescent="0.25">
      <c r="A148" s="58" t="s">
        <v>232</v>
      </c>
      <c r="B148" s="59" t="s">
        <v>222</v>
      </c>
      <c r="C148" s="60" t="s">
        <v>30</v>
      </c>
      <c r="D148" s="61">
        <v>0.9</v>
      </c>
      <c r="E148" s="62">
        <f>E140</f>
        <v>574945.5</v>
      </c>
      <c r="F148" s="62">
        <f t="shared" si="9"/>
        <v>517450.95</v>
      </c>
    </row>
    <row r="149" spans="1:12" x14ac:dyDescent="0.25">
      <c r="A149" s="58" t="s">
        <v>233</v>
      </c>
      <c r="B149" s="59" t="s">
        <v>225</v>
      </c>
      <c r="C149" s="60" t="s">
        <v>63</v>
      </c>
      <c r="D149" s="61">
        <v>13</v>
      </c>
      <c r="E149" s="62">
        <v>2666</v>
      </c>
      <c r="F149" s="62">
        <f t="shared" si="9"/>
        <v>34658</v>
      </c>
      <c r="L149" t="s">
        <v>173</v>
      </c>
    </row>
    <row r="150" spans="1:12" x14ac:dyDescent="0.25">
      <c r="A150" s="58" t="s">
        <v>234</v>
      </c>
      <c r="B150" s="59" t="s">
        <v>224</v>
      </c>
      <c r="C150" s="60" t="s">
        <v>63</v>
      </c>
      <c r="D150" s="61">
        <v>5</v>
      </c>
      <c r="E150" s="62">
        <v>5300</v>
      </c>
      <c r="F150" s="62">
        <f t="shared" si="9"/>
        <v>26500</v>
      </c>
    </row>
    <row r="151" spans="1:12" x14ac:dyDescent="0.25">
      <c r="A151" s="58" t="s">
        <v>235</v>
      </c>
      <c r="B151" s="59" t="s">
        <v>239</v>
      </c>
      <c r="C151" s="60" t="s">
        <v>15</v>
      </c>
      <c r="D151" s="61">
        <v>1</v>
      </c>
      <c r="E151" s="62">
        <v>58000</v>
      </c>
      <c r="F151" s="62">
        <f t="shared" si="9"/>
        <v>58000</v>
      </c>
      <c r="G151" t="s">
        <v>50</v>
      </c>
    </row>
    <row r="152" spans="1:12" x14ac:dyDescent="0.25">
      <c r="A152" s="58" t="s">
        <v>237</v>
      </c>
      <c r="B152" s="59" t="s">
        <v>243</v>
      </c>
      <c r="C152" s="60" t="s">
        <v>15</v>
      </c>
      <c r="D152" s="61">
        <v>4</v>
      </c>
      <c r="E152" s="62">
        <v>3000</v>
      </c>
      <c r="F152" s="62">
        <f t="shared" si="9"/>
        <v>12000</v>
      </c>
    </row>
    <row r="153" spans="1:12" x14ac:dyDescent="0.25">
      <c r="A153" s="58" t="s">
        <v>238</v>
      </c>
      <c r="B153" s="59" t="s">
        <v>244</v>
      </c>
      <c r="C153" s="60" t="s">
        <v>15</v>
      </c>
      <c r="D153" s="61">
        <v>2</v>
      </c>
      <c r="E153" s="62">
        <v>7500</v>
      </c>
      <c r="F153" s="62">
        <f t="shared" si="9"/>
        <v>15000</v>
      </c>
    </row>
    <row r="154" spans="1:12" x14ac:dyDescent="0.25">
      <c r="A154" s="58" t="s">
        <v>240</v>
      </c>
      <c r="B154" s="59" t="s">
        <v>245</v>
      </c>
      <c r="C154" s="60" t="s">
        <v>15</v>
      </c>
      <c r="D154" s="61">
        <v>1</v>
      </c>
      <c r="E154" s="62">
        <v>20000</v>
      </c>
      <c r="F154" s="62">
        <f t="shared" si="9"/>
        <v>20000</v>
      </c>
    </row>
    <row r="155" spans="1:12" x14ac:dyDescent="0.25">
      <c r="A155" s="58" t="s">
        <v>241</v>
      </c>
      <c r="B155" s="59" t="s">
        <v>246</v>
      </c>
      <c r="C155" s="60" t="s">
        <v>15</v>
      </c>
      <c r="D155" s="61">
        <v>2</v>
      </c>
      <c r="E155" s="62">
        <v>40000</v>
      </c>
      <c r="F155" s="62">
        <f t="shared" si="9"/>
        <v>80000</v>
      </c>
    </row>
    <row r="156" spans="1:12" x14ac:dyDescent="0.25">
      <c r="A156" s="58" t="s">
        <v>247</v>
      </c>
      <c r="B156" s="59" t="s">
        <v>249</v>
      </c>
      <c r="C156" s="60" t="s">
        <v>28</v>
      </c>
      <c r="D156" s="61">
        <v>1</v>
      </c>
      <c r="E156" s="62">
        <v>300000</v>
      </c>
      <c r="F156" s="62">
        <f t="shared" si="9"/>
        <v>300000</v>
      </c>
    </row>
    <row r="157" spans="1:12" x14ac:dyDescent="0.25">
      <c r="A157" s="58" t="s">
        <v>248</v>
      </c>
      <c r="B157" s="59" t="s">
        <v>31</v>
      </c>
      <c r="C157" s="60" t="s">
        <v>26</v>
      </c>
      <c r="D157" s="61">
        <v>1</v>
      </c>
      <c r="E157" s="59">
        <v>1500000</v>
      </c>
      <c r="F157" s="62">
        <f t="shared" si="9"/>
        <v>1500000</v>
      </c>
    </row>
    <row r="158" spans="1:12" x14ac:dyDescent="0.25">
      <c r="A158" s="58" t="s">
        <v>250</v>
      </c>
      <c r="B158" s="59" t="s">
        <v>27</v>
      </c>
      <c r="C158" s="60" t="s">
        <v>28</v>
      </c>
      <c r="D158" s="61">
        <v>1</v>
      </c>
      <c r="E158" s="78">
        <v>90903.5</v>
      </c>
      <c r="F158" s="62">
        <f t="shared" si="9"/>
        <v>90903.5</v>
      </c>
    </row>
    <row r="159" spans="1:12" x14ac:dyDescent="0.25">
      <c r="A159" s="58" t="s">
        <v>290</v>
      </c>
      <c r="B159" s="59" t="s">
        <v>291</v>
      </c>
      <c r="C159" s="60" t="s">
        <v>28</v>
      </c>
      <c r="D159" s="61">
        <v>1</v>
      </c>
      <c r="E159" s="63">
        <v>1000000</v>
      </c>
      <c r="F159" s="62">
        <f>D159*E159</f>
        <v>1000000</v>
      </c>
    </row>
    <row r="160" spans="1:12" x14ac:dyDescent="0.25">
      <c r="A160" s="27"/>
      <c r="B160" s="16"/>
      <c r="C160" s="28"/>
      <c r="D160" s="29"/>
      <c r="E160" s="16"/>
      <c r="F160" s="16"/>
    </row>
    <row r="161" spans="5:6" x14ac:dyDescent="0.25">
      <c r="E161" s="31" t="s">
        <v>13</v>
      </c>
      <c r="F161" s="31">
        <f>SUM(F139:F159)</f>
        <v>5044259.4749999996</v>
      </c>
    </row>
  </sheetData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31DC7-3F46-4B75-AEDF-5CFF73DFEEAF}">
  <sheetPr>
    <tabColor theme="9" tint="0.59999389629810485"/>
  </sheetPr>
  <dimension ref="B2:P112"/>
  <sheetViews>
    <sheetView topLeftCell="A100" workbookViewId="0">
      <selection activeCell="A14" sqref="A14:A16"/>
    </sheetView>
  </sheetViews>
  <sheetFormatPr baseColWidth="10" defaultRowHeight="15" x14ac:dyDescent="0.25"/>
  <cols>
    <col min="2" max="2" width="39.5703125" bestFit="1" customWidth="1"/>
    <col min="3" max="3" width="13.42578125" customWidth="1"/>
  </cols>
  <sheetData>
    <row r="2" spans="2:14" x14ac:dyDescent="0.25">
      <c r="B2" s="35" t="s">
        <v>43</v>
      </c>
      <c r="C2" s="35" t="s">
        <v>56</v>
      </c>
      <c r="D2" s="36" t="s">
        <v>51</v>
      </c>
      <c r="E2" s="36" t="s">
        <v>58</v>
      </c>
      <c r="F2" s="36" t="s">
        <v>52</v>
      </c>
      <c r="G2" s="36" t="s">
        <v>54</v>
      </c>
    </row>
    <row r="3" spans="2:14" x14ac:dyDescent="0.25">
      <c r="B3" s="39" t="s">
        <v>40</v>
      </c>
      <c r="C3" s="40"/>
      <c r="D3" s="41"/>
      <c r="E3" s="41"/>
      <c r="F3" s="41"/>
      <c r="G3" s="41"/>
    </row>
    <row r="4" spans="2:14" x14ac:dyDescent="0.25">
      <c r="B4" s="37" t="s">
        <v>57</v>
      </c>
      <c r="C4" s="3">
        <v>2</v>
      </c>
      <c r="D4" s="3">
        <v>0.95</v>
      </c>
      <c r="E4" s="3">
        <v>0.12</v>
      </c>
      <c r="F4" s="3">
        <v>2.17</v>
      </c>
      <c r="G4" s="34">
        <f>D4*E4*F4*C4</f>
        <v>0.49475999999999992</v>
      </c>
    </row>
    <row r="5" spans="2:14" x14ac:dyDescent="0.25">
      <c r="B5" s="37" t="s">
        <v>59</v>
      </c>
      <c r="C5" s="3">
        <v>1</v>
      </c>
      <c r="D5" s="3">
        <v>3.5</v>
      </c>
      <c r="E5" s="3">
        <v>0.12</v>
      </c>
      <c r="F5" s="3">
        <v>2.2999999999999998</v>
      </c>
      <c r="G5" s="34">
        <f>D5*E5*F5*C5</f>
        <v>0.96599999999999986</v>
      </c>
    </row>
    <row r="6" spans="2:14" x14ac:dyDescent="0.25">
      <c r="B6" s="37"/>
      <c r="C6" s="3"/>
      <c r="D6" s="3"/>
      <c r="E6" s="3"/>
      <c r="F6" s="3"/>
      <c r="G6" s="3"/>
    </row>
    <row r="7" spans="2:14" x14ac:dyDescent="0.25">
      <c r="B7" s="39" t="s">
        <v>43</v>
      </c>
      <c r="C7" s="41"/>
      <c r="D7" s="41"/>
      <c r="E7" s="41"/>
      <c r="F7" s="41"/>
      <c r="G7" s="41"/>
      <c r="N7" t="s">
        <v>50</v>
      </c>
    </row>
    <row r="8" spans="2:14" x14ac:dyDescent="0.25">
      <c r="B8" s="37" t="s">
        <v>53</v>
      </c>
      <c r="C8" s="3">
        <v>1</v>
      </c>
      <c r="D8" s="3">
        <v>42</v>
      </c>
      <c r="E8" s="3">
        <v>0.2</v>
      </c>
      <c r="F8" s="3">
        <v>0.2</v>
      </c>
      <c r="G8" s="3">
        <f>D8*E8*F8*C8</f>
        <v>1.6800000000000002</v>
      </c>
    </row>
    <row r="9" spans="2:14" x14ac:dyDescent="0.25">
      <c r="B9" s="37" t="s">
        <v>55</v>
      </c>
      <c r="C9" s="3">
        <v>15</v>
      </c>
      <c r="D9" s="3">
        <v>0.12</v>
      </c>
      <c r="E9" s="3">
        <v>0.2</v>
      </c>
      <c r="F9" s="3">
        <v>0.6</v>
      </c>
      <c r="G9" s="34">
        <f>D9*E9*F9*C9</f>
        <v>0.216</v>
      </c>
    </row>
    <row r="10" spans="2:14" x14ac:dyDescent="0.25">
      <c r="B10" s="37" t="s">
        <v>60</v>
      </c>
      <c r="C10" s="3">
        <v>15</v>
      </c>
      <c r="D10" s="3">
        <v>0.3</v>
      </c>
      <c r="E10" s="3">
        <v>0.3</v>
      </c>
      <c r="F10" s="3">
        <v>0.35</v>
      </c>
      <c r="G10" s="34">
        <f>D10*E10*F10*C10</f>
        <v>0.47250000000000003</v>
      </c>
      <c r="H10" s="9"/>
    </row>
    <row r="11" spans="2:14" x14ac:dyDescent="0.25">
      <c r="B11" s="37" t="s">
        <v>61</v>
      </c>
      <c r="C11" s="3">
        <v>1</v>
      </c>
      <c r="D11" s="3">
        <v>42</v>
      </c>
      <c r="E11" s="3">
        <v>0.12</v>
      </c>
      <c r="F11" s="3">
        <v>0.1</v>
      </c>
      <c r="G11" s="34">
        <f>D11*E11*F11*C11</f>
        <v>0.504</v>
      </c>
      <c r="H11" s="9"/>
    </row>
    <row r="12" spans="2:14" x14ac:dyDescent="0.25">
      <c r="B12" s="37"/>
      <c r="C12" s="3"/>
      <c r="D12" s="3"/>
      <c r="E12" s="3"/>
      <c r="F12" s="3"/>
      <c r="G12" s="3"/>
      <c r="H12" s="9"/>
      <c r="K12" t="s">
        <v>86</v>
      </c>
      <c r="L12">
        <v>60000</v>
      </c>
    </row>
    <row r="13" spans="2:14" x14ac:dyDescent="0.25">
      <c r="B13" s="39" t="s">
        <v>48</v>
      </c>
      <c r="C13" s="41" t="s">
        <v>71</v>
      </c>
      <c r="D13" s="41"/>
      <c r="E13" s="41" t="s">
        <v>65</v>
      </c>
      <c r="F13" s="41" t="s">
        <v>67</v>
      </c>
      <c r="G13" s="41"/>
      <c r="H13" s="9"/>
      <c r="K13" t="s">
        <v>87</v>
      </c>
      <c r="L13">
        <v>50000</v>
      </c>
    </row>
    <row r="14" spans="2:14" x14ac:dyDescent="0.25">
      <c r="B14" s="37" t="s">
        <v>64</v>
      </c>
      <c r="C14" s="3">
        <f>D14/E14</f>
        <v>7</v>
      </c>
      <c r="D14" s="3">
        <v>42</v>
      </c>
      <c r="E14" s="3">
        <v>6</v>
      </c>
      <c r="F14" s="3">
        <f>C14*0.38</f>
        <v>2.66</v>
      </c>
      <c r="G14" s="38">
        <f>((D14/E14)+F14)*5</f>
        <v>48.3</v>
      </c>
      <c r="H14" s="9"/>
    </row>
    <row r="15" spans="2:14" x14ac:dyDescent="0.25">
      <c r="B15" s="37" t="s">
        <v>70</v>
      </c>
      <c r="C15" s="3"/>
      <c r="D15" s="3"/>
      <c r="E15" s="3"/>
      <c r="F15" s="3"/>
      <c r="G15" s="3"/>
      <c r="H15" s="9"/>
    </row>
    <row r="16" spans="2:14" x14ac:dyDescent="0.25">
      <c r="B16" s="37" t="s">
        <v>50</v>
      </c>
      <c r="C16" s="3"/>
      <c r="D16" s="3"/>
      <c r="E16" s="3"/>
      <c r="F16" s="3"/>
      <c r="G16" s="3"/>
      <c r="H16" s="9"/>
    </row>
    <row r="17" spans="2:8" x14ac:dyDescent="0.25">
      <c r="B17" s="39" t="str">
        <f>Presupuesto!$B$30</f>
        <v>MAMPOSTERÍA</v>
      </c>
      <c r="C17" s="41"/>
      <c r="D17" s="41"/>
      <c r="E17" s="41"/>
      <c r="F17" s="41"/>
      <c r="G17" s="41"/>
      <c r="H17" s="9"/>
    </row>
    <row r="18" spans="2:8" x14ac:dyDescent="0.25">
      <c r="B18" s="37" t="s">
        <v>36</v>
      </c>
      <c r="C18" s="3">
        <v>2</v>
      </c>
      <c r="D18" s="3">
        <v>0.95</v>
      </c>
      <c r="E18" s="3" t="s">
        <v>66</v>
      </c>
      <c r="F18" s="3">
        <v>2.17</v>
      </c>
      <c r="G18" s="34">
        <f>F18*D18*C18</f>
        <v>4.1229999999999993</v>
      </c>
      <c r="H18" s="9"/>
    </row>
    <row r="19" spans="2:8" x14ac:dyDescent="0.25">
      <c r="B19" s="37" t="s">
        <v>39</v>
      </c>
      <c r="C19" s="3">
        <v>1</v>
      </c>
      <c r="D19" s="3">
        <v>42</v>
      </c>
      <c r="E19" s="3" t="s">
        <v>66</v>
      </c>
      <c r="F19" s="3">
        <v>0.6</v>
      </c>
      <c r="G19" s="3">
        <f>D19*F19</f>
        <v>25.2</v>
      </c>
      <c r="H19" s="9"/>
    </row>
    <row r="20" spans="2:8" x14ac:dyDescent="0.25">
      <c r="B20" s="37"/>
      <c r="C20" s="3"/>
      <c r="D20" s="3"/>
      <c r="E20" s="3"/>
      <c r="F20" s="3"/>
      <c r="G20" s="3"/>
      <c r="H20" s="9"/>
    </row>
    <row r="21" spans="2:8" x14ac:dyDescent="0.25">
      <c r="B21" s="39" t="s">
        <v>75</v>
      </c>
      <c r="C21" s="42"/>
      <c r="D21" s="42"/>
      <c r="E21" s="42"/>
      <c r="F21" s="42"/>
      <c r="G21" s="42"/>
    </row>
    <row r="22" spans="2:8" x14ac:dyDescent="0.25">
      <c r="B22" s="37" t="s">
        <v>36</v>
      </c>
      <c r="C22" s="3">
        <v>2</v>
      </c>
      <c r="D22" s="3">
        <v>0.95</v>
      </c>
      <c r="E22" s="3" t="s">
        <v>66</v>
      </c>
      <c r="F22" s="3">
        <v>2.17</v>
      </c>
      <c r="G22" s="34">
        <f>F22*D22*C22*2</f>
        <v>8.2459999999999987</v>
      </c>
      <c r="H22" t="s">
        <v>76</v>
      </c>
    </row>
    <row r="23" spans="2:8" x14ac:dyDescent="0.25">
      <c r="B23" s="37" t="s">
        <v>72</v>
      </c>
      <c r="C23" s="3">
        <v>2</v>
      </c>
      <c r="D23" s="3">
        <v>0.95</v>
      </c>
      <c r="E23" s="3" t="s">
        <v>66</v>
      </c>
      <c r="F23" s="3">
        <v>4.34</v>
      </c>
      <c r="G23" s="3">
        <f>(D23+F23)*C23</f>
        <v>10.58</v>
      </c>
      <c r="H23" t="s">
        <v>77</v>
      </c>
    </row>
    <row r="24" spans="2:8" x14ac:dyDescent="0.25">
      <c r="B24" s="37" t="s">
        <v>73</v>
      </c>
      <c r="C24" s="3">
        <v>1</v>
      </c>
      <c r="D24" s="3">
        <v>3.5</v>
      </c>
      <c r="E24" s="3" t="s">
        <v>66</v>
      </c>
      <c r="F24" s="3">
        <v>4.5999999999999996</v>
      </c>
      <c r="G24" s="3">
        <f>(F24+D24)*C24</f>
        <v>8.1</v>
      </c>
      <c r="H24" t="s">
        <v>77</v>
      </c>
    </row>
    <row r="25" spans="2:8" x14ac:dyDescent="0.25">
      <c r="B25" s="37" t="s">
        <v>62</v>
      </c>
      <c r="C25" s="3">
        <v>2</v>
      </c>
      <c r="D25" s="3">
        <v>42</v>
      </c>
      <c r="E25" s="3" t="s">
        <v>66</v>
      </c>
      <c r="F25" s="3">
        <v>0.6</v>
      </c>
      <c r="G25" s="3">
        <f>(D25*F25)*C25</f>
        <v>50.4</v>
      </c>
      <c r="H25" t="s">
        <v>76</v>
      </c>
    </row>
    <row r="26" spans="2:8" x14ac:dyDescent="0.25">
      <c r="B26" s="37" t="s">
        <v>79</v>
      </c>
      <c r="C26" s="3">
        <v>1</v>
      </c>
      <c r="D26" s="3">
        <v>42</v>
      </c>
      <c r="E26" s="3" t="s">
        <v>66</v>
      </c>
      <c r="F26" s="3" t="s">
        <v>66</v>
      </c>
      <c r="G26" s="3">
        <f>D26</f>
        <v>42</v>
      </c>
      <c r="H26" t="s">
        <v>77</v>
      </c>
    </row>
    <row r="27" spans="2:8" x14ac:dyDescent="0.25">
      <c r="B27" s="37"/>
      <c r="C27" s="3"/>
      <c r="D27" s="3"/>
      <c r="E27" s="3"/>
      <c r="F27" s="3"/>
      <c r="G27" s="3"/>
    </row>
    <row r="28" spans="2:8" x14ac:dyDescent="0.25">
      <c r="B28" s="39" t="s">
        <v>38</v>
      </c>
      <c r="C28" s="41"/>
      <c r="D28" s="41"/>
      <c r="E28" s="41"/>
      <c r="F28" s="41"/>
      <c r="G28" s="41"/>
    </row>
    <row r="29" spans="2:8" x14ac:dyDescent="0.25">
      <c r="B29" s="37" t="s">
        <v>36</v>
      </c>
      <c r="C29" s="3">
        <v>2</v>
      </c>
      <c r="D29" s="3">
        <v>0.95</v>
      </c>
      <c r="E29" s="3" t="s">
        <v>66</v>
      </c>
      <c r="F29" s="3">
        <v>2.17</v>
      </c>
      <c r="G29" s="34">
        <f>F29*D29*C29</f>
        <v>4.1229999999999993</v>
      </c>
    </row>
    <row r="30" spans="2:8" x14ac:dyDescent="0.25">
      <c r="B30" s="37"/>
      <c r="C30" s="3"/>
      <c r="D30" s="3"/>
      <c r="E30" s="3"/>
      <c r="F30" s="3"/>
      <c r="G30" s="3"/>
    </row>
    <row r="31" spans="2:8" x14ac:dyDescent="0.25">
      <c r="B31" s="39" t="s">
        <v>44</v>
      </c>
      <c r="C31" s="41"/>
      <c r="D31" s="41"/>
      <c r="E31" s="41"/>
      <c r="F31" s="41"/>
      <c r="G31" s="41"/>
    </row>
    <row r="32" spans="2:8" x14ac:dyDescent="0.25">
      <c r="B32" s="37" t="s">
        <v>47</v>
      </c>
      <c r="C32" s="3">
        <v>1</v>
      </c>
      <c r="D32" s="3">
        <v>5.75</v>
      </c>
      <c r="E32" s="3" t="s">
        <v>66</v>
      </c>
      <c r="F32" s="3">
        <v>1.6</v>
      </c>
      <c r="G32" s="3">
        <f>D32*F32</f>
        <v>9.2000000000000011</v>
      </c>
    </row>
    <row r="33" spans="2:16" x14ac:dyDescent="0.25">
      <c r="P33" t="s">
        <v>50</v>
      </c>
    </row>
    <row r="38" spans="2:16" x14ac:dyDescent="0.25">
      <c r="B38" s="86" t="s">
        <v>163</v>
      </c>
      <c r="C38" s="87"/>
      <c r="D38" s="87"/>
      <c r="E38" s="87"/>
      <c r="F38" s="88"/>
    </row>
    <row r="39" spans="2:16" x14ac:dyDescent="0.25">
      <c r="B39" t="s">
        <v>150</v>
      </c>
      <c r="C39" s="65">
        <f>G18+G19</f>
        <v>29.323</v>
      </c>
      <c r="D39" t="s">
        <v>14</v>
      </c>
    </row>
    <row r="40" spans="2:16" x14ac:dyDescent="0.25">
      <c r="B40" t="s">
        <v>152</v>
      </c>
      <c r="C40">
        <f>0.03</f>
        <v>0.03</v>
      </c>
      <c r="D40" t="s">
        <v>14</v>
      </c>
    </row>
    <row r="41" spans="2:16" x14ac:dyDescent="0.25">
      <c r="B41" t="s">
        <v>153</v>
      </c>
      <c r="C41">
        <f>(C39/C40)*1.05</f>
        <v>1026.3050000000001</v>
      </c>
      <c r="D41" t="s">
        <v>15</v>
      </c>
    </row>
    <row r="42" spans="2:16" x14ac:dyDescent="0.25">
      <c r="B42" t="s">
        <v>154</v>
      </c>
      <c r="C42">
        <f>(C39*0.1)-(0.2*0.11*0.1)</f>
        <v>2.9300999999999999</v>
      </c>
      <c r="D42" t="s">
        <v>30</v>
      </c>
    </row>
    <row r="43" spans="2:16" x14ac:dyDescent="0.25">
      <c r="B43" s="89" t="s">
        <v>155</v>
      </c>
      <c r="C43" s="89"/>
      <c r="D43" s="89" t="str">
        <f>"1:4"</f>
        <v>1:4</v>
      </c>
      <c r="E43" s="89"/>
      <c r="F43" s="89"/>
    </row>
    <row r="44" spans="2:16" x14ac:dyDescent="0.25">
      <c r="B44" t="s">
        <v>157</v>
      </c>
      <c r="C44">
        <v>1.1599999999999999</v>
      </c>
      <c r="D44" t="s">
        <v>30</v>
      </c>
    </row>
    <row r="45" spans="2:16" x14ac:dyDescent="0.25">
      <c r="B45" t="s">
        <v>158</v>
      </c>
      <c r="C45">
        <v>364</v>
      </c>
      <c r="D45" t="s">
        <v>63</v>
      </c>
      <c r="E45">
        <f>C45/50</f>
        <v>7.28</v>
      </c>
      <c r="F45" t="s">
        <v>156</v>
      </c>
      <c r="H45" t="s">
        <v>156</v>
      </c>
      <c r="I45">
        <f>E47+E60+E72+E84+E98</f>
        <v>66.550247399999989</v>
      </c>
    </row>
    <row r="46" spans="2:16" x14ac:dyDescent="0.25">
      <c r="B46" s="48" t="s">
        <v>159</v>
      </c>
      <c r="C46" s="48">
        <f>(C42*C44)*1.05</f>
        <v>3.5688618000000001</v>
      </c>
      <c r="D46" s="48" t="s">
        <v>30</v>
      </c>
      <c r="H46" t="s">
        <v>98</v>
      </c>
      <c r="I46">
        <f>C46+C61+C73+C85+C97</f>
        <v>7.5945093000000012</v>
      </c>
    </row>
    <row r="47" spans="2:16" x14ac:dyDescent="0.25">
      <c r="B47" s="48" t="s">
        <v>29</v>
      </c>
      <c r="C47" s="48">
        <f>(C42*C45)*1.05</f>
        <v>1119.8842199999999</v>
      </c>
      <c r="D47" s="48" t="s">
        <v>63</v>
      </c>
      <c r="E47" s="48">
        <f>C47/50</f>
        <v>22.397684399999999</v>
      </c>
      <c r="F47" s="48" t="s">
        <v>156</v>
      </c>
      <c r="H47" t="s">
        <v>105</v>
      </c>
      <c r="I47">
        <f>C62+C74+C86</f>
        <v>4.629975</v>
      </c>
    </row>
    <row r="48" spans="2:16" x14ac:dyDescent="0.25">
      <c r="B48" s="47" t="s">
        <v>162</v>
      </c>
      <c r="C48" s="47">
        <f>0.1-0.0022</f>
        <v>9.7800000000000012E-2</v>
      </c>
      <c r="D48" s="89" t="s">
        <v>30</v>
      </c>
      <c r="E48" s="89"/>
      <c r="F48" s="89"/>
    </row>
    <row r="49" spans="2:6" x14ac:dyDescent="0.25">
      <c r="B49" t="s">
        <v>160</v>
      </c>
      <c r="C49">
        <f>(C48*C44)*1.05</f>
        <v>0.11912040000000002</v>
      </c>
      <c r="D49" t="s">
        <v>30</v>
      </c>
    </row>
    <row r="50" spans="2:6" x14ac:dyDescent="0.25">
      <c r="B50" t="s">
        <v>161</v>
      </c>
      <c r="C50">
        <f>(C48*C45)*1.05</f>
        <v>37.379160000000006</v>
      </c>
      <c r="D50" t="s">
        <v>63</v>
      </c>
      <c r="E50">
        <f>C50/50</f>
        <v>0.74758320000000011</v>
      </c>
      <c r="F50" t="s">
        <v>156</v>
      </c>
    </row>
    <row r="54" spans="2:6" x14ac:dyDescent="0.25">
      <c r="B54" s="86" t="s">
        <v>164</v>
      </c>
      <c r="C54" s="87"/>
      <c r="D54" s="87"/>
      <c r="E54" s="87"/>
      <c r="F54" s="88"/>
    </row>
    <row r="55" spans="2:6" x14ac:dyDescent="0.25">
      <c r="B55" t="s">
        <v>165</v>
      </c>
      <c r="C55">
        <v>3.8</v>
      </c>
      <c r="D55" t="s">
        <v>30</v>
      </c>
    </row>
    <row r="56" spans="2:6" x14ac:dyDescent="0.25">
      <c r="B56" s="89" t="s">
        <v>155</v>
      </c>
      <c r="C56" s="89"/>
      <c r="D56" s="89" t="str">
        <f>"1:2:3"</f>
        <v>1:2:3</v>
      </c>
      <c r="E56" s="89"/>
      <c r="F56" s="89"/>
    </row>
    <row r="57" spans="2:6" x14ac:dyDescent="0.25">
      <c r="B57" t="s">
        <v>29</v>
      </c>
      <c r="C57">
        <v>350</v>
      </c>
      <c r="D57" t="s">
        <v>63</v>
      </c>
      <c r="E57">
        <f>C57/50</f>
        <v>7</v>
      </c>
      <c r="F57" t="s">
        <v>166</v>
      </c>
    </row>
    <row r="58" spans="2:6" x14ac:dyDescent="0.25">
      <c r="B58" t="s">
        <v>98</v>
      </c>
      <c r="C58">
        <v>0.56000000000000005</v>
      </c>
      <c r="D58" t="s">
        <v>30</v>
      </c>
    </row>
    <row r="59" spans="2:6" x14ac:dyDescent="0.25">
      <c r="B59" t="s">
        <v>105</v>
      </c>
      <c r="C59">
        <v>0.84</v>
      </c>
      <c r="D59" t="s">
        <v>30</v>
      </c>
    </row>
    <row r="60" spans="2:6" x14ac:dyDescent="0.25">
      <c r="B60" s="48" t="s">
        <v>29</v>
      </c>
      <c r="C60" s="48">
        <f>(C55*C57)*1.05</f>
        <v>1396.5</v>
      </c>
      <c r="D60" s="48" t="s">
        <v>63</v>
      </c>
      <c r="E60" s="48">
        <f>C60/50</f>
        <v>27.93</v>
      </c>
      <c r="F60" s="48" t="s">
        <v>166</v>
      </c>
    </row>
    <row r="61" spans="2:6" x14ac:dyDescent="0.25">
      <c r="B61" s="48" t="s">
        <v>98</v>
      </c>
      <c r="C61" s="48">
        <f>(C55*C58)*1.05</f>
        <v>2.2344000000000004</v>
      </c>
      <c r="D61" s="48" t="s">
        <v>30</v>
      </c>
      <c r="E61" s="49"/>
      <c r="F61" s="49"/>
    </row>
    <row r="62" spans="2:6" x14ac:dyDescent="0.25">
      <c r="B62" s="48" t="s">
        <v>105</v>
      </c>
      <c r="C62" s="48">
        <f>(C59*C55)*1.05</f>
        <v>3.3515999999999999</v>
      </c>
      <c r="D62" s="48" t="s">
        <v>30</v>
      </c>
      <c r="E62" s="49"/>
      <c r="F62" s="49"/>
    </row>
    <row r="66" spans="2:10" x14ac:dyDescent="0.25">
      <c r="B66" s="86" t="s">
        <v>171</v>
      </c>
      <c r="C66" s="87"/>
      <c r="D66" s="87"/>
      <c r="E66" s="87"/>
      <c r="F66" s="88"/>
    </row>
    <row r="67" spans="2:10" x14ac:dyDescent="0.25">
      <c r="B67" t="s">
        <v>165</v>
      </c>
      <c r="C67">
        <v>0.65</v>
      </c>
      <c r="D67" t="s">
        <v>30</v>
      </c>
    </row>
    <row r="68" spans="2:10" x14ac:dyDescent="0.25">
      <c r="B68" s="89" t="s">
        <v>155</v>
      </c>
      <c r="C68" s="89"/>
      <c r="D68" s="89" t="str">
        <f>"1:2:4"</f>
        <v>1:2:4</v>
      </c>
      <c r="E68" s="89"/>
      <c r="F68" s="89"/>
    </row>
    <row r="69" spans="2:10" x14ac:dyDescent="0.25">
      <c r="B69" t="s">
        <v>29</v>
      </c>
      <c r="C69">
        <v>300</v>
      </c>
      <c r="D69" t="s">
        <v>63</v>
      </c>
      <c r="E69">
        <f>C69/50</f>
        <v>6</v>
      </c>
      <c r="F69" t="s">
        <v>166</v>
      </c>
    </row>
    <row r="70" spans="2:10" x14ac:dyDescent="0.25">
      <c r="B70" t="s">
        <v>98</v>
      </c>
      <c r="C70">
        <v>0.48</v>
      </c>
      <c r="D70" t="s">
        <v>30</v>
      </c>
    </row>
    <row r="71" spans="2:10" x14ac:dyDescent="0.25">
      <c r="B71" t="s">
        <v>105</v>
      </c>
      <c r="C71">
        <v>0.95</v>
      </c>
      <c r="D71" t="s">
        <v>30</v>
      </c>
    </row>
    <row r="72" spans="2:10" x14ac:dyDescent="0.25">
      <c r="B72" s="48" t="s">
        <v>29</v>
      </c>
      <c r="C72" s="48">
        <f>(C67*C69)*1.05</f>
        <v>204.75</v>
      </c>
      <c r="D72" s="48" t="s">
        <v>63</v>
      </c>
      <c r="E72" s="48">
        <f>C72/50</f>
        <v>4.0949999999999998</v>
      </c>
      <c r="F72" s="48" t="s">
        <v>166</v>
      </c>
    </row>
    <row r="73" spans="2:10" x14ac:dyDescent="0.25">
      <c r="B73" s="48" t="s">
        <v>98</v>
      </c>
      <c r="C73" s="48">
        <f>(C67*C70)*1.05</f>
        <v>0.3276</v>
      </c>
      <c r="D73" s="48" t="s">
        <v>30</v>
      </c>
      <c r="E73" s="49"/>
      <c r="F73" s="49"/>
    </row>
    <row r="74" spans="2:10" x14ac:dyDescent="0.25">
      <c r="B74" s="48" t="s">
        <v>105</v>
      </c>
      <c r="C74" s="48">
        <f>(C71*C67)*1.05</f>
        <v>0.64837499999999992</v>
      </c>
      <c r="D74" s="48" t="s">
        <v>30</v>
      </c>
      <c r="E74" s="49"/>
      <c r="F74" s="49"/>
    </row>
    <row r="77" spans="2:10" x14ac:dyDescent="0.25">
      <c r="I77" t="s">
        <v>14</v>
      </c>
      <c r="J77" t="s">
        <v>30</v>
      </c>
    </row>
    <row r="78" spans="2:10" x14ac:dyDescent="0.25">
      <c r="B78" s="86" t="s">
        <v>284</v>
      </c>
      <c r="C78" s="87"/>
      <c r="D78" s="87"/>
      <c r="E78" s="87"/>
      <c r="F78" s="88"/>
      <c r="H78" t="s">
        <v>285</v>
      </c>
      <c r="I78">
        <f>(42*0.2)</f>
        <v>8.4</v>
      </c>
      <c r="J78">
        <f>I78*0.05</f>
        <v>0.42000000000000004</v>
      </c>
    </row>
    <row r="79" spans="2:10" x14ac:dyDescent="0.25">
      <c r="B79" t="s">
        <v>165</v>
      </c>
      <c r="C79">
        <v>0.6</v>
      </c>
      <c r="D79" t="s">
        <v>30</v>
      </c>
      <c r="H79" t="s">
        <v>286</v>
      </c>
      <c r="I79">
        <f>12*0.1</f>
        <v>1.2000000000000002</v>
      </c>
      <c r="J79">
        <f>I79*0.05</f>
        <v>6.0000000000000012E-2</v>
      </c>
    </row>
    <row r="80" spans="2:10" x14ac:dyDescent="0.25">
      <c r="B80" s="89" t="s">
        <v>155</v>
      </c>
      <c r="C80" s="89"/>
      <c r="D80" s="89" t="str">
        <f>"1:3:6"</f>
        <v>1:3:6</v>
      </c>
      <c r="E80" s="89"/>
      <c r="F80" s="89"/>
      <c r="H80" t="s">
        <v>287</v>
      </c>
      <c r="I80">
        <f>0.9</f>
        <v>0.9</v>
      </c>
      <c r="J80">
        <f>I80*0.05</f>
        <v>4.5000000000000005E-2</v>
      </c>
    </row>
    <row r="81" spans="2:10" x14ac:dyDescent="0.25">
      <c r="B81" t="s">
        <v>29</v>
      </c>
      <c r="C81">
        <v>210</v>
      </c>
      <c r="D81" t="s">
        <v>63</v>
      </c>
      <c r="E81">
        <f>C81/50</f>
        <v>4.2</v>
      </c>
      <c r="F81" t="s">
        <v>166</v>
      </c>
      <c r="J81" s="49">
        <f>J78+J79+J80</f>
        <v>0.52500000000000002</v>
      </c>
    </row>
    <row r="82" spans="2:10" x14ac:dyDescent="0.25">
      <c r="B82" t="s">
        <v>98</v>
      </c>
      <c r="C82">
        <v>0.5</v>
      </c>
      <c r="D82" t="s">
        <v>30</v>
      </c>
    </row>
    <row r="83" spans="2:10" x14ac:dyDescent="0.25">
      <c r="B83" t="s">
        <v>105</v>
      </c>
      <c r="C83">
        <v>1</v>
      </c>
      <c r="D83" t="s">
        <v>30</v>
      </c>
    </row>
    <row r="84" spans="2:10" x14ac:dyDescent="0.25">
      <c r="B84" s="48" t="s">
        <v>29</v>
      </c>
      <c r="C84" s="48">
        <f>(C79*C81)*1.05</f>
        <v>132.30000000000001</v>
      </c>
      <c r="D84" s="48" t="s">
        <v>63</v>
      </c>
      <c r="E84" s="48">
        <f>C84/50</f>
        <v>2.6460000000000004</v>
      </c>
      <c r="F84" s="48" t="s">
        <v>166</v>
      </c>
    </row>
    <row r="85" spans="2:10" x14ac:dyDescent="0.25">
      <c r="B85" s="48" t="s">
        <v>98</v>
      </c>
      <c r="C85" s="48">
        <f>(C79*C82)*1.05</f>
        <v>0.315</v>
      </c>
      <c r="D85" s="48" t="s">
        <v>30</v>
      </c>
      <c r="E85" s="49"/>
      <c r="F85" s="49"/>
    </row>
    <row r="86" spans="2:10" x14ac:dyDescent="0.25">
      <c r="B86" s="48" t="s">
        <v>105</v>
      </c>
      <c r="C86" s="48">
        <f>(C83*C79)*1.05</f>
        <v>0.63</v>
      </c>
      <c r="D86" s="48" t="s">
        <v>30</v>
      </c>
      <c r="E86" s="49"/>
      <c r="F86" s="49"/>
    </row>
    <row r="90" spans="2:10" x14ac:dyDescent="0.25">
      <c r="B90" s="86" t="s">
        <v>37</v>
      </c>
      <c r="C90" s="87"/>
      <c r="D90" s="87"/>
      <c r="E90" s="87"/>
      <c r="F90" s="88"/>
    </row>
    <row r="91" spans="2:10" x14ac:dyDescent="0.25">
      <c r="B91" t="s">
        <v>174</v>
      </c>
      <c r="C91">
        <v>66.3</v>
      </c>
      <c r="D91" t="s">
        <v>14</v>
      </c>
    </row>
    <row r="92" spans="2:10" x14ac:dyDescent="0.25">
      <c r="B92" t="s">
        <v>175</v>
      </c>
      <c r="C92">
        <v>1.4999999999999999E-2</v>
      </c>
      <c r="D92" t="s">
        <v>176</v>
      </c>
    </row>
    <row r="93" spans="2:10" x14ac:dyDescent="0.25">
      <c r="B93" t="s">
        <v>154</v>
      </c>
      <c r="C93">
        <f>C91*C92</f>
        <v>0.99449999999999994</v>
      </c>
      <c r="D93" t="s">
        <v>30</v>
      </c>
    </row>
    <row r="94" spans="2:10" x14ac:dyDescent="0.25">
      <c r="B94" s="89" t="s">
        <v>155</v>
      </c>
      <c r="C94" s="89"/>
      <c r="D94" s="89" t="str">
        <f>"1:3"</f>
        <v>1:3</v>
      </c>
      <c r="E94" s="89"/>
      <c r="F94" s="89"/>
    </row>
    <row r="95" spans="2:10" x14ac:dyDescent="0.25">
      <c r="B95" t="s">
        <v>157</v>
      </c>
      <c r="C95">
        <v>1.1000000000000001</v>
      </c>
      <c r="D95" t="s">
        <v>30</v>
      </c>
    </row>
    <row r="96" spans="2:10" x14ac:dyDescent="0.25">
      <c r="B96" t="s">
        <v>158</v>
      </c>
      <c r="C96">
        <v>454</v>
      </c>
      <c r="D96" t="s">
        <v>63</v>
      </c>
      <c r="E96">
        <f>C96/50</f>
        <v>9.08</v>
      </c>
      <c r="F96" t="s">
        <v>156</v>
      </c>
    </row>
    <row r="97" spans="2:16" x14ac:dyDescent="0.25">
      <c r="B97" s="48" t="s">
        <v>159</v>
      </c>
      <c r="C97" s="48">
        <f>(C93*C95)*1.05</f>
        <v>1.1486475</v>
      </c>
      <c r="D97" s="48" t="s">
        <v>30</v>
      </c>
    </row>
    <row r="98" spans="2:16" x14ac:dyDescent="0.25">
      <c r="B98" s="48" t="s">
        <v>29</v>
      </c>
      <c r="C98" s="48">
        <f>(C93*C96)*1.05</f>
        <v>474.07814999999999</v>
      </c>
      <c r="D98" s="48" t="s">
        <v>63</v>
      </c>
      <c r="E98" s="48">
        <f>C98/50</f>
        <v>9.4815629999999995</v>
      </c>
      <c r="F98" s="48" t="s">
        <v>156</v>
      </c>
    </row>
    <row r="99" spans="2:16" x14ac:dyDescent="0.25">
      <c r="B99" s="47" t="s">
        <v>162</v>
      </c>
      <c r="C99" s="47">
        <f>0.1-0.0022</f>
        <v>9.7800000000000012E-2</v>
      </c>
      <c r="D99" s="89" t="s">
        <v>30</v>
      </c>
      <c r="E99" s="89"/>
      <c r="F99" s="89"/>
    </row>
    <row r="100" spans="2:16" x14ac:dyDescent="0.25">
      <c r="B100" t="s">
        <v>160</v>
      </c>
      <c r="C100">
        <f>(C99*C95)*1.05</f>
        <v>0.11295900000000003</v>
      </c>
      <c r="D100" t="s">
        <v>30</v>
      </c>
    </row>
    <row r="101" spans="2:16" x14ac:dyDescent="0.25">
      <c r="B101" t="s">
        <v>161</v>
      </c>
      <c r="C101">
        <f>(C99*C96)*1.05</f>
        <v>46.621260000000007</v>
      </c>
      <c r="D101" t="s">
        <v>63</v>
      </c>
      <c r="E101">
        <f>C101/50</f>
        <v>0.93242520000000018</v>
      </c>
      <c r="F101" t="s">
        <v>156</v>
      </c>
    </row>
    <row r="105" spans="2:16" x14ac:dyDescent="0.25">
      <c r="B105" s="86" t="s">
        <v>297</v>
      </c>
      <c r="C105" s="87"/>
      <c r="D105" s="88"/>
    </row>
    <row r="106" spans="2:16" x14ac:dyDescent="0.25">
      <c r="B106" s="3" t="s">
        <v>292</v>
      </c>
      <c r="C106" s="3">
        <v>5.0999999999999996</v>
      </c>
      <c r="D106" s="3" t="s">
        <v>14</v>
      </c>
    </row>
    <row r="107" spans="2:16" x14ac:dyDescent="0.25">
      <c r="B107" s="3" t="s">
        <v>217</v>
      </c>
      <c r="C107" s="3">
        <v>13.32</v>
      </c>
      <c r="D107" s="3" t="s">
        <v>14</v>
      </c>
    </row>
    <row r="108" spans="2:16" x14ac:dyDescent="0.25">
      <c r="B108" s="3" t="s">
        <v>293</v>
      </c>
      <c r="C108" s="3">
        <v>3.42</v>
      </c>
      <c r="D108" s="3" t="s">
        <v>14</v>
      </c>
    </row>
    <row r="109" spans="2:16" x14ac:dyDescent="0.25">
      <c r="B109" s="3" t="s">
        <v>294</v>
      </c>
      <c r="C109" s="38">
        <f>(C107/C106)+1</f>
        <v>3.611764705882353</v>
      </c>
      <c r="D109" s="3" t="s">
        <v>15</v>
      </c>
    </row>
    <row r="112" spans="2:16" x14ac:dyDescent="0.25">
      <c r="P112" t="s">
        <v>50</v>
      </c>
    </row>
  </sheetData>
  <mergeCells count="18">
    <mergeCell ref="B105:D105"/>
    <mergeCell ref="D99:F99"/>
    <mergeCell ref="B56:C56"/>
    <mergeCell ref="D56:F56"/>
    <mergeCell ref="B66:F66"/>
    <mergeCell ref="B68:C68"/>
    <mergeCell ref="D68:F68"/>
    <mergeCell ref="B78:F78"/>
    <mergeCell ref="B80:C80"/>
    <mergeCell ref="D80:F80"/>
    <mergeCell ref="B90:F90"/>
    <mergeCell ref="B94:C94"/>
    <mergeCell ref="D94:F94"/>
    <mergeCell ref="B38:F38"/>
    <mergeCell ref="D43:F43"/>
    <mergeCell ref="B43:C43"/>
    <mergeCell ref="D48:F48"/>
    <mergeCell ref="B54:F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7DC70-DA38-454C-8411-DAE3B3219926}">
  <sheetPr>
    <tabColor theme="5" tint="0.39997558519241921"/>
  </sheetPr>
  <dimension ref="B2:F40"/>
  <sheetViews>
    <sheetView workbookViewId="0">
      <selection activeCell="C8" sqref="C8"/>
    </sheetView>
  </sheetViews>
  <sheetFormatPr baseColWidth="10" defaultRowHeight="15" x14ac:dyDescent="0.25"/>
  <cols>
    <col min="2" max="2" width="45.7109375" customWidth="1"/>
    <col min="5" max="5" width="11.5703125" bestFit="1" customWidth="1"/>
    <col min="6" max="6" width="13.140625" bestFit="1" customWidth="1"/>
  </cols>
  <sheetData>
    <row r="2" spans="2:6" x14ac:dyDescent="0.25">
      <c r="B2" s="86" t="s">
        <v>278</v>
      </c>
      <c r="C2" s="87"/>
      <c r="D2" s="87"/>
      <c r="E2" s="87"/>
      <c r="F2" s="88"/>
    </row>
    <row r="3" spans="2:6" x14ac:dyDescent="0.25">
      <c r="B3" s="37" t="s">
        <v>253</v>
      </c>
      <c r="C3" s="3" t="s">
        <v>90</v>
      </c>
      <c r="D3" s="3">
        <v>1</v>
      </c>
      <c r="E3" s="64">
        <v>20000</v>
      </c>
      <c r="F3" s="64">
        <f>D3*E3</f>
        <v>20000</v>
      </c>
    </row>
    <row r="4" spans="2:6" x14ac:dyDescent="0.25">
      <c r="B4" s="37" t="s">
        <v>88</v>
      </c>
      <c r="C4" s="3" t="s">
        <v>15</v>
      </c>
      <c r="D4" s="3">
        <v>9</v>
      </c>
      <c r="E4" s="64">
        <v>3000</v>
      </c>
      <c r="F4" s="64">
        <f t="shared" ref="F4:F24" si="0">D4*E4</f>
        <v>27000</v>
      </c>
    </row>
    <row r="5" spans="2:6" x14ac:dyDescent="0.25">
      <c r="B5" s="37" t="s">
        <v>254</v>
      </c>
      <c r="C5" s="3" t="s">
        <v>15</v>
      </c>
      <c r="D5" s="3">
        <v>1</v>
      </c>
      <c r="E5" s="64">
        <v>6000</v>
      </c>
      <c r="F5" s="64">
        <f t="shared" si="0"/>
        <v>6000</v>
      </c>
    </row>
    <row r="6" spans="2:6" x14ac:dyDescent="0.25">
      <c r="B6" s="37" t="s">
        <v>29</v>
      </c>
      <c r="C6" s="3" t="s">
        <v>100</v>
      </c>
      <c r="D6" s="3">
        <v>70</v>
      </c>
      <c r="E6" s="64">
        <v>38000</v>
      </c>
      <c r="F6" s="64">
        <f t="shared" si="0"/>
        <v>2660000</v>
      </c>
    </row>
    <row r="7" spans="2:6" x14ac:dyDescent="0.25">
      <c r="B7" s="37" t="s">
        <v>159</v>
      </c>
      <c r="C7" s="3" t="s">
        <v>30</v>
      </c>
      <c r="D7" s="3">
        <v>8</v>
      </c>
      <c r="E7" s="64">
        <v>114286</v>
      </c>
      <c r="F7" s="64">
        <f t="shared" si="0"/>
        <v>914288</v>
      </c>
    </row>
    <row r="8" spans="2:6" x14ac:dyDescent="0.25">
      <c r="B8" s="37" t="s">
        <v>105</v>
      </c>
      <c r="C8" s="3" t="s">
        <v>30</v>
      </c>
      <c r="D8" s="3">
        <v>5</v>
      </c>
      <c r="E8" s="64">
        <v>116667</v>
      </c>
      <c r="F8" s="64">
        <f t="shared" si="0"/>
        <v>583335</v>
      </c>
    </row>
    <row r="9" spans="2:6" x14ac:dyDescent="0.25">
      <c r="B9" s="37" t="s">
        <v>97</v>
      </c>
      <c r="C9" s="3" t="s">
        <v>30</v>
      </c>
      <c r="D9" s="3">
        <v>0.5</v>
      </c>
      <c r="E9" s="64">
        <v>110000</v>
      </c>
      <c r="F9" s="64">
        <f t="shared" si="0"/>
        <v>55000</v>
      </c>
    </row>
    <row r="10" spans="2:6" x14ac:dyDescent="0.25">
      <c r="B10" s="37" t="s">
        <v>255</v>
      </c>
      <c r="C10" s="3" t="s">
        <v>15</v>
      </c>
      <c r="D10" s="3">
        <v>10</v>
      </c>
      <c r="E10" s="64">
        <v>15000</v>
      </c>
      <c r="F10" s="64">
        <f t="shared" si="0"/>
        <v>150000</v>
      </c>
    </row>
    <row r="11" spans="2:6" x14ac:dyDescent="0.25">
      <c r="B11" s="37" t="s">
        <v>295</v>
      </c>
      <c r="C11" s="3" t="s">
        <v>296</v>
      </c>
      <c r="D11" s="3">
        <v>3</v>
      </c>
      <c r="E11" s="64">
        <v>6500</v>
      </c>
      <c r="F11" s="64">
        <f t="shared" si="0"/>
        <v>19500</v>
      </c>
    </row>
    <row r="12" spans="2:6" x14ac:dyDescent="0.25">
      <c r="B12" s="37" t="s">
        <v>256</v>
      </c>
      <c r="C12" s="3" t="s">
        <v>15</v>
      </c>
      <c r="D12" s="38">
        <f>'Amarres y cantidades'!C39*45</f>
        <v>1319.5350000000001</v>
      </c>
      <c r="E12" s="64">
        <v>800</v>
      </c>
      <c r="F12" s="64">
        <f t="shared" si="0"/>
        <v>1055628</v>
      </c>
    </row>
    <row r="13" spans="2:6" x14ac:dyDescent="0.25">
      <c r="B13" s="37" t="s">
        <v>257</v>
      </c>
      <c r="C13" s="3" t="s">
        <v>181</v>
      </c>
      <c r="D13" s="3">
        <v>7</v>
      </c>
      <c r="E13" s="64">
        <v>90000</v>
      </c>
      <c r="F13" s="64">
        <f t="shared" si="0"/>
        <v>630000</v>
      </c>
    </row>
    <row r="14" spans="2:6" x14ac:dyDescent="0.25">
      <c r="B14" s="37" t="s">
        <v>180</v>
      </c>
      <c r="C14" s="3" t="s">
        <v>15</v>
      </c>
      <c r="D14" s="3">
        <v>10</v>
      </c>
      <c r="E14" s="64">
        <v>1700</v>
      </c>
      <c r="F14" s="64">
        <f t="shared" si="0"/>
        <v>17000</v>
      </c>
    </row>
    <row r="15" spans="2:6" x14ac:dyDescent="0.25">
      <c r="B15" s="37" t="s">
        <v>258</v>
      </c>
      <c r="C15" s="3" t="s">
        <v>15</v>
      </c>
      <c r="D15" s="3">
        <v>3</v>
      </c>
      <c r="E15" s="64">
        <v>16000</v>
      </c>
      <c r="F15" s="64">
        <f t="shared" si="0"/>
        <v>48000</v>
      </c>
    </row>
    <row r="16" spans="2:6" x14ac:dyDescent="0.25">
      <c r="B16" s="37" t="s">
        <v>259</v>
      </c>
      <c r="C16" s="3" t="s">
        <v>15</v>
      </c>
      <c r="D16" s="3">
        <v>3</v>
      </c>
      <c r="E16" s="64">
        <v>2000</v>
      </c>
      <c r="F16" s="64">
        <f t="shared" si="0"/>
        <v>6000</v>
      </c>
    </row>
    <row r="17" spans="2:6" x14ac:dyDescent="0.25">
      <c r="B17" s="37" t="s">
        <v>260</v>
      </c>
      <c r="C17" s="3" t="s">
        <v>15</v>
      </c>
      <c r="D17" s="3">
        <v>4</v>
      </c>
      <c r="E17" s="64">
        <v>30000</v>
      </c>
      <c r="F17" s="64">
        <f t="shared" si="0"/>
        <v>120000</v>
      </c>
    </row>
    <row r="18" spans="2:6" x14ac:dyDescent="0.25">
      <c r="B18" s="37" t="s">
        <v>261</v>
      </c>
      <c r="C18" s="3" t="s">
        <v>15</v>
      </c>
      <c r="D18" s="3">
        <v>11</v>
      </c>
      <c r="E18" s="64">
        <v>60000</v>
      </c>
      <c r="F18" s="64">
        <f t="shared" si="0"/>
        <v>660000</v>
      </c>
    </row>
    <row r="19" spans="2:6" x14ac:dyDescent="0.25">
      <c r="B19" s="37" t="s">
        <v>189</v>
      </c>
      <c r="C19" s="3" t="s">
        <v>15</v>
      </c>
      <c r="D19" s="3">
        <v>42</v>
      </c>
      <c r="E19" s="64">
        <v>4000</v>
      </c>
      <c r="F19" s="64">
        <f t="shared" si="0"/>
        <v>168000</v>
      </c>
    </row>
    <row r="20" spans="2:6" x14ac:dyDescent="0.25">
      <c r="B20" s="37" t="s">
        <v>262</v>
      </c>
      <c r="C20" s="3" t="s">
        <v>274</v>
      </c>
      <c r="D20" s="3">
        <v>10</v>
      </c>
      <c r="E20" s="64">
        <v>6000</v>
      </c>
      <c r="F20" s="64">
        <f t="shared" si="0"/>
        <v>60000</v>
      </c>
    </row>
    <row r="21" spans="2:6" x14ac:dyDescent="0.25">
      <c r="B21" s="37" t="s">
        <v>300</v>
      </c>
      <c r="C21" s="3" t="s">
        <v>15</v>
      </c>
      <c r="D21" s="3">
        <v>17</v>
      </c>
      <c r="E21" s="64">
        <v>52000</v>
      </c>
      <c r="F21" s="64">
        <f t="shared" si="0"/>
        <v>884000</v>
      </c>
    </row>
    <row r="22" spans="2:6" x14ac:dyDescent="0.25">
      <c r="B22" s="37" t="s">
        <v>283</v>
      </c>
      <c r="C22" s="3" t="s">
        <v>15</v>
      </c>
      <c r="D22" s="3">
        <v>75</v>
      </c>
      <c r="E22" s="64">
        <v>16000</v>
      </c>
      <c r="F22" s="64">
        <f t="shared" si="0"/>
        <v>1200000</v>
      </c>
    </row>
    <row r="23" spans="2:6" x14ac:dyDescent="0.25">
      <c r="B23" s="37" t="s">
        <v>263</v>
      </c>
      <c r="C23" s="3" t="s">
        <v>63</v>
      </c>
      <c r="D23" s="3">
        <v>70</v>
      </c>
      <c r="E23" s="64">
        <v>5300</v>
      </c>
      <c r="F23" s="64">
        <f t="shared" si="0"/>
        <v>371000</v>
      </c>
    </row>
    <row r="24" spans="2:6" x14ac:dyDescent="0.25">
      <c r="B24" s="37" t="s">
        <v>264</v>
      </c>
      <c r="C24" s="3" t="s">
        <v>63</v>
      </c>
      <c r="D24" s="3">
        <v>4</v>
      </c>
      <c r="E24" s="64">
        <v>7000</v>
      </c>
      <c r="F24" s="64">
        <f t="shared" si="0"/>
        <v>28000</v>
      </c>
    </row>
    <row r="25" spans="2:6" x14ac:dyDescent="0.25">
      <c r="B25" s="37" t="s">
        <v>267</v>
      </c>
      <c r="C25" s="3" t="s">
        <v>15</v>
      </c>
      <c r="D25" s="3">
        <v>4</v>
      </c>
      <c r="E25" s="64">
        <v>110000</v>
      </c>
      <c r="F25" s="64">
        <f t="shared" ref="F25:F32" si="1">D25*E25</f>
        <v>440000</v>
      </c>
    </row>
    <row r="26" spans="2:6" x14ac:dyDescent="0.25">
      <c r="B26" s="37" t="s">
        <v>268</v>
      </c>
      <c r="C26" s="3" t="s">
        <v>288</v>
      </c>
      <c r="D26" s="3">
        <v>1</v>
      </c>
      <c r="E26" s="64">
        <v>58000</v>
      </c>
      <c r="F26" s="64">
        <f t="shared" si="1"/>
        <v>58000</v>
      </c>
    </row>
    <row r="27" spans="2:6" x14ac:dyDescent="0.25">
      <c r="B27" s="37" t="s">
        <v>208</v>
      </c>
      <c r="C27" s="3" t="s">
        <v>274</v>
      </c>
      <c r="D27" s="3">
        <v>1</v>
      </c>
      <c r="E27" s="64">
        <v>30000</v>
      </c>
      <c r="F27" s="64">
        <f t="shared" si="1"/>
        <v>30000</v>
      </c>
    </row>
    <row r="28" spans="2:6" x14ac:dyDescent="0.25">
      <c r="B28" s="37" t="s">
        <v>269</v>
      </c>
      <c r="C28" s="3" t="s">
        <v>15</v>
      </c>
      <c r="D28" s="3">
        <v>1</v>
      </c>
      <c r="E28" s="64">
        <v>58000</v>
      </c>
      <c r="F28" s="64">
        <f t="shared" si="1"/>
        <v>58000</v>
      </c>
    </row>
    <row r="29" spans="2:6" x14ac:dyDescent="0.25">
      <c r="B29" s="37" t="s">
        <v>270</v>
      </c>
      <c r="C29" s="3" t="s">
        <v>15</v>
      </c>
      <c r="D29" s="3">
        <v>4</v>
      </c>
      <c r="E29" s="64">
        <v>3000</v>
      </c>
      <c r="F29" s="64">
        <f t="shared" si="1"/>
        <v>12000</v>
      </c>
    </row>
    <row r="30" spans="2:6" x14ac:dyDescent="0.25">
      <c r="B30" s="37" t="s">
        <v>271</v>
      </c>
      <c r="C30" s="3" t="s">
        <v>15</v>
      </c>
      <c r="D30" s="3">
        <v>2</v>
      </c>
      <c r="E30" s="64">
        <v>7500</v>
      </c>
      <c r="F30" s="64">
        <f t="shared" si="1"/>
        <v>15000</v>
      </c>
    </row>
    <row r="31" spans="2:6" x14ac:dyDescent="0.25">
      <c r="B31" s="37" t="s">
        <v>272</v>
      </c>
      <c r="C31" s="3" t="s">
        <v>15</v>
      </c>
      <c r="D31" s="3">
        <v>1</v>
      </c>
      <c r="E31" s="64">
        <v>20000</v>
      </c>
      <c r="F31" s="64">
        <f t="shared" si="1"/>
        <v>20000</v>
      </c>
    </row>
    <row r="32" spans="2:6" x14ac:dyDescent="0.25">
      <c r="B32" s="37" t="s">
        <v>273</v>
      </c>
      <c r="C32" s="3" t="s">
        <v>15</v>
      </c>
      <c r="D32" s="3">
        <v>2</v>
      </c>
      <c r="E32" s="64">
        <v>10000</v>
      </c>
      <c r="F32" s="64">
        <f t="shared" si="1"/>
        <v>20000</v>
      </c>
    </row>
    <row r="33" spans="2:6" x14ac:dyDescent="0.25">
      <c r="B33" s="37" t="s">
        <v>276</v>
      </c>
      <c r="C33" s="3" t="s">
        <v>15</v>
      </c>
      <c r="D33" s="3">
        <v>3</v>
      </c>
      <c r="E33" s="72">
        <v>95000</v>
      </c>
      <c r="F33" s="64">
        <f t="shared" ref="F33:F39" si="2">D33*E33</f>
        <v>285000</v>
      </c>
    </row>
    <row r="34" spans="2:6" x14ac:dyDescent="0.25">
      <c r="B34" s="37" t="s">
        <v>277</v>
      </c>
      <c r="C34" s="3" t="s">
        <v>15</v>
      </c>
      <c r="D34" s="3">
        <v>2</v>
      </c>
      <c r="E34" s="64">
        <v>10000</v>
      </c>
      <c r="F34" s="64">
        <f t="shared" si="2"/>
        <v>20000</v>
      </c>
    </row>
    <row r="35" spans="2:6" x14ac:dyDescent="0.25">
      <c r="B35" s="37" t="s">
        <v>194</v>
      </c>
      <c r="C35" s="3" t="s">
        <v>15</v>
      </c>
      <c r="D35" s="3">
        <v>15</v>
      </c>
      <c r="E35" s="64">
        <v>110000</v>
      </c>
      <c r="F35" s="64">
        <f t="shared" si="2"/>
        <v>1650000</v>
      </c>
    </row>
    <row r="36" spans="2:6" x14ac:dyDescent="0.25">
      <c r="B36" s="37" t="s">
        <v>195</v>
      </c>
      <c r="C36" s="3" t="s">
        <v>15</v>
      </c>
      <c r="D36" s="3">
        <v>5</v>
      </c>
      <c r="E36" s="64">
        <v>120000</v>
      </c>
      <c r="F36" s="64">
        <f t="shared" si="2"/>
        <v>600000</v>
      </c>
    </row>
    <row r="37" spans="2:6" x14ac:dyDescent="0.25">
      <c r="B37" s="37" t="s">
        <v>196</v>
      </c>
      <c r="C37" s="3" t="s">
        <v>14</v>
      </c>
      <c r="D37" s="3">
        <v>65</v>
      </c>
      <c r="E37" s="64">
        <v>20000</v>
      </c>
      <c r="F37" s="64">
        <f t="shared" si="2"/>
        <v>1300000</v>
      </c>
    </row>
    <row r="38" spans="2:6" x14ac:dyDescent="0.25">
      <c r="B38" s="37" t="s">
        <v>197</v>
      </c>
      <c r="C38" s="3" t="s">
        <v>63</v>
      </c>
      <c r="D38" s="3">
        <v>10</v>
      </c>
      <c r="E38" s="64">
        <v>15000</v>
      </c>
      <c r="F38" s="64">
        <f t="shared" si="2"/>
        <v>150000</v>
      </c>
    </row>
    <row r="39" spans="2:6" x14ac:dyDescent="0.25">
      <c r="B39" s="37" t="s">
        <v>275</v>
      </c>
      <c r="C39" s="3" t="s">
        <v>14</v>
      </c>
      <c r="D39" s="3">
        <v>11.5</v>
      </c>
      <c r="E39" s="72">
        <v>110000</v>
      </c>
      <c r="F39" s="64">
        <f t="shared" si="2"/>
        <v>1265000</v>
      </c>
    </row>
    <row r="40" spans="2:6" x14ac:dyDescent="0.25">
      <c r="C40" s="90" t="s">
        <v>13</v>
      </c>
      <c r="D40" s="91"/>
      <c r="E40" s="92"/>
      <c r="F40" s="71">
        <f>SUM(F3:F39)</f>
        <v>15605751</v>
      </c>
    </row>
  </sheetData>
  <mergeCells count="2">
    <mergeCell ref="B2:F2"/>
    <mergeCell ref="C40:E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</vt:lpstr>
      <vt:lpstr>APU</vt:lpstr>
      <vt:lpstr>Amarres y cantidades</vt:lpstr>
      <vt:lpstr>Cantidades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PLANEACIÓN Y OBRAS</dc:creator>
  <cp:lastModifiedBy>Alcaldia La Llanada</cp:lastModifiedBy>
  <cp:lastPrinted>2024-06-14T21:39:10Z</cp:lastPrinted>
  <dcterms:created xsi:type="dcterms:W3CDTF">2024-05-14T13:22:39Z</dcterms:created>
  <dcterms:modified xsi:type="dcterms:W3CDTF">2024-08-23T21:57:14Z</dcterms:modified>
</cp:coreProperties>
</file>