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tables/table2.xml" ContentType="application/vnd.openxmlformats-officedocument.spreadsheetml.table+xml"/>
  <Override PartName="/xl/comments2.xml" ContentType="application/vnd.openxmlformats-officedocument.spreadsheetml.comments+xml"/>
  <Override PartName="/xl/threadedComments/threadedComment2.xml" ContentType="application/vnd.ms-excel.threadedcomments+xml"/>
  <Override PartName="/xl/pivotTables/pivotTable3.xml" ContentType="application/vnd.openxmlformats-officedocument.spreadsheetml.pivotTable+xml"/>
  <Override PartName="/xl/tables/table3.xml" ContentType="application/vnd.openxmlformats-officedocument.spreadsheetml.table+xml"/>
  <Override PartName="/xl/tables/table4.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mc:AlternateContent xmlns:mc="http://schemas.openxmlformats.org/markup-compatibility/2006">
    <mc:Choice Requires="x15">
      <x15ac:absPath xmlns:x15ac="http://schemas.microsoft.com/office/spreadsheetml/2010/11/ac" url="C:\Users\daniel.romero\Downloads\"/>
    </mc:Choice>
  </mc:AlternateContent>
  <xr:revisionPtr revIDLastSave="0" documentId="13_ncr:1_{7B908FBC-5D8F-4553-82B4-3793476A2488}" xr6:coauthVersionLast="47" xr6:coauthVersionMax="47" xr10:uidLastSave="{00000000-0000-0000-0000-000000000000}"/>
  <bookViews>
    <workbookView xWindow="-120" yWindow="-120" windowWidth="20730" windowHeight="11040" firstSheet="2" activeTab="2" xr2:uid="{00000000-000D-0000-FFFF-FFFF00000000}"/>
  </bookViews>
  <sheets>
    <sheet name="Reactivos resumen" sheetId="12" state="hidden" r:id="rId1"/>
    <sheet name="Resumen elementos" sheetId="14" state="hidden" r:id="rId2"/>
    <sheet name="Distri_Reactivos" sheetId="9" r:id="rId3"/>
    <sheet name="Distrib_Elementos" sheetId="8" r:id="rId4"/>
    <sheet name="Resumen equipos" sheetId="15" state="hidden" r:id="rId5"/>
    <sheet name="Equipos" sheetId="11" state="hidden" r:id="rId6"/>
  </sheets>
  <definedNames>
    <definedName name="_xlnm._FilterDatabase" localSheetId="2" hidden="1">Distri_Reactivos!$A$2:$C$731</definedName>
    <definedName name="_xlnm._FilterDatabase" localSheetId="3" hidden="1">Distrib_Elementos!$A$2:$B$514</definedName>
    <definedName name="_xlnm._FilterDatabase" localSheetId="5" hidden="1">Equipos!$A$2:$AD$2</definedName>
    <definedName name="Elementos">Distrib_Elementos!$D$1:$H$514</definedName>
  </definedNames>
  <calcPr calcId="191028"/>
  <pivotCaches>
    <pivotCache cacheId="3" r:id="rId7"/>
    <pivotCache cacheId="4" r:id="rId8"/>
    <pivotCache cacheId="5" r:id="rId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1" i="9" l="1"/>
  <c r="B514" i="8" l="1"/>
  <c r="A514" i="8" s="1"/>
  <c r="B513" i="8"/>
  <c r="A513" i="8" s="1"/>
  <c r="B512" i="8"/>
  <c r="A512" i="8" s="1"/>
  <c r="B511" i="8"/>
  <c r="A511" i="8" s="1"/>
  <c r="B510" i="8"/>
  <c r="A510" i="8" s="1"/>
  <c r="B509" i="8"/>
  <c r="A509" i="8" s="1"/>
  <c r="B508" i="8"/>
  <c r="A508" i="8" s="1"/>
  <c r="B507" i="8"/>
  <c r="A507" i="8" s="1"/>
  <c r="B506" i="8"/>
  <c r="A506" i="8" s="1"/>
  <c r="B505" i="8"/>
  <c r="A505" i="8" s="1"/>
  <c r="B504" i="8"/>
  <c r="A504" i="8" s="1"/>
  <c r="B503" i="8"/>
  <c r="A503" i="8" s="1"/>
  <c r="B502" i="8"/>
  <c r="A502" i="8" s="1"/>
  <c r="B501" i="8"/>
  <c r="A501" i="8" s="1"/>
  <c r="B500" i="8"/>
  <c r="A500" i="8" s="1"/>
  <c r="B499" i="8"/>
  <c r="A499" i="8" s="1"/>
  <c r="B498" i="8"/>
  <c r="A498" i="8" s="1"/>
  <c r="B497" i="8"/>
  <c r="A497" i="8" s="1"/>
  <c r="B496" i="8"/>
  <c r="A496" i="8" s="1"/>
  <c r="B495" i="8"/>
  <c r="A495" i="8" s="1"/>
  <c r="B494" i="8"/>
  <c r="A494" i="8" s="1"/>
  <c r="B493" i="8"/>
  <c r="A493" i="8" s="1"/>
  <c r="B492" i="8"/>
  <c r="A492" i="8" s="1"/>
  <c r="B491" i="8"/>
  <c r="A491" i="8" s="1"/>
  <c r="B490" i="8"/>
  <c r="A490" i="8" s="1"/>
  <c r="B489" i="8"/>
  <c r="A489" i="8" s="1"/>
  <c r="B488" i="8"/>
  <c r="A488" i="8" s="1"/>
  <c r="B487" i="8"/>
  <c r="A487" i="8" s="1"/>
  <c r="B486" i="8"/>
  <c r="A486" i="8" s="1"/>
  <c r="B485" i="8"/>
  <c r="A485" i="8" s="1"/>
  <c r="B484" i="8"/>
  <c r="A484" i="8" s="1"/>
  <c r="B483" i="8"/>
  <c r="A483" i="8" s="1"/>
  <c r="B482" i="8"/>
  <c r="A482" i="8" s="1"/>
  <c r="B481" i="8"/>
  <c r="A481" i="8" s="1"/>
  <c r="B480" i="8"/>
  <c r="A480" i="8" s="1"/>
  <c r="B479" i="8"/>
  <c r="A479" i="8" s="1"/>
  <c r="B478" i="8"/>
  <c r="A478" i="8" s="1"/>
  <c r="B477" i="8"/>
  <c r="A477" i="8" s="1"/>
  <c r="B476" i="8"/>
  <c r="A476" i="8" s="1"/>
  <c r="B475" i="8"/>
  <c r="A475" i="8" s="1"/>
  <c r="B474" i="8"/>
  <c r="A474" i="8" s="1"/>
  <c r="B473" i="8"/>
  <c r="A473" i="8" s="1"/>
  <c r="B472" i="8"/>
  <c r="A472" i="8" s="1"/>
  <c r="B471" i="8"/>
  <c r="A471" i="8" s="1"/>
  <c r="B470" i="8"/>
  <c r="A470" i="8" s="1"/>
  <c r="B469" i="8"/>
  <c r="A469" i="8" s="1"/>
  <c r="B468" i="8"/>
  <c r="A468" i="8" s="1"/>
  <c r="B467" i="8"/>
  <c r="A467" i="8" s="1"/>
  <c r="B466" i="8"/>
  <c r="A466" i="8" s="1"/>
  <c r="B465" i="8"/>
  <c r="A465" i="8" s="1"/>
  <c r="B463" i="8"/>
  <c r="A463" i="8" s="1"/>
  <c r="B462" i="8"/>
  <c r="A462" i="8" s="1"/>
  <c r="B461" i="8"/>
  <c r="A461" i="8" s="1"/>
  <c r="B460" i="8"/>
  <c r="A460" i="8" s="1"/>
  <c r="B459" i="8"/>
  <c r="A459" i="8" s="1"/>
  <c r="B458" i="8"/>
  <c r="A458" i="8" s="1"/>
  <c r="B457" i="8"/>
  <c r="A457" i="8" s="1"/>
  <c r="B456" i="8"/>
  <c r="A456" i="8" s="1"/>
  <c r="B455" i="8"/>
  <c r="A455" i="8" s="1"/>
  <c r="B454" i="8"/>
  <c r="A454" i="8" s="1"/>
  <c r="B453" i="8"/>
  <c r="A453" i="8" s="1"/>
  <c r="B452" i="8"/>
  <c r="A452" i="8" s="1"/>
  <c r="B451" i="8"/>
  <c r="A451" i="8" s="1"/>
  <c r="B450" i="8"/>
  <c r="A450" i="8" s="1"/>
  <c r="B449" i="8"/>
  <c r="A449" i="8" s="1"/>
  <c r="B448" i="8"/>
  <c r="A448" i="8" s="1"/>
  <c r="B447" i="8"/>
  <c r="A447" i="8" s="1"/>
  <c r="B446" i="8"/>
  <c r="A446" i="8" s="1"/>
  <c r="B445" i="8"/>
  <c r="A445" i="8" s="1"/>
  <c r="B444" i="8"/>
  <c r="A444" i="8" s="1"/>
  <c r="B443" i="8"/>
  <c r="A443" i="8" s="1"/>
  <c r="B442" i="8"/>
  <c r="A442" i="8" s="1"/>
  <c r="B441" i="8"/>
  <c r="A441" i="8" s="1"/>
  <c r="B440" i="8"/>
  <c r="A440" i="8" s="1"/>
  <c r="B439" i="8"/>
  <c r="A439" i="8" s="1"/>
  <c r="B438" i="8"/>
  <c r="A438" i="8" s="1"/>
  <c r="B437" i="8"/>
  <c r="A437" i="8" s="1"/>
  <c r="B436" i="8"/>
  <c r="A436" i="8" s="1"/>
  <c r="B435" i="8"/>
  <c r="A435" i="8" s="1"/>
  <c r="B434" i="8"/>
  <c r="A434" i="8" s="1"/>
  <c r="B433" i="8"/>
  <c r="A433" i="8" s="1"/>
  <c r="B432" i="8"/>
  <c r="A432" i="8" s="1"/>
  <c r="B431" i="8"/>
  <c r="A431" i="8" s="1"/>
  <c r="B430" i="8"/>
  <c r="A430" i="8" s="1"/>
  <c r="B429" i="8"/>
  <c r="A429" i="8" s="1"/>
  <c r="B428" i="8"/>
  <c r="A428" i="8" s="1"/>
  <c r="B427" i="8"/>
  <c r="A427" i="8" s="1"/>
  <c r="B426" i="8"/>
  <c r="A426" i="8" s="1"/>
  <c r="B425" i="8"/>
  <c r="A425" i="8" s="1"/>
  <c r="B424" i="8"/>
  <c r="A424" i="8" s="1"/>
  <c r="B423" i="8"/>
  <c r="A423" i="8" s="1"/>
  <c r="B422" i="8"/>
  <c r="A422" i="8" s="1"/>
  <c r="B421" i="8"/>
  <c r="A421" i="8" s="1"/>
  <c r="B420" i="8"/>
  <c r="A420" i="8" s="1"/>
  <c r="B419" i="8"/>
  <c r="A419" i="8" s="1"/>
  <c r="B418" i="8"/>
  <c r="A418" i="8" s="1"/>
  <c r="B417" i="8"/>
  <c r="A417" i="8" s="1"/>
  <c r="B416" i="8"/>
  <c r="A416" i="8" s="1"/>
  <c r="B415" i="8"/>
  <c r="A415" i="8" s="1"/>
  <c r="B414" i="8"/>
  <c r="A414" i="8" s="1"/>
  <c r="B413" i="8"/>
  <c r="A413" i="8" s="1"/>
  <c r="B412" i="8"/>
  <c r="A412" i="8" s="1"/>
  <c r="B411" i="8"/>
  <c r="A411" i="8" s="1"/>
  <c r="B410" i="8"/>
  <c r="A410" i="8" s="1"/>
  <c r="B409" i="8"/>
  <c r="A409" i="8" s="1"/>
  <c r="B408" i="8"/>
  <c r="A408" i="8" s="1"/>
  <c r="B407" i="8"/>
  <c r="A407" i="8" s="1"/>
  <c r="B406" i="8"/>
  <c r="A406" i="8" s="1"/>
  <c r="B405" i="8"/>
  <c r="A405" i="8" s="1"/>
  <c r="B404" i="8"/>
  <c r="A404" i="8" s="1"/>
  <c r="B403" i="8"/>
  <c r="A403" i="8" s="1"/>
  <c r="B402" i="8"/>
  <c r="A402" i="8" s="1"/>
  <c r="B401" i="8"/>
  <c r="A401" i="8" s="1"/>
  <c r="B400" i="8"/>
  <c r="A400" i="8" s="1"/>
  <c r="B399" i="8"/>
  <c r="A399" i="8" s="1"/>
  <c r="B398" i="8"/>
  <c r="A398" i="8" s="1"/>
  <c r="B397" i="8"/>
  <c r="A397" i="8" s="1"/>
  <c r="B396" i="8"/>
  <c r="A396" i="8" s="1"/>
  <c r="B395" i="8"/>
  <c r="A395" i="8" s="1"/>
  <c r="B394" i="8"/>
  <c r="A394" i="8" s="1"/>
  <c r="B393" i="8"/>
  <c r="A393" i="8" s="1"/>
  <c r="B392" i="8"/>
  <c r="A392" i="8" s="1"/>
  <c r="B391" i="8"/>
  <c r="A391" i="8" s="1"/>
  <c r="B390" i="8"/>
  <c r="A390" i="8" s="1"/>
  <c r="B389" i="8"/>
  <c r="A389" i="8" s="1"/>
  <c r="B388" i="8"/>
  <c r="A388" i="8" s="1"/>
  <c r="B386" i="8"/>
  <c r="A386" i="8" s="1"/>
  <c r="B385" i="8"/>
  <c r="A385" i="8" s="1"/>
  <c r="B384" i="8"/>
  <c r="A384" i="8" s="1"/>
  <c r="B383" i="8"/>
  <c r="A383" i="8" s="1"/>
  <c r="B381" i="8"/>
  <c r="A381" i="8" s="1"/>
  <c r="B380" i="8"/>
  <c r="A380" i="8" s="1"/>
  <c r="B379" i="8"/>
  <c r="A379" i="8" s="1"/>
  <c r="B378" i="8"/>
  <c r="A378" i="8" s="1"/>
  <c r="B377" i="8"/>
  <c r="A377" i="8" s="1"/>
  <c r="B376" i="8"/>
  <c r="A376" i="8" s="1"/>
  <c r="B375" i="8"/>
  <c r="A375" i="8" s="1"/>
  <c r="B374" i="8"/>
  <c r="A374" i="8" s="1"/>
  <c r="B373" i="8"/>
  <c r="A373" i="8" s="1"/>
  <c r="B372" i="8"/>
  <c r="A372" i="8" s="1"/>
  <c r="B371" i="8"/>
  <c r="A371" i="8" s="1"/>
  <c r="B370" i="8"/>
  <c r="A370" i="8" s="1"/>
  <c r="B369" i="8"/>
  <c r="A369" i="8" s="1"/>
  <c r="B368" i="8"/>
  <c r="A368" i="8" s="1"/>
  <c r="B367" i="8"/>
  <c r="A367" i="8" s="1"/>
  <c r="B366" i="8"/>
  <c r="A366" i="8" s="1"/>
  <c r="B365" i="8"/>
  <c r="A365" i="8" s="1"/>
  <c r="B364" i="8"/>
  <c r="A364" i="8" s="1"/>
  <c r="B363" i="8"/>
  <c r="A363" i="8" s="1"/>
  <c r="B362" i="8"/>
  <c r="A362" i="8" s="1"/>
  <c r="B361" i="8"/>
  <c r="A361" i="8" s="1"/>
  <c r="B360" i="8"/>
  <c r="A360" i="8" s="1"/>
  <c r="B359" i="8"/>
  <c r="A359" i="8" s="1"/>
  <c r="B358" i="8"/>
  <c r="A358" i="8" s="1"/>
  <c r="B357" i="8"/>
  <c r="A357" i="8" s="1"/>
  <c r="B356" i="8"/>
  <c r="A356" i="8" s="1"/>
  <c r="B355" i="8"/>
  <c r="A355" i="8" s="1"/>
  <c r="B354" i="8"/>
  <c r="A354" i="8" s="1"/>
  <c r="B353" i="8"/>
  <c r="A353" i="8" s="1"/>
  <c r="B352" i="8"/>
  <c r="A352" i="8" s="1"/>
  <c r="B351" i="8"/>
  <c r="A351" i="8" s="1"/>
  <c r="B350" i="8"/>
  <c r="A350" i="8" s="1"/>
  <c r="B349" i="8"/>
  <c r="A349" i="8" s="1"/>
  <c r="B348" i="8"/>
  <c r="A348" i="8" s="1"/>
  <c r="B347" i="8"/>
  <c r="A347" i="8" s="1"/>
  <c r="B346" i="8"/>
  <c r="A346" i="8" s="1"/>
  <c r="B345" i="8"/>
  <c r="A345" i="8" s="1"/>
  <c r="B344" i="8"/>
  <c r="A344" i="8" s="1"/>
  <c r="B343" i="8"/>
  <c r="A343" i="8" s="1"/>
  <c r="B342" i="8"/>
  <c r="A342" i="8" s="1"/>
  <c r="B341" i="8"/>
  <c r="A341" i="8" s="1"/>
  <c r="B340" i="8"/>
  <c r="A340" i="8" s="1"/>
  <c r="B339" i="8"/>
  <c r="A339" i="8" s="1"/>
  <c r="B337" i="8"/>
  <c r="A337" i="8" s="1"/>
  <c r="B336" i="8"/>
  <c r="A336" i="8" s="1"/>
  <c r="B335" i="8"/>
  <c r="A335" i="8" s="1"/>
  <c r="B334" i="8"/>
  <c r="A334" i="8" s="1"/>
  <c r="B333" i="8"/>
  <c r="A333" i="8" s="1"/>
  <c r="B332" i="8"/>
  <c r="A332" i="8" s="1"/>
  <c r="B331" i="8"/>
  <c r="A331" i="8" s="1"/>
  <c r="B330" i="8"/>
  <c r="A330" i="8" s="1"/>
  <c r="B329" i="8"/>
  <c r="A329" i="8" s="1"/>
  <c r="B328" i="8"/>
  <c r="A328" i="8" s="1"/>
  <c r="B327" i="8"/>
  <c r="A327" i="8" s="1"/>
  <c r="B326" i="8"/>
  <c r="A326" i="8" s="1"/>
  <c r="B325" i="8"/>
  <c r="A325" i="8" s="1"/>
  <c r="B324" i="8"/>
  <c r="A324" i="8" s="1"/>
  <c r="B323" i="8"/>
  <c r="A323" i="8" s="1"/>
  <c r="B322" i="8"/>
  <c r="A322" i="8" s="1"/>
  <c r="B321" i="8"/>
  <c r="A321" i="8" s="1"/>
  <c r="B320" i="8"/>
  <c r="A320" i="8" s="1"/>
  <c r="B319" i="8"/>
  <c r="A319" i="8" s="1"/>
  <c r="B317" i="8"/>
  <c r="A317" i="8" s="1"/>
  <c r="B316" i="8"/>
  <c r="A316" i="8" s="1"/>
  <c r="B315" i="8"/>
  <c r="A315" i="8" s="1"/>
  <c r="B314" i="8"/>
  <c r="A314" i="8" s="1"/>
  <c r="B313" i="8"/>
  <c r="A313" i="8" s="1"/>
  <c r="B312" i="8"/>
  <c r="A312" i="8" s="1"/>
  <c r="B311" i="8"/>
  <c r="A311" i="8" s="1"/>
  <c r="B310" i="8"/>
  <c r="A310" i="8" s="1"/>
  <c r="B309" i="8"/>
  <c r="A309" i="8" s="1"/>
  <c r="B308" i="8"/>
  <c r="A308" i="8" s="1"/>
  <c r="B307" i="8"/>
  <c r="A307" i="8" s="1"/>
  <c r="B306" i="8"/>
  <c r="A306" i="8" s="1"/>
  <c r="B305" i="8"/>
  <c r="A305" i="8" s="1"/>
  <c r="B304" i="8"/>
  <c r="A304" i="8" s="1"/>
  <c r="B303" i="8"/>
  <c r="A303" i="8" s="1"/>
  <c r="B302" i="8"/>
  <c r="A302" i="8" s="1"/>
  <c r="B301" i="8"/>
  <c r="A301" i="8" s="1"/>
  <c r="B300" i="8"/>
  <c r="A300" i="8" s="1"/>
  <c r="B299" i="8"/>
  <c r="A299" i="8" s="1"/>
  <c r="B298" i="8"/>
  <c r="A298" i="8" s="1"/>
  <c r="B297" i="8"/>
  <c r="A297" i="8" s="1"/>
  <c r="B296" i="8"/>
  <c r="A296" i="8" s="1"/>
  <c r="B295" i="8"/>
  <c r="A295" i="8" s="1"/>
  <c r="B294" i="8"/>
  <c r="A294" i="8" s="1"/>
  <c r="B293" i="8"/>
  <c r="A293" i="8" s="1"/>
  <c r="B292" i="8"/>
  <c r="A292" i="8" s="1"/>
  <c r="B291" i="8"/>
  <c r="A291" i="8" s="1"/>
  <c r="B290" i="8"/>
  <c r="A290" i="8" s="1"/>
  <c r="B289" i="8"/>
  <c r="A289" i="8" s="1"/>
  <c r="B288" i="8"/>
  <c r="A288" i="8" s="1"/>
  <c r="B287" i="8"/>
  <c r="A287" i="8" s="1"/>
  <c r="B286" i="8"/>
  <c r="A286" i="8" s="1"/>
  <c r="B285" i="8"/>
  <c r="A285" i="8" s="1"/>
  <c r="B284" i="8"/>
  <c r="A284" i="8" s="1"/>
  <c r="B283" i="8"/>
  <c r="A283" i="8" s="1"/>
  <c r="B282" i="8"/>
  <c r="A282" i="8" s="1"/>
  <c r="B281" i="8"/>
  <c r="A281" i="8" s="1"/>
  <c r="B280" i="8"/>
  <c r="A280" i="8" s="1"/>
  <c r="B279" i="8"/>
  <c r="A279" i="8" s="1"/>
  <c r="B278" i="8"/>
  <c r="A278" i="8" s="1"/>
  <c r="B276" i="8"/>
  <c r="A276" i="8" s="1"/>
  <c r="B275" i="8"/>
  <c r="A275" i="8" s="1"/>
  <c r="B274" i="8"/>
  <c r="A274" i="8" s="1"/>
  <c r="B273" i="8"/>
  <c r="A273" i="8" s="1"/>
  <c r="B272" i="8"/>
  <c r="A272" i="8" s="1"/>
  <c r="B271" i="8"/>
  <c r="A271" i="8" s="1"/>
  <c r="B270" i="8"/>
  <c r="A270" i="8" s="1"/>
  <c r="B269" i="8"/>
  <c r="A269" i="8" s="1"/>
  <c r="B268" i="8"/>
  <c r="A268" i="8" s="1"/>
  <c r="B267" i="8"/>
  <c r="A267" i="8" s="1"/>
  <c r="B266" i="8"/>
  <c r="A266" i="8" s="1"/>
  <c r="B265" i="8"/>
  <c r="A265" i="8" s="1"/>
  <c r="B264" i="8"/>
  <c r="A264" i="8" s="1"/>
  <c r="B263" i="8"/>
  <c r="A263" i="8" s="1"/>
  <c r="B262" i="8"/>
  <c r="A262" i="8" s="1"/>
  <c r="B261" i="8"/>
  <c r="A261" i="8" s="1"/>
  <c r="B260" i="8"/>
  <c r="A260" i="8" s="1"/>
  <c r="B259" i="8"/>
  <c r="A259" i="8" s="1"/>
  <c r="B258" i="8"/>
  <c r="A258" i="8" s="1"/>
  <c r="B257" i="8"/>
  <c r="A257" i="8" s="1"/>
  <c r="B256" i="8"/>
  <c r="A256" i="8" s="1"/>
  <c r="B255" i="8"/>
  <c r="A255" i="8" s="1"/>
  <c r="B254" i="8"/>
  <c r="A254" i="8" s="1"/>
  <c r="B253" i="8"/>
  <c r="A253" i="8" s="1"/>
  <c r="B252" i="8"/>
  <c r="A252" i="8" s="1"/>
  <c r="B250" i="8"/>
  <c r="A250" i="8" s="1"/>
  <c r="B249" i="8"/>
  <c r="A249" i="8" s="1"/>
  <c r="B248" i="8"/>
  <c r="A248" i="8" s="1"/>
  <c r="B247" i="8"/>
  <c r="A247" i="8" s="1"/>
  <c r="B246" i="8"/>
  <c r="A246" i="8" s="1"/>
  <c r="B245" i="8"/>
  <c r="A245" i="8" s="1"/>
  <c r="B244" i="8"/>
  <c r="A244" i="8" s="1"/>
  <c r="B243" i="8"/>
  <c r="A243" i="8" s="1"/>
  <c r="B242" i="8"/>
  <c r="A242" i="8" s="1"/>
  <c r="B241" i="8"/>
  <c r="A241" i="8" s="1"/>
  <c r="B240" i="8"/>
  <c r="A240" i="8" s="1"/>
  <c r="B239" i="8"/>
  <c r="A239" i="8" s="1"/>
  <c r="B238" i="8"/>
  <c r="A238" i="8" s="1"/>
  <c r="B237" i="8"/>
  <c r="A237" i="8" s="1"/>
  <c r="B236" i="8"/>
  <c r="A236" i="8" s="1"/>
  <c r="B235" i="8"/>
  <c r="A235" i="8" s="1"/>
  <c r="B234" i="8"/>
  <c r="A234" i="8" s="1"/>
  <c r="B233" i="8"/>
  <c r="A233" i="8" s="1"/>
  <c r="B232" i="8"/>
  <c r="A232" i="8" s="1"/>
  <c r="B230" i="8"/>
  <c r="A230" i="8" s="1"/>
  <c r="B229" i="8"/>
  <c r="A229" i="8" s="1"/>
  <c r="B228" i="8"/>
  <c r="A228" i="8" s="1"/>
  <c r="B227" i="8"/>
  <c r="A227" i="8" s="1"/>
  <c r="B226" i="8"/>
  <c r="A226" i="8" s="1"/>
  <c r="B225" i="8"/>
  <c r="A225" i="8" s="1"/>
  <c r="B224" i="8"/>
  <c r="A224" i="8" s="1"/>
  <c r="B223" i="8"/>
  <c r="A223" i="8" s="1"/>
  <c r="B222" i="8"/>
  <c r="A222" i="8" s="1"/>
  <c r="B221" i="8"/>
  <c r="A221" i="8" s="1"/>
  <c r="B220" i="8"/>
  <c r="A220" i="8" s="1"/>
  <c r="B219" i="8"/>
  <c r="A219" i="8" s="1"/>
  <c r="B218" i="8"/>
  <c r="A218" i="8" s="1"/>
  <c r="B217" i="8"/>
  <c r="A217" i="8" s="1"/>
  <c r="B216" i="8"/>
  <c r="A216" i="8" s="1"/>
  <c r="B215" i="8"/>
  <c r="A215" i="8" s="1"/>
  <c r="B214" i="8"/>
  <c r="A214" i="8" s="1"/>
  <c r="B213" i="8"/>
  <c r="A213" i="8" s="1"/>
  <c r="B212" i="8"/>
  <c r="A212" i="8" s="1"/>
  <c r="B211" i="8"/>
  <c r="A211" i="8" s="1"/>
  <c r="B210" i="8"/>
  <c r="A210" i="8" s="1"/>
  <c r="B209" i="8"/>
  <c r="A209" i="8" s="1"/>
  <c r="B208" i="8"/>
  <c r="A208" i="8" s="1"/>
  <c r="B207" i="8"/>
  <c r="A207" i="8" s="1"/>
  <c r="B206" i="8"/>
  <c r="A206" i="8" s="1"/>
  <c r="B205" i="8"/>
  <c r="A205" i="8" s="1"/>
  <c r="B204" i="8"/>
  <c r="A204" i="8" s="1"/>
  <c r="B203" i="8"/>
  <c r="A203" i="8" s="1"/>
  <c r="B202" i="8"/>
  <c r="A202" i="8" s="1"/>
  <c r="B201" i="8"/>
  <c r="A201" i="8" s="1"/>
  <c r="B200" i="8"/>
  <c r="A200" i="8" s="1"/>
  <c r="B199" i="8"/>
  <c r="A199" i="8" s="1"/>
  <c r="B198" i="8"/>
  <c r="A198" i="8" s="1"/>
  <c r="B197" i="8"/>
  <c r="A197" i="8" s="1"/>
  <c r="B196" i="8"/>
  <c r="A196" i="8" s="1"/>
  <c r="B195" i="8"/>
  <c r="A195" i="8" s="1"/>
  <c r="B194" i="8"/>
  <c r="A194" i="8" s="1"/>
  <c r="B193" i="8"/>
  <c r="A193" i="8" s="1"/>
  <c r="B192" i="8"/>
  <c r="A192" i="8" s="1"/>
  <c r="B191" i="8"/>
  <c r="A191" i="8" s="1"/>
  <c r="B190" i="8"/>
  <c r="A190" i="8" s="1"/>
  <c r="B189" i="8"/>
  <c r="A189" i="8" s="1"/>
  <c r="B188" i="8"/>
  <c r="A188" i="8" s="1"/>
  <c r="B187" i="8"/>
  <c r="A187" i="8" s="1"/>
  <c r="B186" i="8"/>
  <c r="A186" i="8" s="1"/>
  <c r="B185" i="8"/>
  <c r="A185" i="8" s="1"/>
  <c r="B184" i="8"/>
  <c r="A184" i="8" s="1"/>
  <c r="B183" i="8"/>
  <c r="A183" i="8" s="1"/>
  <c r="B182" i="8"/>
  <c r="A182" i="8" s="1"/>
  <c r="B181" i="8"/>
  <c r="A181" i="8" s="1"/>
  <c r="B180" i="8"/>
  <c r="A180" i="8" s="1"/>
  <c r="B179" i="8"/>
  <c r="A179" i="8" s="1"/>
  <c r="B178" i="8"/>
  <c r="A178" i="8" s="1"/>
  <c r="B177" i="8"/>
  <c r="A177" i="8" s="1"/>
  <c r="B176" i="8"/>
  <c r="A176" i="8" s="1"/>
  <c r="B175" i="8"/>
  <c r="A175" i="8" s="1"/>
  <c r="B174" i="8"/>
  <c r="A174" i="8" s="1"/>
  <c r="B173" i="8"/>
  <c r="A173" i="8" s="1"/>
  <c r="B172" i="8"/>
  <c r="A172" i="8" s="1"/>
  <c r="B171" i="8"/>
  <c r="A171" i="8" s="1"/>
  <c r="B170" i="8"/>
  <c r="A170" i="8" s="1"/>
  <c r="B169" i="8"/>
  <c r="A169" i="8" s="1"/>
  <c r="B168" i="8"/>
  <c r="A168" i="8" s="1"/>
  <c r="B167" i="8"/>
  <c r="A167" i="8" s="1"/>
  <c r="B166" i="8"/>
  <c r="A166" i="8" s="1"/>
  <c r="B165" i="8"/>
  <c r="A165" i="8" s="1"/>
  <c r="B164" i="8"/>
  <c r="A164" i="8" s="1"/>
  <c r="B163" i="8"/>
  <c r="A163" i="8" s="1"/>
  <c r="B162" i="8"/>
  <c r="A162" i="8" s="1"/>
  <c r="B161" i="8"/>
  <c r="A161" i="8" s="1"/>
  <c r="B160" i="8"/>
  <c r="A160" i="8" s="1"/>
  <c r="B159" i="8"/>
  <c r="A159" i="8" s="1"/>
  <c r="B158" i="8"/>
  <c r="A158" i="8" s="1"/>
  <c r="B157" i="8"/>
  <c r="A157" i="8" s="1"/>
  <c r="B156" i="8"/>
  <c r="A156" i="8" s="1"/>
  <c r="B155" i="8"/>
  <c r="A155" i="8" s="1"/>
  <c r="B154" i="8"/>
  <c r="A154" i="8" s="1"/>
  <c r="B153" i="8"/>
  <c r="A153" i="8" s="1"/>
  <c r="B152" i="8"/>
  <c r="A152" i="8" s="1"/>
  <c r="B151" i="8"/>
  <c r="A151" i="8" s="1"/>
  <c r="B150" i="8"/>
  <c r="A150" i="8" s="1"/>
  <c r="B149" i="8"/>
  <c r="A149" i="8" s="1"/>
  <c r="B148" i="8"/>
  <c r="A148" i="8" s="1"/>
  <c r="B147" i="8"/>
  <c r="A147" i="8" s="1"/>
  <c r="B146" i="8"/>
  <c r="A146" i="8" s="1"/>
  <c r="B145" i="8"/>
  <c r="A145" i="8" s="1"/>
  <c r="B144" i="8"/>
  <c r="A144" i="8" s="1"/>
  <c r="B143" i="8"/>
  <c r="B142" i="8"/>
  <c r="A142" i="8" s="1"/>
  <c r="B141" i="8"/>
  <c r="A141" i="8" s="1"/>
  <c r="B140" i="8"/>
  <c r="A140" i="8" s="1"/>
  <c r="B139" i="8"/>
  <c r="A139" i="8" s="1"/>
  <c r="B138" i="8"/>
  <c r="A138" i="8" s="1"/>
  <c r="B137" i="8"/>
  <c r="A137" i="8" s="1"/>
  <c r="B136" i="8"/>
  <c r="A136" i="8" s="1"/>
  <c r="B135" i="8"/>
  <c r="A135" i="8" s="1"/>
  <c r="B133" i="8"/>
  <c r="A133" i="8" s="1"/>
  <c r="B132" i="8"/>
  <c r="A132" i="8" s="1"/>
  <c r="B131" i="8"/>
  <c r="A131" i="8" s="1"/>
  <c r="B130" i="8"/>
  <c r="A130" i="8" s="1"/>
  <c r="B129" i="8"/>
  <c r="A129" i="8" s="1"/>
  <c r="B128" i="8"/>
  <c r="A128" i="8" s="1"/>
  <c r="B127" i="8"/>
  <c r="A127" i="8" s="1"/>
  <c r="B126" i="8"/>
  <c r="A126" i="8" s="1"/>
  <c r="B125" i="8"/>
  <c r="A125" i="8" s="1"/>
  <c r="B124" i="8"/>
  <c r="A124" i="8" s="1"/>
  <c r="B123" i="8"/>
  <c r="A123" i="8" s="1"/>
  <c r="B122" i="8"/>
  <c r="A122" i="8" s="1"/>
  <c r="B121" i="8"/>
  <c r="A121" i="8" s="1"/>
  <c r="B120" i="8"/>
  <c r="A120" i="8" s="1"/>
  <c r="B119" i="8"/>
  <c r="A119" i="8" s="1"/>
  <c r="B118" i="8"/>
  <c r="A118" i="8" s="1"/>
  <c r="B117" i="8"/>
  <c r="A117" i="8" s="1"/>
  <c r="B116" i="8"/>
  <c r="A116" i="8" s="1"/>
  <c r="B115" i="8"/>
  <c r="A115" i="8" s="1"/>
  <c r="B114" i="8"/>
  <c r="A114" i="8" s="1"/>
  <c r="B113" i="8"/>
  <c r="A113" i="8" s="1"/>
  <c r="B112" i="8"/>
  <c r="A112" i="8" s="1"/>
  <c r="B111" i="8"/>
  <c r="A111" i="8" s="1"/>
  <c r="B110" i="8"/>
  <c r="A110" i="8" s="1"/>
  <c r="B109" i="8"/>
  <c r="A109" i="8" s="1"/>
  <c r="B108" i="8"/>
  <c r="A108" i="8" s="1"/>
  <c r="B107" i="8"/>
  <c r="A107" i="8" s="1"/>
  <c r="B106" i="8"/>
  <c r="A106" i="8" s="1"/>
  <c r="B105" i="8"/>
  <c r="A105" i="8" s="1"/>
  <c r="B104" i="8"/>
  <c r="A104" i="8" s="1"/>
  <c r="B103" i="8"/>
  <c r="A103" i="8" s="1"/>
  <c r="B102" i="8"/>
  <c r="A102" i="8" s="1"/>
  <c r="B101" i="8"/>
  <c r="A101" i="8" s="1"/>
  <c r="B100" i="8"/>
  <c r="A100" i="8" s="1"/>
  <c r="B99" i="8"/>
  <c r="A99" i="8" s="1"/>
  <c r="B98" i="8"/>
  <c r="A98" i="8" s="1"/>
  <c r="B97" i="8"/>
  <c r="A97" i="8" s="1"/>
  <c r="B96" i="8"/>
  <c r="A96" i="8" s="1"/>
  <c r="B95" i="8"/>
  <c r="A95" i="8" s="1"/>
  <c r="B94" i="8"/>
  <c r="A94" i="8" s="1"/>
  <c r="B93" i="8"/>
  <c r="A93" i="8" s="1"/>
  <c r="B92" i="8"/>
  <c r="A92" i="8" s="1"/>
  <c r="B91" i="8"/>
  <c r="A91" i="8" s="1"/>
  <c r="B90" i="8"/>
  <c r="A90" i="8" s="1"/>
  <c r="B89" i="8"/>
  <c r="A89" i="8" s="1"/>
  <c r="B88" i="8"/>
  <c r="A88" i="8" s="1"/>
  <c r="B87" i="8"/>
  <c r="A87" i="8" s="1"/>
  <c r="B86" i="8"/>
  <c r="A86" i="8" s="1"/>
  <c r="B85" i="8"/>
  <c r="A85" i="8" s="1"/>
  <c r="B84" i="8"/>
  <c r="A84" i="8" s="1"/>
  <c r="B83" i="8"/>
  <c r="A83" i="8" s="1"/>
  <c r="B82" i="8"/>
  <c r="A82" i="8" s="1"/>
  <c r="B81" i="8"/>
  <c r="A81" i="8" s="1"/>
  <c r="B80" i="8"/>
  <c r="A80" i="8" s="1"/>
  <c r="B79" i="8"/>
  <c r="A79" i="8" s="1"/>
  <c r="B78" i="8"/>
  <c r="A78" i="8" s="1"/>
  <c r="B77" i="8"/>
  <c r="A77" i="8" s="1"/>
  <c r="B76" i="8"/>
  <c r="A76" i="8" s="1"/>
  <c r="B75" i="8"/>
  <c r="A75" i="8" s="1"/>
  <c r="B74" i="8"/>
  <c r="A74" i="8" s="1"/>
  <c r="B73" i="8"/>
  <c r="A73" i="8" s="1"/>
  <c r="B71" i="8"/>
  <c r="A71" i="8" s="1"/>
  <c r="B70" i="8"/>
  <c r="A70" i="8" s="1"/>
  <c r="B69" i="8"/>
  <c r="A69" i="8" s="1"/>
  <c r="B68" i="8"/>
  <c r="A68" i="8" s="1"/>
  <c r="B67" i="8"/>
  <c r="A67" i="8" s="1"/>
  <c r="B66" i="8"/>
  <c r="A66" i="8" s="1"/>
  <c r="B65" i="8"/>
  <c r="A65" i="8" s="1"/>
  <c r="B64" i="8"/>
  <c r="A64" i="8" s="1"/>
  <c r="B63" i="8"/>
  <c r="A63" i="8" s="1"/>
  <c r="B62" i="8"/>
  <c r="A62" i="8" s="1"/>
  <c r="B61" i="8"/>
  <c r="A61" i="8" s="1"/>
  <c r="B60" i="8"/>
  <c r="A60" i="8" s="1"/>
  <c r="B59" i="8"/>
  <c r="A59" i="8" s="1"/>
  <c r="B58" i="8"/>
  <c r="A58" i="8" s="1"/>
  <c r="B57" i="8"/>
  <c r="A57" i="8" s="1"/>
  <c r="B56" i="8"/>
  <c r="A56" i="8" s="1"/>
  <c r="B55" i="8"/>
  <c r="A55" i="8" s="1"/>
  <c r="B54" i="8"/>
  <c r="A54" i="8" s="1"/>
  <c r="B53" i="8"/>
  <c r="A53" i="8" s="1"/>
  <c r="B52" i="8"/>
  <c r="A52" i="8" s="1"/>
  <c r="B51" i="8"/>
  <c r="A51" i="8" s="1"/>
  <c r="B50" i="8"/>
  <c r="A50" i="8" s="1"/>
  <c r="B49" i="8"/>
  <c r="A49" i="8" s="1"/>
  <c r="B48" i="8"/>
  <c r="A48" i="8" s="1"/>
  <c r="B47" i="8"/>
  <c r="A47" i="8" s="1"/>
  <c r="B46" i="8"/>
  <c r="A46" i="8" s="1"/>
  <c r="B45" i="8"/>
  <c r="A45" i="8" s="1"/>
  <c r="B44" i="8"/>
  <c r="A44" i="8" s="1"/>
  <c r="B43" i="8"/>
  <c r="A43" i="8" s="1"/>
  <c r="B42" i="8"/>
  <c r="A42" i="8" s="1"/>
  <c r="B41" i="8"/>
  <c r="A41" i="8" s="1"/>
  <c r="B40" i="8"/>
  <c r="A40" i="8" s="1"/>
  <c r="B39" i="8"/>
  <c r="A39" i="8" s="1"/>
  <c r="B38" i="8"/>
  <c r="A38" i="8" s="1"/>
  <c r="B37" i="8"/>
  <c r="A37" i="8" s="1"/>
  <c r="B36" i="8"/>
  <c r="A36" i="8" s="1"/>
  <c r="B35" i="8"/>
  <c r="A35" i="8" s="1"/>
  <c r="B34" i="8"/>
  <c r="A34" i="8" s="1"/>
  <c r="B33" i="8"/>
  <c r="A33" i="8" s="1"/>
  <c r="B32" i="8"/>
  <c r="A32" i="8" s="1"/>
  <c r="B31" i="8"/>
  <c r="A31" i="8" s="1"/>
  <c r="B30" i="8"/>
  <c r="A30" i="8" s="1"/>
  <c r="B29" i="8"/>
  <c r="A29" i="8" s="1"/>
  <c r="B28" i="8"/>
  <c r="A28" i="8" s="1"/>
  <c r="B27" i="8"/>
  <c r="A27" i="8" s="1"/>
  <c r="B26" i="8"/>
  <c r="A26" i="8" s="1"/>
  <c r="B25" i="8"/>
  <c r="A25" i="8" s="1"/>
  <c r="B24" i="8"/>
  <c r="A24" i="8" s="1"/>
  <c r="B23" i="8"/>
  <c r="A23" i="8" s="1"/>
  <c r="B22" i="8"/>
  <c r="A22" i="8" s="1"/>
  <c r="B21" i="8"/>
  <c r="A21" i="8" s="1"/>
  <c r="B20" i="8"/>
  <c r="A20" i="8" s="1"/>
  <c r="B19" i="8"/>
  <c r="A19" i="8" s="1"/>
  <c r="B18" i="8"/>
  <c r="A18" i="8" s="1"/>
  <c r="B17" i="8"/>
  <c r="A17" i="8" s="1"/>
  <c r="B16" i="8"/>
  <c r="A16" i="8" s="1"/>
  <c r="B15" i="8"/>
  <c r="A15" i="8" s="1"/>
  <c r="B14" i="8"/>
  <c r="A14" i="8" s="1"/>
  <c r="B13" i="8"/>
  <c r="A13" i="8" s="1"/>
  <c r="B12" i="8"/>
  <c r="A12" i="8" s="1"/>
  <c r="B11" i="8"/>
  <c r="A11" i="8" s="1"/>
  <c r="B10" i="8"/>
  <c r="A10" i="8" s="1"/>
  <c r="B9" i="8"/>
  <c r="A9" i="8" s="1"/>
  <c r="B8" i="8"/>
  <c r="A8" i="8" s="1"/>
  <c r="B7" i="8"/>
  <c r="A7" i="8" s="1"/>
  <c r="B6" i="8"/>
  <c r="A6" i="8" s="1"/>
  <c r="B5" i="8"/>
  <c r="A5" i="8" s="1"/>
  <c r="B4" i="8"/>
  <c r="A4" i="8" s="1"/>
  <c r="B3" i="8"/>
  <c r="A3" i="8" s="1"/>
  <c r="B3" i="9"/>
  <c r="A3" i="9" s="1"/>
  <c r="B731" i="9"/>
  <c r="A731" i="9" s="1"/>
  <c r="B730" i="9"/>
  <c r="A730" i="9" s="1"/>
  <c r="B729" i="9"/>
  <c r="A729" i="9" s="1"/>
  <c r="B728" i="9"/>
  <c r="A728" i="9" s="1"/>
  <c r="B727" i="9"/>
  <c r="A727" i="9" s="1"/>
  <c r="B726" i="9"/>
  <c r="A726" i="9" s="1"/>
  <c r="B725" i="9"/>
  <c r="A725" i="9" s="1"/>
  <c r="B724" i="9"/>
  <c r="A724" i="9" s="1"/>
  <c r="B723" i="9"/>
  <c r="A723" i="9" s="1"/>
  <c r="B722" i="9"/>
  <c r="A722" i="9" s="1"/>
  <c r="B721" i="9"/>
  <c r="A721" i="9" s="1"/>
  <c r="B720" i="9"/>
  <c r="A720" i="9" s="1"/>
  <c r="B719" i="9"/>
  <c r="A719" i="9" s="1"/>
  <c r="B718" i="9"/>
  <c r="A718" i="9" s="1"/>
  <c r="B717" i="9"/>
  <c r="A717" i="9" s="1"/>
  <c r="B716" i="9"/>
  <c r="A716" i="9" s="1"/>
  <c r="B715" i="9"/>
  <c r="A715" i="9" s="1"/>
  <c r="B713" i="9"/>
  <c r="A713" i="9" s="1"/>
  <c r="B712" i="9"/>
  <c r="A712" i="9" s="1"/>
  <c r="B711" i="9"/>
  <c r="A711" i="9" s="1"/>
  <c r="B710" i="9"/>
  <c r="A710" i="9" s="1"/>
  <c r="B709" i="9"/>
  <c r="A709" i="9" s="1"/>
  <c r="B708" i="9"/>
  <c r="A708" i="9" s="1"/>
  <c r="B707" i="9"/>
  <c r="A707" i="9" s="1"/>
  <c r="B706" i="9"/>
  <c r="A706" i="9" s="1"/>
  <c r="B705" i="9"/>
  <c r="A705" i="9" s="1"/>
  <c r="B704" i="9"/>
  <c r="A704" i="9" s="1"/>
  <c r="B703" i="9"/>
  <c r="A703" i="9" s="1"/>
  <c r="B702" i="9"/>
  <c r="A702" i="9" s="1"/>
  <c r="B701" i="9"/>
  <c r="A701" i="9" s="1"/>
  <c r="B700" i="9"/>
  <c r="A700" i="9" s="1"/>
  <c r="B699" i="9"/>
  <c r="A699" i="9" s="1"/>
  <c r="B698" i="9"/>
  <c r="A698" i="9" s="1"/>
  <c r="B697" i="9"/>
  <c r="A697" i="9" s="1"/>
  <c r="B696" i="9"/>
  <c r="A696" i="9" s="1"/>
  <c r="B695" i="9"/>
  <c r="A695" i="9" s="1"/>
  <c r="B694" i="9"/>
  <c r="A694" i="9" s="1"/>
  <c r="B693" i="9"/>
  <c r="A693" i="9" s="1"/>
  <c r="B692" i="9"/>
  <c r="A692" i="9" s="1"/>
  <c r="B691" i="9"/>
  <c r="A691" i="9" s="1"/>
  <c r="B690" i="9"/>
  <c r="A690" i="9" s="1"/>
  <c r="B689" i="9"/>
  <c r="A689" i="9" s="1"/>
  <c r="B688" i="9"/>
  <c r="A688" i="9" s="1"/>
  <c r="B687" i="9"/>
  <c r="A687" i="9" s="1"/>
  <c r="B686" i="9"/>
  <c r="A686" i="9" s="1"/>
  <c r="B685" i="9"/>
  <c r="A685" i="9" s="1"/>
  <c r="B684" i="9"/>
  <c r="A684" i="9" s="1"/>
  <c r="B683" i="9"/>
  <c r="A683" i="9" s="1"/>
  <c r="B682" i="9"/>
  <c r="A682" i="9" s="1"/>
  <c r="B681" i="9"/>
  <c r="A681" i="9" s="1"/>
  <c r="B680" i="9"/>
  <c r="A680" i="9" s="1"/>
  <c r="B679" i="9"/>
  <c r="A679" i="9" s="1"/>
  <c r="B678" i="9"/>
  <c r="A678" i="9" s="1"/>
  <c r="B677" i="9"/>
  <c r="A677" i="9" s="1"/>
  <c r="B676" i="9"/>
  <c r="A676" i="9" s="1"/>
  <c r="B675" i="9"/>
  <c r="A675" i="9" s="1"/>
  <c r="B674" i="9"/>
  <c r="A674" i="9" s="1"/>
  <c r="B673" i="9"/>
  <c r="A673" i="9" s="1"/>
  <c r="B672" i="9"/>
  <c r="A672" i="9" s="1"/>
  <c r="B671" i="9"/>
  <c r="A671" i="9" s="1"/>
  <c r="B670" i="9"/>
  <c r="A670" i="9" s="1"/>
  <c r="B669" i="9"/>
  <c r="A669" i="9" s="1"/>
  <c r="B668" i="9"/>
  <c r="A668" i="9" s="1"/>
  <c r="B667" i="9"/>
  <c r="A667" i="9" s="1"/>
  <c r="B666" i="9"/>
  <c r="A666" i="9" s="1"/>
  <c r="B665" i="9"/>
  <c r="A665" i="9" s="1"/>
  <c r="B664" i="9"/>
  <c r="A664" i="9" s="1"/>
  <c r="B663" i="9"/>
  <c r="A663" i="9" s="1"/>
  <c r="B662" i="9"/>
  <c r="A662" i="9" s="1"/>
  <c r="B661" i="9"/>
  <c r="A661" i="9" s="1"/>
  <c r="B660" i="9"/>
  <c r="A660" i="9" s="1"/>
  <c r="B659" i="9"/>
  <c r="A659" i="9" s="1"/>
  <c r="B658" i="9"/>
  <c r="A658" i="9" s="1"/>
  <c r="B657" i="9"/>
  <c r="A657" i="9" s="1"/>
  <c r="B656" i="9"/>
  <c r="A656" i="9" s="1"/>
  <c r="B655" i="9"/>
  <c r="A655" i="9" s="1"/>
  <c r="B654" i="9"/>
  <c r="A654" i="9" s="1"/>
  <c r="B653" i="9"/>
  <c r="A653" i="9" s="1"/>
  <c r="B652" i="9"/>
  <c r="A652" i="9" s="1"/>
  <c r="B651" i="9"/>
  <c r="A651" i="9" s="1"/>
  <c r="B650" i="9"/>
  <c r="A650" i="9" s="1"/>
  <c r="B649" i="9"/>
  <c r="A649" i="9" s="1"/>
  <c r="B648" i="9"/>
  <c r="A648" i="9" s="1"/>
  <c r="B647" i="9"/>
  <c r="A647" i="9" s="1"/>
  <c r="B646" i="9"/>
  <c r="A646" i="9" s="1"/>
  <c r="B645" i="9"/>
  <c r="A645" i="9" s="1"/>
  <c r="B644" i="9"/>
  <c r="A644" i="9" s="1"/>
  <c r="B643" i="9"/>
  <c r="A643" i="9" s="1"/>
  <c r="B642" i="9"/>
  <c r="A642" i="9" s="1"/>
  <c r="B641" i="9"/>
  <c r="A641" i="9" s="1"/>
  <c r="B640" i="9"/>
  <c r="A640" i="9" s="1"/>
  <c r="B639" i="9"/>
  <c r="A639" i="9" s="1"/>
  <c r="B638" i="9"/>
  <c r="A638" i="9" s="1"/>
  <c r="B637" i="9"/>
  <c r="A637" i="9" s="1"/>
  <c r="B636" i="9"/>
  <c r="A636" i="9" s="1"/>
  <c r="B635" i="9"/>
  <c r="A635" i="9" s="1"/>
  <c r="B634" i="9"/>
  <c r="A634" i="9" s="1"/>
  <c r="B633" i="9"/>
  <c r="A633" i="9" s="1"/>
  <c r="B632" i="9"/>
  <c r="A632" i="9" s="1"/>
  <c r="B631" i="9"/>
  <c r="A631" i="9" s="1"/>
  <c r="B630" i="9"/>
  <c r="B629" i="9"/>
  <c r="A629" i="9" s="1"/>
  <c r="B628" i="9"/>
  <c r="A628" i="9" s="1"/>
  <c r="B627" i="9"/>
  <c r="A627" i="9" s="1"/>
  <c r="B626" i="9"/>
  <c r="A626" i="9" s="1"/>
  <c r="B625" i="9"/>
  <c r="A625" i="9" s="1"/>
  <c r="B624" i="9"/>
  <c r="A624" i="9" s="1"/>
  <c r="B623" i="9"/>
  <c r="A623" i="9" s="1"/>
  <c r="B622" i="9"/>
  <c r="A622" i="9" s="1"/>
  <c r="B621" i="9"/>
  <c r="A621" i="9" s="1"/>
  <c r="B620" i="9"/>
  <c r="A620" i="9" s="1"/>
  <c r="B619" i="9"/>
  <c r="A619" i="9" s="1"/>
  <c r="B618" i="9"/>
  <c r="A618" i="9" s="1"/>
  <c r="B617" i="9"/>
  <c r="A617" i="9" s="1"/>
  <c r="B616" i="9"/>
  <c r="A616" i="9" s="1"/>
  <c r="B615" i="9"/>
  <c r="A615" i="9" s="1"/>
  <c r="B614" i="9"/>
  <c r="A614" i="9" s="1"/>
  <c r="B613" i="9"/>
  <c r="A613" i="9" s="1"/>
  <c r="B612" i="9"/>
  <c r="A612" i="9" s="1"/>
  <c r="B611" i="9"/>
  <c r="A611" i="9" s="1"/>
  <c r="B610" i="9"/>
  <c r="A610" i="9" s="1"/>
  <c r="B609" i="9"/>
  <c r="A609" i="9" s="1"/>
  <c r="B608" i="9"/>
  <c r="A608" i="9" s="1"/>
  <c r="B607" i="9"/>
  <c r="A607" i="9" s="1"/>
  <c r="B606" i="9"/>
  <c r="A606" i="9" s="1"/>
  <c r="B605" i="9"/>
  <c r="A605" i="9" s="1"/>
  <c r="B604" i="9"/>
  <c r="A604" i="9" s="1"/>
  <c r="B603" i="9"/>
  <c r="B602" i="9"/>
  <c r="A602" i="9" s="1"/>
  <c r="B601" i="9"/>
  <c r="A601" i="9" s="1"/>
  <c r="B600" i="9"/>
  <c r="A600" i="9" s="1"/>
  <c r="B599" i="9"/>
  <c r="A599" i="9" s="1"/>
  <c r="B598" i="9"/>
  <c r="A598" i="9" s="1"/>
  <c r="B597" i="9"/>
  <c r="A597" i="9" s="1"/>
  <c r="B596" i="9"/>
  <c r="A596" i="9" s="1"/>
  <c r="B595" i="9"/>
  <c r="A595" i="9" s="1"/>
  <c r="B594" i="9"/>
  <c r="A594" i="9" s="1"/>
  <c r="B593" i="9"/>
  <c r="A593" i="9" s="1"/>
  <c r="B592" i="9"/>
  <c r="A592" i="9" s="1"/>
  <c r="B591" i="9"/>
  <c r="A591" i="9" s="1"/>
  <c r="B590" i="9"/>
  <c r="A590" i="9" s="1"/>
  <c r="B589" i="9"/>
  <c r="A589" i="9" s="1"/>
  <c r="B588" i="9"/>
  <c r="A588" i="9" s="1"/>
  <c r="B587" i="9"/>
  <c r="A587" i="9" s="1"/>
  <c r="B586" i="9"/>
  <c r="A586" i="9" s="1"/>
  <c r="B585" i="9"/>
  <c r="A585" i="9" s="1"/>
  <c r="B584" i="9"/>
  <c r="A584" i="9" s="1"/>
  <c r="B583" i="9"/>
  <c r="A583" i="9" s="1"/>
  <c r="B582" i="9"/>
  <c r="A582" i="9" s="1"/>
  <c r="B581" i="9"/>
  <c r="A581" i="9" s="1"/>
  <c r="B580" i="9"/>
  <c r="A580" i="9" s="1"/>
  <c r="B579" i="9"/>
  <c r="A579" i="9" s="1"/>
  <c r="B578" i="9"/>
  <c r="A578" i="9" s="1"/>
  <c r="B577" i="9"/>
  <c r="A577" i="9" s="1"/>
  <c r="B576" i="9"/>
  <c r="A576" i="9" s="1"/>
  <c r="B575" i="9"/>
  <c r="A575" i="9" s="1"/>
  <c r="B574" i="9"/>
  <c r="A574" i="9" s="1"/>
  <c r="B573" i="9"/>
  <c r="A573" i="9" s="1"/>
  <c r="B572" i="9"/>
  <c r="A572" i="9" s="1"/>
  <c r="B571" i="9"/>
  <c r="A571" i="9" s="1"/>
  <c r="B570" i="9"/>
  <c r="A570" i="9" s="1"/>
  <c r="B569" i="9"/>
  <c r="A569" i="9" s="1"/>
  <c r="B568" i="9"/>
  <c r="A568" i="9" s="1"/>
  <c r="B567" i="9"/>
  <c r="A567" i="9" s="1"/>
  <c r="B566" i="9"/>
  <c r="A566" i="9" s="1"/>
  <c r="B565" i="9"/>
  <c r="A565" i="9" s="1"/>
  <c r="B564" i="9"/>
  <c r="A564" i="9" s="1"/>
  <c r="B563" i="9"/>
  <c r="A563" i="9" s="1"/>
  <c r="B562" i="9"/>
  <c r="A562" i="9" s="1"/>
  <c r="B561" i="9"/>
  <c r="A561" i="9" s="1"/>
  <c r="B560" i="9"/>
  <c r="A560" i="9" s="1"/>
  <c r="B559" i="9"/>
  <c r="A559" i="9" s="1"/>
  <c r="B558" i="9"/>
  <c r="A558" i="9" s="1"/>
  <c r="B557" i="9"/>
  <c r="A557" i="9" s="1"/>
  <c r="B556" i="9"/>
  <c r="A556" i="9" s="1"/>
  <c r="B555" i="9"/>
  <c r="A555" i="9" s="1"/>
  <c r="B554" i="9"/>
  <c r="A554" i="9" s="1"/>
  <c r="B553" i="9"/>
  <c r="A553" i="9" s="1"/>
  <c r="B552" i="9"/>
  <c r="A552" i="9" s="1"/>
  <c r="B551" i="9"/>
  <c r="A551" i="9" s="1"/>
  <c r="B550" i="9"/>
  <c r="A550" i="9" s="1"/>
  <c r="B549" i="9"/>
  <c r="A549" i="9" s="1"/>
  <c r="B548" i="9"/>
  <c r="A548" i="9" s="1"/>
  <c r="B547" i="9"/>
  <c r="A547" i="9" s="1"/>
  <c r="B546" i="9"/>
  <c r="A546" i="9" s="1"/>
  <c r="B545" i="9"/>
  <c r="A545" i="9" s="1"/>
  <c r="B544" i="9"/>
  <c r="A544" i="9" s="1"/>
  <c r="B543" i="9"/>
  <c r="A543" i="9" s="1"/>
  <c r="B542" i="9"/>
  <c r="A542" i="9" s="1"/>
  <c r="B541" i="9"/>
  <c r="A541" i="9" s="1"/>
  <c r="B540" i="9"/>
  <c r="A540" i="9" s="1"/>
  <c r="B539" i="9"/>
  <c r="A539" i="9" s="1"/>
  <c r="B538" i="9"/>
  <c r="A538" i="9" s="1"/>
  <c r="B537" i="9"/>
  <c r="A537" i="9" s="1"/>
  <c r="B536" i="9"/>
  <c r="A536" i="9" s="1"/>
  <c r="B535" i="9"/>
  <c r="A535" i="9" s="1"/>
  <c r="B534" i="9"/>
  <c r="A534" i="9" s="1"/>
  <c r="B533" i="9"/>
  <c r="A533" i="9" s="1"/>
  <c r="B532" i="9"/>
  <c r="A532" i="9" s="1"/>
  <c r="B531" i="9"/>
  <c r="A531" i="9" s="1"/>
  <c r="B530" i="9"/>
  <c r="A530" i="9" s="1"/>
  <c r="B529" i="9"/>
  <c r="A529" i="9" s="1"/>
  <c r="B528" i="9"/>
  <c r="A528" i="9" s="1"/>
  <c r="B527" i="9"/>
  <c r="A527" i="9" s="1"/>
  <c r="B526" i="9"/>
  <c r="A526" i="9" s="1"/>
  <c r="B525" i="9"/>
  <c r="A525" i="9" s="1"/>
  <c r="B524" i="9"/>
  <c r="A524" i="9" s="1"/>
  <c r="B523" i="9"/>
  <c r="A523" i="9" s="1"/>
  <c r="B522" i="9"/>
  <c r="A522" i="9" s="1"/>
  <c r="B521" i="9"/>
  <c r="A521" i="9" s="1"/>
  <c r="B520" i="9"/>
  <c r="A520" i="9" s="1"/>
  <c r="B519" i="9"/>
  <c r="A519" i="9" s="1"/>
  <c r="B518" i="9"/>
  <c r="A518" i="9" s="1"/>
  <c r="B517" i="9"/>
  <c r="A517" i="9" s="1"/>
  <c r="B516" i="9"/>
  <c r="A516" i="9" s="1"/>
  <c r="B515" i="9"/>
  <c r="A515" i="9" s="1"/>
  <c r="B514" i="9"/>
  <c r="A514" i="9" s="1"/>
  <c r="B513" i="9"/>
  <c r="A513" i="9" s="1"/>
  <c r="B512" i="9"/>
  <c r="A512" i="9" s="1"/>
  <c r="B511" i="9"/>
  <c r="A511" i="9" s="1"/>
  <c r="B510" i="9"/>
  <c r="A510" i="9" s="1"/>
  <c r="B509" i="9"/>
  <c r="A509" i="9" s="1"/>
  <c r="B508" i="9"/>
  <c r="A508" i="9" s="1"/>
  <c r="B507" i="9"/>
  <c r="A507" i="9" s="1"/>
  <c r="B506" i="9"/>
  <c r="A506" i="9" s="1"/>
  <c r="B505" i="9"/>
  <c r="A505" i="9" s="1"/>
  <c r="B504" i="9"/>
  <c r="A504" i="9" s="1"/>
  <c r="B503" i="9"/>
  <c r="A503" i="9" s="1"/>
  <c r="B502" i="9"/>
  <c r="A502" i="9" s="1"/>
  <c r="B501" i="9"/>
  <c r="A501" i="9" s="1"/>
  <c r="B500" i="9"/>
  <c r="A500" i="9" s="1"/>
  <c r="B499" i="9"/>
  <c r="A499" i="9" s="1"/>
  <c r="B498" i="9"/>
  <c r="A498" i="9" s="1"/>
  <c r="B497" i="9"/>
  <c r="A497" i="9" s="1"/>
  <c r="B496" i="9"/>
  <c r="A496" i="9" s="1"/>
  <c r="B495" i="9"/>
  <c r="A495" i="9" s="1"/>
  <c r="B494" i="9"/>
  <c r="A494" i="9" s="1"/>
  <c r="B493" i="9"/>
  <c r="A493" i="9" s="1"/>
  <c r="B492" i="9"/>
  <c r="A492" i="9" s="1"/>
  <c r="B491" i="9"/>
  <c r="A491" i="9" s="1"/>
  <c r="B490" i="9"/>
  <c r="A490" i="9" s="1"/>
  <c r="B489" i="9"/>
  <c r="A489" i="9" s="1"/>
  <c r="B488" i="9"/>
  <c r="A488" i="9" s="1"/>
  <c r="B487" i="9"/>
  <c r="A487" i="9" s="1"/>
  <c r="B486" i="9"/>
  <c r="A486" i="9" s="1"/>
  <c r="B485" i="9"/>
  <c r="A485" i="9" s="1"/>
  <c r="B484" i="9"/>
  <c r="A484" i="9" s="1"/>
  <c r="B483" i="9"/>
  <c r="A483" i="9" s="1"/>
  <c r="B482" i="9"/>
  <c r="A482" i="9" s="1"/>
  <c r="B480" i="9"/>
  <c r="A480" i="9" s="1"/>
  <c r="B479" i="9"/>
  <c r="A479" i="9" s="1"/>
  <c r="B478" i="9"/>
  <c r="A478" i="9" s="1"/>
  <c r="B477" i="9"/>
  <c r="A477" i="9" s="1"/>
  <c r="B476" i="9"/>
  <c r="A476" i="9" s="1"/>
  <c r="B475" i="9"/>
  <c r="A475" i="9" s="1"/>
  <c r="B474" i="9"/>
  <c r="A474" i="9" s="1"/>
  <c r="B473" i="9"/>
  <c r="A473" i="9" s="1"/>
  <c r="B472" i="9"/>
  <c r="A472" i="9" s="1"/>
  <c r="B471" i="9"/>
  <c r="A471" i="9" s="1"/>
  <c r="B470" i="9"/>
  <c r="A470" i="9" s="1"/>
  <c r="B469" i="9"/>
  <c r="A469" i="9" s="1"/>
  <c r="B468" i="9"/>
  <c r="A468" i="9" s="1"/>
  <c r="B467" i="9"/>
  <c r="A467" i="9" s="1"/>
  <c r="B466" i="9"/>
  <c r="A466" i="9" s="1"/>
  <c r="B465" i="9"/>
  <c r="A465" i="9" s="1"/>
  <c r="B464" i="9"/>
  <c r="A464" i="9" s="1"/>
  <c r="B463" i="9"/>
  <c r="A463" i="9" s="1"/>
  <c r="B462" i="9"/>
  <c r="A462" i="9" s="1"/>
  <c r="B461" i="9"/>
  <c r="A461" i="9" s="1"/>
  <c r="B460" i="9"/>
  <c r="A460" i="9" s="1"/>
  <c r="B459" i="9"/>
  <c r="A459" i="9" s="1"/>
  <c r="B458" i="9"/>
  <c r="A458" i="9" s="1"/>
  <c r="B457" i="9"/>
  <c r="A457" i="9" s="1"/>
  <c r="B456" i="9"/>
  <c r="A456" i="9" s="1"/>
  <c r="B455" i="9"/>
  <c r="A455" i="9" s="1"/>
  <c r="B454" i="9"/>
  <c r="A454" i="9" s="1"/>
  <c r="B453" i="9"/>
  <c r="A453" i="9" s="1"/>
  <c r="B452" i="9"/>
  <c r="A452" i="9" s="1"/>
  <c r="B451" i="9"/>
  <c r="A451" i="9" s="1"/>
  <c r="B450" i="9"/>
  <c r="A450" i="9" s="1"/>
  <c r="B449" i="9"/>
  <c r="A449" i="9" s="1"/>
  <c r="B448" i="9"/>
  <c r="A448" i="9" s="1"/>
  <c r="B447" i="9"/>
  <c r="A447" i="9" s="1"/>
  <c r="B446" i="9"/>
  <c r="A446" i="9" s="1"/>
  <c r="B445" i="9"/>
  <c r="A445" i="9" s="1"/>
  <c r="B444" i="9"/>
  <c r="A444" i="9" s="1"/>
  <c r="B443" i="9"/>
  <c r="A443" i="9" s="1"/>
  <c r="B442" i="9"/>
  <c r="A442" i="9" s="1"/>
  <c r="B441" i="9"/>
  <c r="A441" i="9" s="1"/>
  <c r="B440" i="9"/>
  <c r="A440" i="9" s="1"/>
  <c r="B439" i="9"/>
  <c r="A439" i="9" s="1"/>
  <c r="B438" i="9"/>
  <c r="A438" i="9" s="1"/>
  <c r="B437" i="9"/>
  <c r="A437" i="9" s="1"/>
  <c r="B436" i="9"/>
  <c r="A436" i="9" s="1"/>
  <c r="B435" i="9"/>
  <c r="A435" i="9" s="1"/>
  <c r="B434" i="9"/>
  <c r="A434" i="9" s="1"/>
  <c r="B433" i="9"/>
  <c r="A433" i="9" s="1"/>
  <c r="B432" i="9"/>
  <c r="A432" i="9" s="1"/>
  <c r="B431" i="9"/>
  <c r="A431" i="9" s="1"/>
  <c r="B430" i="9"/>
  <c r="A430" i="9" s="1"/>
  <c r="B429" i="9"/>
  <c r="A429" i="9" s="1"/>
  <c r="B428" i="9"/>
  <c r="A428" i="9" s="1"/>
  <c r="B427" i="9"/>
  <c r="A427" i="9" s="1"/>
  <c r="B426" i="9"/>
  <c r="A426" i="9" s="1"/>
  <c r="B425" i="9"/>
  <c r="A425" i="9" s="1"/>
  <c r="B424" i="9"/>
  <c r="A424" i="9" s="1"/>
  <c r="B423" i="9"/>
  <c r="A423" i="9" s="1"/>
  <c r="B422" i="9"/>
  <c r="A422" i="9" s="1"/>
  <c r="B421" i="9"/>
  <c r="A421" i="9" s="1"/>
  <c r="B420" i="9"/>
  <c r="A420" i="9" s="1"/>
  <c r="B419" i="9"/>
  <c r="A419" i="9" s="1"/>
  <c r="B418" i="9"/>
  <c r="A418" i="9" s="1"/>
  <c r="B417" i="9"/>
  <c r="A417" i="9" s="1"/>
  <c r="B416" i="9"/>
  <c r="A416" i="9" s="1"/>
  <c r="B415" i="9"/>
  <c r="A415" i="9" s="1"/>
  <c r="B414" i="9"/>
  <c r="A414" i="9" s="1"/>
  <c r="B413" i="9"/>
  <c r="A413" i="9" s="1"/>
  <c r="B412" i="9"/>
  <c r="A412" i="9" s="1"/>
  <c r="B411" i="9"/>
  <c r="A411" i="9" s="1"/>
  <c r="B410" i="9"/>
  <c r="A410" i="9" s="1"/>
  <c r="B409" i="9"/>
  <c r="A409" i="9" s="1"/>
  <c r="B408" i="9"/>
  <c r="A408" i="9" s="1"/>
  <c r="B407" i="9"/>
  <c r="A407" i="9" s="1"/>
  <c r="B406" i="9"/>
  <c r="A406" i="9" s="1"/>
  <c r="B405" i="9"/>
  <c r="A405" i="9" s="1"/>
  <c r="B404" i="9"/>
  <c r="A404" i="9" s="1"/>
  <c r="B403" i="9"/>
  <c r="A403" i="9" s="1"/>
  <c r="B402" i="9"/>
  <c r="A402" i="9" s="1"/>
  <c r="B401" i="9"/>
  <c r="A401" i="9" s="1"/>
  <c r="B400" i="9"/>
  <c r="A400" i="9" s="1"/>
  <c r="B399" i="9"/>
  <c r="A399" i="9" s="1"/>
  <c r="B398" i="9"/>
  <c r="A398" i="9" s="1"/>
  <c r="B397" i="9"/>
  <c r="A397" i="9" s="1"/>
  <c r="B396" i="9"/>
  <c r="A396" i="9" s="1"/>
  <c r="B395" i="9"/>
  <c r="A395" i="9" s="1"/>
  <c r="B394" i="9"/>
  <c r="A394" i="9" s="1"/>
  <c r="B393" i="9"/>
  <c r="A393" i="9" s="1"/>
  <c r="B392" i="9"/>
  <c r="A392" i="9" s="1"/>
  <c r="B391" i="9"/>
  <c r="A391" i="9" s="1"/>
  <c r="B390" i="9"/>
  <c r="A390" i="9" s="1"/>
  <c r="B389" i="9"/>
  <c r="A389" i="9" s="1"/>
  <c r="B388" i="9"/>
  <c r="A388" i="9" s="1"/>
  <c r="B387" i="9"/>
  <c r="A387" i="9" s="1"/>
  <c r="B386" i="9"/>
  <c r="A386" i="9" s="1"/>
  <c r="B385" i="9"/>
  <c r="A385" i="9" s="1"/>
  <c r="B384" i="9"/>
  <c r="A384" i="9" s="1"/>
  <c r="B383" i="9"/>
  <c r="A383" i="9" s="1"/>
  <c r="B382" i="9"/>
  <c r="A382" i="9" s="1"/>
  <c r="B381" i="9"/>
  <c r="A381" i="9" s="1"/>
  <c r="B380" i="9"/>
  <c r="A380" i="9" s="1"/>
  <c r="B379" i="9"/>
  <c r="A379" i="9" s="1"/>
  <c r="B378" i="9"/>
  <c r="A378" i="9" s="1"/>
  <c r="B377" i="9"/>
  <c r="A377" i="9" s="1"/>
  <c r="B376" i="9"/>
  <c r="A376" i="9" s="1"/>
  <c r="B375" i="9"/>
  <c r="A375" i="9" s="1"/>
  <c r="B374" i="9"/>
  <c r="A374" i="9" s="1"/>
  <c r="B373" i="9"/>
  <c r="A373" i="9" s="1"/>
  <c r="B372" i="9"/>
  <c r="A372" i="9" s="1"/>
  <c r="B371" i="9"/>
  <c r="A371" i="9" s="1"/>
  <c r="B370" i="9"/>
  <c r="A370" i="9" s="1"/>
  <c r="B369" i="9"/>
  <c r="A369" i="9" s="1"/>
  <c r="B368" i="9"/>
  <c r="A368" i="9" s="1"/>
  <c r="B367" i="9"/>
  <c r="A367" i="9" s="1"/>
  <c r="B366" i="9"/>
  <c r="A366" i="9" s="1"/>
  <c r="B365" i="9"/>
  <c r="A365" i="9" s="1"/>
  <c r="B364" i="9"/>
  <c r="A364" i="9" s="1"/>
  <c r="B363" i="9"/>
  <c r="A363" i="9" s="1"/>
  <c r="B362" i="9"/>
  <c r="A362" i="9" s="1"/>
  <c r="B361" i="9"/>
  <c r="A361" i="9" s="1"/>
  <c r="B360" i="9"/>
  <c r="A360" i="9" s="1"/>
  <c r="B359" i="9"/>
  <c r="A359" i="9" s="1"/>
  <c r="B358" i="9"/>
  <c r="A358" i="9" s="1"/>
  <c r="B357" i="9"/>
  <c r="A357" i="9" s="1"/>
  <c r="B356" i="9"/>
  <c r="A356" i="9" s="1"/>
  <c r="B355" i="9"/>
  <c r="A355" i="9" s="1"/>
  <c r="B354" i="9"/>
  <c r="A354" i="9" s="1"/>
  <c r="B353" i="9"/>
  <c r="A353" i="9" s="1"/>
  <c r="B352" i="9"/>
  <c r="A352" i="9" s="1"/>
  <c r="B351" i="9"/>
  <c r="A351" i="9" s="1"/>
  <c r="B350" i="9"/>
  <c r="A350" i="9" s="1"/>
  <c r="B349" i="9"/>
  <c r="A349" i="9" s="1"/>
  <c r="B348" i="9"/>
  <c r="A348" i="9" s="1"/>
  <c r="B347" i="9"/>
  <c r="A347" i="9" s="1"/>
  <c r="B346" i="9"/>
  <c r="A346" i="9" s="1"/>
  <c r="B345" i="9"/>
  <c r="A345" i="9" s="1"/>
  <c r="B344" i="9"/>
  <c r="A344" i="9" s="1"/>
  <c r="B343" i="9"/>
  <c r="A343" i="9" s="1"/>
  <c r="B342" i="9"/>
  <c r="A342" i="9" s="1"/>
  <c r="B341" i="9"/>
  <c r="A341" i="9" s="1"/>
  <c r="B340" i="9"/>
  <c r="A340" i="9" s="1"/>
  <c r="B339" i="9"/>
  <c r="A339" i="9" s="1"/>
  <c r="B338" i="9"/>
  <c r="A338" i="9" s="1"/>
  <c r="B337" i="9"/>
  <c r="A337" i="9" s="1"/>
  <c r="B336" i="9"/>
  <c r="A336" i="9" s="1"/>
  <c r="B335" i="9"/>
  <c r="A335" i="9" s="1"/>
  <c r="B334" i="9"/>
  <c r="A334" i="9" s="1"/>
  <c r="B333" i="9"/>
  <c r="A333" i="9" s="1"/>
  <c r="B332" i="9"/>
  <c r="A332" i="9" s="1"/>
  <c r="B331" i="9"/>
  <c r="A331" i="9" s="1"/>
  <c r="B330" i="9"/>
  <c r="A330" i="9" s="1"/>
  <c r="B329" i="9"/>
  <c r="A329" i="9" s="1"/>
  <c r="B328" i="9"/>
  <c r="A328" i="9" s="1"/>
  <c r="B327" i="9"/>
  <c r="A327" i="9" s="1"/>
  <c r="B326" i="9"/>
  <c r="A326" i="9" s="1"/>
  <c r="B325" i="9"/>
  <c r="A325" i="9" s="1"/>
  <c r="B324" i="9"/>
  <c r="A324" i="9" s="1"/>
  <c r="B323" i="9"/>
  <c r="A323" i="9" s="1"/>
  <c r="B322" i="9"/>
  <c r="A322" i="9" s="1"/>
  <c r="B321" i="9"/>
  <c r="A321" i="9" s="1"/>
  <c r="B320" i="9"/>
  <c r="A320" i="9" s="1"/>
  <c r="B319" i="9"/>
  <c r="A319" i="9" s="1"/>
  <c r="B318" i="9"/>
  <c r="A318" i="9" s="1"/>
  <c r="B317" i="9"/>
  <c r="A317" i="9" s="1"/>
  <c r="B316" i="9"/>
  <c r="A316" i="9" s="1"/>
  <c r="B315" i="9"/>
  <c r="A315" i="9" s="1"/>
  <c r="B314" i="9"/>
  <c r="A314" i="9" s="1"/>
  <c r="B313" i="9"/>
  <c r="A313" i="9" s="1"/>
  <c r="B312" i="9"/>
  <c r="A312" i="9" s="1"/>
  <c r="B311" i="9"/>
  <c r="A311" i="9" s="1"/>
  <c r="B310" i="9"/>
  <c r="A310" i="9" s="1"/>
  <c r="B309" i="9"/>
  <c r="A309" i="9" s="1"/>
  <c r="B308" i="9"/>
  <c r="A308" i="9" s="1"/>
  <c r="B307" i="9"/>
  <c r="A307" i="9" s="1"/>
  <c r="B306" i="9"/>
  <c r="A306" i="9" s="1"/>
  <c r="B305" i="9"/>
  <c r="A305" i="9" s="1"/>
  <c r="B304" i="9"/>
  <c r="A304" i="9" s="1"/>
  <c r="B303" i="9"/>
  <c r="A303" i="9" s="1"/>
  <c r="B302" i="9"/>
  <c r="A302" i="9" s="1"/>
  <c r="B301" i="9"/>
  <c r="A301" i="9" s="1"/>
  <c r="B300" i="9"/>
  <c r="A300" i="9" s="1"/>
  <c r="B299" i="9"/>
  <c r="A299" i="9" s="1"/>
  <c r="B298" i="9"/>
  <c r="A298" i="9" s="1"/>
  <c r="B297" i="9"/>
  <c r="A297" i="9" s="1"/>
  <c r="B296" i="9"/>
  <c r="A296" i="9" s="1"/>
  <c r="B295" i="9"/>
  <c r="A295" i="9" s="1"/>
  <c r="B294" i="9"/>
  <c r="A294" i="9" s="1"/>
  <c r="B293" i="9"/>
  <c r="A293" i="9" s="1"/>
  <c r="B292" i="9"/>
  <c r="A292" i="9" s="1"/>
  <c r="B291" i="9"/>
  <c r="A291" i="9" s="1"/>
  <c r="B290" i="9"/>
  <c r="A290" i="9" s="1"/>
  <c r="B289" i="9"/>
  <c r="A289" i="9" s="1"/>
  <c r="B288" i="9"/>
  <c r="A288" i="9" s="1"/>
  <c r="B287" i="9"/>
  <c r="A287" i="9" s="1"/>
  <c r="B286" i="9"/>
  <c r="A286" i="9" s="1"/>
  <c r="B285" i="9"/>
  <c r="A285" i="9" s="1"/>
  <c r="B284" i="9"/>
  <c r="A284" i="9" s="1"/>
  <c r="B283" i="9"/>
  <c r="A283" i="9" s="1"/>
  <c r="B282" i="9"/>
  <c r="A282" i="9" s="1"/>
  <c r="B281" i="9"/>
  <c r="A281" i="9" s="1"/>
  <c r="B280" i="9"/>
  <c r="A280" i="9" s="1"/>
  <c r="B279" i="9"/>
  <c r="A279" i="9" s="1"/>
  <c r="B278" i="9"/>
  <c r="A278" i="9" s="1"/>
  <c r="B277" i="9"/>
  <c r="A277" i="9" s="1"/>
  <c r="B276" i="9"/>
  <c r="A276" i="9" s="1"/>
  <c r="B275" i="9"/>
  <c r="A275" i="9" s="1"/>
  <c r="B274" i="9"/>
  <c r="A274" i="9" s="1"/>
  <c r="B273" i="9"/>
  <c r="A273" i="9" s="1"/>
  <c r="B272" i="9"/>
  <c r="A272" i="9" s="1"/>
  <c r="B271" i="9"/>
  <c r="A271" i="9" s="1"/>
  <c r="B270" i="9"/>
  <c r="A270" i="9" s="1"/>
  <c r="B269" i="9"/>
  <c r="A269" i="9" s="1"/>
  <c r="B268" i="9"/>
  <c r="A268" i="9" s="1"/>
  <c r="B267" i="9"/>
  <c r="A267" i="9" s="1"/>
  <c r="B266" i="9"/>
  <c r="A266" i="9" s="1"/>
  <c r="B265" i="9"/>
  <c r="A265" i="9" s="1"/>
  <c r="B264" i="9"/>
  <c r="A264" i="9" s="1"/>
  <c r="B263" i="9"/>
  <c r="A263" i="9" s="1"/>
  <c r="B262" i="9"/>
  <c r="A262" i="9" s="1"/>
  <c r="B261" i="9"/>
  <c r="A261" i="9" s="1"/>
  <c r="B260" i="9"/>
  <c r="A260" i="9" s="1"/>
  <c r="B259" i="9"/>
  <c r="A259" i="9" s="1"/>
  <c r="B258" i="9"/>
  <c r="A258" i="9" s="1"/>
  <c r="B257" i="9"/>
  <c r="A257" i="9" s="1"/>
  <c r="B256" i="9"/>
  <c r="A256" i="9" s="1"/>
  <c r="B255" i="9"/>
  <c r="A255" i="9" s="1"/>
  <c r="B254" i="9"/>
  <c r="A254" i="9" s="1"/>
  <c r="B253" i="9"/>
  <c r="A253" i="9" s="1"/>
  <c r="B252" i="9"/>
  <c r="A252" i="9" s="1"/>
  <c r="B251" i="9"/>
  <c r="A251" i="9" s="1"/>
  <c r="B250" i="9"/>
  <c r="B249" i="9"/>
  <c r="A249" i="9" s="1"/>
  <c r="B248" i="9"/>
  <c r="A248" i="9" s="1"/>
  <c r="B247" i="9"/>
  <c r="A247" i="9" s="1"/>
  <c r="B246" i="9"/>
  <c r="A246" i="9" s="1"/>
  <c r="B245" i="9"/>
  <c r="A245" i="9" s="1"/>
  <c r="B244" i="9"/>
  <c r="A244" i="9" s="1"/>
  <c r="B243" i="9"/>
  <c r="A243" i="9" s="1"/>
  <c r="B242" i="9"/>
  <c r="A242" i="9" s="1"/>
  <c r="B241" i="9"/>
  <c r="A241" i="9" s="1"/>
  <c r="B240" i="9"/>
  <c r="A240" i="9" s="1"/>
  <c r="B239" i="9"/>
  <c r="A239" i="9" s="1"/>
  <c r="B238" i="9"/>
  <c r="A238" i="9" s="1"/>
  <c r="B237" i="9"/>
  <c r="A237" i="9" s="1"/>
  <c r="B236" i="9"/>
  <c r="A236" i="9" s="1"/>
  <c r="B235" i="9"/>
  <c r="A235" i="9" s="1"/>
  <c r="B234" i="9"/>
  <c r="A234" i="9" s="1"/>
  <c r="B233" i="9"/>
  <c r="A233" i="9" s="1"/>
  <c r="B232" i="9"/>
  <c r="A232" i="9" s="1"/>
  <c r="B231" i="9"/>
  <c r="A231" i="9" s="1"/>
  <c r="B230" i="9"/>
  <c r="A230" i="9" s="1"/>
  <c r="B229" i="9"/>
  <c r="A229" i="9" s="1"/>
  <c r="B228" i="9"/>
  <c r="A228" i="9" s="1"/>
  <c r="B227" i="9"/>
  <c r="A227" i="9" s="1"/>
  <c r="B226" i="9"/>
  <c r="A226" i="9" s="1"/>
  <c r="B225" i="9"/>
  <c r="A225" i="9" s="1"/>
  <c r="B224" i="9"/>
  <c r="A224" i="9" s="1"/>
  <c r="B223" i="9"/>
  <c r="A223" i="9" s="1"/>
  <c r="B222" i="9"/>
  <c r="A222" i="9" s="1"/>
  <c r="B221" i="9"/>
  <c r="A221" i="9" s="1"/>
  <c r="B220" i="9"/>
  <c r="A220" i="9" s="1"/>
  <c r="B219" i="9"/>
  <c r="A219" i="9" s="1"/>
  <c r="B218" i="9"/>
  <c r="A218" i="9" s="1"/>
  <c r="B217" i="9"/>
  <c r="A217" i="9" s="1"/>
  <c r="B216" i="9"/>
  <c r="A216" i="9" s="1"/>
  <c r="B215" i="9"/>
  <c r="A215" i="9" s="1"/>
  <c r="B214" i="9"/>
  <c r="A214" i="9" s="1"/>
  <c r="B213" i="9"/>
  <c r="A213" i="9" s="1"/>
  <c r="B212" i="9"/>
  <c r="A212" i="9" s="1"/>
  <c r="B211" i="9"/>
  <c r="A211" i="9" s="1"/>
  <c r="B210" i="9"/>
  <c r="A210" i="9" s="1"/>
  <c r="B209" i="9"/>
  <c r="A209" i="9" s="1"/>
  <c r="B208" i="9"/>
  <c r="A208" i="9" s="1"/>
  <c r="B207" i="9"/>
  <c r="A207" i="9" s="1"/>
  <c r="B206" i="9"/>
  <c r="A206" i="9" s="1"/>
  <c r="B205" i="9"/>
  <c r="A205" i="9" s="1"/>
  <c r="B204" i="9"/>
  <c r="A204" i="9" s="1"/>
  <c r="B203" i="9"/>
  <c r="A203" i="9" s="1"/>
  <c r="B202" i="9"/>
  <c r="A202" i="9" s="1"/>
  <c r="B201" i="9"/>
  <c r="A201" i="9" s="1"/>
  <c r="B200" i="9"/>
  <c r="A200" i="9" s="1"/>
  <c r="B199" i="9"/>
  <c r="A199" i="9" s="1"/>
  <c r="B198" i="9"/>
  <c r="A198" i="9" s="1"/>
  <c r="B197" i="9"/>
  <c r="A197" i="9" s="1"/>
  <c r="B196" i="9"/>
  <c r="A196" i="9" s="1"/>
  <c r="B195" i="9"/>
  <c r="A195" i="9" s="1"/>
  <c r="B194" i="9"/>
  <c r="A194" i="9" s="1"/>
  <c r="B193" i="9"/>
  <c r="A193" i="9" s="1"/>
  <c r="B192" i="9"/>
  <c r="A192" i="9" s="1"/>
  <c r="B191" i="9"/>
  <c r="A191" i="9" s="1"/>
  <c r="B190" i="9"/>
  <c r="A190" i="9" s="1"/>
  <c r="B189" i="9"/>
  <c r="A189" i="9" s="1"/>
  <c r="B188" i="9"/>
  <c r="A188" i="9" s="1"/>
  <c r="B187" i="9"/>
  <c r="A187" i="9" s="1"/>
  <c r="B186" i="9"/>
  <c r="A186" i="9" s="1"/>
  <c r="B185" i="9"/>
  <c r="A185" i="9" s="1"/>
  <c r="B184" i="9"/>
  <c r="A184" i="9" s="1"/>
  <c r="B183" i="9"/>
  <c r="A183" i="9" s="1"/>
  <c r="B182" i="9"/>
  <c r="A182" i="9" s="1"/>
  <c r="B181" i="9"/>
  <c r="A181" i="9" s="1"/>
  <c r="B180" i="9"/>
  <c r="A180" i="9" s="1"/>
  <c r="B179" i="9"/>
  <c r="A179" i="9" s="1"/>
  <c r="B178" i="9"/>
  <c r="A178" i="9" s="1"/>
  <c r="B177" i="9"/>
  <c r="A177" i="9" s="1"/>
  <c r="B176" i="9"/>
  <c r="A176" i="9" s="1"/>
  <c r="B175" i="9"/>
  <c r="A175" i="9" s="1"/>
  <c r="B174" i="9"/>
  <c r="A174" i="9" s="1"/>
  <c r="B173" i="9"/>
  <c r="A173" i="9" s="1"/>
  <c r="B172" i="9"/>
  <c r="A172" i="9" s="1"/>
  <c r="B171" i="9"/>
  <c r="A171" i="9" s="1"/>
  <c r="B170" i="9"/>
  <c r="A170" i="9" s="1"/>
  <c r="B169" i="9"/>
  <c r="A169" i="9" s="1"/>
  <c r="B168" i="9"/>
  <c r="A168" i="9" s="1"/>
  <c r="B167" i="9"/>
  <c r="A167" i="9" s="1"/>
  <c r="B166" i="9"/>
  <c r="A166" i="9" s="1"/>
  <c r="B165" i="9"/>
  <c r="A165" i="9" s="1"/>
  <c r="B164" i="9"/>
  <c r="A164" i="9" s="1"/>
  <c r="B163" i="9"/>
  <c r="A163" i="9" s="1"/>
  <c r="B162" i="9"/>
  <c r="A162" i="9" s="1"/>
  <c r="B161" i="9"/>
  <c r="A161" i="9" s="1"/>
  <c r="B160" i="9"/>
  <c r="A160" i="9" s="1"/>
  <c r="B159" i="9"/>
  <c r="A159" i="9" s="1"/>
  <c r="B158" i="9"/>
  <c r="A158" i="9" s="1"/>
  <c r="B157" i="9"/>
  <c r="A157" i="9" s="1"/>
  <c r="B156" i="9"/>
  <c r="A156" i="9" s="1"/>
  <c r="B155" i="9"/>
  <c r="A155" i="9" s="1"/>
  <c r="B154" i="9"/>
  <c r="A154" i="9" s="1"/>
  <c r="B153" i="9"/>
  <c r="A153" i="9" s="1"/>
  <c r="B152" i="9"/>
  <c r="A152" i="9" s="1"/>
  <c r="B151" i="9"/>
  <c r="A151" i="9" s="1"/>
  <c r="B150" i="9"/>
  <c r="A150" i="9" s="1"/>
  <c r="B149" i="9"/>
  <c r="A149" i="9" s="1"/>
  <c r="B148" i="9"/>
  <c r="A148" i="9" s="1"/>
  <c r="B147" i="9"/>
  <c r="A147" i="9" s="1"/>
  <c r="B146" i="9"/>
  <c r="A146" i="9" s="1"/>
  <c r="B145" i="9"/>
  <c r="A145" i="9" s="1"/>
  <c r="B144" i="9"/>
  <c r="A144" i="9" s="1"/>
  <c r="B143" i="9"/>
  <c r="A143" i="9" s="1"/>
  <c r="B142" i="9"/>
  <c r="A142" i="9" s="1"/>
  <c r="B141" i="9"/>
  <c r="A141" i="9" s="1"/>
  <c r="B140" i="9"/>
  <c r="A140" i="9" s="1"/>
  <c r="B139" i="9"/>
  <c r="A139" i="9" s="1"/>
  <c r="B138" i="9"/>
  <c r="A138" i="9" s="1"/>
  <c r="B137" i="9"/>
  <c r="A137" i="9" s="1"/>
  <c r="B136" i="9"/>
  <c r="A136" i="9" s="1"/>
  <c r="B135" i="9"/>
  <c r="A135" i="9" s="1"/>
  <c r="B134" i="9"/>
  <c r="A134" i="9" s="1"/>
  <c r="B133" i="9"/>
  <c r="A133" i="9" s="1"/>
  <c r="B132" i="9"/>
  <c r="A132" i="9" s="1"/>
  <c r="B131" i="9"/>
  <c r="A131" i="9" s="1"/>
  <c r="B130" i="9"/>
  <c r="A130" i="9" s="1"/>
  <c r="B129" i="9"/>
  <c r="A129" i="9" s="1"/>
  <c r="B128" i="9"/>
  <c r="A128" i="9" s="1"/>
  <c r="B127" i="9"/>
  <c r="A127" i="9" s="1"/>
  <c r="B126" i="9"/>
  <c r="A126" i="9" s="1"/>
  <c r="B125" i="9"/>
  <c r="A125" i="9" s="1"/>
  <c r="B124" i="9"/>
  <c r="A124" i="9" s="1"/>
  <c r="B123" i="9"/>
  <c r="A123" i="9" s="1"/>
  <c r="B122" i="9"/>
  <c r="A122" i="9" s="1"/>
  <c r="B121" i="9"/>
  <c r="A121" i="9" s="1"/>
  <c r="B120" i="9"/>
  <c r="A120" i="9" s="1"/>
  <c r="B119" i="9"/>
  <c r="A119" i="9" s="1"/>
  <c r="B118" i="9"/>
  <c r="A118" i="9" s="1"/>
  <c r="B117" i="9"/>
  <c r="A117" i="9" s="1"/>
  <c r="B116" i="9"/>
  <c r="A116" i="9" s="1"/>
  <c r="B115" i="9"/>
  <c r="A115" i="9" s="1"/>
  <c r="B114" i="9"/>
  <c r="A114" i="9" s="1"/>
  <c r="B113" i="9"/>
  <c r="A113" i="9" s="1"/>
  <c r="B112" i="9"/>
  <c r="A112" i="9" s="1"/>
  <c r="B111" i="9"/>
  <c r="A111" i="9" s="1"/>
  <c r="B110" i="9"/>
  <c r="A110" i="9" s="1"/>
  <c r="B109" i="9"/>
  <c r="A109" i="9" s="1"/>
  <c r="B108" i="9"/>
  <c r="A108" i="9" s="1"/>
  <c r="B107" i="9"/>
  <c r="A107" i="9" s="1"/>
  <c r="B106" i="9"/>
  <c r="A106" i="9" s="1"/>
  <c r="B105" i="9"/>
  <c r="A105" i="9" s="1"/>
  <c r="B104" i="9"/>
  <c r="A104" i="9" s="1"/>
  <c r="B103" i="9"/>
  <c r="A103" i="9" s="1"/>
  <c r="B102" i="9"/>
  <c r="A102" i="9" s="1"/>
  <c r="B101" i="9"/>
  <c r="A101" i="9" s="1"/>
  <c r="B100" i="9"/>
  <c r="A100" i="9" s="1"/>
  <c r="B99" i="9"/>
  <c r="A99" i="9" s="1"/>
  <c r="B98" i="9"/>
  <c r="A98" i="9" s="1"/>
  <c r="B97" i="9"/>
  <c r="A97" i="9" s="1"/>
  <c r="B96" i="9"/>
  <c r="A96" i="9" s="1"/>
  <c r="B95" i="9"/>
  <c r="A95" i="9" s="1"/>
  <c r="B94" i="9"/>
  <c r="A94" i="9" s="1"/>
  <c r="B93" i="9"/>
  <c r="A93" i="9" s="1"/>
  <c r="B92" i="9"/>
  <c r="A92" i="9" s="1"/>
  <c r="B91" i="9"/>
  <c r="A91" i="9" s="1"/>
  <c r="B90" i="9"/>
  <c r="A90" i="9" s="1"/>
  <c r="B89" i="9"/>
  <c r="A89" i="9" s="1"/>
  <c r="B88" i="9"/>
  <c r="A88" i="9" s="1"/>
  <c r="B87" i="9"/>
  <c r="A87" i="9" s="1"/>
  <c r="B86" i="9"/>
  <c r="A86" i="9" s="1"/>
  <c r="B85" i="9"/>
  <c r="A85" i="9" s="1"/>
  <c r="B84" i="9"/>
  <c r="A84" i="9" s="1"/>
  <c r="B83" i="9"/>
  <c r="A83" i="9" s="1"/>
  <c r="B82" i="9"/>
  <c r="A82" i="9" s="1"/>
  <c r="B81" i="9"/>
  <c r="A81" i="9" s="1"/>
  <c r="B80" i="9"/>
  <c r="A80" i="9" s="1"/>
  <c r="B79" i="9"/>
  <c r="A79" i="9" s="1"/>
  <c r="B78" i="9"/>
  <c r="A78" i="9" s="1"/>
  <c r="B77" i="9"/>
  <c r="A77" i="9" s="1"/>
  <c r="B76" i="9"/>
  <c r="A76" i="9" s="1"/>
  <c r="B75" i="9"/>
  <c r="A75" i="9" s="1"/>
  <c r="B74" i="9"/>
  <c r="A74" i="9" s="1"/>
  <c r="B73" i="9"/>
  <c r="A73" i="9" s="1"/>
  <c r="B72" i="9"/>
  <c r="A72" i="9" s="1"/>
  <c r="B71" i="9"/>
  <c r="A71" i="9" s="1"/>
  <c r="B70" i="9"/>
  <c r="A70" i="9" s="1"/>
  <c r="B69" i="9"/>
  <c r="A69" i="9" s="1"/>
  <c r="B68" i="9"/>
  <c r="A68" i="9" s="1"/>
  <c r="B67" i="9"/>
  <c r="A67" i="9" s="1"/>
  <c r="B66" i="9"/>
  <c r="A66" i="9" s="1"/>
  <c r="B65" i="9"/>
  <c r="A65" i="9" s="1"/>
  <c r="B64" i="9"/>
  <c r="A64" i="9" s="1"/>
  <c r="B63" i="9"/>
  <c r="A63" i="9" s="1"/>
  <c r="B62" i="9"/>
  <c r="A62" i="9" s="1"/>
  <c r="B61" i="9"/>
  <c r="A61" i="9" s="1"/>
  <c r="B60" i="9"/>
  <c r="A60" i="9" s="1"/>
  <c r="B59" i="9"/>
  <c r="A59" i="9" s="1"/>
  <c r="B58" i="9"/>
  <c r="A58" i="9" s="1"/>
  <c r="B57" i="9"/>
  <c r="A57" i="9" s="1"/>
  <c r="B56" i="9"/>
  <c r="A56" i="9" s="1"/>
  <c r="B55" i="9"/>
  <c r="A55" i="9" s="1"/>
  <c r="B54" i="9"/>
  <c r="A54" i="9" s="1"/>
  <c r="B53" i="9"/>
  <c r="A53" i="9" s="1"/>
  <c r="B52" i="9"/>
  <c r="A52" i="9" s="1"/>
  <c r="B51" i="9"/>
  <c r="A51" i="9" s="1"/>
  <c r="B50" i="9"/>
  <c r="A50" i="9" s="1"/>
  <c r="B49" i="9"/>
  <c r="A49" i="9" s="1"/>
  <c r="B48" i="9"/>
  <c r="A48" i="9" s="1"/>
  <c r="B47" i="9"/>
  <c r="A47" i="9" s="1"/>
  <c r="B46" i="9"/>
  <c r="A46" i="9" s="1"/>
  <c r="B45" i="9"/>
  <c r="A45" i="9" s="1"/>
  <c r="B44" i="9"/>
  <c r="A44" i="9" s="1"/>
  <c r="B43" i="9"/>
  <c r="A43" i="9" s="1"/>
  <c r="B42" i="9"/>
  <c r="A42" i="9" s="1"/>
  <c r="B41" i="9"/>
  <c r="A41" i="9" s="1"/>
  <c r="B40" i="9"/>
  <c r="A40" i="9" s="1"/>
  <c r="B39" i="9"/>
  <c r="A39" i="9" s="1"/>
  <c r="B38" i="9"/>
  <c r="A38" i="9" s="1"/>
  <c r="B37" i="9"/>
  <c r="A37" i="9" s="1"/>
  <c r="B36" i="9"/>
  <c r="A36" i="9" s="1"/>
  <c r="B35" i="9"/>
  <c r="A35" i="9" s="1"/>
  <c r="B34" i="9"/>
  <c r="A34" i="9" s="1"/>
  <c r="B33" i="9"/>
  <c r="A33" i="9" s="1"/>
  <c r="B32" i="9"/>
  <c r="A32" i="9" s="1"/>
  <c r="B31" i="9"/>
  <c r="A31" i="9" s="1"/>
  <c r="B30" i="9"/>
  <c r="A30" i="9" s="1"/>
  <c r="B29" i="9"/>
  <c r="A29" i="9" s="1"/>
  <c r="B28" i="9"/>
  <c r="A28" i="9" s="1"/>
  <c r="B27" i="9"/>
  <c r="A27" i="9" s="1"/>
  <c r="B26" i="9"/>
  <c r="A26" i="9" s="1"/>
  <c r="B25" i="9"/>
  <c r="A25" i="9" s="1"/>
  <c r="B24" i="9"/>
  <c r="A24" i="9" s="1"/>
  <c r="B23" i="9"/>
  <c r="A23" i="9" s="1"/>
  <c r="B22" i="9"/>
  <c r="A22" i="9" s="1"/>
  <c r="B21" i="9"/>
  <c r="A21" i="9" s="1"/>
  <c r="B20" i="9"/>
  <c r="A20" i="9" s="1"/>
  <c r="B19" i="9"/>
  <c r="A19" i="9" s="1"/>
  <c r="B18" i="9"/>
  <c r="A18" i="9" s="1"/>
  <c r="B17" i="9"/>
  <c r="A17" i="9" s="1"/>
  <c r="B16" i="9"/>
  <c r="A16" i="9" s="1"/>
  <c r="B15" i="9"/>
  <c r="A15" i="9" s="1"/>
  <c r="B14" i="9"/>
  <c r="A14" i="9" s="1"/>
  <c r="B13" i="9"/>
  <c r="A13" i="9" s="1"/>
  <c r="B12" i="9"/>
  <c r="A12" i="9" s="1"/>
  <c r="B11" i="9"/>
  <c r="A11" i="9" s="1"/>
  <c r="B10" i="9"/>
  <c r="A10" i="9" s="1"/>
  <c r="B9" i="9"/>
  <c r="A9" i="9" s="1"/>
  <c r="B8" i="9"/>
  <c r="A8" i="9" s="1"/>
  <c r="B7" i="9"/>
  <c r="A7" i="9" s="1"/>
  <c r="B6" i="9"/>
  <c r="A6" i="9" s="1"/>
  <c r="B5" i="9"/>
  <c r="A5" i="9" s="1"/>
  <c r="B4" i="9"/>
  <c r="A4" i="9" s="1"/>
  <c r="J731" i="9"/>
  <c r="L731" i="9" s="1"/>
  <c r="J730" i="9"/>
  <c r="J729" i="9"/>
  <c r="L729" i="9" s="1"/>
  <c r="J728" i="9"/>
  <c r="J727" i="9"/>
  <c r="J726" i="9"/>
  <c r="J725" i="9"/>
  <c r="J724" i="9"/>
  <c r="J723" i="9"/>
  <c r="J722" i="9"/>
  <c r="J721" i="9"/>
  <c r="J720" i="9"/>
  <c r="J719" i="9"/>
  <c r="J718" i="9"/>
  <c r="J717" i="9"/>
  <c r="J716" i="9"/>
  <c r="J715" i="9"/>
  <c r="J713" i="9"/>
  <c r="J712" i="9"/>
  <c r="J711" i="9"/>
  <c r="J710" i="9"/>
  <c r="J709" i="9"/>
  <c r="J708" i="9"/>
  <c r="J707" i="9"/>
  <c r="J706" i="9"/>
  <c r="J705" i="9"/>
  <c r="J704" i="9"/>
  <c r="J703" i="9"/>
  <c r="J702" i="9"/>
  <c r="J701" i="9"/>
  <c r="J700" i="9"/>
  <c r="J699" i="9"/>
  <c r="J698" i="9"/>
  <c r="J697" i="9"/>
  <c r="J696" i="9"/>
  <c r="J695" i="9"/>
  <c r="J694" i="9"/>
  <c r="J693" i="9"/>
  <c r="J692" i="9"/>
  <c r="J691" i="9"/>
  <c r="J690" i="9"/>
  <c r="J689" i="9"/>
  <c r="J688" i="9"/>
  <c r="J687" i="9"/>
  <c r="J686" i="9"/>
  <c r="J685" i="9"/>
  <c r="J684" i="9"/>
  <c r="J683" i="9"/>
  <c r="J682" i="9"/>
  <c r="J681" i="9"/>
  <c r="J680" i="9"/>
  <c r="J679" i="9"/>
  <c r="J678" i="9"/>
  <c r="J677" i="9"/>
  <c r="J676" i="9"/>
  <c r="J675" i="9"/>
  <c r="J674" i="9"/>
  <c r="J673" i="9"/>
  <c r="J672" i="9"/>
  <c r="J671" i="9"/>
  <c r="J670" i="9"/>
  <c r="J669" i="9"/>
  <c r="J668" i="9"/>
  <c r="J667" i="9"/>
  <c r="J666" i="9"/>
  <c r="J665" i="9"/>
  <c r="J664" i="9"/>
  <c r="J663" i="9"/>
  <c r="J662" i="9"/>
  <c r="J661" i="9"/>
  <c r="J660" i="9"/>
  <c r="J659" i="9"/>
  <c r="J658" i="9"/>
  <c r="J657" i="9"/>
  <c r="J656" i="9"/>
  <c r="J655" i="9"/>
  <c r="J654" i="9"/>
  <c r="J653" i="9"/>
  <c r="J652" i="9"/>
  <c r="J651" i="9"/>
  <c r="J650" i="9"/>
  <c r="J649" i="9"/>
  <c r="J648" i="9"/>
  <c r="J647" i="9"/>
  <c r="J646" i="9"/>
  <c r="J645" i="9"/>
  <c r="J644" i="9"/>
  <c r="J643" i="9"/>
  <c r="J642" i="9"/>
  <c r="J641" i="9"/>
  <c r="J640" i="9"/>
  <c r="J639" i="9"/>
  <c r="J638" i="9"/>
  <c r="J637" i="9"/>
  <c r="J636" i="9"/>
  <c r="J635" i="9"/>
  <c r="J634" i="9"/>
  <c r="J633" i="9"/>
  <c r="J632" i="9"/>
  <c r="J631" i="9"/>
  <c r="J630" i="9"/>
  <c r="J629" i="9"/>
  <c r="J628" i="9"/>
  <c r="J627" i="9"/>
  <c r="J626" i="9"/>
  <c r="J625" i="9"/>
  <c r="J624" i="9"/>
  <c r="J623" i="9"/>
  <c r="J622" i="9"/>
  <c r="J621" i="9"/>
  <c r="J620" i="9"/>
  <c r="J619" i="9"/>
  <c r="J618" i="9"/>
  <c r="J617" i="9"/>
  <c r="J616" i="9"/>
  <c r="J615" i="9"/>
  <c r="J614" i="9"/>
  <c r="J613" i="9"/>
  <c r="J612" i="9"/>
  <c r="J611" i="9"/>
  <c r="J610" i="9"/>
  <c r="J609" i="9"/>
  <c r="J608" i="9"/>
  <c r="J607" i="9"/>
  <c r="J606" i="9"/>
  <c r="J605" i="9"/>
  <c r="J604" i="9"/>
  <c r="J603" i="9"/>
  <c r="J602" i="9"/>
  <c r="J601" i="9"/>
  <c r="J600" i="9"/>
  <c r="J599" i="9"/>
  <c r="J598" i="9"/>
  <c r="J597" i="9"/>
  <c r="J596" i="9"/>
  <c r="J595" i="9"/>
  <c r="J594" i="9"/>
  <c r="J593" i="9"/>
  <c r="J592" i="9"/>
  <c r="J591" i="9"/>
  <c r="J590" i="9"/>
  <c r="J589" i="9"/>
  <c r="J588" i="9"/>
  <c r="J587" i="9"/>
  <c r="J586" i="9"/>
  <c r="J585" i="9"/>
  <c r="J584" i="9"/>
  <c r="J583" i="9"/>
  <c r="J582" i="9"/>
  <c r="J581" i="9"/>
  <c r="J580" i="9"/>
  <c r="J579" i="9"/>
  <c r="J578" i="9"/>
  <c r="J577" i="9"/>
  <c r="J576" i="9"/>
  <c r="J575" i="9"/>
  <c r="J574" i="9"/>
  <c r="J573" i="9"/>
  <c r="J572" i="9"/>
  <c r="J571" i="9"/>
  <c r="J570" i="9"/>
  <c r="J569" i="9"/>
  <c r="J568" i="9"/>
  <c r="J567" i="9"/>
  <c r="J566" i="9"/>
  <c r="J565" i="9"/>
  <c r="J564" i="9"/>
  <c r="J563" i="9"/>
  <c r="J562" i="9"/>
  <c r="J561" i="9"/>
  <c r="J560" i="9"/>
  <c r="J559" i="9"/>
  <c r="J558" i="9"/>
  <c r="J557" i="9"/>
  <c r="J556" i="9"/>
  <c r="J555" i="9"/>
  <c r="J554" i="9"/>
  <c r="J553" i="9"/>
  <c r="J552" i="9"/>
  <c r="J551" i="9"/>
  <c r="J550" i="9"/>
  <c r="J549" i="9"/>
  <c r="J548" i="9"/>
  <c r="J547" i="9"/>
  <c r="J546" i="9"/>
  <c r="J545" i="9"/>
  <c r="J544" i="9"/>
  <c r="J543" i="9"/>
  <c r="J542" i="9"/>
  <c r="J541" i="9"/>
  <c r="J540" i="9"/>
  <c r="J539" i="9"/>
  <c r="J538" i="9"/>
  <c r="J537" i="9"/>
  <c r="J536" i="9"/>
  <c r="J535" i="9"/>
  <c r="J534" i="9"/>
  <c r="J533" i="9"/>
  <c r="J532" i="9"/>
  <c r="J531" i="9"/>
  <c r="J530" i="9"/>
  <c r="J529" i="9"/>
  <c r="J528" i="9"/>
  <c r="J527" i="9"/>
  <c r="J526" i="9"/>
  <c r="J525" i="9"/>
  <c r="J524" i="9"/>
  <c r="J523" i="9"/>
  <c r="J522" i="9"/>
  <c r="J521" i="9"/>
  <c r="J520" i="9"/>
  <c r="J519" i="9"/>
  <c r="J518" i="9"/>
  <c r="J517" i="9"/>
  <c r="J516" i="9"/>
  <c r="J515" i="9"/>
  <c r="J514" i="9"/>
  <c r="J513" i="9"/>
  <c r="J512" i="9"/>
  <c r="J511" i="9"/>
  <c r="J510" i="9"/>
  <c r="J509" i="9"/>
  <c r="J508" i="9"/>
  <c r="J507" i="9"/>
  <c r="J506" i="9"/>
  <c r="J505" i="9"/>
  <c r="J504" i="9"/>
  <c r="J503" i="9"/>
  <c r="J502" i="9"/>
  <c r="J501" i="9"/>
  <c r="J500" i="9"/>
  <c r="J499" i="9"/>
  <c r="J498" i="9"/>
  <c r="J497" i="9"/>
  <c r="J496" i="9"/>
  <c r="J495" i="9"/>
  <c r="J494" i="9"/>
  <c r="J493" i="9"/>
  <c r="J492" i="9"/>
  <c r="J491" i="9"/>
  <c r="J490" i="9"/>
  <c r="J489" i="9"/>
  <c r="J488" i="9"/>
  <c r="J487" i="9"/>
  <c r="J486" i="9"/>
  <c r="J485" i="9"/>
  <c r="J484" i="9"/>
  <c r="J483" i="9"/>
  <c r="J482" i="9"/>
  <c r="J480" i="9"/>
  <c r="J479" i="9"/>
  <c r="J478" i="9"/>
  <c r="J477" i="9"/>
  <c r="J476" i="9"/>
  <c r="J475" i="9"/>
  <c r="J474" i="9"/>
  <c r="J473" i="9"/>
  <c r="J472" i="9"/>
  <c r="J471" i="9"/>
  <c r="J470" i="9"/>
  <c r="J469" i="9"/>
  <c r="J468" i="9"/>
  <c r="J467" i="9"/>
  <c r="J466" i="9"/>
  <c r="J465" i="9"/>
  <c r="J464" i="9"/>
  <c r="J463" i="9"/>
  <c r="J462" i="9"/>
  <c r="J461" i="9"/>
  <c r="J460" i="9"/>
  <c r="J459" i="9"/>
  <c r="J458" i="9"/>
  <c r="J457" i="9"/>
  <c r="J456" i="9"/>
  <c r="J455" i="9"/>
  <c r="J454" i="9"/>
  <c r="J453" i="9"/>
  <c r="J452" i="9"/>
  <c r="J451" i="9"/>
  <c r="J450" i="9"/>
  <c r="J449" i="9"/>
  <c r="J448" i="9"/>
  <c r="J447" i="9"/>
  <c r="J446" i="9"/>
  <c r="J445" i="9"/>
  <c r="J444" i="9"/>
  <c r="J443" i="9"/>
  <c r="J442" i="9"/>
  <c r="J441" i="9"/>
  <c r="J440" i="9"/>
  <c r="J439" i="9"/>
  <c r="J438" i="9"/>
  <c r="J437" i="9"/>
  <c r="J436" i="9"/>
  <c r="J435" i="9"/>
  <c r="J434" i="9"/>
  <c r="J433" i="9"/>
  <c r="J432" i="9"/>
  <c r="J431" i="9"/>
  <c r="J430" i="9"/>
  <c r="J429" i="9"/>
  <c r="J428" i="9"/>
  <c r="J427" i="9"/>
  <c r="J426" i="9"/>
  <c r="J425" i="9"/>
  <c r="J424" i="9"/>
  <c r="J423" i="9"/>
  <c r="J422" i="9"/>
  <c r="J421" i="9"/>
  <c r="J420" i="9"/>
  <c r="J419" i="9"/>
  <c r="J418" i="9"/>
  <c r="J417" i="9"/>
  <c r="J416" i="9"/>
  <c r="J415" i="9"/>
  <c r="J414" i="9"/>
  <c r="J413" i="9"/>
  <c r="J412" i="9"/>
  <c r="J411" i="9"/>
  <c r="J410" i="9"/>
  <c r="J409" i="9"/>
  <c r="J408" i="9"/>
  <c r="J407" i="9"/>
  <c r="J406" i="9"/>
  <c r="J405" i="9"/>
  <c r="J404" i="9"/>
  <c r="J403" i="9"/>
  <c r="J402" i="9"/>
  <c r="J401" i="9"/>
  <c r="J400" i="9"/>
  <c r="J399" i="9"/>
  <c r="J398" i="9"/>
  <c r="J397" i="9"/>
  <c r="J396" i="9"/>
  <c r="J395" i="9"/>
  <c r="J394" i="9"/>
  <c r="J393" i="9"/>
  <c r="J392" i="9"/>
  <c r="J391" i="9"/>
  <c r="J390" i="9"/>
  <c r="J389" i="9"/>
  <c r="J388" i="9"/>
  <c r="J387" i="9"/>
  <c r="J386" i="9"/>
  <c r="J385" i="9"/>
  <c r="J384" i="9"/>
  <c r="J383" i="9"/>
  <c r="J382" i="9"/>
  <c r="J381" i="9"/>
  <c r="J380" i="9"/>
  <c r="J379" i="9"/>
  <c r="J378" i="9"/>
  <c r="J377" i="9"/>
  <c r="J376" i="9"/>
  <c r="J375" i="9"/>
  <c r="J374" i="9"/>
  <c r="J373" i="9"/>
  <c r="J372" i="9"/>
  <c r="J371" i="9"/>
  <c r="J370" i="9"/>
  <c r="J369" i="9"/>
  <c r="J368" i="9"/>
  <c r="J367" i="9"/>
  <c r="J366" i="9"/>
  <c r="J365" i="9"/>
  <c r="J364" i="9"/>
  <c r="J363" i="9"/>
  <c r="J362" i="9"/>
  <c r="J361" i="9"/>
  <c r="J360" i="9"/>
  <c r="J359" i="9"/>
  <c r="J358" i="9"/>
  <c r="J357" i="9"/>
  <c r="J356" i="9"/>
  <c r="J355" i="9"/>
  <c r="J354" i="9"/>
  <c r="J353" i="9"/>
  <c r="J352" i="9"/>
  <c r="J351" i="9"/>
  <c r="J350" i="9"/>
  <c r="J349" i="9"/>
  <c r="J348" i="9"/>
  <c r="J347" i="9"/>
  <c r="J346" i="9"/>
  <c r="J345" i="9"/>
  <c r="J344" i="9"/>
  <c r="J343" i="9"/>
  <c r="J342" i="9"/>
  <c r="J341" i="9"/>
  <c r="J340" i="9"/>
  <c r="J339" i="9"/>
  <c r="J338" i="9"/>
  <c r="J337" i="9"/>
  <c r="J336" i="9"/>
  <c r="J335" i="9"/>
  <c r="J334" i="9"/>
  <c r="J333" i="9"/>
  <c r="J332" i="9"/>
  <c r="J331" i="9"/>
  <c r="J330" i="9"/>
  <c r="J329" i="9"/>
  <c r="J328" i="9"/>
  <c r="J327" i="9"/>
  <c r="J326" i="9"/>
  <c r="J325" i="9"/>
  <c r="J324" i="9"/>
  <c r="J323" i="9"/>
  <c r="J322" i="9"/>
  <c r="J321" i="9"/>
  <c r="J320" i="9"/>
  <c r="J319" i="9"/>
  <c r="J318" i="9"/>
  <c r="J317" i="9"/>
  <c r="J316" i="9"/>
  <c r="J315" i="9"/>
  <c r="J314" i="9"/>
  <c r="J313" i="9"/>
  <c r="J312" i="9"/>
  <c r="J311" i="9"/>
  <c r="J310" i="9"/>
  <c r="J309" i="9"/>
  <c r="J308" i="9"/>
  <c r="J307" i="9"/>
  <c r="J306" i="9"/>
  <c r="J305" i="9"/>
  <c r="J304" i="9"/>
  <c r="J303" i="9"/>
  <c r="J302" i="9"/>
  <c r="J301" i="9"/>
  <c r="J300" i="9"/>
  <c r="J299" i="9"/>
  <c r="J298" i="9"/>
  <c r="J297" i="9"/>
  <c r="J296" i="9"/>
  <c r="J295" i="9"/>
  <c r="J294" i="9"/>
  <c r="J293" i="9"/>
  <c r="J292" i="9"/>
  <c r="J291" i="9"/>
  <c r="J290" i="9"/>
  <c r="J289" i="9"/>
  <c r="J288" i="9"/>
  <c r="J287" i="9"/>
  <c r="J286" i="9"/>
  <c r="J285" i="9"/>
  <c r="J284" i="9"/>
  <c r="J283" i="9"/>
  <c r="J282" i="9"/>
  <c r="J281" i="9"/>
  <c r="J280" i="9"/>
  <c r="J279" i="9"/>
  <c r="J278" i="9"/>
  <c r="J277" i="9"/>
  <c r="J276" i="9"/>
  <c r="J275" i="9"/>
  <c r="J274" i="9"/>
  <c r="J273" i="9"/>
  <c r="J272" i="9"/>
  <c r="J271" i="9"/>
  <c r="J270" i="9"/>
  <c r="J269" i="9"/>
  <c r="J268" i="9"/>
  <c r="J267" i="9"/>
  <c r="J266" i="9"/>
  <c r="J265" i="9"/>
  <c r="J264" i="9"/>
  <c r="J263" i="9"/>
  <c r="J262" i="9"/>
  <c r="J261" i="9"/>
  <c r="J260" i="9"/>
  <c r="J259" i="9"/>
  <c r="J258" i="9"/>
  <c r="J257" i="9"/>
  <c r="J256" i="9"/>
  <c r="J255" i="9"/>
  <c r="J254" i="9"/>
  <c r="J253" i="9"/>
  <c r="J252" i="9"/>
  <c r="J251" i="9"/>
  <c r="J250" i="9"/>
  <c r="J249" i="9"/>
  <c r="J248" i="9"/>
  <c r="J247" i="9"/>
  <c r="J246" i="9"/>
  <c r="J245" i="9"/>
  <c r="J244" i="9"/>
  <c r="J243" i="9"/>
  <c r="J242" i="9"/>
  <c r="J241" i="9"/>
  <c r="J240" i="9"/>
  <c r="J239" i="9"/>
  <c r="J238" i="9"/>
  <c r="J237" i="9"/>
  <c r="J236" i="9"/>
  <c r="J235" i="9"/>
  <c r="J234" i="9"/>
  <c r="J233" i="9"/>
  <c r="J232" i="9"/>
  <c r="J231" i="9"/>
  <c r="J230" i="9"/>
  <c r="J229" i="9"/>
  <c r="J228" i="9"/>
  <c r="J227" i="9"/>
  <c r="J226" i="9"/>
  <c r="J225" i="9"/>
  <c r="J224" i="9"/>
  <c r="J223" i="9"/>
  <c r="J222" i="9"/>
  <c r="J221" i="9"/>
  <c r="J220" i="9"/>
  <c r="J219" i="9"/>
  <c r="J218" i="9"/>
  <c r="J217" i="9"/>
  <c r="J216" i="9"/>
  <c r="J215" i="9"/>
  <c r="J214" i="9"/>
  <c r="J213" i="9"/>
  <c r="J212" i="9"/>
  <c r="J211" i="9"/>
  <c r="J210" i="9"/>
  <c r="J209" i="9"/>
  <c r="J208" i="9"/>
  <c r="J207" i="9"/>
  <c r="J206" i="9"/>
  <c r="J205" i="9"/>
  <c r="J204" i="9"/>
  <c r="J203" i="9"/>
  <c r="J202" i="9"/>
  <c r="J201" i="9"/>
  <c r="J200" i="9"/>
  <c r="J199" i="9"/>
  <c r="J198" i="9"/>
  <c r="J197" i="9"/>
  <c r="J196" i="9"/>
  <c r="J195" i="9"/>
  <c r="J194" i="9"/>
  <c r="J193" i="9"/>
  <c r="J192" i="9"/>
  <c r="J191" i="9"/>
  <c r="J190" i="9"/>
  <c r="J189" i="9"/>
  <c r="J188" i="9"/>
  <c r="J187" i="9"/>
  <c r="J186" i="9"/>
  <c r="J185" i="9"/>
  <c r="J184" i="9"/>
  <c r="J183" i="9"/>
  <c r="J182" i="9"/>
  <c r="J181" i="9"/>
  <c r="J180" i="9"/>
  <c r="J179" i="9"/>
  <c r="J178" i="9"/>
  <c r="J177" i="9"/>
  <c r="J176" i="9"/>
  <c r="J175" i="9"/>
  <c r="J174" i="9"/>
  <c r="J173" i="9"/>
  <c r="J172" i="9"/>
  <c r="J171" i="9"/>
  <c r="J170" i="9"/>
  <c r="J169" i="9"/>
  <c r="J168" i="9"/>
  <c r="J167" i="9"/>
  <c r="J166" i="9"/>
  <c r="J165" i="9"/>
  <c r="J164" i="9"/>
  <c r="J163" i="9"/>
  <c r="J162" i="9"/>
  <c r="J161" i="9"/>
  <c r="J160" i="9"/>
  <c r="J159" i="9"/>
  <c r="J158" i="9"/>
  <c r="J157" i="9"/>
  <c r="J156" i="9"/>
  <c r="J155" i="9"/>
  <c r="J154" i="9"/>
  <c r="J153" i="9"/>
  <c r="J152" i="9"/>
  <c r="J151" i="9"/>
  <c r="J150" i="9"/>
  <c r="J149" i="9"/>
  <c r="J148" i="9"/>
  <c r="J147" i="9"/>
  <c r="J146" i="9"/>
  <c r="J145" i="9"/>
  <c r="J144" i="9"/>
  <c r="J143" i="9"/>
  <c r="J142" i="9"/>
  <c r="J141" i="9"/>
  <c r="J140" i="9"/>
  <c r="J139" i="9"/>
  <c r="J138" i="9"/>
  <c r="J137" i="9"/>
  <c r="J136" i="9"/>
  <c r="J135" i="9"/>
  <c r="J134" i="9"/>
  <c r="J133" i="9"/>
  <c r="J132" i="9"/>
  <c r="J131" i="9"/>
  <c r="J130" i="9"/>
  <c r="J129" i="9"/>
  <c r="J128" i="9"/>
  <c r="J127" i="9"/>
  <c r="J126" i="9"/>
  <c r="J125" i="9"/>
  <c r="J124" i="9"/>
  <c r="J123" i="9"/>
  <c r="J122" i="9"/>
  <c r="J121" i="9"/>
  <c r="J120" i="9"/>
  <c r="J119" i="9"/>
  <c r="J118" i="9"/>
  <c r="J117" i="9"/>
  <c r="J116" i="9"/>
  <c r="J115" i="9"/>
  <c r="J114" i="9"/>
  <c r="J113" i="9"/>
  <c r="J112" i="9"/>
  <c r="J111" i="9"/>
  <c r="J110" i="9"/>
  <c r="J109" i="9"/>
  <c r="J108" i="9"/>
  <c r="J107" i="9"/>
  <c r="J106" i="9"/>
  <c r="J105" i="9"/>
  <c r="J104" i="9"/>
  <c r="J103" i="9"/>
  <c r="J102" i="9"/>
  <c r="J101" i="9"/>
  <c r="J100" i="9"/>
  <c r="J99" i="9"/>
  <c r="J98" i="9"/>
  <c r="J97" i="9"/>
  <c r="J96" i="9"/>
  <c r="J95" i="9"/>
  <c r="J94" i="9"/>
  <c r="J93" i="9"/>
  <c r="J92" i="9"/>
  <c r="J91" i="9"/>
  <c r="J90" i="9"/>
  <c r="J89" i="9"/>
  <c r="J88" i="9"/>
  <c r="J87" i="9"/>
  <c r="J86" i="9"/>
  <c r="J85" i="9"/>
  <c r="J84" i="9"/>
  <c r="J83" i="9"/>
  <c r="J82" i="9"/>
  <c r="J81" i="9"/>
  <c r="J80" i="9"/>
  <c r="J79" i="9"/>
  <c r="J78" i="9"/>
  <c r="J77" i="9"/>
  <c r="J76" i="9"/>
  <c r="J75" i="9"/>
  <c r="J74" i="9"/>
  <c r="J73" i="9"/>
  <c r="J72" i="9"/>
  <c r="J71" i="9"/>
  <c r="J70" i="9"/>
  <c r="J69" i="9"/>
  <c r="J68" i="9"/>
  <c r="J67" i="9"/>
  <c r="J66" i="9"/>
  <c r="J65" i="9"/>
  <c r="J64" i="9"/>
  <c r="J63" i="9"/>
  <c r="J62" i="9"/>
  <c r="J61" i="9"/>
  <c r="J60" i="9"/>
  <c r="J59" i="9"/>
  <c r="J58" i="9"/>
  <c r="J57" i="9"/>
  <c r="J56" i="9"/>
  <c r="J55" i="9"/>
  <c r="J54" i="9"/>
  <c r="J53" i="9"/>
  <c r="J52" i="9"/>
  <c r="J51" i="9"/>
  <c r="J50" i="9"/>
  <c r="J49" i="9"/>
  <c r="J48" i="9"/>
  <c r="J47" i="9"/>
  <c r="J46" i="9"/>
  <c r="J45" i="9"/>
  <c r="J44" i="9"/>
  <c r="J43" i="9"/>
  <c r="J42" i="9"/>
  <c r="J41" i="9"/>
  <c r="J40" i="9"/>
  <c r="J39" i="9"/>
  <c r="J38" i="9"/>
  <c r="J37" i="9"/>
  <c r="J36" i="9"/>
  <c r="J35" i="9"/>
  <c r="J34" i="9"/>
  <c r="J33" i="9"/>
  <c r="J32" i="9"/>
  <c r="J31" i="9"/>
  <c r="J30" i="9"/>
  <c r="J29" i="9"/>
  <c r="J28" i="9"/>
  <c r="J27" i="9"/>
  <c r="J26" i="9"/>
  <c r="J25" i="9"/>
  <c r="J24" i="9"/>
  <c r="J23" i="9"/>
  <c r="J22" i="9"/>
  <c r="J21" i="9"/>
  <c r="J20" i="9"/>
  <c r="J19" i="9"/>
  <c r="J18" i="9"/>
  <c r="J17" i="9"/>
  <c r="J16" i="9"/>
  <c r="J15" i="9"/>
  <c r="J14" i="9"/>
  <c r="J13" i="9"/>
  <c r="J12" i="9"/>
  <c r="J11" i="9"/>
  <c r="J10" i="9"/>
  <c r="J9" i="9"/>
  <c r="J8" i="9"/>
  <c r="J7" i="9"/>
  <c r="J6" i="9"/>
  <c r="J5" i="9"/>
  <c r="J4" i="9"/>
  <c r="J3" i="9"/>
  <c r="L3" i="9" s="1"/>
  <c r="H514" i="8"/>
  <c r="H513" i="8"/>
  <c r="H512" i="8"/>
  <c r="H511" i="8"/>
  <c r="H510" i="8"/>
  <c r="H509" i="8"/>
  <c r="H508" i="8"/>
  <c r="H507" i="8"/>
  <c r="H506" i="8"/>
  <c r="H505" i="8"/>
  <c r="H504" i="8"/>
  <c r="H503" i="8"/>
  <c r="H502" i="8"/>
  <c r="H501" i="8"/>
  <c r="H500" i="8"/>
  <c r="H499" i="8"/>
  <c r="H498" i="8"/>
  <c r="H497" i="8"/>
  <c r="H496" i="8"/>
  <c r="H495" i="8"/>
  <c r="H494" i="8"/>
  <c r="H493" i="8"/>
  <c r="H492" i="8"/>
  <c r="H491" i="8"/>
  <c r="H490" i="8"/>
  <c r="H489" i="8"/>
  <c r="H488" i="8"/>
  <c r="H487" i="8"/>
  <c r="H486" i="8"/>
  <c r="H485" i="8"/>
  <c r="H484" i="8"/>
  <c r="H483" i="8"/>
  <c r="H482" i="8"/>
  <c r="H481" i="8"/>
  <c r="H480" i="8"/>
  <c r="H479" i="8"/>
  <c r="H478" i="8"/>
  <c r="H477" i="8"/>
  <c r="H476" i="8"/>
  <c r="H475" i="8"/>
  <c r="H474" i="8"/>
  <c r="H473" i="8"/>
  <c r="H472" i="8"/>
  <c r="H471" i="8"/>
  <c r="H470" i="8"/>
  <c r="H469" i="8"/>
  <c r="H468" i="8"/>
  <c r="H467" i="8"/>
  <c r="H466" i="8"/>
  <c r="H465" i="8"/>
  <c r="H463" i="8"/>
  <c r="H462" i="8"/>
  <c r="H461" i="8"/>
  <c r="H460" i="8"/>
  <c r="H459" i="8"/>
  <c r="H458" i="8"/>
  <c r="H457" i="8"/>
  <c r="H456" i="8"/>
  <c r="H455" i="8"/>
  <c r="H454" i="8"/>
  <c r="H453" i="8"/>
  <c r="H452" i="8"/>
  <c r="H451" i="8"/>
  <c r="H450" i="8"/>
  <c r="H449" i="8"/>
  <c r="H448" i="8"/>
  <c r="H447" i="8"/>
  <c r="H446" i="8"/>
  <c r="H445" i="8"/>
  <c r="H444" i="8"/>
  <c r="H443" i="8"/>
  <c r="H442" i="8"/>
  <c r="H441" i="8"/>
  <c r="H440" i="8"/>
  <c r="H439" i="8"/>
  <c r="H438" i="8"/>
  <c r="H437" i="8"/>
  <c r="H436" i="8"/>
  <c r="H435" i="8"/>
  <c r="H434" i="8"/>
  <c r="H433" i="8"/>
  <c r="H432" i="8"/>
  <c r="H431" i="8"/>
  <c r="H430" i="8"/>
  <c r="H429" i="8"/>
  <c r="H428" i="8"/>
  <c r="H427" i="8"/>
  <c r="H426" i="8"/>
  <c r="H425" i="8"/>
  <c r="H424" i="8"/>
  <c r="H423" i="8"/>
  <c r="H422" i="8"/>
  <c r="H421" i="8"/>
  <c r="H420" i="8"/>
  <c r="H419" i="8"/>
  <c r="H418" i="8"/>
  <c r="H417" i="8"/>
  <c r="H416" i="8"/>
  <c r="H415" i="8"/>
  <c r="H414" i="8"/>
  <c r="H413" i="8"/>
  <c r="H412" i="8"/>
  <c r="H411" i="8"/>
  <c r="H410" i="8"/>
  <c r="H409" i="8"/>
  <c r="H408" i="8"/>
  <c r="H407" i="8"/>
  <c r="H406" i="8"/>
  <c r="H405" i="8"/>
  <c r="H404" i="8"/>
  <c r="H403" i="8"/>
  <c r="H402" i="8"/>
  <c r="H401" i="8"/>
  <c r="H400" i="8"/>
  <c r="H399" i="8"/>
  <c r="H398" i="8"/>
  <c r="H397" i="8"/>
  <c r="H396" i="8"/>
  <c r="H395" i="8"/>
  <c r="H394" i="8"/>
  <c r="H393" i="8"/>
  <c r="H392" i="8"/>
  <c r="H391" i="8"/>
  <c r="H390" i="8"/>
  <c r="H389" i="8"/>
  <c r="H388" i="8"/>
  <c r="H386" i="8"/>
  <c r="H385" i="8"/>
  <c r="H384" i="8"/>
  <c r="H383" i="8"/>
  <c r="H381" i="8"/>
  <c r="H380" i="8"/>
  <c r="H379" i="8"/>
  <c r="H378" i="8"/>
  <c r="H377" i="8"/>
  <c r="H376" i="8"/>
  <c r="H375" i="8"/>
  <c r="H374" i="8"/>
  <c r="H373" i="8"/>
  <c r="H372" i="8"/>
  <c r="H371" i="8"/>
  <c r="H370" i="8"/>
  <c r="H369" i="8"/>
  <c r="H368" i="8"/>
  <c r="H367" i="8"/>
  <c r="H366" i="8"/>
  <c r="H365" i="8"/>
  <c r="H364" i="8"/>
  <c r="H363" i="8"/>
  <c r="H362" i="8"/>
  <c r="H361" i="8"/>
  <c r="H360" i="8"/>
  <c r="H359" i="8"/>
  <c r="H358" i="8"/>
  <c r="H357" i="8"/>
  <c r="H356" i="8"/>
  <c r="H355" i="8"/>
  <c r="H354" i="8"/>
  <c r="H353" i="8"/>
  <c r="H352" i="8"/>
  <c r="H351" i="8"/>
  <c r="H350" i="8"/>
  <c r="H349" i="8"/>
  <c r="H348" i="8"/>
  <c r="H347" i="8"/>
  <c r="H346" i="8"/>
  <c r="H345" i="8"/>
  <c r="H344" i="8"/>
  <c r="H343" i="8"/>
  <c r="H342" i="8"/>
  <c r="H341" i="8"/>
  <c r="H340" i="8"/>
  <c r="H339" i="8"/>
  <c r="H337" i="8"/>
  <c r="H336" i="8"/>
  <c r="H335" i="8"/>
  <c r="H334" i="8"/>
  <c r="H333" i="8"/>
  <c r="H332" i="8"/>
  <c r="H331" i="8"/>
  <c r="H330" i="8"/>
  <c r="H329" i="8"/>
  <c r="H328" i="8"/>
  <c r="H327" i="8"/>
  <c r="H326" i="8"/>
  <c r="H325" i="8"/>
  <c r="H324" i="8"/>
  <c r="H323" i="8"/>
  <c r="H322" i="8"/>
  <c r="H321" i="8"/>
  <c r="H320" i="8"/>
  <c r="H319" i="8"/>
  <c r="H317" i="8"/>
  <c r="H316" i="8"/>
  <c r="H315" i="8"/>
  <c r="H314" i="8"/>
  <c r="H313" i="8"/>
  <c r="H312" i="8"/>
  <c r="H311" i="8"/>
  <c r="H310" i="8"/>
  <c r="H309" i="8"/>
  <c r="H308" i="8"/>
  <c r="H307" i="8"/>
  <c r="H306" i="8"/>
  <c r="H305" i="8"/>
  <c r="H304" i="8"/>
  <c r="H303" i="8"/>
  <c r="H302" i="8"/>
  <c r="H301" i="8"/>
  <c r="H300" i="8"/>
  <c r="H299" i="8"/>
  <c r="H298" i="8"/>
  <c r="H297" i="8"/>
  <c r="H296" i="8"/>
  <c r="H295" i="8"/>
  <c r="H294" i="8"/>
  <c r="H293" i="8"/>
  <c r="H292" i="8"/>
  <c r="H291" i="8"/>
  <c r="H290" i="8"/>
  <c r="H289" i="8"/>
  <c r="H288" i="8"/>
  <c r="H287" i="8"/>
  <c r="H286" i="8"/>
  <c r="H285" i="8"/>
  <c r="H284" i="8"/>
  <c r="H283" i="8"/>
  <c r="H282" i="8"/>
  <c r="H281" i="8"/>
  <c r="H280" i="8"/>
  <c r="H279" i="8"/>
  <c r="H278" i="8"/>
  <c r="H276" i="8"/>
  <c r="H275" i="8"/>
  <c r="H274" i="8"/>
  <c r="H273" i="8"/>
  <c r="H272" i="8"/>
  <c r="H271" i="8"/>
  <c r="H270" i="8"/>
  <c r="H269" i="8"/>
  <c r="H268" i="8"/>
  <c r="H267" i="8"/>
  <c r="H266" i="8"/>
  <c r="H265" i="8"/>
  <c r="H264" i="8"/>
  <c r="H263" i="8"/>
  <c r="H262" i="8"/>
  <c r="H261" i="8"/>
  <c r="H260" i="8"/>
  <c r="H259" i="8"/>
  <c r="H258" i="8"/>
  <c r="H257" i="8"/>
  <c r="H256" i="8"/>
  <c r="H255" i="8"/>
  <c r="H254" i="8"/>
  <c r="H253" i="8"/>
  <c r="H252" i="8"/>
  <c r="H250" i="8"/>
  <c r="H249" i="8"/>
  <c r="H248" i="8"/>
  <c r="H247" i="8"/>
  <c r="H246" i="8"/>
  <c r="H245" i="8"/>
  <c r="H244" i="8"/>
  <c r="H243" i="8"/>
  <c r="H242" i="8"/>
  <c r="H241" i="8"/>
  <c r="H240" i="8"/>
  <c r="H239" i="8"/>
  <c r="H238" i="8"/>
  <c r="H237" i="8"/>
  <c r="H236" i="8"/>
  <c r="H235" i="8"/>
  <c r="H234" i="8"/>
  <c r="H233" i="8"/>
  <c r="H232" i="8"/>
  <c r="H230" i="8"/>
  <c r="H229" i="8"/>
  <c r="H228" i="8"/>
  <c r="H227" i="8"/>
  <c r="H226" i="8"/>
  <c r="H225" i="8"/>
  <c r="H224" i="8"/>
  <c r="H223" i="8"/>
  <c r="H222" i="8"/>
  <c r="H221" i="8"/>
  <c r="H220" i="8"/>
  <c r="H219" i="8"/>
  <c r="H218" i="8"/>
  <c r="H217" i="8"/>
  <c r="H216" i="8"/>
  <c r="H215" i="8"/>
  <c r="H214" i="8"/>
  <c r="H213" i="8"/>
  <c r="H212" i="8"/>
  <c r="H211" i="8"/>
  <c r="H210" i="8"/>
  <c r="H209" i="8"/>
  <c r="H208" i="8"/>
  <c r="H207" i="8"/>
  <c r="H206" i="8"/>
  <c r="H205" i="8"/>
  <c r="H204" i="8"/>
  <c r="H203" i="8"/>
  <c r="H202" i="8"/>
  <c r="H201" i="8"/>
  <c r="H200" i="8"/>
  <c r="H199" i="8"/>
  <c r="H198" i="8"/>
  <c r="H197" i="8"/>
  <c r="H196" i="8"/>
  <c r="H195" i="8"/>
  <c r="H194" i="8"/>
  <c r="H193" i="8"/>
  <c r="H192" i="8"/>
  <c r="H191" i="8"/>
  <c r="H190" i="8"/>
  <c r="H189" i="8"/>
  <c r="H188" i="8"/>
  <c r="H187" i="8"/>
  <c r="H186" i="8"/>
  <c r="H185" i="8"/>
  <c r="H184" i="8"/>
  <c r="H183" i="8"/>
  <c r="H182" i="8"/>
  <c r="H181" i="8"/>
  <c r="H180" i="8"/>
  <c r="H179" i="8"/>
  <c r="H178" i="8"/>
  <c r="H177" i="8"/>
  <c r="H176" i="8"/>
  <c r="H175" i="8"/>
  <c r="H174" i="8"/>
  <c r="H173" i="8"/>
  <c r="H172" i="8"/>
  <c r="H171" i="8"/>
  <c r="H170" i="8"/>
  <c r="H169" i="8"/>
  <c r="H168" i="8"/>
  <c r="H167" i="8"/>
  <c r="H166" i="8"/>
  <c r="H165" i="8"/>
  <c r="H164" i="8"/>
  <c r="H163" i="8"/>
  <c r="H162" i="8"/>
  <c r="H161" i="8"/>
  <c r="H160" i="8"/>
  <c r="H159" i="8"/>
  <c r="H158" i="8"/>
  <c r="H157" i="8"/>
  <c r="H156" i="8"/>
  <c r="H155" i="8"/>
  <c r="H154" i="8"/>
  <c r="H153" i="8"/>
  <c r="H152" i="8"/>
  <c r="H151" i="8"/>
  <c r="H150" i="8"/>
  <c r="H149" i="8"/>
  <c r="H148" i="8"/>
  <c r="H147" i="8"/>
  <c r="H146" i="8"/>
  <c r="H145" i="8"/>
  <c r="H144" i="8"/>
  <c r="H143" i="8"/>
  <c r="H142" i="8"/>
  <c r="H141" i="8"/>
  <c r="H140" i="8"/>
  <c r="H139" i="8"/>
  <c r="H138" i="8"/>
  <c r="H137" i="8"/>
  <c r="H136" i="8"/>
  <c r="H135" i="8"/>
  <c r="H133" i="8"/>
  <c r="H132" i="8"/>
  <c r="H131" i="8"/>
  <c r="H130" i="8"/>
  <c r="H129" i="8"/>
  <c r="H128" i="8"/>
  <c r="H127" i="8"/>
  <c r="H126" i="8"/>
  <c r="H125" i="8"/>
  <c r="H124" i="8"/>
  <c r="H123" i="8"/>
  <c r="H122" i="8"/>
  <c r="H121" i="8"/>
  <c r="H120" i="8"/>
  <c r="H119" i="8"/>
  <c r="H118" i="8"/>
  <c r="H117" i="8"/>
  <c r="H116" i="8"/>
  <c r="H115" i="8"/>
  <c r="H114" i="8"/>
  <c r="H113" i="8"/>
  <c r="H112" i="8"/>
  <c r="H111" i="8"/>
  <c r="H110" i="8"/>
  <c r="H109" i="8"/>
  <c r="H108" i="8"/>
  <c r="H107" i="8"/>
  <c r="H106" i="8"/>
  <c r="H105" i="8"/>
  <c r="H104" i="8"/>
  <c r="H103" i="8"/>
  <c r="H102" i="8"/>
  <c r="H101" i="8"/>
  <c r="H100" i="8"/>
  <c r="H99" i="8"/>
  <c r="H98" i="8"/>
  <c r="H97" i="8"/>
  <c r="H96" i="8"/>
  <c r="H95" i="8"/>
  <c r="H94" i="8"/>
  <c r="H93" i="8"/>
  <c r="H92" i="8"/>
  <c r="H91" i="8"/>
  <c r="H90" i="8"/>
  <c r="H89" i="8"/>
  <c r="H88" i="8"/>
  <c r="H87" i="8"/>
  <c r="H86" i="8"/>
  <c r="H85" i="8"/>
  <c r="H84" i="8"/>
  <c r="H83" i="8"/>
  <c r="H82" i="8"/>
  <c r="H81" i="8"/>
  <c r="H80" i="8"/>
  <c r="H79" i="8"/>
  <c r="H78" i="8"/>
  <c r="H77" i="8"/>
  <c r="H76" i="8"/>
  <c r="H75" i="8"/>
  <c r="H74" i="8"/>
  <c r="H73" i="8"/>
  <c r="H71" i="8"/>
  <c r="H70" i="8"/>
  <c r="H69" i="8"/>
  <c r="H68" i="8"/>
  <c r="H67" i="8"/>
  <c r="H66" i="8"/>
  <c r="H65" i="8"/>
  <c r="H64" i="8"/>
  <c r="H63" i="8"/>
  <c r="H62" i="8"/>
  <c r="H61" i="8"/>
  <c r="H60" i="8"/>
  <c r="H59" i="8"/>
  <c r="H58" i="8"/>
  <c r="H57" i="8"/>
  <c r="H56" i="8"/>
  <c r="H55" i="8"/>
  <c r="H54" i="8"/>
  <c r="H53" i="8"/>
  <c r="H52" i="8"/>
  <c r="H51" i="8"/>
  <c r="H50" i="8"/>
  <c r="H49" i="8"/>
  <c r="H48" i="8"/>
  <c r="H47" i="8"/>
  <c r="H46" i="8"/>
  <c r="H45" i="8"/>
  <c r="H44" i="8"/>
  <c r="H43" i="8"/>
  <c r="H42" i="8"/>
  <c r="H41" i="8"/>
  <c r="H40" i="8"/>
  <c r="H39" i="8"/>
  <c r="H38" i="8"/>
  <c r="H37" i="8"/>
  <c r="H36" i="8"/>
  <c r="H35" i="8"/>
  <c r="H34" i="8"/>
  <c r="H33" i="8"/>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L730" i="9"/>
  <c r="N521" i="8"/>
  <c r="AB521" i="8"/>
  <c r="Z521" i="8"/>
  <c r="X521" i="8"/>
  <c r="V521" i="8"/>
  <c r="R521" i="8"/>
  <c r="L521" i="8"/>
  <c r="R733" i="9"/>
  <c r="P521" i="8" s="1"/>
  <c r="M732" i="9"/>
  <c r="O732" i="9"/>
  <c r="Q732" i="9"/>
  <c r="S732" i="9"/>
  <c r="U732" i="9"/>
  <c r="W732" i="9"/>
  <c r="Y732" i="9"/>
  <c r="AC732" i="9"/>
  <c r="T516" i="8"/>
  <c r="V733" i="9"/>
  <c r="AB355" i="8"/>
  <c r="AD729" i="9"/>
  <c r="AB729" i="9"/>
  <c r="Z729" i="9"/>
  <c r="X729" i="9"/>
  <c r="V729" i="9"/>
  <c r="T729" i="9"/>
  <c r="R729" i="9"/>
  <c r="P729" i="9"/>
  <c r="N729" i="9"/>
  <c r="AD730" i="9"/>
  <c r="AB730" i="9"/>
  <c r="Z730" i="9"/>
  <c r="X730" i="9"/>
  <c r="V730" i="9"/>
  <c r="T730" i="9"/>
  <c r="R730" i="9"/>
  <c r="P730" i="9"/>
  <c r="N730" i="9"/>
  <c r="AD731" i="9"/>
  <c r="AB731" i="9"/>
  <c r="Z731" i="9"/>
  <c r="X731" i="9"/>
  <c r="V731" i="9"/>
  <c r="T731" i="9"/>
  <c r="R731" i="9"/>
  <c r="P731" i="9"/>
  <c r="N731" i="9"/>
  <c r="Y338" i="8"/>
  <c r="Y72" i="8"/>
  <c r="Y318" i="8"/>
  <c r="Y464" i="8"/>
  <c r="Y387" i="8"/>
  <c r="Y382" i="8"/>
  <c r="Y251" i="8"/>
  <c r="Y231" i="8"/>
  <c r="Y134" i="8"/>
  <c r="P3" i="9"/>
  <c r="P728" i="9"/>
  <c r="AB15" i="9"/>
  <c r="AA714" i="9"/>
  <c r="AA481" i="9"/>
  <c r="Y277" i="8"/>
  <c r="W515" i="8"/>
  <c r="H277" i="8" l="1"/>
  <c r="B277" i="8"/>
  <c r="A277" i="8" s="1"/>
  <c r="J481" i="9"/>
  <c r="B481" i="9"/>
  <c r="A481" i="9" s="1"/>
  <c r="J714" i="9"/>
  <c r="B714" i="9"/>
  <c r="A714" i="9" s="1"/>
  <c r="H134" i="8"/>
  <c r="B134" i="8"/>
  <c r="A134" i="8" s="1"/>
  <c r="H231" i="8"/>
  <c r="B231" i="8"/>
  <c r="A231" i="8" s="1"/>
  <c r="H251" i="8"/>
  <c r="B251" i="8"/>
  <c r="A251" i="8" s="1"/>
  <c r="H382" i="8"/>
  <c r="B382" i="8"/>
  <c r="A382" i="8" s="1"/>
  <c r="H387" i="8"/>
  <c r="B387" i="8"/>
  <c r="A387" i="8" s="1"/>
  <c r="H464" i="8"/>
  <c r="B464" i="8"/>
  <c r="A464" i="8" s="1"/>
  <c r="H318" i="8"/>
  <c r="B318" i="8"/>
  <c r="A318" i="8" s="1"/>
  <c r="H72" i="8"/>
  <c r="B72" i="8"/>
  <c r="A72" i="8" s="1"/>
  <c r="H338" i="8"/>
  <c r="B338" i="8"/>
  <c r="A338" i="8" s="1"/>
  <c r="AA732" i="9"/>
  <c r="L523" i="8"/>
  <c r="J516" i="8"/>
  <c r="T521" i="8"/>
  <c r="R523" i="8" s="1"/>
  <c r="AA515" i="8"/>
  <c r="Y515" i="8"/>
  <c r="U515" i="8"/>
  <c r="K732" i="9"/>
  <c r="T523" i="8" l="1"/>
  <c r="AB452" i="8"/>
  <c r="AB446" i="8"/>
  <c r="AB440" i="8"/>
  <c r="AB433" i="8"/>
  <c r="AB422" i="8"/>
  <c r="AB419" i="8"/>
  <c r="AB415" i="8"/>
  <c r="AB408" i="8"/>
  <c r="AB406" i="8"/>
  <c r="AB402" i="8"/>
  <c r="AB401" i="8"/>
  <c r="AB400" i="8"/>
  <c r="AB395" i="8"/>
  <c r="AB394" i="8"/>
  <c r="AB392" i="8"/>
  <c r="AB391" i="8"/>
  <c r="AB390" i="8"/>
  <c r="AB386" i="8"/>
  <c r="AB385" i="8"/>
  <c r="AB384" i="8"/>
  <c r="AB377" i="8"/>
  <c r="AB372" i="8"/>
  <c r="AB371" i="8"/>
  <c r="AB367" i="8"/>
  <c r="AB365" i="8"/>
  <c r="AB363" i="8"/>
  <c r="AB362" i="8"/>
  <c r="AB361" i="8"/>
  <c r="AB357" i="8"/>
  <c r="AB354" i="8"/>
  <c r="AB352" i="8"/>
  <c r="AB349" i="8"/>
  <c r="AB348" i="8"/>
  <c r="AB346" i="8"/>
  <c r="AB343" i="8"/>
  <c r="AB339" i="8"/>
  <c r="AB337" i="8"/>
  <c r="AB330" i="8"/>
  <c r="AB329" i="8"/>
  <c r="AB327" i="8"/>
  <c r="AB323" i="8"/>
  <c r="AB322" i="8"/>
  <c r="AB318" i="8"/>
  <c r="AB312" i="8"/>
  <c r="AB311" i="8"/>
  <c r="AB300" i="8"/>
  <c r="AB291" i="8"/>
  <c r="AB285" i="8"/>
  <c r="AB284" i="8"/>
  <c r="AB281" i="8"/>
  <c r="AB271" i="8"/>
  <c r="AB267" i="8"/>
  <c r="AB263" i="8"/>
  <c r="AB262" i="8"/>
  <c r="AB261" i="8"/>
  <c r="AB260" i="8"/>
  <c r="AB258" i="8"/>
  <c r="AB254" i="8"/>
  <c r="AB252" i="8"/>
  <c r="AB251" i="8"/>
  <c r="AB243" i="8"/>
  <c r="AB240" i="8"/>
  <c r="AB239" i="8"/>
  <c r="AB238" i="8"/>
  <c r="AB236" i="8"/>
  <c r="AB233" i="8"/>
  <c r="AB230" i="8"/>
  <c r="AB225" i="8"/>
  <c r="AB224" i="8"/>
  <c r="AB222" i="8"/>
  <c r="AB218" i="8"/>
  <c r="AB217" i="8"/>
  <c r="AB212" i="8"/>
  <c r="AB210" i="8"/>
  <c r="AB208" i="8"/>
  <c r="AB207" i="8"/>
  <c r="AB194" i="8"/>
  <c r="AB192" i="8"/>
  <c r="AB191" i="8"/>
  <c r="AB185" i="8"/>
  <c r="AB184" i="8"/>
  <c r="AB179" i="8"/>
  <c r="AB175" i="8"/>
  <c r="AB169" i="8"/>
  <c r="AB168" i="8"/>
  <c r="AB165" i="8"/>
  <c r="AB159" i="8"/>
  <c r="AB155" i="8"/>
  <c r="AB154" i="8"/>
  <c r="AB151" i="8"/>
  <c r="AB149" i="8"/>
  <c r="AB147" i="8"/>
  <c r="AB146" i="8"/>
  <c r="AB145" i="8"/>
  <c r="AB144" i="8"/>
  <c r="AB141" i="8"/>
  <c r="AB140" i="8"/>
  <c r="AB136" i="8"/>
  <c r="AB130" i="8"/>
  <c r="AB129" i="8"/>
  <c r="AB126" i="8"/>
  <c r="AB125" i="8"/>
  <c r="AB124" i="8"/>
  <c r="AB121" i="8"/>
  <c r="AB116" i="8"/>
  <c r="AB115" i="8"/>
  <c r="AB114" i="8"/>
  <c r="AB113" i="8"/>
  <c r="AB112" i="8"/>
  <c r="AB103" i="8"/>
  <c r="AB102" i="8"/>
  <c r="AB99" i="8"/>
  <c r="AB98" i="8"/>
  <c r="AB97" i="8"/>
  <c r="AB94" i="8"/>
  <c r="AB93" i="8"/>
  <c r="AB89" i="8"/>
  <c r="AB88" i="8"/>
  <c r="AB83" i="8"/>
  <c r="AB79" i="8"/>
  <c r="AB78" i="8"/>
  <c r="AB77" i="8"/>
  <c r="AB76" i="8"/>
  <c r="AB75" i="8"/>
  <c r="AB74" i="8"/>
  <c r="AB69" i="8"/>
  <c r="AB66" i="8"/>
  <c r="AB64" i="8"/>
  <c r="AB63" i="8"/>
  <c r="AB62" i="8"/>
  <c r="AB59" i="8"/>
  <c r="AB55" i="8"/>
  <c r="AB54" i="8"/>
  <c r="AB50" i="8"/>
  <c r="AB49" i="8"/>
  <c r="AB44" i="8"/>
  <c r="AB43" i="8"/>
  <c r="AB40" i="8"/>
  <c r="AB39" i="8"/>
  <c r="AB38" i="8"/>
  <c r="AB34" i="8"/>
  <c r="AB33" i="8"/>
  <c r="AB31" i="8"/>
  <c r="AB30" i="8"/>
  <c r="AB27" i="8"/>
  <c r="AB26" i="8"/>
  <c r="AB25" i="8"/>
  <c r="AB21" i="8"/>
  <c r="AB20" i="8"/>
  <c r="AB18" i="8"/>
  <c r="AB15" i="8"/>
  <c r="AB14" i="8"/>
  <c r="AB13" i="8"/>
  <c r="AB10" i="8"/>
  <c r="AB8" i="8"/>
  <c r="AB7" i="8"/>
  <c r="AB87" i="8"/>
  <c r="AB106" i="8"/>
  <c r="AB107" i="8"/>
  <c r="AB128" i="8"/>
  <c r="AB135" i="8"/>
  <c r="AB157" i="8"/>
  <c r="AB163" i="8"/>
  <c r="AB172" i="8"/>
  <c r="AB173" i="8"/>
  <c r="AB197" i="8"/>
  <c r="AB200" i="8"/>
  <c r="AB209" i="8"/>
  <c r="AB219" i="8"/>
  <c r="AB228" i="8"/>
  <c r="AB244" i="8"/>
  <c r="AB246" i="8"/>
  <c r="AB250" i="8"/>
  <c r="AB259" i="8"/>
  <c r="AB264" i="8"/>
  <c r="AB268" i="8"/>
  <c r="AB273" i="8"/>
  <c r="AB274" i="8"/>
  <c r="AB280" i="8"/>
  <c r="AB283" i="8"/>
  <c r="AB289" i="8"/>
  <c r="AB295" i="8"/>
  <c r="AB296" i="8"/>
  <c r="AB297" i="8"/>
  <c r="AB303" i="8"/>
  <c r="AB305" i="8"/>
  <c r="AB307" i="8"/>
  <c r="AB314" i="8"/>
  <c r="AB315" i="8"/>
  <c r="AB317" i="8"/>
  <c r="AB328" i="8"/>
  <c r="AB332" i="8"/>
  <c r="AB333" i="8"/>
  <c r="AB336" i="8"/>
  <c r="AB342" i="8"/>
  <c r="AB344" i="8"/>
  <c r="AB356" i="8"/>
  <c r="AB358" i="8"/>
  <c r="AB360" i="8"/>
  <c r="AB366" i="8"/>
  <c r="AB370" i="8"/>
  <c r="AB379" i="8"/>
  <c r="AB380" i="8"/>
  <c r="AB383" i="8"/>
  <c r="AB389" i="8"/>
  <c r="AB396" i="8"/>
  <c r="AB403" i="8"/>
  <c r="AB404" i="8"/>
  <c r="AB407" i="8"/>
  <c r="AB418" i="8"/>
  <c r="AB420" i="8"/>
  <c r="AB421" i="8"/>
  <c r="AB423" i="8"/>
  <c r="AB427" i="8"/>
  <c r="AB430" i="8"/>
  <c r="AB436" i="8"/>
  <c r="AB438" i="8"/>
  <c r="AB441" i="8"/>
  <c r="AB444" i="8"/>
  <c r="AB449" i="8"/>
  <c r="AB450" i="8"/>
  <c r="AB454" i="8"/>
  <c r="AB455" i="8"/>
  <c r="AB458" i="8"/>
  <c r="AB460" i="8"/>
  <c r="AB461" i="8"/>
  <c r="AB462" i="8"/>
  <c r="AB463" i="8"/>
  <c r="AB467" i="8"/>
  <c r="AB473" i="8"/>
  <c r="AB476" i="8"/>
  <c r="AB477" i="8"/>
  <c r="AB479" i="8"/>
  <c r="AB481" i="8"/>
  <c r="AB482" i="8"/>
  <c r="AB483" i="8"/>
  <c r="AB484" i="8"/>
  <c r="AB486" i="8"/>
  <c r="AB490" i="8"/>
  <c r="AB493" i="8"/>
  <c r="AB494" i="8"/>
  <c r="AB495" i="8"/>
  <c r="AB499" i="8"/>
  <c r="AB500" i="8"/>
  <c r="AB505" i="8"/>
  <c r="AB508" i="8"/>
  <c r="AB510" i="8"/>
  <c r="AB511" i="8"/>
  <c r="AB512" i="8"/>
  <c r="AB513" i="8"/>
  <c r="AB514" i="8"/>
  <c r="AB439" i="8"/>
  <c r="AB431" i="8"/>
  <c r="AB426" i="8"/>
  <c r="AB424" i="8"/>
  <c r="AB414" i="8"/>
  <c r="AB387" i="8"/>
  <c r="AB376" i="8"/>
  <c r="AB369" i="8"/>
  <c r="AB353" i="8"/>
  <c r="AB341" i="8"/>
  <c r="AB325" i="8"/>
  <c r="AB310" i="8"/>
  <c r="AB293" i="8"/>
  <c r="AB277" i="8"/>
  <c r="AB272" i="8"/>
  <c r="AB270" i="8"/>
  <c r="AB265" i="8"/>
  <c r="AB249" i="8"/>
  <c r="AB248" i="8"/>
  <c r="AB234" i="8"/>
  <c r="AB231" i="8"/>
  <c r="AB226" i="8"/>
  <c r="AB223" i="8"/>
  <c r="AB214" i="8"/>
  <c r="AB213" i="8"/>
  <c r="AB205" i="8"/>
  <c r="AB203" i="8"/>
  <c r="AB199" i="8"/>
  <c r="AB196" i="8"/>
  <c r="AB189" i="8"/>
  <c r="AB187" i="8"/>
  <c r="AB186" i="8"/>
  <c r="AB183" i="8"/>
  <c r="AB182" i="8"/>
  <c r="AB176" i="8"/>
  <c r="AB170" i="8"/>
  <c r="AB167" i="8"/>
  <c r="AB161" i="8"/>
  <c r="AB156" i="8"/>
  <c r="AB142" i="8"/>
  <c r="AB139" i="8"/>
  <c r="AB133" i="8"/>
  <c r="AB132" i="8"/>
  <c r="AB123" i="8"/>
  <c r="AB122" i="8"/>
  <c r="AB118" i="8"/>
  <c r="AB117" i="8"/>
  <c r="AB110" i="8"/>
  <c r="AB104" i="8"/>
  <c r="AB101" i="8"/>
  <c r="AB100" i="8"/>
  <c r="AB95" i="8"/>
  <c r="AB91" i="8"/>
  <c r="AB85" i="8"/>
  <c r="AB84" i="8"/>
  <c r="AB72" i="8"/>
  <c r="AB70" i="8"/>
  <c r="AB67" i="8"/>
  <c r="AB60" i="8"/>
  <c r="AB58" i="8"/>
  <c r="AB57" i="8"/>
  <c r="AB52" i="8"/>
  <c r="AB46" i="8"/>
  <c r="AB42" i="8"/>
  <c r="AB37" i="8"/>
  <c r="AB36" i="8"/>
  <c r="AB35" i="8"/>
  <c r="AB32" i="8"/>
  <c r="AB28" i="8"/>
  <c r="AB23" i="8"/>
  <c r="AB22" i="8"/>
  <c r="AB12" i="8"/>
  <c r="AB11" i="8"/>
  <c r="AB9" i="8"/>
  <c r="AB4" i="8"/>
  <c r="AB3" i="8"/>
  <c r="AB71" i="8"/>
  <c r="AB164" i="8"/>
  <c r="AB220" i="8"/>
  <c r="AB235" i="8"/>
  <c r="AB269" i="8"/>
  <c r="AB298" i="8"/>
  <c r="AB306" i="8"/>
  <c r="AB320" i="8"/>
  <c r="AB335" i="8"/>
  <c r="AB338" i="8"/>
  <c r="AB351" i="8"/>
  <c r="AB359" i="8"/>
  <c r="AB364" i="8"/>
  <c r="AB374" i="8"/>
  <c r="AB378" i="8"/>
  <c r="AB381" i="8"/>
  <c r="AB397" i="8"/>
  <c r="AB399" i="8"/>
  <c r="AB405" i="8"/>
  <c r="AB411" i="8"/>
  <c r="AB413" i="8"/>
  <c r="AB434" i="8"/>
  <c r="AB442" i="8"/>
  <c r="AB445" i="8"/>
  <c r="AB447" i="8"/>
  <c r="AB453" i="8"/>
  <c r="AB456" i="8"/>
  <c r="AB468" i="8"/>
  <c r="AB470" i="8"/>
  <c r="AB471" i="8"/>
  <c r="AB478" i="8"/>
  <c r="AB487" i="8"/>
  <c r="AB489" i="8"/>
  <c r="AB491" i="8"/>
  <c r="AB496" i="8"/>
  <c r="AB497" i="8"/>
  <c r="AB501" i="8"/>
  <c r="AB503" i="8"/>
  <c r="AB506" i="8"/>
  <c r="AB509" i="8"/>
  <c r="Z455" i="8"/>
  <c r="Z438" i="8"/>
  <c r="Z432" i="8"/>
  <c r="Z426" i="8"/>
  <c r="Z422" i="8"/>
  <c r="Z419" i="8"/>
  <c r="Z403" i="8"/>
  <c r="Z387" i="8"/>
  <c r="Z385" i="8"/>
  <c r="Z380" i="8"/>
  <c r="Z372" i="8"/>
  <c r="Z363" i="8"/>
  <c r="Z360" i="8"/>
  <c r="Z357" i="8"/>
  <c r="Z349" i="8"/>
  <c r="Z337" i="8"/>
  <c r="Z321" i="8"/>
  <c r="Z309" i="8"/>
  <c r="Z305" i="8"/>
  <c r="Z297" i="8"/>
  <c r="Z296" i="8"/>
  <c r="Z292" i="8"/>
  <c r="Z289" i="8"/>
  <c r="Z280" i="8"/>
  <c r="Z263" i="8"/>
  <c r="Z256" i="8"/>
  <c r="Z251" i="8"/>
  <c r="Z249" i="8"/>
  <c r="Z247" i="8"/>
  <c r="Z243" i="8"/>
  <c r="Z235" i="8"/>
  <c r="Z232" i="8"/>
  <c r="Z222" i="8"/>
  <c r="Z216" i="8"/>
  <c r="Z214" i="8"/>
  <c r="Z211" i="8"/>
  <c r="Z201" i="8"/>
  <c r="Z198" i="8"/>
  <c r="Z191" i="8"/>
  <c r="Z187" i="8"/>
  <c r="Z182" i="8"/>
  <c r="Z178" i="8"/>
  <c r="Z171" i="8"/>
  <c r="Z169" i="8"/>
  <c r="Z165" i="8"/>
  <c r="Z157" i="8"/>
  <c r="Z156" i="8"/>
  <c r="Z154" i="8"/>
  <c r="Z148" i="8"/>
  <c r="Z144" i="8"/>
  <c r="Z143" i="8"/>
  <c r="Z141" i="8"/>
  <c r="Z138" i="8"/>
  <c r="Z131" i="8"/>
  <c r="Z128" i="8"/>
  <c r="Z127" i="8"/>
  <c r="Z124" i="8"/>
  <c r="Z120" i="8"/>
  <c r="Z118" i="8"/>
  <c r="Z117" i="8"/>
  <c r="Z113" i="8"/>
  <c r="Z112" i="8"/>
  <c r="Z108" i="8"/>
  <c r="Z103" i="8"/>
  <c r="Z101" i="8"/>
  <c r="Z99" i="8"/>
  <c r="Z98" i="8"/>
  <c r="Z93" i="8"/>
  <c r="Z92" i="8"/>
  <c r="Z90" i="8"/>
  <c r="Z86" i="8"/>
  <c r="Z84" i="8"/>
  <c r="Z82" i="8"/>
  <c r="Z78" i="8"/>
  <c r="Z76" i="8"/>
  <c r="Z75" i="8"/>
  <c r="Z70" i="8"/>
  <c r="Z69" i="8"/>
  <c r="Z65" i="8"/>
  <c r="Z58" i="8"/>
  <c r="Z56" i="8"/>
  <c r="Z50" i="8"/>
  <c r="Z48" i="8"/>
  <c r="Z45" i="8"/>
  <c r="Z44" i="8"/>
  <c r="Z43" i="8"/>
  <c r="Z39" i="8"/>
  <c r="Z35" i="8"/>
  <c r="Z33" i="8"/>
  <c r="Z26" i="8"/>
  <c r="Z23" i="8"/>
  <c r="Z21" i="8"/>
  <c r="Z20" i="8"/>
  <c r="Z18" i="8"/>
  <c r="Z16" i="8"/>
  <c r="Z14" i="8"/>
  <c r="Z12" i="8"/>
  <c r="Z10" i="8"/>
  <c r="Z9" i="8"/>
  <c r="Z7" i="8"/>
  <c r="Z6" i="8"/>
  <c r="Z5" i="8"/>
  <c r="Z85" i="8"/>
  <c r="Z91" i="8"/>
  <c r="Z94" i="8"/>
  <c r="Z105" i="8"/>
  <c r="Z111" i="8"/>
  <c r="Z122" i="8"/>
  <c r="Z126" i="8"/>
  <c r="Z132" i="8"/>
  <c r="Z153" i="8"/>
  <c r="Z166" i="8"/>
  <c r="Z170" i="8"/>
  <c r="Z176" i="8"/>
  <c r="Z184" i="8"/>
  <c r="Z189" i="8"/>
  <c r="Z206" i="8"/>
  <c r="Z207" i="8"/>
  <c r="Z208" i="8"/>
  <c r="Z212" i="8"/>
  <c r="Z221" i="8"/>
  <c r="Z223" i="8"/>
  <c r="Z229" i="8"/>
  <c r="Z230" i="8"/>
  <c r="Z231" i="8"/>
  <c r="Z237" i="8"/>
  <c r="Z238" i="8"/>
  <c r="Z242" i="8"/>
  <c r="Z250" i="8"/>
  <c r="Z258" i="8"/>
  <c r="Z265" i="8"/>
  <c r="Z270" i="8"/>
  <c r="Z271" i="8"/>
  <c r="Z274" i="8"/>
  <c r="Z276" i="8"/>
  <c r="Z277" i="8"/>
  <c r="Z282" i="8"/>
  <c r="Z285" i="8"/>
  <c r="Z293" i="8"/>
  <c r="Z294" i="8"/>
  <c r="Z299" i="8"/>
  <c r="Z311" i="8"/>
  <c r="Z313" i="8"/>
  <c r="Z314" i="8"/>
  <c r="Z317" i="8"/>
  <c r="Z318" i="8"/>
  <c r="Z324" i="8"/>
  <c r="Z328" i="8"/>
  <c r="Z331" i="8"/>
  <c r="Z336" i="8"/>
  <c r="Z342" i="8"/>
  <c r="Z343" i="8"/>
  <c r="Z345" i="8"/>
  <c r="Z352" i="8"/>
  <c r="Z353" i="8"/>
  <c r="Z355" i="8"/>
  <c r="Z359" i="8"/>
  <c r="Z365" i="8"/>
  <c r="Z373" i="8"/>
  <c r="Z374" i="8"/>
  <c r="Z381" i="8"/>
  <c r="Z382" i="8"/>
  <c r="Z389" i="8"/>
  <c r="Z390" i="8"/>
  <c r="Z397" i="8"/>
  <c r="Z400" i="8"/>
  <c r="Z409" i="8"/>
  <c r="Z411" i="8"/>
  <c r="Z412" i="8"/>
  <c r="Z417" i="8"/>
  <c r="Z420" i="8"/>
  <c r="Z425" i="8"/>
  <c r="Z427" i="8"/>
  <c r="Z431" i="8"/>
  <c r="Z435" i="8"/>
  <c r="Z436" i="8"/>
  <c r="Z442" i="8"/>
  <c r="Z443" i="8"/>
  <c r="Z447" i="8"/>
  <c r="Z451" i="8"/>
  <c r="Z454" i="8"/>
  <c r="Z461" i="8"/>
  <c r="Z464" i="8"/>
  <c r="Z468" i="8"/>
  <c r="Z469" i="8"/>
  <c r="Z471" i="8"/>
  <c r="Z472" i="8"/>
  <c r="Z479" i="8"/>
  <c r="Z482" i="8"/>
  <c r="Z484" i="8"/>
  <c r="Z489" i="8"/>
  <c r="Z497" i="8"/>
  <c r="Z498" i="8"/>
  <c r="Z499" i="8"/>
  <c r="Z502" i="8"/>
  <c r="Z503" i="8"/>
  <c r="Z504" i="8"/>
  <c r="Z509" i="8"/>
  <c r="Z510" i="8"/>
  <c r="Z511" i="8"/>
  <c r="Z514" i="8"/>
  <c r="Z452" i="8"/>
  <c r="Z439" i="8"/>
  <c r="Z433" i="8"/>
  <c r="Z430" i="8"/>
  <c r="Z428" i="8"/>
  <c r="Z423" i="8"/>
  <c r="Z416" i="8"/>
  <c r="Z414" i="8"/>
  <c r="Z410" i="8"/>
  <c r="Z407" i="8"/>
  <c r="Z405" i="8"/>
  <c r="Z402" i="8"/>
  <c r="Z396" i="8"/>
  <c r="Z384" i="8"/>
  <c r="Z378" i="8"/>
  <c r="Z375" i="8"/>
  <c r="Z371" i="8"/>
  <c r="Z368" i="8"/>
  <c r="Z366" i="8"/>
  <c r="Z364" i="8"/>
  <c r="Z362" i="8"/>
  <c r="Z361" i="8"/>
  <c r="Z358" i="8"/>
  <c r="Z351" i="8"/>
  <c r="Z340" i="8"/>
  <c r="Z335" i="8"/>
  <c r="Z333" i="8"/>
  <c r="Z329" i="8"/>
  <c r="Z326" i="8"/>
  <c r="Z323" i="8"/>
  <c r="Z319" i="8"/>
  <c r="Z316" i="8"/>
  <c r="Z308" i="8"/>
  <c r="Z306" i="8"/>
  <c r="Z304" i="8"/>
  <c r="Z301" i="8"/>
  <c r="Z298" i="8"/>
  <c r="Z295" i="8"/>
  <c r="Z283" i="8"/>
  <c r="Z278" i="8"/>
  <c r="Z275" i="8"/>
  <c r="Z262" i="8"/>
  <c r="Z260" i="8"/>
  <c r="Z259" i="8"/>
  <c r="Z257" i="8"/>
  <c r="Z252" i="8"/>
  <c r="Z248" i="8"/>
  <c r="Z244" i="8"/>
  <c r="Z241" i="8"/>
  <c r="Z226" i="8"/>
  <c r="Z219" i="8"/>
  <c r="Z215" i="8"/>
  <c r="Z202" i="8"/>
  <c r="Z199" i="8"/>
  <c r="Z193" i="8"/>
  <c r="Z190" i="8"/>
  <c r="Z186" i="8"/>
  <c r="Z180" i="8"/>
  <c r="Z177" i="8"/>
  <c r="Z163" i="8"/>
  <c r="Z161" i="8"/>
  <c r="Z160" i="8"/>
  <c r="Z158" i="8"/>
  <c r="Z155" i="8"/>
  <c r="Z151" i="8"/>
  <c r="Z133" i="8"/>
  <c r="Z125" i="8"/>
  <c r="Z121" i="8"/>
  <c r="Z109" i="8"/>
  <c r="Z95" i="8"/>
  <c r="Z81" i="8"/>
  <c r="Z79" i="8"/>
  <c r="Z77" i="8"/>
  <c r="Z72" i="8"/>
  <c r="Z71" i="8"/>
  <c r="Z67" i="8"/>
  <c r="Z62" i="8"/>
  <c r="Z61" i="8"/>
  <c r="Z60" i="8"/>
  <c r="Z52" i="8"/>
  <c r="Z42" i="8"/>
  <c r="Z37" i="8"/>
  <c r="Z36" i="8"/>
  <c r="Z34" i="8"/>
  <c r="Z29" i="8"/>
  <c r="Z28" i="8"/>
  <c r="Z27" i="8"/>
  <c r="Z24" i="8"/>
  <c r="Z13" i="8"/>
  <c r="Z8" i="8"/>
  <c r="Z3" i="8"/>
  <c r="Z4" i="8"/>
  <c r="Z11" i="8"/>
  <c r="Z22" i="8"/>
  <c r="Z40" i="8"/>
  <c r="Z51" i="8"/>
  <c r="Z57" i="8"/>
  <c r="Z66" i="8"/>
  <c r="Z88" i="8"/>
  <c r="Z100" i="8"/>
  <c r="Z104" i="8"/>
  <c r="Z110" i="8"/>
  <c r="Z114" i="8"/>
  <c r="Z137" i="8"/>
  <c r="Z142" i="8"/>
  <c r="Z147" i="8"/>
  <c r="Z152" i="8"/>
  <c r="Z164" i="8"/>
  <c r="Z173" i="8"/>
  <c r="Z179" i="8"/>
  <c r="Z181" i="8"/>
  <c r="Z185" i="8"/>
  <c r="Z188" i="8"/>
  <c r="Z194" i="8"/>
  <c r="Z197" i="8"/>
  <c r="Z203" i="8"/>
  <c r="Z217" i="8"/>
  <c r="Z220" i="8"/>
  <c r="Z225" i="8"/>
  <c r="Z233" i="8"/>
  <c r="Z236" i="8"/>
  <c r="Z240" i="8"/>
  <c r="Z246" i="8"/>
  <c r="Z254" i="8"/>
  <c r="Z255" i="8"/>
  <c r="Z264" i="8"/>
  <c r="Z269" i="8"/>
  <c r="Z272" i="8"/>
  <c r="Z279" i="8"/>
  <c r="Z281" i="8"/>
  <c r="Z284" i="8"/>
  <c r="Z291" i="8"/>
  <c r="Z312" i="8"/>
  <c r="Z315" i="8"/>
  <c r="Z320" i="8"/>
  <c r="Z322" i="8"/>
  <c r="Z327" i="8"/>
  <c r="Z330" i="8"/>
  <c r="Z332" i="8"/>
  <c r="Z350" i="8"/>
  <c r="Z354" i="8"/>
  <c r="Z369" i="8"/>
  <c r="Z386" i="8"/>
  <c r="Z388" i="8"/>
  <c r="Z391" i="8"/>
  <c r="Z394" i="8"/>
  <c r="Z399" i="8"/>
  <c r="Z406" i="8"/>
  <c r="Z408" i="8"/>
  <c r="Z424" i="8"/>
  <c r="Z434" i="8"/>
  <c r="Z441" i="8"/>
  <c r="Z450" i="8"/>
  <c r="Z453" i="8"/>
  <c r="Z456" i="8"/>
  <c r="Z459" i="8"/>
  <c r="Z463" i="8"/>
  <c r="Z466" i="8"/>
  <c r="Z470" i="8"/>
  <c r="Z475" i="8"/>
  <c r="Z477" i="8"/>
  <c r="Z478" i="8"/>
  <c r="Z483" i="8"/>
  <c r="Z486" i="8"/>
  <c r="Z487" i="8"/>
  <c r="Z490" i="8"/>
  <c r="Z491" i="8"/>
  <c r="Z493" i="8"/>
  <c r="Z494" i="8"/>
  <c r="Z500" i="8"/>
  <c r="Z501" i="8"/>
  <c r="X4" i="8"/>
  <c r="X8" i="8"/>
  <c r="X40" i="8"/>
  <c r="X57" i="8"/>
  <c r="X60" i="8"/>
  <c r="X71" i="8"/>
  <c r="X85" i="8"/>
  <c r="X100" i="8"/>
  <c r="X114" i="8"/>
  <c r="X126" i="8"/>
  <c r="X132" i="8"/>
  <c r="X142" i="8"/>
  <c r="X147" i="8"/>
  <c r="X155" i="8"/>
  <c r="X161" i="8"/>
  <c r="X170" i="8"/>
  <c r="X181" i="8"/>
  <c r="X184" i="8"/>
  <c r="X187" i="8"/>
  <c r="X189" i="8"/>
  <c r="X194" i="8"/>
  <c r="X203" i="8"/>
  <c r="X205" i="8"/>
  <c r="X212" i="8"/>
  <c r="X218" i="8"/>
  <c r="X220" i="8"/>
  <c r="X231" i="8"/>
  <c r="X233" i="8"/>
  <c r="X236" i="8"/>
  <c r="X240" i="8"/>
  <c r="X248" i="8"/>
  <c r="X258" i="8"/>
  <c r="X260" i="8"/>
  <c r="X261" i="8"/>
  <c r="X265" i="8"/>
  <c r="X267" i="8"/>
  <c r="X269" i="8"/>
  <c r="X272" i="8"/>
  <c r="X274" i="8"/>
  <c r="X292" i="8"/>
  <c r="X293" i="8"/>
  <c r="X300" i="8"/>
  <c r="X303" i="8"/>
  <c r="X306" i="8"/>
  <c r="X311" i="8"/>
  <c r="X312" i="8"/>
  <c r="X317" i="8"/>
  <c r="X319" i="8"/>
  <c r="X320" i="8"/>
  <c r="X330" i="8"/>
  <c r="X334" i="8"/>
  <c r="X335" i="8"/>
  <c r="X349" i="8"/>
  <c r="X351" i="8"/>
  <c r="X359" i="8"/>
  <c r="X363" i="8"/>
  <c r="X364" i="8"/>
  <c r="X366" i="8"/>
  <c r="X367" i="8"/>
  <c r="X369" i="8"/>
  <c r="X376" i="8"/>
  <c r="X381" i="8"/>
  <c r="X383" i="8"/>
  <c r="X390" i="8"/>
  <c r="X396" i="8"/>
  <c r="X397" i="8"/>
  <c r="X401" i="8"/>
  <c r="X408" i="8"/>
  <c r="X411" i="8"/>
  <c r="X413" i="8"/>
  <c r="X421" i="8"/>
  <c r="X424" i="8"/>
  <c r="X428" i="8"/>
  <c r="X432" i="8"/>
  <c r="X434" i="8"/>
  <c r="X440" i="8"/>
  <c r="X441" i="8"/>
  <c r="X445" i="8"/>
  <c r="X446" i="8"/>
  <c r="X447" i="8"/>
  <c r="X451" i="8"/>
  <c r="X452" i="8"/>
  <c r="X453" i="8"/>
  <c r="X454" i="8"/>
  <c r="X456" i="8"/>
  <c r="X459" i="8"/>
  <c r="X461" i="8"/>
  <c r="X463" i="8"/>
  <c r="X468" i="8"/>
  <c r="X471" i="8"/>
  <c r="X479" i="8"/>
  <c r="X483" i="8"/>
  <c r="X484" i="8"/>
  <c r="X489" i="8"/>
  <c r="X491" i="8"/>
  <c r="X493" i="8"/>
  <c r="X494" i="8"/>
  <c r="X497" i="8"/>
  <c r="X501" i="8"/>
  <c r="X503" i="8"/>
  <c r="X506" i="8"/>
  <c r="X508" i="8"/>
  <c r="X509" i="8"/>
  <c r="X510" i="8"/>
  <c r="X511" i="8"/>
  <c r="X512" i="8"/>
  <c r="X514" i="8"/>
  <c r="AB51" i="8"/>
  <c r="AB82" i="8"/>
  <c r="AB86" i="8"/>
  <c r="AB105" i="8"/>
  <c r="AB111" i="8"/>
  <c r="AB127" i="8"/>
  <c r="AB137" i="8"/>
  <c r="AB138" i="8"/>
  <c r="AB143" i="8"/>
  <c r="AB148" i="8"/>
  <c r="AB152" i="8"/>
  <c r="AB160" i="8"/>
  <c r="AB162" i="8"/>
  <c r="AB166" i="8"/>
  <c r="AB177" i="8"/>
  <c r="AB178" i="8"/>
  <c r="AB181" i="8"/>
  <c r="AB190" i="8"/>
  <c r="AB195" i="8"/>
  <c r="AB198" i="8"/>
  <c r="AB204" i="8"/>
  <c r="AB206" i="8"/>
  <c r="AB215" i="8"/>
  <c r="AB216" i="8"/>
  <c r="AB227" i="8"/>
  <c r="AB232" i="8"/>
  <c r="AB237" i="8"/>
  <c r="AB242" i="8"/>
  <c r="AB245" i="8"/>
  <c r="AB253" i="8"/>
  <c r="AB255" i="8"/>
  <c r="AB266" i="8"/>
  <c r="AB276" i="8"/>
  <c r="AB282" i="8"/>
  <c r="AB294" i="8"/>
  <c r="AB299" i="8"/>
  <c r="AB302" i="8"/>
  <c r="AB304" i="8"/>
  <c r="AB309" i="8"/>
  <c r="AB313" i="8"/>
  <c r="AB321" i="8"/>
  <c r="AB324" i="8"/>
  <c r="AB331" i="8"/>
  <c r="AB334" i="8"/>
  <c r="AB345" i="8"/>
  <c r="AB347" i="8"/>
  <c r="AB368" i="8"/>
  <c r="AB373" i="8"/>
  <c r="AB382" i="8"/>
  <c r="AB388" i="8"/>
  <c r="AB393" i="8"/>
  <c r="AB398" i="8"/>
  <c r="AB409" i="8"/>
  <c r="AB410" i="8"/>
  <c r="AB416" i="8"/>
  <c r="AB417" i="8"/>
  <c r="AB425" i="8"/>
  <c r="AB428" i="8"/>
  <c r="AB429" i="8"/>
  <c r="AB435" i="8"/>
  <c r="AB443" i="8"/>
  <c r="AB448" i="8"/>
  <c r="AB451" i="8"/>
  <c r="AB457" i="8"/>
  <c r="AB459" i="8"/>
  <c r="AB465" i="8"/>
  <c r="AB469" i="8"/>
  <c r="AB472" i="8"/>
  <c r="AB474" i="8"/>
  <c r="AB475" i="8"/>
  <c r="AB488" i="8"/>
  <c r="AB492" i="8"/>
  <c r="AB498" i="8"/>
  <c r="AB502" i="8"/>
  <c r="AB507" i="8"/>
  <c r="Z15" i="8"/>
  <c r="Z31" i="8"/>
  <c r="Z38" i="8"/>
  <c r="Z55" i="8"/>
  <c r="Z59" i="8"/>
  <c r="Z64" i="8"/>
  <c r="Z80" i="8"/>
  <c r="Z83" i="8"/>
  <c r="Z89" i="8"/>
  <c r="Z102" i="8"/>
  <c r="Z116" i="8"/>
  <c r="Z130" i="8"/>
  <c r="Z140" i="8"/>
  <c r="Z146" i="8"/>
  <c r="Z149" i="8"/>
  <c r="Z159" i="8"/>
  <c r="Z174" i="8"/>
  <c r="Z183" i="8"/>
  <c r="Z192" i="8"/>
  <c r="Z210" i="8"/>
  <c r="Z218" i="8"/>
  <c r="Z224" i="8"/>
  <c r="Z228" i="8"/>
  <c r="Z234" i="8"/>
  <c r="Z253" i="8"/>
  <c r="Z261" i="8"/>
  <c r="Z268" i="8"/>
  <c r="Z273" i="8"/>
  <c r="Z303" i="8"/>
  <c r="Z307" i="8"/>
  <c r="Z325" i="8"/>
  <c r="Z339" i="8"/>
  <c r="Z344" i="8"/>
  <c r="Z346" i="8"/>
  <c r="Z367" i="8"/>
  <c r="Z376" i="8"/>
  <c r="Z383" i="8"/>
  <c r="Z392" i="8"/>
  <c r="Z395" i="8"/>
  <c r="Z401" i="8"/>
  <c r="Z413" i="8"/>
  <c r="Z415" i="8"/>
  <c r="Z437" i="8"/>
  <c r="Z440" i="8"/>
  <c r="Z446" i="8"/>
  <c r="Z449" i="8"/>
  <c r="Z462" i="8"/>
  <c r="Z465" i="8"/>
  <c r="Z473" i="8"/>
  <c r="Z474" i="8"/>
  <c r="Z476" i="8"/>
  <c r="Z480" i="8"/>
  <c r="Z481" i="8"/>
  <c r="Z485" i="8"/>
  <c r="Z488" i="8"/>
  <c r="Z495" i="8"/>
  <c r="Z496" i="8"/>
  <c r="Z505" i="8"/>
  <c r="Z506" i="8"/>
  <c r="Z507" i="8"/>
  <c r="Z508" i="8"/>
  <c r="Z512" i="8"/>
  <c r="X13" i="8"/>
  <c r="X18" i="8"/>
  <c r="X24" i="8"/>
  <c r="X32" i="8"/>
  <c r="X42" i="8"/>
  <c r="X48" i="8"/>
  <c r="X62" i="8"/>
  <c r="X78" i="8"/>
  <c r="X87" i="8"/>
  <c r="X96" i="8"/>
  <c r="X106" i="8"/>
  <c r="X112" i="8"/>
  <c r="X115" i="8"/>
  <c r="X124" i="8"/>
  <c r="X128" i="8"/>
  <c r="X134" i="8"/>
  <c r="X139" i="8"/>
  <c r="X144" i="8"/>
  <c r="X151" i="8"/>
  <c r="X154" i="8"/>
  <c r="X157" i="8"/>
  <c r="X160" i="8"/>
  <c r="X163" i="8"/>
  <c r="X165" i="8"/>
  <c r="X166" i="8"/>
  <c r="X167" i="8"/>
  <c r="X172" i="8"/>
  <c r="X174" i="8"/>
  <c r="X178" i="8"/>
  <c r="X179" i="8"/>
  <c r="X180" i="8"/>
  <c r="X183" i="8"/>
  <c r="X185" i="8"/>
  <c r="X191" i="8"/>
  <c r="X192" i="8"/>
  <c r="X193" i="8"/>
  <c r="X196" i="8"/>
  <c r="X198" i="8"/>
  <c r="X201" i="8"/>
  <c r="X208" i="8"/>
  <c r="X209" i="8"/>
  <c r="X210" i="8"/>
  <c r="X211" i="8"/>
  <c r="X213" i="8"/>
  <c r="X214" i="8"/>
  <c r="X217" i="8"/>
  <c r="X222" i="8"/>
  <c r="X224" i="8"/>
  <c r="X225" i="8"/>
  <c r="X228" i="8"/>
  <c r="X230" i="8"/>
  <c r="X235" i="8"/>
  <c r="X238" i="8"/>
  <c r="X243" i="8"/>
  <c r="X244" i="8"/>
  <c r="X249" i="8"/>
  <c r="X251" i="8"/>
  <c r="X254" i="8"/>
  <c r="X256" i="8"/>
  <c r="X259" i="8"/>
  <c r="X262" i="8"/>
  <c r="X263" i="8"/>
  <c r="X264" i="8"/>
  <c r="X266" i="8"/>
  <c r="X268" i="8"/>
  <c r="X270" i="8"/>
  <c r="X273" i="8"/>
  <c r="X275" i="8"/>
  <c r="X277" i="8"/>
  <c r="X279" i="8"/>
  <c r="X283" i="8"/>
  <c r="X284" i="8"/>
  <c r="X289" i="8"/>
  <c r="X291" i="8"/>
  <c r="X296" i="8"/>
  <c r="X299" i="8"/>
  <c r="X305" i="8"/>
  <c r="X308" i="8"/>
  <c r="X310" i="8"/>
  <c r="X313" i="8"/>
  <c r="X314" i="8"/>
  <c r="X318" i="8"/>
  <c r="X322" i="8"/>
  <c r="X323" i="8"/>
  <c r="X325" i="8"/>
  <c r="X326" i="8"/>
  <c r="X327" i="8"/>
  <c r="X329" i="8"/>
  <c r="X332" i="8"/>
  <c r="X337" i="8"/>
  <c r="X339" i="8"/>
  <c r="X342" i="8"/>
  <c r="X344" i="8"/>
  <c r="X346" i="8"/>
  <c r="X348" i="8"/>
  <c r="X350" i="8"/>
  <c r="X352" i="8"/>
  <c r="X354" i="8"/>
  <c r="X355" i="8"/>
  <c r="X357" i="8"/>
  <c r="X361" i="8"/>
  <c r="X365" i="8"/>
  <c r="X368" i="8"/>
  <c r="X371" i="8"/>
  <c r="X372" i="8"/>
  <c r="X373" i="8"/>
  <c r="X380" i="8"/>
  <c r="X384" i="8"/>
  <c r="X385" i="8"/>
  <c r="X388" i="8"/>
  <c r="X389" i="8"/>
  <c r="X391" i="8"/>
  <c r="X392" i="8"/>
  <c r="X395" i="8"/>
  <c r="X398" i="8"/>
  <c r="X399" i="8"/>
  <c r="X400" i="8"/>
  <c r="X404" i="8"/>
  <c r="X406" i="8"/>
  <c r="X414" i="8"/>
  <c r="X415" i="8"/>
  <c r="X416" i="8"/>
  <c r="X418" i="8"/>
  <c r="X419" i="8"/>
  <c r="X422" i="8"/>
  <c r="X426" i="8"/>
  <c r="X427" i="8"/>
  <c r="X430" i="8"/>
  <c r="X431" i="8"/>
  <c r="X433" i="8"/>
  <c r="X435" i="8"/>
  <c r="X436" i="8"/>
  <c r="X437" i="8"/>
  <c r="X438" i="8"/>
  <c r="X439" i="8"/>
  <c r="X442" i="8"/>
  <c r="X444" i="8"/>
  <c r="X449" i="8"/>
  <c r="X450" i="8"/>
  <c r="X455" i="8"/>
  <c r="X458" i="8"/>
  <c r="X462" i="8"/>
  <c r="X465" i="8"/>
  <c r="X466" i="8"/>
  <c r="X467" i="8"/>
  <c r="X470" i="8"/>
  <c r="X473" i="8"/>
  <c r="X477" i="8"/>
  <c r="X478" i="8"/>
  <c r="X481" i="8"/>
  <c r="X482" i="8"/>
  <c r="X486" i="8"/>
  <c r="X487" i="8"/>
  <c r="X490" i="8"/>
  <c r="X496" i="8"/>
  <c r="X499" i="8"/>
  <c r="X500" i="8"/>
  <c r="X505" i="8"/>
  <c r="X513" i="8"/>
  <c r="V82" i="8"/>
  <c r="V92" i="8"/>
  <c r="V98" i="8"/>
  <c r="V116" i="8"/>
  <c r="V120" i="8"/>
  <c r="V130" i="8"/>
  <c r="V146" i="8"/>
  <c r="V148" i="8"/>
  <c r="V149" i="8"/>
  <c r="V153" i="8"/>
  <c r="V159" i="8"/>
  <c r="V171" i="8"/>
  <c r="V174" i="8"/>
  <c r="V179" i="8"/>
  <c r="V185" i="8"/>
  <c r="V190" i="8"/>
  <c r="V192" i="8"/>
  <c r="V201" i="8"/>
  <c r="V205" i="8"/>
  <c r="V208" i="8"/>
  <c r="V210" i="8"/>
  <c r="V221" i="8"/>
  <c r="V223" i="8"/>
  <c r="V224" i="8"/>
  <c r="V227" i="8"/>
  <c r="V242" i="8"/>
  <c r="V243" i="8"/>
  <c r="V245" i="8"/>
  <c r="V251" i="8"/>
  <c r="V254" i="8"/>
  <c r="V256" i="8"/>
  <c r="V261" i="8"/>
  <c r="V268" i="8"/>
  <c r="V278" i="8"/>
  <c r="V291" i="8"/>
  <c r="V299" i="8"/>
  <c r="V302" i="8"/>
  <c r="V305" i="8"/>
  <c r="V311" i="8"/>
  <c r="V317" i="8"/>
  <c r="V318" i="8"/>
  <c r="V321" i="8"/>
  <c r="V324" i="8"/>
  <c r="V333" i="8"/>
  <c r="V336" i="8"/>
  <c r="V337" i="8"/>
  <c r="V338" i="8"/>
  <c r="V339" i="8"/>
  <c r="V340" i="8"/>
  <c r="V344" i="8"/>
  <c r="V345" i="8"/>
  <c r="V347" i="8"/>
  <c r="V348" i="8"/>
  <c r="V349" i="8"/>
  <c r="V353" i="8"/>
  <c r="V357" i="8"/>
  <c r="V362" i="8"/>
  <c r="V363" i="8"/>
  <c r="V367" i="8"/>
  <c r="V371" i="8"/>
  <c r="V380" i="8"/>
  <c r="V383" i="8"/>
  <c r="V387" i="8"/>
  <c r="V388" i="8"/>
  <c r="V390" i="8"/>
  <c r="V392" i="8"/>
  <c r="V393" i="8"/>
  <c r="V395" i="8"/>
  <c r="V396" i="8"/>
  <c r="V401" i="8"/>
  <c r="V404" i="8"/>
  <c r="V405" i="8"/>
  <c r="V406" i="8"/>
  <c r="V407" i="8"/>
  <c r="V412" i="8"/>
  <c r="V415" i="8"/>
  <c r="V418" i="8"/>
  <c r="V419" i="8"/>
  <c r="V420" i="8"/>
  <c r="V422" i="8"/>
  <c r="V427" i="8"/>
  <c r="V429" i="8"/>
  <c r="V433" i="8"/>
  <c r="V437" i="8"/>
  <c r="V442" i="8"/>
  <c r="V444" i="8"/>
  <c r="V446" i="8"/>
  <c r="V448" i="8"/>
  <c r="V454" i="8"/>
  <c r="V455" i="8"/>
  <c r="V457" i="8"/>
  <c r="V458" i="8"/>
  <c r="V461" i="8"/>
  <c r="V462" i="8"/>
  <c r="V466" i="8"/>
  <c r="V472" i="8"/>
  <c r="V474" i="8"/>
  <c r="V476" i="8"/>
  <c r="V479" i="8"/>
  <c r="V480" i="8"/>
  <c r="V481" i="8"/>
  <c r="V482" i="8"/>
  <c r="V484" i="8"/>
  <c r="V489" i="8"/>
  <c r="V494" i="8"/>
  <c r="V495" i="8"/>
  <c r="V502" i="8"/>
  <c r="V503" i="8"/>
  <c r="V504" i="8"/>
  <c r="V508" i="8"/>
  <c r="V510" i="8"/>
  <c r="V511" i="8"/>
  <c r="V513" i="8"/>
  <c r="V514" i="8"/>
  <c r="V22" i="8"/>
  <c r="V28" i="8"/>
  <c r="V36" i="8"/>
  <c r="V40" i="8"/>
  <c r="V46" i="8"/>
  <c r="V51" i="8"/>
  <c r="V57" i="8"/>
  <c r="V60" i="8"/>
  <c r="V66" i="8"/>
  <c r="V77" i="8"/>
  <c r="V94" i="8"/>
  <c r="V103" i="8"/>
  <c r="V104" i="8"/>
  <c r="V109" i="8"/>
  <c r="V110" i="8"/>
  <c r="V114" i="8"/>
  <c r="V117" i="8"/>
  <c r="V121" i="8"/>
  <c r="V126" i="8"/>
  <c r="V131" i="8"/>
  <c r="V132" i="8"/>
  <c r="V137" i="8"/>
  <c r="V142" i="8"/>
  <c r="V147" i="8"/>
  <c r="V150" i="8"/>
  <c r="V154" i="8"/>
  <c r="V155" i="8"/>
  <c r="V163" i="8"/>
  <c r="V164" i="8"/>
  <c r="V165" i="8"/>
  <c r="V168" i="8"/>
  <c r="V170" i="8"/>
  <c r="V172" i="8"/>
  <c r="V175" i="8"/>
  <c r="V176" i="8"/>
  <c r="V181" i="8"/>
  <c r="V184" i="8"/>
  <c r="V189" i="8"/>
  <c r="V191" i="8"/>
  <c r="V193" i="8"/>
  <c r="V194" i="8"/>
  <c r="V197" i="8"/>
  <c r="V202" i="8"/>
  <c r="V214" i="8"/>
  <c r="V215" i="8"/>
  <c r="V219" i="8"/>
  <c r="V220" i="8"/>
  <c r="V228" i="8"/>
  <c r="V229" i="8"/>
  <c r="V231" i="8"/>
  <c r="V234" i="8"/>
  <c r="V236" i="8"/>
  <c r="V240" i="8"/>
  <c r="V244" i="8"/>
  <c r="V247" i="8"/>
  <c r="V248" i="8"/>
  <c r="V249" i="8"/>
  <c r="V255" i="8"/>
  <c r="V257" i="8"/>
  <c r="V258" i="8"/>
  <c r="V262" i="8"/>
  <c r="V265" i="8"/>
  <c r="V269" i="8"/>
  <c r="V270" i="8"/>
  <c r="V272" i="8"/>
  <c r="V275" i="8"/>
  <c r="V280" i="8"/>
  <c r="V281" i="8"/>
  <c r="V292" i="8"/>
  <c r="V293" i="8"/>
  <c r="V295" i="8"/>
  <c r="V297" i="8"/>
  <c r="V298" i="8"/>
  <c r="V303" i="8"/>
  <c r="V306" i="8"/>
  <c r="V308" i="8"/>
  <c r="V310" i="8"/>
  <c r="V314" i="8"/>
  <c r="V315" i="8"/>
  <c r="V319" i="8"/>
  <c r="V320" i="8"/>
  <c r="V323" i="8"/>
  <c r="V325" i="8"/>
  <c r="V326" i="8"/>
  <c r="V329" i="8"/>
  <c r="V330" i="8"/>
  <c r="V332" i="8"/>
  <c r="V335" i="8"/>
  <c r="V352" i="8"/>
  <c r="V354" i="8"/>
  <c r="V355" i="8"/>
  <c r="V358" i="8"/>
  <c r="V368" i="8"/>
  <c r="V369" i="8"/>
  <c r="V372" i="8"/>
  <c r="V376" i="8"/>
  <c r="V384" i="8"/>
  <c r="V385" i="8"/>
  <c r="V386" i="8"/>
  <c r="V389" i="8"/>
  <c r="V391" i="8"/>
  <c r="V394" i="8"/>
  <c r="V397" i="8"/>
  <c r="V399" i="8"/>
  <c r="V402" i="8"/>
  <c r="V408" i="8"/>
  <c r="V411" i="8"/>
  <c r="V416" i="8"/>
  <c r="V421" i="8"/>
  <c r="V423" i="8"/>
  <c r="V428" i="8"/>
  <c r="V430" i="8"/>
  <c r="V434" i="8"/>
  <c r="V436" i="8"/>
  <c r="V438" i="8"/>
  <c r="V439" i="8"/>
  <c r="V440" i="8"/>
  <c r="V447" i="8"/>
  <c r="V449" i="8"/>
  <c r="V451" i="8"/>
  <c r="V452" i="8"/>
  <c r="V453" i="8"/>
  <c r="V456" i="8"/>
  <c r="V459" i="8"/>
  <c r="V463" i="8"/>
  <c r="V467" i="8"/>
  <c r="V468" i="8"/>
  <c r="V470" i="8"/>
  <c r="V471" i="8"/>
  <c r="V475" i="8"/>
  <c r="V477" i="8"/>
  <c r="V478" i="8"/>
  <c r="V490" i="8"/>
  <c r="V491" i="8"/>
  <c r="V493" i="8"/>
  <c r="V496" i="8"/>
  <c r="V497" i="8"/>
  <c r="V501" i="8"/>
  <c r="V509" i="8"/>
  <c r="V512" i="8"/>
  <c r="S515" i="8"/>
  <c r="T8" i="8"/>
  <c r="T28" i="8"/>
  <c r="T40" i="8"/>
  <c r="T46" i="8"/>
  <c r="T57" i="8"/>
  <c r="T60" i="8"/>
  <c r="T71" i="8"/>
  <c r="T78" i="8"/>
  <c r="T104" i="8"/>
  <c r="T110" i="8"/>
  <c r="T112" i="8"/>
  <c r="T122" i="8"/>
  <c r="T125" i="8"/>
  <c r="T126" i="8"/>
  <c r="T142" i="8"/>
  <c r="T144" i="8"/>
  <c r="T161" i="8"/>
  <c r="T163" i="8"/>
  <c r="T167" i="8"/>
  <c r="T181" i="8"/>
  <c r="T185" i="8"/>
  <c r="T189" i="8"/>
  <c r="T194" i="8"/>
  <c r="T199" i="8"/>
  <c r="T209" i="8"/>
  <c r="T210" i="8"/>
  <c r="T220" i="8"/>
  <c r="T222" i="8"/>
  <c r="T226" i="8"/>
  <c r="T228" i="8"/>
  <c r="T230" i="8"/>
  <c r="T240" i="8"/>
  <c r="T246" i="8"/>
  <c r="T256" i="8"/>
  <c r="T260" i="8"/>
  <c r="T261" i="8"/>
  <c r="T263" i="8"/>
  <c r="T265" i="8"/>
  <c r="T268" i="8"/>
  <c r="T270" i="8"/>
  <c r="T278" i="8"/>
  <c r="T281" i="8"/>
  <c r="T283" i="8"/>
  <c r="T289" i="8"/>
  <c r="T298" i="8"/>
  <c r="T310" i="8"/>
  <c r="T312" i="8"/>
  <c r="T320" i="8"/>
  <c r="T322" i="8"/>
  <c r="T334" i="8"/>
  <c r="T346" i="8"/>
  <c r="T350" i="8"/>
  <c r="T354" i="8"/>
  <c r="T359" i="8"/>
  <c r="T362" i="8"/>
  <c r="T364" i="8"/>
  <c r="T368" i="8"/>
  <c r="T369" i="8"/>
  <c r="T376" i="8"/>
  <c r="T377" i="8"/>
  <c r="T378" i="8"/>
  <c r="T383" i="8"/>
  <c r="T384" i="8"/>
  <c r="T386" i="8"/>
  <c r="T390" i="8"/>
  <c r="T392" i="8"/>
  <c r="T395" i="8"/>
  <c r="T397" i="8"/>
  <c r="T401" i="8"/>
  <c r="T413" i="8"/>
  <c r="T415" i="8"/>
  <c r="T421" i="8"/>
  <c r="T424" i="8"/>
  <c r="T430" i="8"/>
  <c r="T434" i="8"/>
  <c r="T436" i="8"/>
  <c r="T439" i="8"/>
  <c r="T441" i="8"/>
  <c r="T444" i="8"/>
  <c r="T447" i="8"/>
  <c r="T451" i="8"/>
  <c r="T453" i="8"/>
  <c r="T459" i="8"/>
  <c r="T461" i="8"/>
  <c r="T467" i="8"/>
  <c r="T468" i="8"/>
  <c r="T471" i="8"/>
  <c r="T478" i="8"/>
  <c r="T479" i="8"/>
  <c r="T482" i="8"/>
  <c r="T483" i="8"/>
  <c r="T491" i="8"/>
  <c r="T493" i="8"/>
  <c r="T495" i="8"/>
  <c r="T497" i="8"/>
  <c r="T499" i="8"/>
  <c r="T501" i="8"/>
  <c r="T504" i="8"/>
  <c r="T506" i="8"/>
  <c r="T509" i="8"/>
  <c r="T511" i="8"/>
  <c r="T513" i="8"/>
  <c r="Q515" i="8"/>
  <c r="R8" i="8"/>
  <c r="R11" i="8"/>
  <c r="R22" i="8"/>
  <c r="R36" i="8"/>
  <c r="R46" i="8"/>
  <c r="R51" i="8"/>
  <c r="R57" i="8"/>
  <c r="R60" i="8"/>
  <c r="R71" i="8"/>
  <c r="R77" i="8"/>
  <c r="R85" i="8"/>
  <c r="R92" i="8"/>
  <c r="R94" i="8"/>
  <c r="R96" i="8"/>
  <c r="R100" i="8"/>
  <c r="R107" i="8"/>
  <c r="R108" i="8"/>
  <c r="R114" i="8"/>
  <c r="R120" i="8"/>
  <c r="R122" i="8"/>
  <c r="R126" i="8"/>
  <c r="R129" i="8"/>
  <c r="R132" i="8"/>
  <c r="R137" i="8"/>
  <c r="R142" i="8"/>
  <c r="R144" i="8"/>
  <c r="R146" i="8"/>
  <c r="R155" i="8"/>
  <c r="R157" i="8"/>
  <c r="R159" i="8"/>
  <c r="R161" i="8"/>
  <c r="R165" i="8"/>
  <c r="R170" i="8"/>
  <c r="R172" i="8"/>
  <c r="R173" i="8"/>
  <c r="R176" i="8"/>
  <c r="R179" i="8"/>
  <c r="R180" i="8"/>
  <c r="R181" i="8"/>
  <c r="R185" i="8"/>
  <c r="R189" i="8"/>
  <c r="R194" i="8"/>
  <c r="R199" i="8"/>
  <c r="R201" i="8"/>
  <c r="R202" i="8"/>
  <c r="R203" i="8"/>
  <c r="R207" i="8"/>
  <c r="R208" i="8"/>
  <c r="R211" i="8"/>
  <c r="R212" i="8"/>
  <c r="R214" i="8"/>
  <c r="R218" i="8"/>
  <c r="R220" i="8"/>
  <c r="R223" i="8"/>
  <c r="R226" i="8"/>
  <c r="R230" i="8"/>
  <c r="R233" i="8"/>
  <c r="R236" i="8"/>
  <c r="R240" i="8"/>
  <c r="R246" i="8"/>
  <c r="R248" i="8"/>
  <c r="R249" i="8"/>
  <c r="R251" i="8"/>
  <c r="R256" i="8"/>
  <c r="R262" i="8"/>
  <c r="R263" i="8"/>
  <c r="R267" i="8"/>
  <c r="R268" i="8"/>
  <c r="R272" i="8"/>
  <c r="R277" i="8"/>
  <c r="R293" i="8"/>
  <c r="R296" i="8"/>
  <c r="R298" i="8"/>
  <c r="R303" i="8"/>
  <c r="R306" i="8"/>
  <c r="R310" i="8"/>
  <c r="R312" i="8"/>
  <c r="R315" i="8"/>
  <c r="R318" i="8"/>
  <c r="R322" i="8"/>
  <c r="R323" i="8"/>
  <c r="R327" i="8"/>
  <c r="R329" i="8"/>
  <c r="R332" i="8"/>
  <c r="R334" i="8"/>
  <c r="R335" i="8"/>
  <c r="R338" i="8"/>
  <c r="R339" i="8"/>
  <c r="R344" i="8"/>
  <c r="R349" i="8"/>
  <c r="R351" i="8"/>
  <c r="R352" i="8"/>
  <c r="R354" i="8"/>
  <c r="R357" i="8"/>
  <c r="R358" i="8"/>
  <c r="R359" i="8"/>
  <c r="R363" i="8"/>
  <c r="R364" i="8"/>
  <c r="R365" i="8"/>
  <c r="R367" i="8"/>
  <c r="R371" i="8"/>
  <c r="R373" i="8"/>
  <c r="R374" i="8"/>
  <c r="R376" i="8"/>
  <c r="R377" i="8"/>
  <c r="R378" i="8"/>
  <c r="R379" i="8"/>
  <c r="R380" i="8"/>
  <c r="R381" i="8"/>
  <c r="R383" i="8"/>
  <c r="R388" i="8"/>
  <c r="R390" i="8"/>
  <c r="R392" i="8"/>
  <c r="R396" i="8"/>
  <c r="R397" i="8"/>
  <c r="R401" i="8"/>
  <c r="R406" i="8"/>
  <c r="R408" i="8"/>
  <c r="R411" i="8"/>
  <c r="R414" i="8"/>
  <c r="R415" i="8"/>
  <c r="R419" i="8"/>
  <c r="R421" i="8"/>
  <c r="R422" i="8"/>
  <c r="R424" i="8"/>
  <c r="R427" i="8"/>
  <c r="R432" i="8"/>
  <c r="R434" i="8"/>
  <c r="R436" i="8"/>
  <c r="R439" i="8"/>
  <c r="R442" i="8"/>
  <c r="R445" i="8"/>
  <c r="R447" i="8"/>
  <c r="R450" i="8"/>
  <c r="R451" i="8"/>
  <c r="R453" i="8"/>
  <c r="R454" i="8"/>
  <c r="R456" i="8"/>
  <c r="R459" i="8"/>
  <c r="R461" i="8"/>
  <c r="R462" i="8"/>
  <c r="R467" i="8"/>
  <c r="R468" i="8"/>
  <c r="R477" i="8"/>
  <c r="R478" i="8"/>
  <c r="R484" i="8"/>
  <c r="R485" i="8"/>
  <c r="R486" i="8"/>
  <c r="R487" i="8"/>
  <c r="R491" i="8"/>
  <c r="R494" i="8"/>
  <c r="R495" i="8"/>
  <c r="R497" i="8"/>
  <c r="R501" i="8"/>
  <c r="R504" i="8"/>
  <c r="R506" i="8"/>
  <c r="R508" i="8"/>
  <c r="R509" i="8"/>
  <c r="R510" i="8"/>
  <c r="R512" i="8"/>
  <c r="R514" i="8"/>
  <c r="O515" i="8"/>
  <c r="P8" i="8"/>
  <c r="P28" i="8"/>
  <c r="P66" i="8"/>
  <c r="P85" i="8"/>
  <c r="P86" i="8"/>
  <c r="P95" i="8"/>
  <c r="P100" i="8"/>
  <c r="P101" i="8"/>
  <c r="P105" i="8"/>
  <c r="P110" i="8"/>
  <c r="P111" i="8"/>
  <c r="P118" i="8"/>
  <c r="P123" i="8"/>
  <c r="P127" i="8"/>
  <c r="P137" i="8"/>
  <c r="P138" i="8"/>
  <c r="P147" i="8"/>
  <c r="P148" i="8"/>
  <c r="P156" i="8"/>
  <c r="P161" i="8"/>
  <c r="P162" i="8"/>
  <c r="P166" i="8"/>
  <c r="P171" i="8"/>
  <c r="P176" i="8"/>
  <c r="P177" i="8"/>
  <c r="P182" i="8"/>
  <c r="P186" i="8"/>
  <c r="P190" i="8"/>
  <c r="P194" i="8"/>
  <c r="P195" i="8"/>
  <c r="P198" i="8"/>
  <c r="P203" i="8"/>
  <c r="P206" i="8"/>
  <c r="P213" i="8"/>
  <c r="P216" i="8"/>
  <c r="P220" i="8"/>
  <c r="P221" i="8"/>
  <c r="P227" i="8"/>
  <c r="P231" i="8"/>
  <c r="P232" i="8"/>
  <c r="P237" i="8"/>
  <c r="P241" i="8"/>
  <c r="P245" i="8"/>
  <c r="P248" i="8"/>
  <c r="P253" i="8"/>
  <c r="P258" i="8"/>
  <c r="P269" i="8"/>
  <c r="P272" i="8"/>
  <c r="P276" i="8"/>
  <c r="P281" i="8"/>
  <c r="P282" i="8"/>
  <c r="P293" i="8"/>
  <c r="P294" i="8"/>
  <c r="P296" i="8"/>
  <c r="P299" i="8"/>
  <c r="P302" i="8"/>
  <c r="P307" i="8"/>
  <c r="P309" i="8"/>
  <c r="P312" i="8"/>
  <c r="P313" i="8"/>
  <c r="P316" i="8"/>
  <c r="P324" i="8"/>
  <c r="P331" i="8"/>
  <c r="P335" i="8"/>
  <c r="P336" i="8"/>
  <c r="P341" i="8"/>
  <c r="P347" i="8"/>
  <c r="P351" i="8"/>
  <c r="P357" i="8"/>
  <c r="P364" i="8"/>
  <c r="P370" i="8"/>
  <c r="P374" i="8"/>
  <c r="P376" i="8"/>
  <c r="P380" i="8"/>
  <c r="P381" i="8"/>
  <c r="P387" i="8"/>
  <c r="P393" i="8"/>
  <c r="P397" i="8"/>
  <c r="P398" i="8"/>
  <c r="P400" i="8"/>
  <c r="P408" i="8"/>
  <c r="P409" i="8"/>
  <c r="P411" i="8"/>
  <c r="P412" i="8"/>
  <c r="P413" i="8"/>
  <c r="P417" i="8"/>
  <c r="P419" i="8"/>
  <c r="P424" i="8"/>
  <c r="P425" i="8"/>
  <c r="P428" i="8"/>
  <c r="P429" i="8"/>
  <c r="P434" i="8"/>
  <c r="P439" i="8"/>
  <c r="P443" i="8"/>
  <c r="P447" i="8"/>
  <c r="P448" i="8"/>
  <c r="P451" i="8"/>
  <c r="P456" i="8"/>
  <c r="P457" i="8"/>
  <c r="P460" i="8"/>
  <c r="P461" i="8"/>
  <c r="P462" i="8"/>
  <c r="P468" i="8"/>
  <c r="P469" i="8"/>
  <c r="P471" i="8"/>
  <c r="P472" i="8"/>
  <c r="P474" i="8"/>
  <c r="P479" i="8"/>
  <c r="P484" i="8"/>
  <c r="P487" i="8"/>
  <c r="P488" i="8"/>
  <c r="P491" i="8"/>
  <c r="P492" i="8"/>
  <c r="P493" i="8"/>
  <c r="P497" i="8"/>
  <c r="P498" i="8"/>
  <c r="P501" i="8"/>
  <c r="P502" i="8"/>
  <c r="P503" i="8"/>
  <c r="P506" i="8"/>
  <c r="P507" i="8"/>
  <c r="P510" i="8"/>
  <c r="P511" i="8"/>
  <c r="N11" i="8"/>
  <c r="N86" i="8"/>
  <c r="N94" i="8"/>
  <c r="N100" i="8"/>
  <c r="N104" i="8"/>
  <c r="N110" i="8"/>
  <c r="N111" i="8"/>
  <c r="N114" i="8"/>
  <c r="N122" i="8"/>
  <c r="N123" i="8"/>
  <c r="N126" i="8"/>
  <c r="N127" i="8"/>
  <c r="N133" i="8"/>
  <c r="N137" i="8"/>
  <c r="N138" i="8"/>
  <c r="N147" i="8"/>
  <c r="N148" i="8"/>
  <c r="N156" i="8"/>
  <c r="N161" i="8"/>
  <c r="N162" i="8"/>
  <c r="N166" i="8"/>
  <c r="N170" i="8"/>
  <c r="N176" i="8"/>
  <c r="N177" i="8"/>
  <c r="N181" i="8"/>
  <c r="N182" i="8"/>
  <c r="N185" i="8"/>
  <c r="N189" i="8"/>
  <c r="N194" i="8"/>
  <c r="N203" i="8"/>
  <c r="N204" i="8"/>
  <c r="N206" i="8"/>
  <c r="N210" i="8"/>
  <c r="N212" i="8"/>
  <c r="N226" i="8"/>
  <c r="N230" i="8"/>
  <c r="N236" i="8"/>
  <c r="N245" i="8"/>
  <c r="N251" i="8"/>
  <c r="N253" i="8"/>
  <c r="N258" i="8"/>
  <c r="N263" i="8"/>
  <c r="N265" i="8"/>
  <c r="N269" i="8"/>
  <c r="N272" i="8"/>
  <c r="N276" i="8"/>
  <c r="N281" i="8"/>
  <c r="N282" i="8"/>
  <c r="N293" i="8"/>
  <c r="N294" i="8"/>
  <c r="N296" i="8"/>
  <c r="N298" i="8"/>
  <c r="N299" i="8"/>
  <c r="N302" i="8"/>
  <c r="N307" i="8"/>
  <c r="N312" i="8"/>
  <c r="N316" i="8"/>
  <c r="N327" i="8"/>
  <c r="N330" i="8"/>
  <c r="N336" i="8"/>
  <c r="N341" i="8"/>
  <c r="N345" i="8"/>
  <c r="N351" i="8"/>
  <c r="N354" i="8"/>
  <c r="N359" i="8"/>
  <c r="N360" i="8"/>
  <c r="N362" i="8"/>
  <c r="N366" i="8"/>
  <c r="N369" i="8"/>
  <c r="N370" i="8"/>
  <c r="N376" i="8"/>
  <c r="N378" i="8"/>
  <c r="N381" i="8"/>
  <c r="N395" i="8"/>
  <c r="N397" i="8"/>
  <c r="N398" i="8"/>
  <c r="N403" i="8"/>
  <c r="N404" i="8"/>
  <c r="N409" i="8"/>
  <c r="N411" i="8"/>
  <c r="N412" i="8"/>
  <c r="N421" i="8"/>
  <c r="N425" i="8"/>
  <c r="N428" i="8"/>
  <c r="N429" i="8"/>
  <c r="N431" i="8"/>
  <c r="N436" i="8"/>
  <c r="N437" i="8"/>
  <c r="N447" i="8"/>
  <c r="N448" i="8"/>
  <c r="N453" i="8"/>
  <c r="N457" i="8"/>
  <c r="N459" i="8"/>
  <c r="N460" i="8"/>
  <c r="N461" i="8"/>
  <c r="N464" i="8"/>
  <c r="N465" i="8"/>
  <c r="N469" i="8"/>
  <c r="N471" i="8"/>
  <c r="N478" i="8"/>
  <c r="N480" i="8"/>
  <c r="N487" i="8"/>
  <c r="N497" i="8"/>
  <c r="N498" i="8"/>
  <c r="N499" i="8"/>
  <c r="N501" i="8"/>
  <c r="N508" i="8"/>
  <c r="N509" i="8"/>
  <c r="N510" i="8"/>
  <c r="N514" i="8"/>
  <c r="M515" i="8"/>
  <c r="L5" i="8"/>
  <c r="L7" i="8"/>
  <c r="L16" i="8"/>
  <c r="L17" i="8"/>
  <c r="L18" i="8"/>
  <c r="L23" i="8"/>
  <c r="L27" i="8"/>
  <c r="L29" i="8"/>
  <c r="L31" i="8"/>
  <c r="L40" i="8"/>
  <c r="L41" i="8"/>
  <c r="L42" i="8"/>
  <c r="L45" i="8"/>
  <c r="L46" i="8"/>
  <c r="L47" i="8"/>
  <c r="L48" i="8"/>
  <c r="L51" i="8"/>
  <c r="L54" i="8"/>
  <c r="L59" i="8"/>
  <c r="L62" i="8"/>
  <c r="L63" i="8"/>
  <c r="L71" i="8"/>
  <c r="L76" i="8"/>
  <c r="L79" i="8"/>
  <c r="L85" i="8"/>
  <c r="L90" i="8"/>
  <c r="L92" i="8"/>
  <c r="L93" i="8"/>
  <c r="L94" i="8"/>
  <c r="L95" i="8"/>
  <c r="L97" i="8"/>
  <c r="L100" i="8"/>
  <c r="L104" i="8"/>
  <c r="L107" i="8"/>
  <c r="L110" i="8"/>
  <c r="L114" i="8"/>
  <c r="L115" i="8"/>
  <c r="L122" i="8"/>
  <c r="L126" i="8"/>
  <c r="L129" i="8"/>
  <c r="L130" i="8"/>
  <c r="L131" i="8"/>
  <c r="L132" i="8"/>
  <c r="L134" i="8"/>
  <c r="L137" i="8"/>
  <c r="L139" i="8"/>
  <c r="L140" i="8"/>
  <c r="L142" i="8"/>
  <c r="L144" i="8"/>
  <c r="L147" i="8"/>
  <c r="L149" i="8"/>
  <c r="L153" i="8"/>
  <c r="L154" i="8"/>
  <c r="L155" i="8"/>
  <c r="L157" i="8"/>
  <c r="L158" i="8"/>
  <c r="L160" i="8"/>
  <c r="L161" i="8"/>
  <c r="L164" i="8"/>
  <c r="L165" i="8"/>
  <c r="L170" i="8"/>
  <c r="L174" i="8"/>
  <c r="L177" i="8"/>
  <c r="L179" i="8"/>
  <c r="L181" i="8"/>
  <c r="L182" i="8"/>
  <c r="L184" i="8"/>
  <c r="L185" i="8"/>
  <c r="L186" i="8"/>
  <c r="L187" i="8"/>
  <c r="L190" i="8"/>
  <c r="L192" i="8"/>
  <c r="L196" i="8"/>
  <c r="L198" i="8"/>
  <c r="L201" i="8"/>
  <c r="L202" i="8"/>
  <c r="L207" i="8"/>
  <c r="L208" i="8"/>
  <c r="L210" i="8"/>
  <c r="L211" i="8"/>
  <c r="L213" i="8"/>
  <c r="L217" i="8"/>
  <c r="L218" i="8"/>
  <c r="L221" i="8"/>
  <c r="L222" i="8"/>
  <c r="L224" i="8"/>
  <c r="L225" i="8"/>
  <c r="L230" i="8"/>
  <c r="L234" i="8"/>
  <c r="L235" i="8"/>
  <c r="L237" i="8"/>
  <c r="L240" i="8"/>
  <c r="L241" i="8"/>
  <c r="L243" i="8"/>
  <c r="L246" i="8"/>
  <c r="L251" i="8"/>
  <c r="L252" i="8"/>
  <c r="L253" i="8"/>
  <c r="L255" i="8"/>
  <c r="L256" i="8"/>
  <c r="L259" i="8"/>
  <c r="L260" i="8"/>
  <c r="L261" i="8"/>
  <c r="L263" i="8"/>
  <c r="L264" i="8"/>
  <c r="L268" i="8"/>
  <c r="L269" i="8"/>
  <c r="L273" i="8"/>
  <c r="L275" i="8"/>
  <c r="L277" i="8"/>
  <c r="L278" i="8"/>
  <c r="L279" i="8"/>
  <c r="L283" i="8"/>
  <c r="L291" i="8"/>
  <c r="L292" i="8"/>
  <c r="L294" i="8"/>
  <c r="L296" i="8"/>
  <c r="L300" i="8"/>
  <c r="L301" i="8"/>
  <c r="L303" i="8"/>
  <c r="L305" i="8"/>
  <c r="L306" i="8"/>
  <c r="L308" i="8"/>
  <c r="L309" i="8"/>
  <c r="L311" i="8"/>
  <c r="L312" i="8"/>
  <c r="L313" i="8"/>
  <c r="L315" i="8"/>
  <c r="L318" i="8"/>
  <c r="L319" i="8"/>
  <c r="L320" i="8"/>
  <c r="L322" i="8"/>
  <c r="L323" i="8"/>
  <c r="L325" i="8"/>
  <c r="L326" i="8"/>
  <c r="L327" i="8"/>
  <c r="L330" i="8"/>
  <c r="L331" i="8"/>
  <c r="L332" i="8"/>
  <c r="L334" i="8"/>
  <c r="L335" i="8"/>
  <c r="L338" i="8"/>
  <c r="L339" i="8"/>
  <c r="L341" i="8"/>
  <c r="L342" i="8"/>
  <c r="L344" i="8"/>
  <c r="L345" i="8"/>
  <c r="L347" i="8"/>
  <c r="L348" i="8"/>
  <c r="L349" i="8"/>
  <c r="L350" i="8"/>
  <c r="L351" i="8"/>
  <c r="L354" i="8"/>
  <c r="L357" i="8"/>
  <c r="L359" i="8"/>
  <c r="L363" i="8"/>
  <c r="L364" i="8"/>
  <c r="L365" i="8"/>
  <c r="L367" i="8"/>
  <c r="L368" i="8"/>
  <c r="L369" i="8"/>
  <c r="L370" i="8"/>
  <c r="L371" i="8"/>
  <c r="L372" i="8"/>
  <c r="L373" i="8"/>
  <c r="L374" i="8"/>
  <c r="L375" i="8"/>
  <c r="L376" i="8"/>
  <c r="L377" i="8"/>
  <c r="L378" i="8"/>
  <c r="L380" i="8"/>
  <c r="L381" i="8"/>
  <c r="L382" i="8"/>
  <c r="L383" i="8"/>
  <c r="L385" i="8"/>
  <c r="L386" i="8"/>
  <c r="L389" i="8"/>
  <c r="L390" i="8"/>
  <c r="L391" i="8"/>
  <c r="L392" i="8"/>
  <c r="L395" i="8"/>
  <c r="L396" i="8"/>
  <c r="L397" i="8"/>
  <c r="L401" i="8"/>
  <c r="L402" i="8"/>
  <c r="L403" i="8"/>
  <c r="L406" i="8"/>
  <c r="L407" i="8"/>
  <c r="L408" i="8"/>
  <c r="L411" i="8"/>
  <c r="L412" i="8"/>
  <c r="L413" i="8"/>
  <c r="L414" i="8"/>
  <c r="L415" i="8"/>
  <c r="L416" i="8"/>
  <c r="L417" i="8"/>
  <c r="L418" i="8"/>
  <c r="L419" i="8"/>
  <c r="L422" i="8"/>
  <c r="L424" i="8"/>
  <c r="L426" i="8"/>
  <c r="L427" i="8"/>
  <c r="L428" i="8"/>
  <c r="L429" i="8"/>
  <c r="L430" i="8"/>
  <c r="L432" i="8"/>
  <c r="L433" i="8"/>
  <c r="L434" i="8"/>
  <c r="L436" i="8"/>
  <c r="L438" i="8"/>
  <c r="L439" i="8"/>
  <c r="L441" i="8"/>
  <c r="L443" i="8"/>
  <c r="L444" i="8"/>
  <c r="L445" i="8"/>
  <c r="L446" i="8"/>
  <c r="L447" i="8"/>
  <c r="L448" i="8"/>
  <c r="L449" i="8"/>
  <c r="L450" i="8"/>
  <c r="L451" i="8"/>
  <c r="L452" i="8"/>
  <c r="L453" i="8"/>
  <c r="L454" i="8"/>
  <c r="L455" i="8"/>
  <c r="L456" i="8"/>
  <c r="L459" i="8"/>
  <c r="L461" i="8"/>
  <c r="L463" i="8"/>
  <c r="L464" i="8"/>
  <c r="L465" i="8"/>
  <c r="L467" i="8"/>
  <c r="L468" i="8"/>
  <c r="L470" i="8"/>
  <c r="L471" i="8"/>
  <c r="L472" i="8"/>
  <c r="L473" i="8"/>
  <c r="L474" i="8"/>
  <c r="L475" i="8"/>
  <c r="L477" i="8"/>
  <c r="L478" i="8"/>
  <c r="L479" i="8"/>
  <c r="L481" i="8"/>
  <c r="L482" i="8"/>
  <c r="L483" i="8"/>
  <c r="L484" i="8"/>
  <c r="L485" i="8"/>
  <c r="L486" i="8"/>
  <c r="L488" i="8"/>
  <c r="L492" i="8"/>
  <c r="L494" i="8"/>
  <c r="L495" i="8"/>
  <c r="L496" i="8"/>
  <c r="L498" i="8"/>
  <c r="L503" i="8"/>
  <c r="L505" i="8"/>
  <c r="L511" i="8"/>
  <c r="L512" i="8"/>
  <c r="L513" i="8"/>
  <c r="L514" i="8"/>
  <c r="V3" i="8"/>
  <c r="V7" i="8"/>
  <c r="V8" i="8"/>
  <c r="V10" i="8"/>
  <c r="V13" i="8"/>
  <c r="V14" i="8"/>
  <c r="V16" i="8"/>
  <c r="V18" i="8"/>
  <c r="V21" i="8"/>
  <c r="V24" i="8"/>
  <c r="V25" i="8"/>
  <c r="V26" i="8"/>
  <c r="V27" i="8"/>
  <c r="V30" i="8"/>
  <c r="V32" i="8"/>
  <c r="V34" i="8"/>
  <c r="V35" i="8"/>
  <c r="V39" i="8"/>
  <c r="V42" i="8"/>
  <c r="V43" i="8"/>
  <c r="V45" i="8"/>
  <c r="V48" i="8"/>
  <c r="V49" i="8"/>
  <c r="V50" i="8"/>
  <c r="V53" i="8"/>
  <c r="V54" i="8"/>
  <c r="V56" i="8"/>
  <c r="V62" i="8"/>
  <c r="V63" i="8"/>
  <c r="V64" i="8"/>
  <c r="V65" i="8"/>
  <c r="V68" i="8"/>
  <c r="V70" i="8"/>
  <c r="V71" i="8"/>
  <c r="V73" i="8"/>
  <c r="V74" i="8"/>
  <c r="V76" i="8"/>
  <c r="V78" i="8"/>
  <c r="V79" i="8"/>
  <c r="V80" i="8"/>
  <c r="V81" i="8"/>
  <c r="V84" i="8"/>
  <c r="V85" i="8"/>
  <c r="V87" i="8"/>
  <c r="V88" i="8"/>
  <c r="V90" i="8"/>
  <c r="V93" i="8"/>
  <c r="V96" i="8"/>
  <c r="V97" i="8"/>
  <c r="V99" i="8"/>
  <c r="V100" i="8"/>
  <c r="V106" i="8"/>
  <c r="V107" i="8"/>
  <c r="V108" i="8"/>
  <c r="V112" i="8"/>
  <c r="V113" i="8"/>
  <c r="V115" i="8"/>
  <c r="V119" i="8"/>
  <c r="V122" i="8"/>
  <c r="V124" i="8"/>
  <c r="V125" i="8"/>
  <c r="V128" i="8"/>
  <c r="V129" i="8"/>
  <c r="V134" i="8"/>
  <c r="V135" i="8"/>
  <c r="V136" i="8"/>
  <c r="V139" i="8"/>
  <c r="V141" i="8"/>
  <c r="V144" i="8"/>
  <c r="V145" i="8"/>
  <c r="V151" i="8"/>
  <c r="V152" i="8"/>
  <c r="V157" i="8"/>
  <c r="V158" i="8"/>
  <c r="V160" i="8"/>
  <c r="V161" i="8"/>
  <c r="V167" i="8"/>
  <c r="V169" i="8"/>
  <c r="V173" i="8"/>
  <c r="V180" i="8"/>
  <c r="V183" i="8"/>
  <c r="V187" i="8"/>
  <c r="V188" i="8"/>
  <c r="V196" i="8"/>
  <c r="V199" i="8"/>
  <c r="V200" i="8"/>
  <c r="V203" i="8"/>
  <c r="V207" i="8"/>
  <c r="V209" i="8"/>
  <c r="V211" i="8"/>
  <c r="V212" i="8"/>
  <c r="V217" i="8"/>
  <c r="V222" i="8"/>
  <c r="V225" i="8"/>
  <c r="V226" i="8"/>
  <c r="V230" i="8"/>
  <c r="V233" i="8"/>
  <c r="V235" i="8"/>
  <c r="V238" i="8"/>
  <c r="V239" i="8"/>
  <c r="V246" i="8"/>
  <c r="V250" i="8"/>
  <c r="V252" i="8"/>
  <c r="V259" i="8"/>
  <c r="V260" i="8"/>
  <c r="V263" i="8"/>
  <c r="V264" i="8"/>
  <c r="V267" i="8"/>
  <c r="V271" i="8"/>
  <c r="V273" i="8"/>
  <c r="V274" i="8"/>
  <c r="V277" i="8"/>
  <c r="V282" i="8"/>
  <c r="V283" i="8"/>
  <c r="V284" i="8"/>
  <c r="V285" i="8"/>
  <c r="V294" i="8"/>
  <c r="V296" i="8"/>
  <c r="V300" i="8"/>
  <c r="V301" i="8"/>
  <c r="V304" i="8"/>
  <c r="V307" i="8"/>
  <c r="V312" i="8"/>
  <c r="V316" i="8"/>
  <c r="V322" i="8"/>
  <c r="V327" i="8"/>
  <c r="V334" i="8"/>
  <c r="V341" i="8"/>
  <c r="V342" i="8"/>
  <c r="V343" i="8"/>
  <c r="V346" i="8"/>
  <c r="V350" i="8"/>
  <c r="V351" i="8"/>
  <c r="V356" i="8"/>
  <c r="V360" i="8"/>
  <c r="V361" i="8"/>
  <c r="V364" i="8"/>
  <c r="V365" i="8"/>
  <c r="V366" i="8"/>
  <c r="V370" i="8"/>
  <c r="V373" i="8"/>
  <c r="V374" i="8"/>
  <c r="V375" i="8"/>
  <c r="V377" i="8"/>
  <c r="V378" i="8"/>
  <c r="V379" i="8"/>
  <c r="V381" i="8"/>
  <c r="V398" i="8"/>
  <c r="V400" i="8"/>
  <c r="V403" i="8"/>
  <c r="V409" i="8"/>
  <c r="V410" i="8"/>
  <c r="V413" i="8"/>
  <c r="V414" i="8"/>
  <c r="V417" i="8"/>
  <c r="V425" i="8"/>
  <c r="V426" i="8"/>
  <c r="V435" i="8"/>
  <c r="V441" i="8"/>
  <c r="V443" i="8"/>
  <c r="V445" i="8"/>
  <c r="V450" i="8"/>
  <c r="V460" i="8"/>
  <c r="V465" i="8"/>
  <c r="V469" i="8"/>
  <c r="V473" i="8"/>
  <c r="V483" i="8"/>
  <c r="V485" i="8"/>
  <c r="V486" i="8"/>
  <c r="V487" i="8"/>
  <c r="V488" i="8"/>
  <c r="V492" i="8"/>
  <c r="V498" i="8"/>
  <c r="V499" i="8"/>
  <c r="V500" i="8"/>
  <c r="V505" i="8"/>
  <c r="V506" i="8"/>
  <c r="V507" i="8"/>
  <c r="T3" i="8"/>
  <c r="T5" i="8"/>
  <c r="T6" i="8"/>
  <c r="T9" i="8"/>
  <c r="T10" i="8"/>
  <c r="T12" i="8"/>
  <c r="T13" i="8"/>
  <c r="T14" i="8"/>
  <c r="T16" i="8"/>
  <c r="T17" i="8"/>
  <c r="T18" i="8"/>
  <c r="T19" i="8"/>
  <c r="T20" i="8"/>
  <c r="T23" i="8"/>
  <c r="T24" i="8"/>
  <c r="T25" i="8"/>
  <c r="T26" i="8"/>
  <c r="T27" i="8"/>
  <c r="T29" i="8"/>
  <c r="T31" i="8"/>
  <c r="T32" i="8"/>
  <c r="T33" i="8"/>
  <c r="T34" i="8"/>
  <c r="T35" i="8"/>
  <c r="T37" i="8"/>
  <c r="T38" i="8"/>
  <c r="T39" i="8"/>
  <c r="T43" i="8"/>
  <c r="T45" i="8"/>
  <c r="T47" i="8"/>
  <c r="T48" i="8"/>
  <c r="T49" i="8"/>
  <c r="T50" i="8"/>
  <c r="T52" i="8"/>
  <c r="T54" i="8"/>
  <c r="T55" i="8"/>
  <c r="T56" i="8"/>
  <c r="T58" i="8"/>
  <c r="T59" i="8"/>
  <c r="T61" i="8"/>
  <c r="T62" i="8"/>
  <c r="T63" i="8"/>
  <c r="T64" i="8"/>
  <c r="T65" i="8"/>
  <c r="T67" i="8"/>
  <c r="T68" i="8"/>
  <c r="T70" i="8"/>
  <c r="T72" i="8"/>
  <c r="T73" i="8"/>
  <c r="T74" i="8"/>
  <c r="T75" i="8"/>
  <c r="T76" i="8"/>
  <c r="T79" i="8"/>
  <c r="T81" i="8"/>
  <c r="T82" i="8"/>
  <c r="T83" i="8"/>
  <c r="T84" i="8"/>
  <c r="T85" i="8"/>
  <c r="T86" i="8"/>
  <c r="T87" i="8"/>
  <c r="T88" i="8"/>
  <c r="T90" i="8"/>
  <c r="T91" i="8"/>
  <c r="T92" i="8"/>
  <c r="T94" i="8"/>
  <c r="T95" i="8"/>
  <c r="T96" i="8"/>
  <c r="T97" i="8"/>
  <c r="T98" i="8"/>
  <c r="T99" i="8"/>
  <c r="T101" i="8"/>
  <c r="T103" i="8"/>
  <c r="T105" i="8"/>
  <c r="T106" i="8"/>
  <c r="T107" i="8"/>
  <c r="T108" i="8"/>
  <c r="T109" i="8"/>
  <c r="T111" i="8"/>
  <c r="T115" i="8"/>
  <c r="T116" i="8"/>
  <c r="T117" i="8"/>
  <c r="T118" i="8"/>
  <c r="T119" i="8"/>
  <c r="T121" i="8"/>
  <c r="T123" i="8"/>
  <c r="T128" i="8"/>
  <c r="T129" i="8"/>
  <c r="T130" i="8"/>
  <c r="T131" i="8"/>
  <c r="T133" i="8"/>
  <c r="T135" i="8"/>
  <c r="T136" i="8"/>
  <c r="T137" i="8"/>
  <c r="T138" i="8"/>
  <c r="T139" i="8"/>
  <c r="T140" i="8"/>
  <c r="T141" i="8"/>
  <c r="T145" i="8"/>
  <c r="T147" i="8"/>
  <c r="T148" i="8"/>
  <c r="T149" i="8"/>
  <c r="T150" i="8"/>
  <c r="T152" i="8"/>
  <c r="T153" i="8"/>
  <c r="T155" i="8"/>
  <c r="T156" i="8"/>
  <c r="T157" i="8"/>
  <c r="T158" i="8"/>
  <c r="T159" i="8"/>
  <c r="T160" i="8"/>
  <c r="T162" i="8"/>
  <c r="T164" i="8"/>
  <c r="T165" i="8"/>
  <c r="T166" i="8"/>
  <c r="T168" i="8"/>
  <c r="T169" i="8"/>
  <c r="T171" i="8"/>
  <c r="T172" i="8"/>
  <c r="T173" i="8"/>
  <c r="T174" i="8"/>
  <c r="T175" i="8"/>
  <c r="T177" i="8"/>
  <c r="T179" i="8"/>
  <c r="T180" i="8"/>
  <c r="T182" i="8"/>
  <c r="T186" i="8"/>
  <c r="T188" i="8"/>
  <c r="T190" i="8"/>
  <c r="T191" i="8"/>
  <c r="T193" i="8"/>
  <c r="T195" i="8"/>
  <c r="T197" i="8"/>
  <c r="T198" i="8"/>
  <c r="T200" i="8"/>
  <c r="T202" i="8"/>
  <c r="T204" i="8"/>
  <c r="T205" i="8"/>
  <c r="T206" i="8"/>
  <c r="T207" i="8"/>
  <c r="T211" i="8"/>
  <c r="T213" i="8"/>
  <c r="T215" i="8"/>
  <c r="T216" i="8"/>
  <c r="T217" i="8"/>
  <c r="T218" i="8"/>
  <c r="T219" i="8"/>
  <c r="T221" i="8"/>
  <c r="T223" i="8"/>
  <c r="T225" i="8"/>
  <c r="T227" i="8"/>
  <c r="T229" i="8"/>
  <c r="T232" i="8"/>
  <c r="T233" i="8"/>
  <c r="T234" i="8"/>
  <c r="T235" i="8"/>
  <c r="T237" i="8"/>
  <c r="T239" i="8"/>
  <c r="T241" i="8"/>
  <c r="T242" i="8"/>
  <c r="T243" i="8"/>
  <c r="T244" i="8"/>
  <c r="T245" i="8"/>
  <c r="T247" i="8"/>
  <c r="T249" i="8"/>
  <c r="T250" i="8"/>
  <c r="T251" i="8"/>
  <c r="T252" i="8"/>
  <c r="T254" i="8"/>
  <c r="T255" i="8"/>
  <c r="T257" i="8"/>
  <c r="T259" i="8"/>
  <c r="T262" i="8"/>
  <c r="T264" i="8"/>
  <c r="T266" i="8"/>
  <c r="T267" i="8"/>
  <c r="T271" i="8"/>
  <c r="T273" i="8"/>
  <c r="T274" i="8"/>
  <c r="T275" i="8"/>
  <c r="T279" i="8"/>
  <c r="T280" i="8"/>
  <c r="T282" i="8"/>
  <c r="T284" i="8"/>
  <c r="T285" i="8"/>
  <c r="T291" i="8"/>
  <c r="T292" i="8"/>
  <c r="T293" i="8"/>
  <c r="T294" i="8"/>
  <c r="T295" i="8"/>
  <c r="T297" i="8"/>
  <c r="T299" i="8"/>
  <c r="T301" i="8"/>
  <c r="T302" i="8"/>
  <c r="T303" i="8"/>
  <c r="T304" i="8"/>
  <c r="T307" i="8"/>
  <c r="T308" i="8"/>
  <c r="T309" i="8"/>
  <c r="T313" i="8"/>
  <c r="T314" i="8"/>
  <c r="T315" i="8"/>
  <c r="T316" i="8"/>
  <c r="T318" i="8"/>
  <c r="T319" i="8"/>
  <c r="T321" i="8"/>
  <c r="T323" i="8"/>
  <c r="T324" i="8"/>
  <c r="T325" i="8"/>
  <c r="T326" i="8"/>
  <c r="T328" i="8"/>
  <c r="T329" i="8"/>
  <c r="T331" i="8"/>
  <c r="T333" i="8"/>
  <c r="T336" i="8"/>
  <c r="T337" i="8"/>
  <c r="T338" i="8"/>
  <c r="T340" i="8"/>
  <c r="T341" i="8"/>
  <c r="T342" i="8"/>
  <c r="T343" i="8"/>
  <c r="T344" i="8"/>
  <c r="T345" i="8"/>
  <c r="T347" i="8"/>
  <c r="T349" i="8"/>
  <c r="T351" i="8"/>
  <c r="T352" i="8"/>
  <c r="T353" i="8"/>
  <c r="T356" i="8"/>
  <c r="T357" i="8"/>
  <c r="T358" i="8"/>
  <c r="T360" i="8"/>
  <c r="T361" i="8"/>
  <c r="T365" i="8"/>
  <c r="T366" i="8"/>
  <c r="T367" i="8"/>
  <c r="T370" i="8"/>
  <c r="T371" i="8"/>
  <c r="T374" i="8"/>
  <c r="T375" i="8"/>
  <c r="T379" i="8"/>
  <c r="T380" i="8"/>
  <c r="T382" i="8"/>
  <c r="T387" i="8"/>
  <c r="T388" i="8"/>
  <c r="T389" i="8"/>
  <c r="T391" i="8"/>
  <c r="T393" i="8"/>
  <c r="T394" i="8"/>
  <c r="T396" i="8"/>
  <c r="T398" i="8"/>
  <c r="T400" i="8"/>
  <c r="T402" i="8"/>
  <c r="T403" i="8"/>
  <c r="T404" i="8"/>
  <c r="T405" i="8"/>
  <c r="T406" i="8"/>
  <c r="T407" i="8"/>
  <c r="T409" i="8"/>
  <c r="T410" i="8"/>
  <c r="T412" i="8"/>
  <c r="T414" i="8"/>
  <c r="T416" i="8"/>
  <c r="T417" i="8"/>
  <c r="T418" i="8"/>
  <c r="T420" i="8"/>
  <c r="T422" i="8"/>
  <c r="T423" i="8"/>
  <c r="T425" i="8"/>
  <c r="T426" i="8"/>
  <c r="T427" i="8"/>
  <c r="T429" i="8"/>
  <c r="T431" i="8"/>
  <c r="T433" i="8"/>
  <c r="T438" i="8"/>
  <c r="T440" i="8"/>
  <c r="T442" i="8"/>
  <c r="T443" i="8"/>
  <c r="T445" i="8"/>
  <c r="T446" i="8"/>
  <c r="T449" i="8"/>
  <c r="T452" i="8"/>
  <c r="T454" i="8"/>
  <c r="T455" i="8"/>
  <c r="T456" i="8"/>
  <c r="T457" i="8"/>
  <c r="T460" i="8"/>
  <c r="T463" i="8"/>
  <c r="T464" i="8"/>
  <c r="T465" i="8"/>
  <c r="T466" i="8"/>
  <c r="T469" i="8"/>
  <c r="T470" i="8"/>
  <c r="T472" i="8"/>
  <c r="T473" i="8"/>
  <c r="T474" i="8"/>
  <c r="T475" i="8"/>
  <c r="T477" i="8"/>
  <c r="T480" i="8"/>
  <c r="T481" i="8"/>
  <c r="T484" i="8"/>
  <c r="T485" i="8"/>
  <c r="T486" i="8"/>
  <c r="T488" i="8"/>
  <c r="T489" i="8"/>
  <c r="T490" i="8"/>
  <c r="T492" i="8"/>
  <c r="T494" i="8"/>
  <c r="T496" i="8"/>
  <c r="T498" i="8"/>
  <c r="T500" i="8"/>
  <c r="T502" i="8"/>
  <c r="T503" i="8"/>
  <c r="T505" i="8"/>
  <c r="T507" i="8"/>
  <c r="T510" i="8"/>
  <c r="T512" i="8"/>
  <c r="T514" i="8"/>
  <c r="R3" i="8"/>
  <c r="R4" i="8"/>
  <c r="R5" i="8"/>
  <c r="R7" i="8"/>
  <c r="R9" i="8"/>
  <c r="R10" i="8"/>
  <c r="R12" i="8"/>
  <c r="R14" i="8"/>
  <c r="R16" i="8"/>
  <c r="R17" i="8"/>
  <c r="R19" i="8"/>
  <c r="R21" i="8"/>
  <c r="R23" i="8"/>
  <c r="R25" i="8"/>
  <c r="R27" i="8"/>
  <c r="R29" i="8"/>
  <c r="R31" i="8"/>
  <c r="R34" i="8"/>
  <c r="R35" i="8"/>
  <c r="R37" i="8"/>
  <c r="R38" i="8"/>
  <c r="R39" i="8"/>
  <c r="R41" i="8"/>
  <c r="R43" i="8"/>
  <c r="R45" i="8"/>
  <c r="R47" i="8"/>
  <c r="R52" i="8"/>
  <c r="R54" i="8"/>
  <c r="R55" i="8"/>
  <c r="R58" i="8"/>
  <c r="R59" i="8"/>
  <c r="R61" i="8"/>
  <c r="R63" i="8"/>
  <c r="R65" i="8"/>
  <c r="R67" i="8"/>
  <c r="R68" i="8"/>
  <c r="R70" i="8"/>
  <c r="R72" i="8"/>
  <c r="R74" i="8"/>
  <c r="R76" i="8"/>
  <c r="R82" i="8"/>
  <c r="R83" i="8"/>
  <c r="R84" i="8"/>
  <c r="R86" i="8"/>
  <c r="R88" i="8"/>
  <c r="R89" i="8"/>
  <c r="R90" i="8"/>
  <c r="R91" i="8"/>
  <c r="R93" i="8"/>
  <c r="R95" i="8"/>
  <c r="R97" i="8"/>
  <c r="R99" i="8"/>
  <c r="R101" i="8"/>
  <c r="R102" i="8"/>
  <c r="R103" i="8"/>
  <c r="R105" i="8"/>
  <c r="R109" i="8"/>
  <c r="R110" i="8"/>
  <c r="R111" i="8"/>
  <c r="R116" i="8"/>
  <c r="R117" i="8"/>
  <c r="R118" i="8"/>
  <c r="R119" i="8"/>
  <c r="R123" i="8"/>
  <c r="R125" i="8"/>
  <c r="R127" i="8"/>
  <c r="R130" i="8"/>
  <c r="R131" i="8"/>
  <c r="R133" i="8"/>
  <c r="R136" i="8"/>
  <c r="R138" i="8"/>
  <c r="R140" i="8"/>
  <c r="R141" i="8"/>
  <c r="R143" i="8"/>
  <c r="R148" i="8"/>
  <c r="R149" i="8"/>
  <c r="R150" i="8"/>
  <c r="R152" i="8"/>
  <c r="R153" i="8"/>
  <c r="R156" i="8"/>
  <c r="R158" i="8"/>
  <c r="R160" i="8"/>
  <c r="R162" i="8"/>
  <c r="R164" i="8"/>
  <c r="R166" i="8"/>
  <c r="R168" i="8"/>
  <c r="R169" i="8"/>
  <c r="R171" i="8"/>
  <c r="R174" i="8"/>
  <c r="R175" i="8"/>
  <c r="R177" i="8"/>
  <c r="R182" i="8"/>
  <c r="R186" i="8"/>
  <c r="R188" i="8"/>
  <c r="R190" i="8"/>
  <c r="R192" i="8"/>
  <c r="R193" i="8"/>
  <c r="R195" i="8"/>
  <c r="R197" i="8"/>
  <c r="R198" i="8"/>
  <c r="R200" i="8"/>
  <c r="R204" i="8"/>
  <c r="R206" i="8"/>
  <c r="R210" i="8"/>
  <c r="R213" i="8"/>
  <c r="R215" i="8"/>
  <c r="R216" i="8"/>
  <c r="R221" i="8"/>
  <c r="R225" i="8"/>
  <c r="R227" i="8"/>
  <c r="R229" i="8"/>
  <c r="R231" i="8"/>
  <c r="R232" i="8"/>
  <c r="R235" i="8"/>
  <c r="R237" i="8"/>
  <c r="R239" i="8"/>
  <c r="R241" i="8"/>
  <c r="R242" i="8"/>
  <c r="R243" i="8"/>
  <c r="R244" i="8"/>
  <c r="R245" i="8"/>
  <c r="R247" i="8"/>
  <c r="R250" i="8"/>
  <c r="R252" i="8"/>
  <c r="R253" i="8"/>
  <c r="R255" i="8"/>
  <c r="R257" i="8"/>
  <c r="R258" i="8"/>
  <c r="R260" i="8"/>
  <c r="R261" i="8"/>
  <c r="R264" i="8"/>
  <c r="R266" i="8"/>
  <c r="R269" i="8"/>
  <c r="R271" i="8"/>
  <c r="R274" i="8"/>
  <c r="R275" i="8"/>
  <c r="R276" i="8"/>
  <c r="R278" i="8"/>
  <c r="R279" i="8"/>
  <c r="R280" i="8"/>
  <c r="R281" i="8"/>
  <c r="R282" i="8"/>
  <c r="R285" i="8"/>
  <c r="R291" i="8"/>
  <c r="R292" i="8"/>
  <c r="R294" i="8"/>
  <c r="R297" i="8"/>
  <c r="R299" i="8"/>
  <c r="R301" i="8"/>
  <c r="R302" i="8"/>
  <c r="R304" i="8"/>
  <c r="R305" i="8"/>
  <c r="R307" i="8"/>
  <c r="R308" i="8"/>
  <c r="R309" i="8"/>
  <c r="R311" i="8"/>
  <c r="R313" i="8"/>
  <c r="R316" i="8"/>
  <c r="R319" i="8"/>
  <c r="R321" i="8"/>
  <c r="R324" i="8"/>
  <c r="R326" i="8"/>
  <c r="R330" i="8"/>
  <c r="R331" i="8"/>
  <c r="R333" i="8"/>
  <c r="R336" i="8"/>
  <c r="R340" i="8"/>
  <c r="R341" i="8"/>
  <c r="R343" i="8"/>
  <c r="R345" i="8"/>
  <c r="R347" i="8"/>
  <c r="R350" i="8"/>
  <c r="R353" i="8"/>
  <c r="R356" i="8"/>
  <c r="R360" i="8"/>
  <c r="R362" i="8"/>
  <c r="R366" i="8"/>
  <c r="R368" i="8"/>
  <c r="R370" i="8"/>
  <c r="R372" i="8"/>
  <c r="R375" i="8"/>
  <c r="R382" i="8"/>
  <c r="R385" i="8"/>
  <c r="R387" i="8"/>
  <c r="R389" i="8"/>
  <c r="R391" i="8"/>
  <c r="R393" i="8"/>
  <c r="R394" i="8"/>
  <c r="R395" i="8"/>
  <c r="R398" i="8"/>
  <c r="R400" i="8"/>
  <c r="R403" i="8"/>
  <c r="R405" i="8"/>
  <c r="R407" i="8"/>
  <c r="R409" i="8"/>
  <c r="R410" i="8"/>
  <c r="R412" i="8"/>
  <c r="R416" i="8"/>
  <c r="R417" i="8"/>
  <c r="R420" i="8"/>
  <c r="R423" i="8"/>
  <c r="R425" i="8"/>
  <c r="R428" i="8"/>
  <c r="R429" i="8"/>
  <c r="R430" i="8"/>
  <c r="R433" i="8"/>
  <c r="R438" i="8"/>
  <c r="R443" i="8"/>
  <c r="R446" i="8"/>
  <c r="R448" i="8"/>
  <c r="R449" i="8"/>
  <c r="R452" i="8"/>
  <c r="R455" i="8"/>
  <c r="R457" i="8"/>
  <c r="R460" i="8"/>
  <c r="R463" i="8"/>
  <c r="R464" i="8"/>
  <c r="R466" i="8"/>
  <c r="R469" i="8"/>
  <c r="R470" i="8"/>
  <c r="R471" i="8"/>
  <c r="R472" i="8"/>
  <c r="R473" i="8"/>
  <c r="R474" i="8"/>
  <c r="R476" i="8"/>
  <c r="R479" i="8"/>
  <c r="R480" i="8"/>
  <c r="R481" i="8"/>
  <c r="R483" i="8"/>
  <c r="R488" i="8"/>
  <c r="R489" i="8"/>
  <c r="R490" i="8"/>
  <c r="R492" i="8"/>
  <c r="R496" i="8"/>
  <c r="R498" i="8"/>
  <c r="R499" i="8"/>
  <c r="R500" i="8"/>
  <c r="R502" i="8"/>
  <c r="R505" i="8"/>
  <c r="R507" i="8"/>
  <c r="R511" i="8"/>
  <c r="P5" i="8"/>
  <c r="P7" i="8"/>
  <c r="P9" i="8"/>
  <c r="P12" i="8"/>
  <c r="P14" i="8"/>
  <c r="P17" i="8"/>
  <c r="P20" i="8"/>
  <c r="P23" i="8"/>
  <c r="P25" i="8"/>
  <c r="P29" i="8"/>
  <c r="P31" i="8"/>
  <c r="P32" i="8"/>
  <c r="P34" i="8"/>
  <c r="P35" i="8"/>
  <c r="P37" i="8"/>
  <c r="P41" i="8"/>
  <c r="P43" i="8"/>
  <c r="P47" i="8"/>
  <c r="P49" i="8"/>
  <c r="P52" i="8"/>
  <c r="P55" i="8"/>
  <c r="P58" i="8"/>
  <c r="P63" i="8"/>
  <c r="P64" i="8"/>
  <c r="P67" i="8"/>
  <c r="P68" i="8"/>
  <c r="P69" i="8"/>
  <c r="P70" i="8"/>
  <c r="P72" i="8"/>
  <c r="P74" i="8"/>
  <c r="P79" i="8"/>
  <c r="P81" i="8"/>
  <c r="P82" i="8"/>
  <c r="P83" i="8"/>
  <c r="P84" i="8"/>
  <c r="P87" i="8"/>
  <c r="P88" i="8"/>
  <c r="P90" i="8"/>
  <c r="P91" i="8"/>
  <c r="P92" i="8"/>
  <c r="P93" i="8"/>
  <c r="P97" i="8"/>
  <c r="P98" i="8"/>
  <c r="P107" i="8"/>
  <c r="P113" i="8"/>
  <c r="P115" i="8"/>
  <c r="P117" i="8"/>
  <c r="P119" i="8"/>
  <c r="P121" i="8"/>
  <c r="P125" i="8"/>
  <c r="P129" i="8"/>
  <c r="P130" i="8"/>
  <c r="P132" i="8"/>
  <c r="P133" i="8"/>
  <c r="P135" i="8"/>
  <c r="P141" i="8"/>
  <c r="P143" i="8"/>
  <c r="P144" i="8"/>
  <c r="P145" i="8"/>
  <c r="P149" i="8"/>
  <c r="P150" i="8"/>
  <c r="P153" i="8"/>
  <c r="P157" i="8"/>
  <c r="P158" i="8"/>
  <c r="P160" i="8"/>
  <c r="P164" i="8"/>
  <c r="P165" i="8"/>
  <c r="P168" i="8"/>
  <c r="P169" i="8"/>
  <c r="P173" i="8"/>
  <c r="P179" i="8"/>
  <c r="P180" i="8"/>
  <c r="P185" i="8"/>
  <c r="P188" i="8"/>
  <c r="P192" i="8"/>
  <c r="P193" i="8"/>
  <c r="P197" i="8"/>
  <c r="P200" i="8"/>
  <c r="P202" i="8"/>
  <c r="P204" i="8"/>
  <c r="P207" i="8"/>
  <c r="P208" i="8"/>
  <c r="P211" i="8"/>
  <c r="P215" i="8"/>
  <c r="P219" i="8"/>
  <c r="P223" i="8"/>
  <c r="P225" i="8"/>
  <c r="P233" i="8"/>
  <c r="P234" i="8"/>
  <c r="P238" i="8"/>
  <c r="P239" i="8"/>
  <c r="P242" i="8"/>
  <c r="P243" i="8"/>
  <c r="P244" i="8"/>
  <c r="P247" i="8"/>
  <c r="P250" i="8"/>
  <c r="P252" i="8"/>
  <c r="P255" i="8"/>
  <c r="P257" i="8"/>
  <c r="P259" i="8"/>
  <c r="P262" i="8"/>
  <c r="P263" i="8"/>
  <c r="P264" i="8"/>
  <c r="P266" i="8"/>
  <c r="P268" i="8"/>
  <c r="P270" i="8"/>
  <c r="P274" i="8"/>
  <c r="P275" i="8"/>
  <c r="P280" i="8"/>
  <c r="P283" i="8"/>
  <c r="P284" i="8"/>
  <c r="P285" i="8"/>
  <c r="P291" i="8"/>
  <c r="P292" i="8"/>
  <c r="P295" i="8"/>
  <c r="P297" i="8"/>
  <c r="P298" i="8"/>
  <c r="P301" i="8"/>
  <c r="P305" i="8"/>
  <c r="P306" i="8"/>
  <c r="P308" i="8"/>
  <c r="P310" i="8"/>
  <c r="P311" i="8"/>
  <c r="P315" i="8"/>
  <c r="P317" i="8"/>
  <c r="P319" i="8"/>
  <c r="P320" i="8"/>
  <c r="P321" i="8"/>
  <c r="P323" i="8"/>
  <c r="P326" i="8"/>
  <c r="P328" i="8"/>
  <c r="P329" i="8"/>
  <c r="P332" i="8"/>
  <c r="P333" i="8"/>
  <c r="P334" i="8"/>
  <c r="P337" i="8"/>
  <c r="P338" i="8"/>
  <c r="P339" i="8"/>
  <c r="P340" i="8"/>
  <c r="P342" i="8"/>
  <c r="P344" i="8"/>
  <c r="P348" i="8"/>
  <c r="P349" i="8"/>
  <c r="P350" i="8"/>
  <c r="P352" i="8"/>
  <c r="P354" i="8"/>
  <c r="P355" i="8"/>
  <c r="P356" i="8"/>
  <c r="P358" i="8"/>
  <c r="P365" i="8"/>
  <c r="P366" i="8"/>
  <c r="P367" i="8"/>
  <c r="P368" i="8"/>
  <c r="P371" i="8"/>
  <c r="P372" i="8"/>
  <c r="P373" i="8"/>
  <c r="P375" i="8"/>
  <c r="P377" i="8"/>
  <c r="P378" i="8"/>
  <c r="P379" i="8"/>
  <c r="P382" i="8"/>
  <c r="P383" i="8"/>
  <c r="P384" i="8"/>
  <c r="P388" i="8"/>
  <c r="P389" i="8"/>
  <c r="P390" i="8"/>
  <c r="P391" i="8"/>
  <c r="P392" i="8"/>
  <c r="P395" i="8"/>
  <c r="P396" i="8"/>
  <c r="P399" i="8"/>
  <c r="P402" i="8"/>
  <c r="P403" i="8"/>
  <c r="P404" i="8"/>
  <c r="P405" i="8"/>
  <c r="P406" i="8"/>
  <c r="P407" i="8"/>
  <c r="P414" i="8"/>
  <c r="P415" i="8"/>
  <c r="P416" i="8"/>
  <c r="P418" i="8"/>
  <c r="P420" i="8"/>
  <c r="P421" i="8"/>
  <c r="P422" i="8"/>
  <c r="P423" i="8"/>
  <c r="P426" i="8"/>
  <c r="P427" i="8"/>
  <c r="P430" i="8"/>
  <c r="P431" i="8"/>
  <c r="P432" i="8"/>
  <c r="P433" i="8"/>
  <c r="P435" i="8"/>
  <c r="P437" i="8"/>
  <c r="P438" i="8"/>
  <c r="P440" i="8"/>
  <c r="P441" i="8"/>
  <c r="P442" i="8"/>
  <c r="P444" i="8"/>
  <c r="P445" i="8"/>
  <c r="P446" i="8"/>
  <c r="P449" i="8"/>
  <c r="P450" i="8"/>
  <c r="P452" i="8"/>
  <c r="P454" i="8"/>
  <c r="P455" i="8"/>
  <c r="P458" i="8"/>
  <c r="P459" i="8"/>
  <c r="P463" i="8"/>
  <c r="P464" i="8"/>
  <c r="P465" i="8"/>
  <c r="P466" i="8"/>
  <c r="P467" i="8"/>
  <c r="P470" i="8"/>
  <c r="P473" i="8"/>
  <c r="P475" i="8"/>
  <c r="P476" i="8"/>
  <c r="P477" i="8"/>
  <c r="P480" i="8"/>
  <c r="P481" i="8"/>
  <c r="P482" i="8"/>
  <c r="P483" i="8"/>
  <c r="P486" i="8"/>
  <c r="P490" i="8"/>
  <c r="P494" i="8"/>
  <c r="P495" i="8"/>
  <c r="P496" i="8"/>
  <c r="P499" i="8"/>
  <c r="P500" i="8"/>
  <c r="P504" i="8"/>
  <c r="P505" i="8"/>
  <c r="P508" i="8"/>
  <c r="P512" i="8"/>
  <c r="P513" i="8"/>
  <c r="P514" i="8"/>
  <c r="N8" i="8"/>
  <c r="N13" i="8"/>
  <c r="N14" i="8"/>
  <c r="N17" i="8"/>
  <c r="N19" i="8"/>
  <c r="N22" i="8"/>
  <c r="N24" i="8"/>
  <c r="N25" i="8"/>
  <c r="N28" i="8"/>
  <c r="N30" i="8"/>
  <c r="N32" i="8"/>
  <c r="N34" i="8"/>
  <c r="N35" i="8"/>
  <c r="N36" i="8"/>
  <c r="N37" i="8"/>
  <c r="N39" i="8"/>
  <c r="N40" i="8"/>
  <c r="N41" i="8"/>
  <c r="N43" i="8"/>
  <c r="N45" i="8"/>
  <c r="N46" i="8"/>
  <c r="N49" i="8"/>
  <c r="N51" i="8"/>
  <c r="N52" i="8"/>
  <c r="N54" i="8"/>
  <c r="N57" i="8"/>
  <c r="N58" i="8"/>
  <c r="N60" i="8"/>
  <c r="N61" i="8"/>
  <c r="N62" i="8"/>
  <c r="N63" i="8"/>
  <c r="N66" i="8"/>
  <c r="N67" i="8"/>
  <c r="N68" i="8"/>
  <c r="N71" i="8"/>
  <c r="N72" i="8"/>
  <c r="N73" i="8"/>
  <c r="N74" i="8"/>
  <c r="N77" i="8"/>
  <c r="N78" i="8"/>
  <c r="N79" i="8"/>
  <c r="N81" i="8"/>
  <c r="N82" i="8"/>
  <c r="N85" i="8"/>
  <c r="N88" i="8"/>
  <c r="N91" i="8"/>
  <c r="N93" i="8"/>
  <c r="N95" i="8"/>
  <c r="N97" i="8"/>
  <c r="N105" i="8"/>
  <c r="N106" i="8"/>
  <c r="N107" i="8"/>
  <c r="N112" i="8"/>
  <c r="N113" i="8"/>
  <c r="N115" i="8"/>
  <c r="N118" i="8"/>
  <c r="N119" i="8"/>
  <c r="N124" i="8"/>
  <c r="N125" i="8"/>
  <c r="N128" i="8"/>
  <c r="N129" i="8"/>
  <c r="N132" i="8"/>
  <c r="N134" i="8"/>
  <c r="N135" i="8"/>
  <c r="N136" i="8"/>
  <c r="N142" i="8"/>
  <c r="N144" i="8"/>
  <c r="N145" i="8"/>
  <c r="N150" i="8"/>
  <c r="N151" i="8"/>
  <c r="N152" i="8"/>
  <c r="N155" i="8"/>
  <c r="N157" i="8"/>
  <c r="N158" i="8"/>
  <c r="N163" i="8"/>
  <c r="N164" i="8"/>
  <c r="N165" i="8"/>
  <c r="N167" i="8"/>
  <c r="N168" i="8"/>
  <c r="N172" i="8"/>
  <c r="N173" i="8"/>
  <c r="N178" i="8"/>
  <c r="N184" i="8"/>
  <c r="N187" i="8"/>
  <c r="N188" i="8"/>
  <c r="N196" i="8"/>
  <c r="N198" i="8"/>
  <c r="N199" i="8"/>
  <c r="N200" i="8"/>
  <c r="N205" i="8"/>
  <c r="N207" i="8"/>
  <c r="N209" i="8"/>
  <c r="N211" i="8"/>
  <c r="N214" i="8"/>
  <c r="N217" i="8"/>
  <c r="N219" i="8"/>
  <c r="N220" i="8"/>
  <c r="N221" i="8"/>
  <c r="N222" i="8"/>
  <c r="N223" i="8"/>
  <c r="N228" i="8"/>
  <c r="N232" i="8"/>
  <c r="N233" i="8"/>
  <c r="N238" i="8"/>
  <c r="N239" i="8"/>
  <c r="N240" i="8"/>
  <c r="N242" i="8"/>
  <c r="N246" i="8"/>
  <c r="N248" i="8"/>
  <c r="N249" i="8"/>
  <c r="N250" i="8"/>
  <c r="N252" i="8"/>
  <c r="N254" i="8"/>
  <c r="N255" i="8"/>
  <c r="N259" i="8"/>
  <c r="N260" i="8"/>
  <c r="N270" i="8"/>
  <c r="N271" i="8"/>
  <c r="N273" i="8"/>
  <c r="N274" i="8"/>
  <c r="N277" i="8"/>
  <c r="N278" i="8"/>
  <c r="N283" i="8"/>
  <c r="N284" i="8"/>
  <c r="N285" i="8"/>
  <c r="N295" i="8"/>
  <c r="N300" i="8"/>
  <c r="N301" i="8"/>
  <c r="N303" i="8"/>
  <c r="N304" i="8"/>
  <c r="N310" i="8"/>
  <c r="N314" i="8"/>
  <c r="N315" i="8"/>
  <c r="N317" i="8"/>
  <c r="N320" i="8"/>
  <c r="N321" i="8"/>
  <c r="N322" i="8"/>
  <c r="N328" i="8"/>
  <c r="N334" i="8"/>
  <c r="N335" i="8"/>
  <c r="N342" i="8"/>
  <c r="N343" i="8"/>
  <c r="N346" i="8"/>
  <c r="N348" i="8"/>
  <c r="N352" i="8"/>
  <c r="N353" i="8"/>
  <c r="N355" i="8"/>
  <c r="N356" i="8"/>
  <c r="N361" i="8"/>
  <c r="N364" i="8"/>
  <c r="N365" i="8"/>
  <c r="N373" i="8"/>
  <c r="N374" i="8"/>
  <c r="N375" i="8"/>
  <c r="N377" i="8"/>
  <c r="N379" i="8"/>
  <c r="N383" i="8"/>
  <c r="N384" i="8"/>
  <c r="N385" i="8"/>
  <c r="N386" i="8"/>
  <c r="N387" i="8"/>
  <c r="N388" i="8"/>
  <c r="N389" i="8"/>
  <c r="N394" i="8"/>
  <c r="N399" i="8"/>
  <c r="N400" i="8"/>
  <c r="N405" i="8"/>
  <c r="N408" i="8"/>
  <c r="N410" i="8"/>
  <c r="N413" i="8"/>
  <c r="N414" i="8"/>
  <c r="N418" i="8"/>
  <c r="N420" i="8"/>
  <c r="N424" i="8"/>
  <c r="N426" i="8"/>
  <c r="N433" i="8"/>
  <c r="N434" i="8"/>
  <c r="N438" i="8"/>
  <c r="N439" i="8"/>
  <c r="N440" i="8"/>
  <c r="N441" i="8"/>
  <c r="N444" i="8"/>
  <c r="N445" i="8"/>
  <c r="N449" i="8"/>
  <c r="N451" i="8"/>
  <c r="N452" i="8"/>
  <c r="N456" i="8"/>
  <c r="N458" i="8"/>
  <c r="N468" i="8"/>
  <c r="N477" i="8"/>
  <c r="N479" i="8"/>
  <c r="N482" i="8"/>
  <c r="N483" i="8"/>
  <c r="N484" i="8"/>
  <c r="N489" i="8"/>
  <c r="N491" i="8"/>
  <c r="N493" i="8"/>
  <c r="N494" i="8"/>
  <c r="N496" i="8"/>
  <c r="N503" i="8"/>
  <c r="N506" i="8"/>
  <c r="N512" i="8"/>
  <c r="N513" i="8"/>
  <c r="AB5" i="8"/>
  <c r="AB6" i="8"/>
  <c r="AB16" i="8"/>
  <c r="AB17" i="8"/>
  <c r="AB19" i="8"/>
  <c r="AB24" i="8"/>
  <c r="AB29" i="8"/>
  <c r="AB41" i="8"/>
  <c r="AB45" i="8"/>
  <c r="AB47" i="8"/>
  <c r="AB48" i="8"/>
  <c r="AB56" i="8"/>
  <c r="AB61" i="8"/>
  <c r="AB65" i="8"/>
  <c r="AB68" i="8"/>
  <c r="AB80" i="8"/>
  <c r="AB81" i="8"/>
  <c r="AB90" i="8"/>
  <c r="AB92" i="8"/>
  <c r="AB96" i="8"/>
  <c r="AB108" i="8"/>
  <c r="AB109" i="8"/>
  <c r="AB119" i="8"/>
  <c r="AB120" i="8"/>
  <c r="AB131" i="8"/>
  <c r="AB134" i="8"/>
  <c r="AB150" i="8"/>
  <c r="AB153" i="8"/>
  <c r="AB158" i="8"/>
  <c r="AB171" i="8"/>
  <c r="AB174" i="8"/>
  <c r="AB180" i="8"/>
  <c r="AB188" i="8"/>
  <c r="AB193" i="8"/>
  <c r="AB201" i="8"/>
  <c r="AB202" i="8"/>
  <c r="AB211" i="8"/>
  <c r="AB221" i="8"/>
  <c r="AB229" i="8"/>
  <c r="AB241" i="8"/>
  <c r="AB247" i="8"/>
  <c r="AB256" i="8"/>
  <c r="AB257" i="8"/>
  <c r="AB275" i="8"/>
  <c r="AB278" i="8"/>
  <c r="AB279" i="8"/>
  <c r="AB292" i="8"/>
  <c r="AB301" i="8"/>
  <c r="AB308" i="8"/>
  <c r="AB316" i="8"/>
  <c r="AB319" i="8"/>
  <c r="AB326" i="8"/>
  <c r="AB340" i="8"/>
  <c r="AB350" i="8"/>
  <c r="AB375" i="8"/>
  <c r="AB412" i="8"/>
  <c r="AB432" i="8"/>
  <c r="AB437" i="8"/>
  <c r="AB464" i="8"/>
  <c r="AB466" i="8"/>
  <c r="AB480" i="8"/>
  <c r="AB485" i="8"/>
  <c r="AB504" i="8"/>
  <c r="Z17" i="8"/>
  <c r="Z19" i="8"/>
  <c r="Z25" i="8"/>
  <c r="Z32" i="8"/>
  <c r="Z41" i="8"/>
  <c r="Z46" i="8"/>
  <c r="Z47" i="8"/>
  <c r="Z49" i="8"/>
  <c r="Z54" i="8"/>
  <c r="Z63" i="8"/>
  <c r="Z68" i="8"/>
  <c r="Z73" i="8"/>
  <c r="Z74" i="8"/>
  <c r="Z87" i="8"/>
  <c r="Z96" i="8"/>
  <c r="Z97" i="8"/>
  <c r="Z106" i="8"/>
  <c r="Z107" i="8"/>
  <c r="Z115" i="8"/>
  <c r="Z119" i="8"/>
  <c r="Z123" i="8"/>
  <c r="Z129" i="8"/>
  <c r="Z134" i="8"/>
  <c r="Z135" i="8"/>
  <c r="Z136" i="8"/>
  <c r="Z139" i="8"/>
  <c r="Z145" i="8"/>
  <c r="Z150" i="8"/>
  <c r="Z162" i="8"/>
  <c r="Z167" i="8"/>
  <c r="Z168" i="8"/>
  <c r="Z172" i="8"/>
  <c r="Z175" i="8"/>
  <c r="Z195" i="8"/>
  <c r="Z196" i="8"/>
  <c r="Z200" i="8"/>
  <c r="Z204" i="8"/>
  <c r="Z205" i="8"/>
  <c r="Z209" i="8"/>
  <c r="Z213" i="8"/>
  <c r="Z227" i="8"/>
  <c r="Z239" i="8"/>
  <c r="Z245" i="8"/>
  <c r="Z266" i="8"/>
  <c r="Z267" i="8"/>
  <c r="Z300" i="8"/>
  <c r="Z302" i="8"/>
  <c r="Z310" i="8"/>
  <c r="Z334" i="8"/>
  <c r="Z338" i="8"/>
  <c r="Z341" i="8"/>
  <c r="Z347" i="8"/>
  <c r="Z348" i="8"/>
  <c r="Z356" i="8"/>
  <c r="Z370" i="8"/>
  <c r="Z377" i="8"/>
  <c r="Z379" i="8"/>
  <c r="Z393" i="8"/>
  <c r="Z398" i="8"/>
  <c r="Z404" i="8"/>
  <c r="Z418" i="8"/>
  <c r="Z421" i="8"/>
  <c r="Z429" i="8"/>
  <c r="Z444" i="8"/>
  <c r="Z445" i="8"/>
  <c r="Z448" i="8"/>
  <c r="Z457" i="8"/>
  <c r="Z458" i="8"/>
  <c r="Z460" i="8"/>
  <c r="Z467" i="8"/>
  <c r="Z492" i="8"/>
  <c r="Z513" i="8"/>
  <c r="X3" i="8"/>
  <c r="X5" i="8"/>
  <c r="X6" i="8"/>
  <c r="X7" i="8"/>
  <c r="X9" i="8"/>
  <c r="X10" i="8"/>
  <c r="X11" i="8"/>
  <c r="X12" i="8"/>
  <c r="X14" i="8"/>
  <c r="X15" i="8"/>
  <c r="X16" i="8"/>
  <c r="X17" i="8"/>
  <c r="X19" i="8"/>
  <c r="X20" i="8"/>
  <c r="X21" i="8"/>
  <c r="X22" i="8"/>
  <c r="X23" i="8"/>
  <c r="X25" i="8"/>
  <c r="X26" i="8"/>
  <c r="X27" i="8"/>
  <c r="X28" i="8"/>
  <c r="X29" i="8"/>
  <c r="X31" i="8"/>
  <c r="X33" i="8"/>
  <c r="X34" i="8"/>
  <c r="X35" i="8"/>
  <c r="X36" i="8"/>
  <c r="X37" i="8"/>
  <c r="X38" i="8"/>
  <c r="X39" i="8"/>
  <c r="X41" i="8"/>
  <c r="X43" i="8"/>
  <c r="X44" i="8"/>
  <c r="X45" i="8"/>
  <c r="X46" i="8"/>
  <c r="X47" i="8"/>
  <c r="X49" i="8"/>
  <c r="X50" i="8"/>
  <c r="X51" i="8"/>
  <c r="X52" i="8"/>
  <c r="X54" i="8"/>
  <c r="X55" i="8"/>
  <c r="X56" i="8"/>
  <c r="X58" i="8"/>
  <c r="X59" i="8"/>
  <c r="X61" i="8"/>
  <c r="X63" i="8"/>
  <c r="X64" i="8"/>
  <c r="X65" i="8"/>
  <c r="X66" i="8"/>
  <c r="X67" i="8"/>
  <c r="X68" i="8"/>
  <c r="X69" i="8"/>
  <c r="X70" i="8"/>
  <c r="X72" i="8"/>
  <c r="X74" i="8"/>
  <c r="X75" i="8"/>
  <c r="X76" i="8"/>
  <c r="X77" i="8"/>
  <c r="X79" i="8"/>
  <c r="X80" i="8"/>
  <c r="X81" i="8"/>
  <c r="X82" i="8"/>
  <c r="X83" i="8"/>
  <c r="X84" i="8"/>
  <c r="X86" i="8"/>
  <c r="X88" i="8"/>
  <c r="X89" i="8"/>
  <c r="X90" i="8"/>
  <c r="X91" i="8"/>
  <c r="X92" i="8"/>
  <c r="X93" i="8"/>
  <c r="X94" i="8"/>
  <c r="X95" i="8"/>
  <c r="X97" i="8"/>
  <c r="X98" i="8"/>
  <c r="X99" i="8"/>
  <c r="X101" i="8"/>
  <c r="X102" i="8"/>
  <c r="X103" i="8"/>
  <c r="X104" i="8"/>
  <c r="X105" i="8"/>
  <c r="X107" i="8"/>
  <c r="X108" i="8"/>
  <c r="X109" i="8"/>
  <c r="X110" i="8"/>
  <c r="X111" i="8"/>
  <c r="X113" i="8"/>
  <c r="X116" i="8"/>
  <c r="X117" i="8"/>
  <c r="X118" i="8"/>
  <c r="X119" i="8"/>
  <c r="X120" i="8"/>
  <c r="X121" i="8"/>
  <c r="X122" i="8"/>
  <c r="X123" i="8"/>
  <c r="X125" i="8"/>
  <c r="X127" i="8"/>
  <c r="X129" i="8"/>
  <c r="X130" i="8"/>
  <c r="X131" i="8"/>
  <c r="X133" i="8"/>
  <c r="X135" i="8"/>
  <c r="X136" i="8"/>
  <c r="X137" i="8"/>
  <c r="X138" i="8"/>
  <c r="X140" i="8"/>
  <c r="X141" i="8"/>
  <c r="X143" i="8"/>
  <c r="X145" i="8"/>
  <c r="X146" i="8"/>
  <c r="X148" i="8"/>
  <c r="X149" i="8"/>
  <c r="X150" i="8"/>
  <c r="X152" i="8"/>
  <c r="X153" i="8"/>
  <c r="X156" i="8"/>
  <c r="X158" i="8"/>
  <c r="X159" i="8"/>
  <c r="X162" i="8"/>
  <c r="X164" i="8"/>
  <c r="X168" i="8"/>
  <c r="X169" i="8"/>
  <c r="X171" i="8"/>
  <c r="X173" i="8"/>
  <c r="X175" i="8"/>
  <c r="X176" i="8"/>
  <c r="X177" i="8"/>
  <c r="X182" i="8"/>
  <c r="X186" i="8"/>
  <c r="X188" i="8"/>
  <c r="X190" i="8"/>
  <c r="X195" i="8"/>
  <c r="X197" i="8"/>
  <c r="X199" i="8"/>
  <c r="X200" i="8"/>
  <c r="X202" i="8"/>
  <c r="X204" i="8"/>
  <c r="X206" i="8"/>
  <c r="X207" i="8"/>
  <c r="X215" i="8"/>
  <c r="X216" i="8"/>
  <c r="X219" i="8"/>
  <c r="X221" i="8"/>
  <c r="X223" i="8"/>
  <c r="X226" i="8"/>
  <c r="X227" i="8"/>
  <c r="X229" i="8"/>
  <c r="X232" i="8"/>
  <c r="X234" i="8"/>
  <c r="X237" i="8"/>
  <c r="X239" i="8"/>
  <c r="X241" i="8"/>
  <c r="X242" i="8"/>
  <c r="X245" i="8"/>
  <c r="X246" i="8"/>
  <c r="X247" i="8"/>
  <c r="X250" i="8"/>
  <c r="X252" i="8"/>
  <c r="X253" i="8"/>
  <c r="X255" i="8"/>
  <c r="X257" i="8"/>
  <c r="X271" i="8"/>
  <c r="X276" i="8"/>
  <c r="X278" i="8"/>
  <c r="X280" i="8"/>
  <c r="X281" i="8"/>
  <c r="X282" i="8"/>
  <c r="X285" i="8"/>
  <c r="X294" i="8"/>
  <c r="X295" i="8"/>
  <c r="X297" i="8"/>
  <c r="X298" i="8"/>
  <c r="X301" i="8"/>
  <c r="X302" i="8"/>
  <c r="X304" i="8"/>
  <c r="X307" i="8"/>
  <c r="X309" i="8"/>
  <c r="X315" i="8"/>
  <c r="X316" i="8"/>
  <c r="X321" i="8"/>
  <c r="X324" i="8"/>
  <c r="X328" i="8"/>
  <c r="X331" i="8"/>
  <c r="X333" i="8"/>
  <c r="X336" i="8"/>
  <c r="X338" i="8"/>
  <c r="X340" i="8"/>
  <c r="X341" i="8"/>
  <c r="X343" i="8"/>
  <c r="X345" i="8"/>
  <c r="X347" i="8"/>
  <c r="X353" i="8"/>
  <c r="X356" i="8"/>
  <c r="X358" i="8"/>
  <c r="X360" i="8"/>
  <c r="X362" i="8"/>
  <c r="X370" i="8"/>
  <c r="X374" i="8"/>
  <c r="X375" i="8"/>
  <c r="X377" i="8"/>
  <c r="X378" i="8"/>
  <c r="X379" i="8"/>
  <c r="X382" i="8"/>
  <c r="X386" i="8"/>
  <c r="X387" i="8"/>
  <c r="X393" i="8"/>
  <c r="X394" i="8"/>
  <c r="X402" i="8"/>
  <c r="X403" i="8"/>
  <c r="X405" i="8"/>
  <c r="X407" i="8"/>
  <c r="X409" i="8"/>
  <c r="X410" i="8"/>
  <c r="X412" i="8"/>
  <c r="X417" i="8"/>
  <c r="X420" i="8"/>
  <c r="X423" i="8"/>
  <c r="X425" i="8"/>
  <c r="X429" i="8"/>
  <c r="X443" i="8"/>
  <c r="X448" i="8"/>
  <c r="X457" i="8"/>
  <c r="X460" i="8"/>
  <c r="X464" i="8"/>
  <c r="X469" i="8"/>
  <c r="X472" i="8"/>
  <c r="X474" i="8"/>
  <c r="X475" i="8"/>
  <c r="X476" i="8"/>
  <c r="X480" i="8"/>
  <c r="X485" i="8"/>
  <c r="X488" i="8"/>
  <c r="X492" i="8"/>
  <c r="X495" i="8"/>
  <c r="X498" i="8"/>
  <c r="X502" i="8"/>
  <c r="X504" i="8"/>
  <c r="X507" i="8"/>
  <c r="V4" i="8"/>
  <c r="V5" i="8"/>
  <c r="V6" i="8"/>
  <c r="V9" i="8"/>
  <c r="V11" i="8"/>
  <c r="V12" i="8"/>
  <c r="V15" i="8"/>
  <c r="V17" i="8"/>
  <c r="V19" i="8"/>
  <c r="V20" i="8"/>
  <c r="V23" i="8"/>
  <c r="V29" i="8"/>
  <c r="V31" i="8"/>
  <c r="V33" i="8"/>
  <c r="V37" i="8"/>
  <c r="V38" i="8"/>
  <c r="V41" i="8"/>
  <c r="V44" i="8"/>
  <c r="V47" i="8"/>
  <c r="V52" i="8"/>
  <c r="V55" i="8"/>
  <c r="V58" i="8"/>
  <c r="V59" i="8"/>
  <c r="V61" i="8"/>
  <c r="V67" i="8"/>
  <c r="V69" i="8"/>
  <c r="V72" i="8"/>
  <c r="V75" i="8"/>
  <c r="V83" i="8"/>
  <c r="V86" i="8"/>
  <c r="V89" i="8"/>
  <c r="V91" i="8"/>
  <c r="V95" i="8"/>
  <c r="V101" i="8"/>
  <c r="V102" i="8"/>
  <c r="V105" i="8"/>
  <c r="V111" i="8"/>
  <c r="V118" i="8"/>
  <c r="V123" i="8"/>
  <c r="V127" i="8"/>
  <c r="V133" i="8"/>
  <c r="V138" i="8"/>
  <c r="V140" i="8"/>
  <c r="V143" i="8"/>
  <c r="V156" i="8"/>
  <c r="V162" i="8"/>
  <c r="V166" i="8"/>
  <c r="V177" i="8"/>
  <c r="V182" i="8"/>
  <c r="V186" i="8"/>
  <c r="V195" i="8"/>
  <c r="V198" i="8"/>
  <c r="V204" i="8"/>
  <c r="V206" i="8"/>
  <c r="V213" i="8"/>
  <c r="V216" i="8"/>
  <c r="V232" i="8"/>
  <c r="V237" i="8"/>
  <c r="V241" i="8"/>
  <c r="V253" i="8"/>
  <c r="V266" i="8"/>
  <c r="V276" i="8"/>
  <c r="V279" i="8"/>
  <c r="V309" i="8"/>
  <c r="V313" i="8"/>
  <c r="V331" i="8"/>
  <c r="V359" i="8"/>
  <c r="V382" i="8"/>
  <c r="V424" i="8"/>
  <c r="V432" i="8"/>
  <c r="V464" i="8"/>
  <c r="T4" i="8"/>
  <c r="T7" i="8"/>
  <c r="T11" i="8"/>
  <c r="T15" i="8"/>
  <c r="T21" i="8"/>
  <c r="T22" i="8"/>
  <c r="T30" i="8"/>
  <c r="T36" i="8"/>
  <c r="T41" i="8"/>
  <c r="T42" i="8"/>
  <c r="T44" i="8"/>
  <c r="T51" i="8"/>
  <c r="T66" i="8"/>
  <c r="T69" i="8"/>
  <c r="T77" i="8"/>
  <c r="T80" i="8"/>
  <c r="T89" i="8"/>
  <c r="T93" i="8"/>
  <c r="T100" i="8"/>
  <c r="T102" i="8"/>
  <c r="T113" i="8"/>
  <c r="T114" i="8"/>
  <c r="T120" i="8"/>
  <c r="T124" i="8"/>
  <c r="T127" i="8"/>
  <c r="T132" i="8"/>
  <c r="T134" i="8"/>
  <c r="T143" i="8"/>
  <c r="T146" i="8"/>
  <c r="T151" i="8"/>
  <c r="T154" i="8"/>
  <c r="T170" i="8"/>
  <c r="T176" i="8"/>
  <c r="T178" i="8"/>
  <c r="T184" i="8"/>
  <c r="T187" i="8"/>
  <c r="T192" i="8"/>
  <c r="T196" i="8"/>
  <c r="T201" i="8"/>
  <c r="T203" i="8"/>
  <c r="T208" i="8"/>
  <c r="T212" i="8"/>
  <c r="T214" i="8"/>
  <c r="T224" i="8"/>
  <c r="T231" i="8"/>
  <c r="T236" i="8"/>
  <c r="T238" i="8"/>
  <c r="T248" i="8"/>
  <c r="T253" i="8"/>
  <c r="T258" i="8"/>
  <c r="T269" i="8"/>
  <c r="T272" i="8"/>
  <c r="T276" i="8"/>
  <c r="T277" i="8"/>
  <c r="T296" i="8"/>
  <c r="T300" i="8"/>
  <c r="T305" i="8"/>
  <c r="T306" i="8"/>
  <c r="T311" i="8"/>
  <c r="T317" i="8"/>
  <c r="T327" i="8"/>
  <c r="T330" i="8"/>
  <c r="T332" i="8"/>
  <c r="T335" i="8"/>
  <c r="T339" i="8"/>
  <c r="T348" i="8"/>
  <c r="T355" i="8"/>
  <c r="T363" i="8"/>
  <c r="T372" i="8"/>
  <c r="T373" i="8"/>
  <c r="T381" i="8"/>
  <c r="T385" i="8"/>
  <c r="T399" i="8"/>
  <c r="T408" i="8"/>
  <c r="T411" i="8"/>
  <c r="T419" i="8"/>
  <c r="T428" i="8"/>
  <c r="T432" i="8"/>
  <c r="T435" i="8"/>
  <c r="T437" i="8"/>
  <c r="T448" i="8"/>
  <c r="T450" i="8"/>
  <c r="T458" i="8"/>
  <c r="T462" i="8"/>
  <c r="T476" i="8"/>
  <c r="T487" i="8"/>
  <c r="T508" i="8"/>
  <c r="R6" i="8"/>
  <c r="R13" i="8"/>
  <c r="R15" i="8"/>
  <c r="R18" i="8"/>
  <c r="R20" i="8"/>
  <c r="R24" i="8"/>
  <c r="R26" i="8"/>
  <c r="R28" i="8"/>
  <c r="R30" i="8"/>
  <c r="R32" i="8"/>
  <c r="R33" i="8"/>
  <c r="R40" i="8"/>
  <c r="R42" i="8"/>
  <c r="R44" i="8"/>
  <c r="R48" i="8"/>
  <c r="R49" i="8"/>
  <c r="R50" i="8"/>
  <c r="R53" i="8"/>
  <c r="R56" i="8"/>
  <c r="R62" i="8"/>
  <c r="R64" i="8"/>
  <c r="R66" i="8"/>
  <c r="R69" i="8"/>
  <c r="R73" i="8"/>
  <c r="R75" i="8"/>
  <c r="R78" i="8"/>
  <c r="R79" i="8"/>
  <c r="R80" i="8"/>
  <c r="R81" i="8"/>
  <c r="R87" i="8"/>
  <c r="R98" i="8"/>
  <c r="R104" i="8"/>
  <c r="R106" i="8"/>
  <c r="R112" i="8"/>
  <c r="R113" i="8"/>
  <c r="R115" i="8"/>
  <c r="R121" i="8"/>
  <c r="R124" i="8"/>
  <c r="R128" i="8"/>
  <c r="R134" i="8"/>
  <c r="R135" i="8"/>
  <c r="R139" i="8"/>
  <c r="R145" i="8"/>
  <c r="R147" i="8"/>
  <c r="R151" i="8"/>
  <c r="R154" i="8"/>
  <c r="R163" i="8"/>
  <c r="R167" i="8"/>
  <c r="R178" i="8"/>
  <c r="R183" i="8"/>
  <c r="R184" i="8"/>
  <c r="R187" i="8"/>
  <c r="R191" i="8"/>
  <c r="R196" i="8"/>
  <c r="R205" i="8"/>
  <c r="R209" i="8"/>
  <c r="R217" i="8"/>
  <c r="R219" i="8"/>
  <c r="R222" i="8"/>
  <c r="R228" i="8"/>
  <c r="R234" i="8"/>
  <c r="R238" i="8"/>
  <c r="R254" i="8"/>
  <c r="R259" i="8"/>
  <c r="R265" i="8"/>
  <c r="R270" i="8"/>
  <c r="R273" i="8"/>
  <c r="R283" i="8"/>
  <c r="R284" i="8"/>
  <c r="R289" i="8"/>
  <c r="R295" i="8"/>
  <c r="R300" i="8"/>
  <c r="R314" i="8"/>
  <c r="R317" i="8"/>
  <c r="R320" i="8"/>
  <c r="R325" i="8"/>
  <c r="R328" i="8"/>
  <c r="R337" i="8"/>
  <c r="R342" i="8"/>
  <c r="R346" i="8"/>
  <c r="R348" i="8"/>
  <c r="R355" i="8"/>
  <c r="R361" i="8"/>
  <c r="R369" i="8"/>
  <c r="R384" i="8"/>
  <c r="R386" i="8"/>
  <c r="R399" i="8"/>
  <c r="R402" i="8"/>
  <c r="R404" i="8"/>
  <c r="R413" i="8"/>
  <c r="R418" i="8"/>
  <c r="R426" i="8"/>
  <c r="R431" i="8"/>
  <c r="R435" i="8"/>
  <c r="R437" i="8"/>
  <c r="R440" i="8"/>
  <c r="R441" i="8"/>
  <c r="R444" i="8"/>
  <c r="R458" i="8"/>
  <c r="R465" i="8"/>
  <c r="R475" i="8"/>
  <c r="R482" i="8"/>
  <c r="R493" i="8"/>
  <c r="R503" i="8"/>
  <c r="R513" i="8"/>
  <c r="P4" i="8"/>
  <c r="P6" i="8"/>
  <c r="P11" i="8"/>
  <c r="P13" i="8"/>
  <c r="P15" i="8"/>
  <c r="P18" i="8"/>
  <c r="P19" i="8"/>
  <c r="P22" i="8"/>
  <c r="P24" i="8"/>
  <c r="P26" i="8"/>
  <c r="P30" i="8"/>
  <c r="P33" i="8"/>
  <c r="P36" i="8"/>
  <c r="P38" i="8"/>
  <c r="P40" i="8"/>
  <c r="P42" i="8"/>
  <c r="P44" i="8"/>
  <c r="P46" i="8"/>
  <c r="P48" i="8"/>
  <c r="P50" i="8"/>
  <c r="P51" i="8"/>
  <c r="P53" i="8"/>
  <c r="P54" i="8"/>
  <c r="P57" i="8"/>
  <c r="P59" i="8"/>
  <c r="P60" i="8"/>
  <c r="P61" i="8"/>
  <c r="P62" i="8"/>
  <c r="P71" i="8"/>
  <c r="P73" i="8"/>
  <c r="P75" i="8"/>
  <c r="P77" i="8"/>
  <c r="P78" i="8"/>
  <c r="P80" i="8"/>
  <c r="P89" i="8"/>
  <c r="P94" i="8"/>
  <c r="P96" i="8"/>
  <c r="P102" i="8"/>
  <c r="P104" i="8"/>
  <c r="P106" i="8"/>
  <c r="P108" i="8"/>
  <c r="P112" i="8"/>
  <c r="P114" i="8"/>
  <c r="P116" i="8"/>
  <c r="P120" i="8"/>
  <c r="P122" i="8"/>
  <c r="P124" i="8"/>
  <c r="P126" i="8"/>
  <c r="P128" i="8"/>
  <c r="P134" i="8"/>
  <c r="P139" i="8"/>
  <c r="P140" i="8"/>
  <c r="P142" i="8"/>
  <c r="P146" i="8"/>
  <c r="P151" i="8"/>
  <c r="P152" i="8"/>
  <c r="P155" i="8"/>
  <c r="P159" i="8"/>
  <c r="P163" i="8"/>
  <c r="P167" i="8"/>
  <c r="P170" i="8"/>
  <c r="P172" i="8"/>
  <c r="P174" i="8"/>
  <c r="P178" i="8"/>
  <c r="P181" i="8"/>
  <c r="P183" i="8"/>
  <c r="P184" i="8"/>
  <c r="P187" i="8"/>
  <c r="P189" i="8"/>
  <c r="P191" i="8"/>
  <c r="P196" i="8"/>
  <c r="P199" i="8"/>
  <c r="P201" i="8"/>
  <c r="P205" i="8"/>
  <c r="P209" i="8"/>
  <c r="P210" i="8"/>
  <c r="P212" i="8"/>
  <c r="P214" i="8"/>
  <c r="P217" i="8"/>
  <c r="P218" i="8"/>
  <c r="P222" i="8"/>
  <c r="P226" i="8"/>
  <c r="P228" i="8"/>
  <c r="P229" i="8"/>
  <c r="P230" i="8"/>
  <c r="P236" i="8"/>
  <c r="P240" i="8"/>
  <c r="P246" i="8"/>
  <c r="P249" i="8"/>
  <c r="P251" i="8"/>
  <c r="P254" i="8"/>
  <c r="P256" i="8"/>
  <c r="P260" i="8"/>
  <c r="P261" i="8"/>
  <c r="P265" i="8"/>
  <c r="P267" i="8"/>
  <c r="P271" i="8"/>
  <c r="P273" i="8"/>
  <c r="P277" i="8"/>
  <c r="P278" i="8"/>
  <c r="P279" i="8"/>
  <c r="P289" i="8"/>
  <c r="P300" i="8"/>
  <c r="P303" i="8"/>
  <c r="P304" i="8"/>
  <c r="P314" i="8"/>
  <c r="P318" i="8"/>
  <c r="P322" i="8"/>
  <c r="P325" i="8"/>
  <c r="P327" i="8"/>
  <c r="P330" i="8"/>
  <c r="P345" i="8"/>
  <c r="P369" i="8"/>
  <c r="P401" i="8"/>
  <c r="P453" i="8"/>
  <c r="P478" i="8"/>
  <c r="P485" i="8"/>
  <c r="P509" i="8"/>
  <c r="N3" i="8"/>
  <c r="N6" i="8"/>
  <c r="N7" i="8"/>
  <c r="N10" i="8"/>
  <c r="N15" i="8"/>
  <c r="N16" i="8"/>
  <c r="N18" i="8"/>
  <c r="N20" i="8"/>
  <c r="N21" i="8"/>
  <c r="N26" i="8"/>
  <c r="N27" i="8"/>
  <c r="N31" i="8"/>
  <c r="N33" i="8"/>
  <c r="N38" i="8"/>
  <c r="N42" i="8"/>
  <c r="N44" i="8"/>
  <c r="N48" i="8"/>
  <c r="N50" i="8"/>
  <c r="N53" i="8"/>
  <c r="N55" i="8"/>
  <c r="N56" i="8"/>
  <c r="N59" i="8"/>
  <c r="N64" i="8"/>
  <c r="N65" i="8"/>
  <c r="N69" i="8"/>
  <c r="N70" i="8"/>
  <c r="N75" i="8"/>
  <c r="N76" i="8"/>
  <c r="N80" i="8"/>
  <c r="N83" i="8"/>
  <c r="N84" i="8"/>
  <c r="N87" i="8"/>
  <c r="N89" i="8"/>
  <c r="N90" i="8"/>
  <c r="N92" i="8"/>
  <c r="N96" i="8"/>
  <c r="N98" i="8"/>
  <c r="N99" i="8"/>
  <c r="N102" i="8"/>
  <c r="N103" i="8"/>
  <c r="N108" i="8"/>
  <c r="N109" i="8"/>
  <c r="N116" i="8"/>
  <c r="N117" i="8"/>
  <c r="N120" i="8"/>
  <c r="N121" i="8"/>
  <c r="N130" i="8"/>
  <c r="N131" i="8"/>
  <c r="N139" i="8"/>
  <c r="N140" i="8"/>
  <c r="N141" i="8"/>
  <c r="N146" i="8"/>
  <c r="N149" i="8"/>
  <c r="N153" i="8"/>
  <c r="N154" i="8"/>
  <c r="N159" i="8"/>
  <c r="N160" i="8"/>
  <c r="N169" i="8"/>
  <c r="N174" i="8"/>
  <c r="N175" i="8"/>
  <c r="N179" i="8"/>
  <c r="N180" i="8"/>
  <c r="N183" i="8"/>
  <c r="N192" i="8"/>
  <c r="N193" i="8"/>
  <c r="N197" i="8"/>
  <c r="N201" i="8"/>
  <c r="N202" i="8"/>
  <c r="N208" i="8"/>
  <c r="N215" i="8"/>
  <c r="N218" i="8"/>
  <c r="N224" i="8"/>
  <c r="N225" i="8"/>
  <c r="N231" i="8"/>
  <c r="N235" i="8"/>
  <c r="N243" i="8"/>
  <c r="N244" i="8"/>
  <c r="N247" i="8"/>
  <c r="N256" i="8"/>
  <c r="N257" i="8"/>
  <c r="N261" i="8"/>
  <c r="N262" i="8"/>
  <c r="N264" i="8"/>
  <c r="N267" i="8"/>
  <c r="N268" i="8"/>
  <c r="N275" i="8"/>
  <c r="N279" i="8"/>
  <c r="N280" i="8"/>
  <c r="N291" i="8"/>
  <c r="N292" i="8"/>
  <c r="N297" i="8"/>
  <c r="N305" i="8"/>
  <c r="N306" i="8"/>
  <c r="N308" i="8"/>
  <c r="N311" i="8"/>
  <c r="N318" i="8"/>
  <c r="N319" i="8"/>
  <c r="N323" i="8"/>
  <c r="N326" i="8"/>
  <c r="N329" i="8"/>
  <c r="N332" i="8"/>
  <c r="N333" i="8"/>
  <c r="N337" i="8"/>
  <c r="N338" i="8"/>
  <c r="N339" i="8"/>
  <c r="N340" i="8"/>
  <c r="N344" i="8"/>
  <c r="N349" i="8"/>
  <c r="N350" i="8"/>
  <c r="N357" i="8"/>
  <c r="N358" i="8"/>
  <c r="N363" i="8"/>
  <c r="N367" i="8"/>
  <c r="N368" i="8"/>
  <c r="N371" i="8"/>
  <c r="N372" i="8"/>
  <c r="N380" i="8"/>
  <c r="N390" i="8"/>
  <c r="N391" i="8"/>
  <c r="N392" i="8"/>
  <c r="N396" i="8"/>
  <c r="N401" i="8"/>
  <c r="N402" i="8"/>
  <c r="N406" i="8"/>
  <c r="N407" i="8"/>
  <c r="N415" i="8"/>
  <c r="N416" i="8"/>
  <c r="N419" i="8"/>
  <c r="N422" i="8"/>
  <c r="N423" i="8"/>
  <c r="N427" i="8"/>
  <c r="N430" i="8"/>
  <c r="N432" i="8"/>
  <c r="N435" i="8"/>
  <c r="N442" i="8"/>
  <c r="N446" i="8"/>
  <c r="N450" i="8"/>
  <c r="N454" i="8"/>
  <c r="N455" i="8"/>
  <c r="N462" i="8"/>
  <c r="N463" i="8"/>
  <c r="N466" i="8"/>
  <c r="N467" i="8"/>
  <c r="N470" i="8"/>
  <c r="N473" i="8"/>
  <c r="N476" i="8"/>
  <c r="N481" i="8"/>
  <c r="N485" i="8"/>
  <c r="N486" i="8"/>
  <c r="N490" i="8"/>
  <c r="N495" i="8"/>
  <c r="N500" i="8"/>
  <c r="N504" i="8"/>
  <c r="N505" i="8"/>
  <c r="N511" i="8"/>
  <c r="L3" i="8"/>
  <c r="L4" i="8"/>
  <c r="L6" i="8"/>
  <c r="L8" i="8"/>
  <c r="L9" i="8"/>
  <c r="L10" i="8"/>
  <c r="L11" i="8"/>
  <c r="L12" i="8"/>
  <c r="L13" i="8"/>
  <c r="L14" i="8"/>
  <c r="L15" i="8"/>
  <c r="L19" i="8"/>
  <c r="L20" i="8"/>
  <c r="L21" i="8"/>
  <c r="L22" i="8"/>
  <c r="L24" i="8"/>
  <c r="L25" i="8"/>
  <c r="L26" i="8"/>
  <c r="L28" i="8"/>
  <c r="L30" i="8"/>
  <c r="L32" i="8"/>
  <c r="L33" i="8"/>
  <c r="L34" i="8"/>
  <c r="L35" i="8"/>
  <c r="L36" i="8"/>
  <c r="L37" i="8"/>
  <c r="L38" i="8"/>
  <c r="L39" i="8"/>
  <c r="L43" i="8"/>
  <c r="L44" i="8"/>
  <c r="L49" i="8"/>
  <c r="L50" i="8"/>
  <c r="L52" i="8"/>
  <c r="L53" i="8"/>
  <c r="L55" i="8"/>
  <c r="L56" i="8"/>
  <c r="L57" i="8"/>
  <c r="L58" i="8"/>
  <c r="L60" i="8"/>
  <c r="L61" i="8"/>
  <c r="L64" i="8"/>
  <c r="L65" i="8"/>
  <c r="L66" i="8"/>
  <c r="L68" i="8"/>
  <c r="L69" i="8"/>
  <c r="L70" i="8"/>
  <c r="L73" i="8"/>
  <c r="L74" i="8"/>
  <c r="L75" i="8"/>
  <c r="L77" i="8"/>
  <c r="L78" i="8"/>
  <c r="L80" i="8"/>
  <c r="L81" i="8"/>
  <c r="L83" i="8"/>
  <c r="L84" i="8"/>
  <c r="L87" i="8"/>
  <c r="L88" i="8"/>
  <c r="L89" i="8"/>
  <c r="L96" i="8"/>
  <c r="L98" i="8"/>
  <c r="L99" i="8"/>
  <c r="L102" i="8"/>
  <c r="L103" i="8"/>
  <c r="L106" i="8"/>
  <c r="L108" i="8"/>
  <c r="L109" i="8"/>
  <c r="L112" i="8"/>
  <c r="L113" i="8"/>
  <c r="L116" i="8"/>
  <c r="L117" i="8"/>
  <c r="L119" i="8"/>
  <c r="L120" i="8"/>
  <c r="L121" i="8"/>
  <c r="L124" i="8"/>
  <c r="L125" i="8"/>
  <c r="L128" i="8"/>
  <c r="L135" i="8"/>
  <c r="L136" i="8"/>
  <c r="L141" i="8"/>
  <c r="L145" i="8"/>
  <c r="L146" i="8"/>
  <c r="L150" i="8"/>
  <c r="L151" i="8"/>
  <c r="L152" i="8"/>
  <c r="L156" i="8"/>
  <c r="L159" i="8"/>
  <c r="L163" i="8"/>
  <c r="L167" i="8"/>
  <c r="L168" i="8"/>
  <c r="L169" i="8"/>
  <c r="L171" i="8"/>
  <c r="L172" i="8"/>
  <c r="L173" i="8"/>
  <c r="L175" i="8"/>
  <c r="L176" i="8"/>
  <c r="L178" i="8"/>
  <c r="L180" i="8"/>
  <c r="L183" i="8"/>
  <c r="L188" i="8"/>
  <c r="L191" i="8"/>
  <c r="L193" i="8"/>
  <c r="L197" i="8"/>
  <c r="L199" i="8"/>
  <c r="L200" i="8"/>
  <c r="L205" i="8"/>
  <c r="L209" i="8"/>
  <c r="L214" i="8"/>
  <c r="L215" i="8"/>
  <c r="L219" i="8"/>
  <c r="L223" i="8"/>
  <c r="L228" i="8"/>
  <c r="L229" i="8"/>
  <c r="L233" i="8"/>
  <c r="L238" i="8"/>
  <c r="L239" i="8"/>
  <c r="L242" i="8"/>
  <c r="L244" i="8"/>
  <c r="L247" i="8"/>
  <c r="L249" i="8"/>
  <c r="L250" i="8"/>
  <c r="L254" i="8"/>
  <c r="L257" i="8"/>
  <c r="L266" i="8"/>
  <c r="L267" i="8"/>
  <c r="L270" i="8"/>
  <c r="L271" i="8"/>
  <c r="L274" i="8"/>
  <c r="L280" i="8"/>
  <c r="L284" i="8"/>
  <c r="L285" i="8"/>
  <c r="L289" i="8"/>
  <c r="L295" i="8"/>
  <c r="L297" i="8"/>
  <c r="L304" i="8"/>
  <c r="L310" i="8"/>
  <c r="L314" i="8"/>
  <c r="L317" i="8"/>
  <c r="L328" i="8"/>
  <c r="L333" i="8"/>
  <c r="L337" i="8"/>
  <c r="L343" i="8"/>
  <c r="L346" i="8"/>
  <c r="L352" i="8"/>
  <c r="L353" i="8"/>
  <c r="L355" i="8"/>
  <c r="L356" i="8"/>
  <c r="L358" i="8"/>
  <c r="L361" i="8"/>
  <c r="L362" i="8"/>
  <c r="L366" i="8"/>
  <c r="L379" i="8"/>
  <c r="L384" i="8"/>
  <c r="L388" i="8"/>
  <c r="L394" i="8"/>
  <c r="L399" i="8"/>
  <c r="L400" i="8"/>
  <c r="L404" i="8"/>
  <c r="L405" i="8"/>
  <c r="L410" i="8"/>
  <c r="L420" i="8"/>
  <c r="L421" i="8"/>
  <c r="L423" i="8"/>
  <c r="L431" i="8"/>
  <c r="L435" i="8"/>
  <c r="L437" i="8"/>
  <c r="L440" i="8"/>
  <c r="L442" i="8"/>
  <c r="L457" i="8"/>
  <c r="L458" i="8"/>
  <c r="L462" i="8"/>
  <c r="L466" i="8"/>
  <c r="L476" i="8"/>
  <c r="L480" i="8"/>
  <c r="L489" i="8"/>
  <c r="L493" i="8"/>
  <c r="L499" i="8"/>
  <c r="L500" i="8"/>
  <c r="L502" i="8"/>
  <c r="L504" i="8"/>
  <c r="L507" i="8"/>
  <c r="L508" i="8"/>
  <c r="L510" i="8"/>
  <c r="AD103" i="9"/>
  <c r="AD112" i="9"/>
  <c r="AD118" i="9"/>
  <c r="AD135" i="9"/>
  <c r="AD141" i="9"/>
  <c r="AD145" i="9"/>
  <c r="AD150" i="9"/>
  <c r="AD163" i="9"/>
  <c r="AD173" i="9"/>
  <c r="AD176" i="9"/>
  <c r="AD180" i="9"/>
  <c r="AD185" i="9"/>
  <c r="AD192" i="9"/>
  <c r="AD204" i="9"/>
  <c r="AD215" i="9"/>
  <c r="AD221" i="9"/>
  <c r="AD252" i="9"/>
  <c r="AD265" i="9"/>
  <c r="AD267" i="9"/>
  <c r="AD277" i="9"/>
  <c r="AD290" i="9"/>
  <c r="AD295" i="9"/>
  <c r="AD297" i="9"/>
  <c r="AD302" i="9"/>
  <c r="AD304" i="9"/>
  <c r="AD310" i="9"/>
  <c r="AD315" i="9"/>
  <c r="AD319" i="9"/>
  <c r="AD323" i="9"/>
  <c r="AD327" i="9"/>
  <c r="AD335" i="9"/>
  <c r="AD337" i="9"/>
  <c r="AD344" i="9"/>
  <c r="AD349" i="9"/>
  <c r="AD359" i="9"/>
  <c r="AD361" i="9"/>
  <c r="AD366" i="9"/>
  <c r="AD375" i="9"/>
  <c r="AD378" i="9"/>
  <c r="AD381" i="9"/>
  <c r="AD386" i="9"/>
  <c r="AD388" i="9"/>
  <c r="AD394" i="9"/>
  <c r="AD398" i="9"/>
  <c r="AD400" i="9"/>
  <c r="AD402" i="9"/>
  <c r="AD404" i="9"/>
  <c r="AD411" i="9"/>
  <c r="AD415" i="9"/>
  <c r="AD417" i="9"/>
  <c r="AD421" i="9"/>
  <c r="AD424" i="9"/>
  <c r="AD425" i="9"/>
  <c r="AD429" i="9"/>
  <c r="AD430" i="9"/>
  <c r="AD435" i="9"/>
  <c r="AD442" i="9"/>
  <c r="AD444" i="9"/>
  <c r="AD448" i="9"/>
  <c r="AD449" i="9"/>
  <c r="AD463" i="9"/>
  <c r="AD465" i="9"/>
  <c r="AD466" i="9"/>
  <c r="AD469" i="9"/>
  <c r="AD470" i="9"/>
  <c r="AD474" i="9"/>
  <c r="AD475" i="9"/>
  <c r="AD479" i="9"/>
  <c r="AD480" i="9"/>
  <c r="AD484" i="9"/>
  <c r="AD489" i="9"/>
  <c r="AD496" i="9"/>
  <c r="AD498" i="9"/>
  <c r="AD499" i="9"/>
  <c r="AD502" i="9"/>
  <c r="AD503" i="9"/>
  <c r="AD506" i="9"/>
  <c r="AD507" i="9"/>
  <c r="AD508" i="9"/>
  <c r="AD513" i="9"/>
  <c r="AD514" i="9"/>
  <c r="AD516" i="9"/>
  <c r="AD518" i="9"/>
  <c r="AD521" i="9"/>
  <c r="AD522" i="9"/>
  <c r="AD530" i="9"/>
  <c r="AD533" i="9"/>
  <c r="AD535" i="9"/>
  <c r="AD536" i="9"/>
  <c r="AD539" i="9"/>
  <c r="AD540" i="9"/>
  <c r="AD542" i="9"/>
  <c r="AD544" i="9"/>
  <c r="AD545" i="9"/>
  <c r="AD548" i="9"/>
  <c r="AD549" i="9"/>
  <c r="AD550" i="9"/>
  <c r="AD551" i="9"/>
  <c r="AD553" i="9"/>
  <c r="AD554" i="9"/>
  <c r="AD555" i="9"/>
  <c r="AD558" i="9"/>
  <c r="AD559" i="9"/>
  <c r="AD560" i="9"/>
  <c r="AD561" i="9"/>
  <c r="AD564" i="9"/>
  <c r="AD566" i="9"/>
  <c r="AD567" i="9"/>
  <c r="AD570" i="9"/>
  <c r="AD572" i="9"/>
  <c r="AD573" i="9"/>
  <c r="AD576" i="9"/>
  <c r="AD579" i="9"/>
  <c r="AD580" i="9"/>
  <c r="AD581" i="9"/>
  <c r="AD582" i="9"/>
  <c r="AD584" i="9"/>
  <c r="AD585" i="9"/>
  <c r="AD589" i="9"/>
  <c r="AD591" i="9"/>
  <c r="AD592" i="9"/>
  <c r="AD594" i="9"/>
  <c r="AD595" i="9"/>
  <c r="AD598" i="9"/>
  <c r="AD599" i="9"/>
  <c r="AD600" i="9"/>
  <c r="AD601" i="9"/>
  <c r="AD603" i="9"/>
  <c r="AD606" i="9"/>
  <c r="AD607" i="9"/>
  <c r="AD610" i="9"/>
  <c r="AD611" i="9"/>
  <c r="AD612" i="9"/>
  <c r="AD616" i="9"/>
  <c r="AD617" i="9"/>
  <c r="AD622" i="9"/>
  <c r="AD623" i="9"/>
  <c r="AD624" i="9"/>
  <c r="AD625" i="9"/>
  <c r="AD626" i="9"/>
  <c r="AD628" i="9"/>
  <c r="AD630" i="9"/>
  <c r="AD632" i="9"/>
  <c r="AD634" i="9"/>
  <c r="AD638" i="9"/>
  <c r="AD639" i="9"/>
  <c r="AD641" i="9"/>
  <c r="AD648" i="9"/>
  <c r="AD651" i="9"/>
  <c r="AD657" i="9"/>
  <c r="AD658" i="9"/>
  <c r="AD661" i="9"/>
  <c r="AD665" i="9"/>
  <c r="AD666" i="9"/>
  <c r="AD670" i="9"/>
  <c r="AD671" i="9"/>
  <c r="AD673" i="9"/>
  <c r="AD674" i="9"/>
  <c r="AD675" i="9"/>
  <c r="AD678" i="9"/>
  <c r="AD679" i="9"/>
  <c r="AD680" i="9"/>
  <c r="AD687" i="9"/>
  <c r="AD690" i="9"/>
  <c r="AD692" i="9"/>
  <c r="AD696" i="9"/>
  <c r="AD698" i="9"/>
  <c r="AD699" i="9"/>
  <c r="AD700" i="9"/>
  <c r="AD701" i="9"/>
  <c r="AD703" i="9"/>
  <c r="AD708" i="9"/>
  <c r="AD710" i="9"/>
  <c r="AD712" i="9"/>
  <c r="AD713" i="9"/>
  <c r="AD717" i="9"/>
  <c r="AD718" i="9"/>
  <c r="AD724" i="9"/>
  <c r="AB113" i="9"/>
  <c r="AB125" i="9"/>
  <c r="AB131" i="9"/>
  <c r="AB135" i="9"/>
  <c r="AB141" i="9"/>
  <c r="AB150" i="9"/>
  <c r="AB151" i="9"/>
  <c r="AB168" i="9"/>
  <c r="AB174" i="9"/>
  <c r="AB176" i="9"/>
  <c r="AB180" i="9"/>
  <c r="AB186" i="9"/>
  <c r="AB190" i="9"/>
  <c r="AB192" i="9"/>
  <c r="AB204" i="9"/>
  <c r="AB215" i="9"/>
  <c r="AB216" i="9"/>
  <c r="AB221" i="9"/>
  <c r="AB230" i="9"/>
  <c r="AB252" i="9"/>
  <c r="AB261" i="9"/>
  <c r="AB267" i="9"/>
  <c r="AB273" i="9"/>
  <c r="AB277" i="9"/>
  <c r="AB287" i="9"/>
  <c r="AB295" i="9"/>
  <c r="AB297" i="9"/>
  <c r="AB298" i="9"/>
  <c r="AB302" i="9"/>
  <c r="AB315" i="9"/>
  <c r="AB320" i="9"/>
  <c r="AB323" i="9"/>
  <c r="AB327" i="9"/>
  <c r="AB328" i="9"/>
  <c r="AB337" i="9"/>
  <c r="AB349" i="9"/>
  <c r="AB356" i="9"/>
  <c r="AB363" i="9"/>
  <c r="AB376" i="9"/>
  <c r="AB378" i="9"/>
  <c r="AB385" i="9"/>
  <c r="AB387" i="9"/>
  <c r="AB388" i="9"/>
  <c r="AB393" i="9"/>
  <c r="AB394" i="9"/>
  <c r="AB395" i="9"/>
  <c r="AB400" i="9"/>
  <c r="AB402" i="9"/>
  <c r="AB403" i="9"/>
  <c r="AB406" i="9"/>
  <c r="AB411" i="9"/>
  <c r="AB412" i="9"/>
  <c r="AB416" i="9"/>
  <c r="AB417" i="9"/>
  <c r="AB421" i="9"/>
  <c r="AB422" i="9"/>
  <c r="AB425" i="9"/>
  <c r="AB426" i="9"/>
  <c r="AB430" i="9"/>
  <c r="AB431" i="9"/>
  <c r="AB434" i="9"/>
  <c r="AB435" i="9"/>
  <c r="AB438" i="9"/>
  <c r="AB439" i="9"/>
  <c r="AB445" i="9"/>
  <c r="AB449" i="9"/>
  <c r="AB450" i="9"/>
  <c r="AB453" i="9"/>
  <c r="AB462" i="9"/>
  <c r="AB463" i="9"/>
  <c r="AB466" i="9"/>
  <c r="AB469" i="9"/>
  <c r="AB470" i="9"/>
  <c r="AB471" i="9"/>
  <c r="AB474" i="9"/>
  <c r="AB476" i="9"/>
  <c r="AB479" i="9"/>
  <c r="AB480" i="9"/>
  <c r="AB487" i="9"/>
  <c r="AB488" i="9"/>
  <c r="AB489" i="9"/>
  <c r="AB493" i="9"/>
  <c r="AB495" i="9"/>
  <c r="AB502" i="9"/>
  <c r="AB503" i="9"/>
  <c r="AB507" i="9"/>
  <c r="AB508" i="9"/>
  <c r="AB513" i="9"/>
  <c r="AB515" i="9"/>
  <c r="AB517" i="9"/>
  <c r="AB518" i="9"/>
  <c r="AB520" i="9"/>
  <c r="AB522" i="9"/>
  <c r="AB525" i="9"/>
  <c r="AB530" i="9"/>
  <c r="AB534" i="9"/>
  <c r="AB535" i="9"/>
  <c r="AB536" i="9"/>
  <c r="AB541" i="9"/>
  <c r="AB542" i="9"/>
  <c r="AB544" i="9"/>
  <c r="AB548" i="9"/>
  <c r="AB550" i="9"/>
  <c r="AB551" i="9"/>
  <c r="AB555" i="9"/>
  <c r="AB560" i="9"/>
  <c r="AB561" i="9"/>
  <c r="AB565" i="9"/>
  <c r="AB566" i="9"/>
  <c r="AB567" i="9"/>
  <c r="AB570" i="9"/>
  <c r="AB572" i="9"/>
  <c r="AB573" i="9"/>
  <c r="AB576" i="9"/>
  <c r="AB580" i="9"/>
  <c r="AB581" i="9"/>
  <c r="AB582" i="9"/>
  <c r="AB585" i="9"/>
  <c r="AB589" i="9"/>
  <c r="AB592" i="9"/>
  <c r="AB593" i="9"/>
  <c r="AB594" i="9"/>
  <c r="AB597" i="9"/>
  <c r="AB599" i="9"/>
  <c r="AB600" i="9"/>
  <c r="AB601" i="9"/>
  <c r="AB606" i="9"/>
  <c r="AB607" i="9"/>
  <c r="AB609" i="9"/>
  <c r="AB612" i="9"/>
  <c r="AB616" i="9"/>
  <c r="AB617" i="9"/>
  <c r="AB618" i="9"/>
  <c r="AB619" i="9"/>
  <c r="AB625" i="9"/>
  <c r="AB626" i="9"/>
  <c r="AB629" i="9"/>
  <c r="AB630" i="9"/>
  <c r="AB633" i="9"/>
  <c r="AB634" i="9"/>
  <c r="AB636" i="9"/>
  <c r="AB637" i="9"/>
  <c r="AB640" i="9"/>
  <c r="AB645" i="9"/>
  <c r="AB646" i="9"/>
  <c r="AB647" i="9"/>
  <c r="AB648" i="9"/>
  <c r="AB649" i="9"/>
  <c r="AB650" i="9"/>
  <c r="AB651" i="9"/>
  <c r="AB655" i="9"/>
  <c r="AB656" i="9"/>
  <c r="AB658" i="9"/>
  <c r="AB661" i="9"/>
  <c r="AB663" i="9"/>
  <c r="AB665" i="9"/>
  <c r="AB666" i="9"/>
  <c r="AB671" i="9"/>
  <c r="AB674" i="9"/>
  <c r="AB679" i="9"/>
  <c r="AB680" i="9"/>
  <c r="AB681" i="9"/>
  <c r="AB687" i="9"/>
  <c r="AB691" i="9"/>
  <c r="AB692" i="9"/>
  <c r="AB693" i="9"/>
  <c r="AB695" i="9"/>
  <c r="AB696" i="9"/>
  <c r="AB699" i="9"/>
  <c r="AB700" i="9"/>
  <c r="AB701" i="9"/>
  <c r="AB702" i="9"/>
  <c r="AB703" i="9"/>
  <c r="AB709" i="9"/>
  <c r="AB710" i="9"/>
  <c r="AB713" i="9"/>
  <c r="AB716" i="9"/>
  <c r="AB717" i="9"/>
  <c r="AB718" i="9"/>
  <c r="AB720" i="9"/>
  <c r="AB722" i="9"/>
  <c r="AB723" i="9"/>
  <c r="AB724" i="9"/>
  <c r="AB725" i="9"/>
  <c r="Z97" i="9"/>
  <c r="Z109" i="9"/>
  <c r="Z113" i="9"/>
  <c r="Z125" i="9"/>
  <c r="Z131" i="9"/>
  <c r="Z136" i="9"/>
  <c r="Z146" i="9"/>
  <c r="Z159" i="9"/>
  <c r="Z172" i="9"/>
  <c r="Z174" i="9"/>
  <c r="Z177" i="9"/>
  <c r="Z181" i="9"/>
  <c r="Z186" i="9"/>
  <c r="Z189" i="9"/>
  <c r="Z193" i="9"/>
  <c r="Z203" i="9"/>
  <c r="Z208" i="9"/>
  <c r="Z210" i="9"/>
  <c r="Z216" i="9"/>
  <c r="Z220" i="9"/>
  <c r="Z222" i="9"/>
  <c r="Z226" i="9"/>
  <c r="Z231" i="9"/>
  <c r="Z235" i="9"/>
  <c r="Z243" i="9"/>
  <c r="Z247" i="9"/>
  <c r="Z248" i="9"/>
  <c r="Z251" i="9"/>
  <c r="Z253" i="9"/>
  <c r="Z256" i="9"/>
  <c r="Z260" i="9"/>
  <c r="Z262" i="9"/>
  <c r="Z268" i="9"/>
  <c r="Z274" i="9"/>
  <c r="Z276" i="9"/>
  <c r="Z281" i="9"/>
  <c r="Z282" i="9"/>
  <c r="Z291" i="9"/>
  <c r="Z296" i="9"/>
  <c r="Z301" i="9"/>
  <c r="Z309" i="9"/>
  <c r="Z311" i="9"/>
  <c r="Z314" i="9"/>
  <c r="Z316" i="9"/>
  <c r="Z318" i="9"/>
  <c r="Z320" i="9"/>
  <c r="Z324" i="9"/>
  <c r="Z326" i="9"/>
  <c r="Z328" i="9"/>
  <c r="Z332" i="9"/>
  <c r="Z336" i="9"/>
  <c r="Z341" i="9"/>
  <c r="Z343" i="9"/>
  <c r="Z345" i="9"/>
  <c r="Z348" i="9"/>
  <c r="Z350" i="9"/>
  <c r="Z355" i="9"/>
  <c r="Z356" i="9"/>
  <c r="Z360" i="9"/>
  <c r="Z364" i="9"/>
  <c r="Z374" i="9"/>
  <c r="Z375" i="9"/>
  <c r="Z377" i="9"/>
  <c r="Z378" i="9"/>
  <c r="Z382" i="9"/>
  <c r="Z383" i="9"/>
  <c r="Z387" i="9"/>
  <c r="Z388" i="9"/>
  <c r="Z393" i="9"/>
  <c r="Z394" i="9"/>
  <c r="Z395" i="9"/>
  <c r="Z400" i="9"/>
  <c r="Z402" i="9"/>
  <c r="Z403" i="9"/>
  <c r="Z405" i="9"/>
  <c r="Z406" i="9"/>
  <c r="Z412" i="9"/>
  <c r="Z416" i="9"/>
  <c r="Z417" i="9"/>
  <c r="Z418" i="9"/>
  <c r="Z420" i="9"/>
  <c r="Z421" i="9"/>
  <c r="Z422" i="9"/>
  <c r="Z425" i="9"/>
  <c r="Z426" i="9"/>
  <c r="Z434" i="9"/>
  <c r="Z435" i="9"/>
  <c r="Z438" i="9"/>
  <c r="Z439" i="9"/>
  <c r="Z443" i="9"/>
  <c r="Z444" i="9"/>
  <c r="Z445" i="9"/>
  <c r="Z449" i="9"/>
  <c r="Z452" i="9"/>
  <c r="Z453" i="9"/>
  <c r="Z457" i="9"/>
  <c r="Z462" i="9"/>
  <c r="Z463" i="9"/>
  <c r="Z464" i="9"/>
  <c r="Z466" i="9"/>
  <c r="Z469" i="9"/>
  <c r="Z470" i="9"/>
  <c r="Z471" i="9"/>
  <c r="Z474" i="9"/>
  <c r="Z475" i="9"/>
  <c r="Z476" i="9"/>
  <c r="Z479" i="9"/>
  <c r="Z480" i="9"/>
  <c r="Z484" i="9"/>
  <c r="Z487" i="9"/>
  <c r="Z488" i="9"/>
  <c r="Z489" i="9"/>
  <c r="Z493" i="9"/>
  <c r="Z502" i="9"/>
  <c r="Z503" i="9"/>
  <c r="Z507" i="9"/>
  <c r="Z508" i="9"/>
  <c r="Z512" i="9"/>
  <c r="Z513" i="9"/>
  <c r="Z514" i="9"/>
  <c r="Z517" i="9"/>
  <c r="Z518" i="9"/>
  <c r="Z520" i="9"/>
  <c r="Z521" i="9"/>
  <c r="Z522" i="9"/>
  <c r="Z525" i="9"/>
  <c r="Z529" i="9"/>
  <c r="Z530" i="9"/>
  <c r="Z534" i="9"/>
  <c r="Z535" i="9"/>
  <c r="Z536" i="9"/>
  <c r="Z540" i="9"/>
  <c r="Z541" i="9"/>
  <c r="Z544" i="9"/>
  <c r="Z545" i="9"/>
  <c r="Z546" i="9"/>
  <c r="Z548" i="9"/>
  <c r="Z550" i="9"/>
  <c r="Z551" i="9"/>
  <c r="Z555" i="9"/>
  <c r="Z559" i="9"/>
  <c r="Z560" i="9"/>
  <c r="Z561" i="9"/>
  <c r="Z565" i="9"/>
  <c r="Z566" i="9"/>
  <c r="Z567" i="9"/>
  <c r="Z570" i="9"/>
  <c r="Z572" i="9"/>
  <c r="Z573" i="9"/>
  <c r="Z576" i="9"/>
  <c r="Z577" i="9"/>
  <c r="Z581" i="9"/>
  <c r="Z582" i="9"/>
  <c r="Z585" i="9"/>
  <c r="Z586" i="9"/>
  <c r="Z587" i="9"/>
  <c r="Z589" i="9"/>
  <c r="Z592" i="9"/>
  <c r="Z594" i="9"/>
  <c r="Z595" i="9"/>
  <c r="Z600" i="9"/>
  <c r="Z601" i="9"/>
  <c r="Z603" i="9"/>
  <c r="Z604" i="9"/>
  <c r="Z606" i="9"/>
  <c r="Z607" i="9"/>
  <c r="Z612" i="9"/>
  <c r="Z616" i="9"/>
  <c r="Z617" i="9"/>
  <c r="Z618" i="9"/>
  <c r="Z623" i="9"/>
  <c r="Z630" i="9"/>
  <c r="Z633" i="9"/>
  <c r="Z634" i="9"/>
  <c r="Z639" i="9"/>
  <c r="Z640" i="9"/>
  <c r="Z645" i="9"/>
  <c r="Z646" i="9"/>
  <c r="Z648" i="9"/>
  <c r="Z649" i="9"/>
  <c r="Z650" i="9"/>
  <c r="Z651" i="9"/>
  <c r="Z654" i="9"/>
  <c r="Z657" i="9"/>
  <c r="Z658" i="9"/>
  <c r="Z661" i="9"/>
  <c r="Z662" i="9"/>
  <c r="Z664" i="9"/>
  <c r="Z665" i="9"/>
  <c r="Z666" i="9"/>
  <c r="Z669" i="9"/>
  <c r="Z670" i="9"/>
  <c r="Z671" i="9"/>
  <c r="Z674" i="9"/>
  <c r="Z675" i="9"/>
  <c r="Z679" i="9"/>
  <c r="Z680" i="9"/>
  <c r="Z683" i="9"/>
  <c r="Z687" i="9"/>
  <c r="Z692" i="9"/>
  <c r="Z696" i="9"/>
  <c r="Z699" i="9"/>
  <c r="Z700" i="9"/>
  <c r="Z701" i="9"/>
  <c r="Z705" i="9"/>
  <c r="Z706" i="9"/>
  <c r="Z709" i="9"/>
  <c r="Z710" i="9"/>
  <c r="Z712" i="9"/>
  <c r="Z713" i="9"/>
  <c r="Z715" i="9"/>
  <c r="Z716" i="9"/>
  <c r="Z717" i="9"/>
  <c r="Z718" i="9"/>
  <c r="Z721" i="9"/>
  <c r="Z722" i="9"/>
  <c r="Z724" i="9"/>
  <c r="X655" i="9"/>
  <c r="X634" i="9"/>
  <c r="X633" i="9"/>
  <c r="X622" i="9"/>
  <c r="X617" i="9"/>
  <c r="X605" i="9"/>
  <c r="X603" i="9"/>
  <c r="X600" i="9"/>
  <c r="X592" i="9"/>
  <c r="X577" i="9"/>
  <c r="X566" i="9"/>
  <c r="X555" i="9"/>
  <c r="X552" i="9"/>
  <c r="X550" i="9"/>
  <c r="X548" i="9"/>
  <c r="X545" i="9"/>
  <c r="X535" i="9"/>
  <c r="X534" i="9"/>
  <c r="X526" i="9"/>
  <c r="X521" i="9"/>
  <c r="X520" i="9"/>
  <c r="X513" i="9"/>
  <c r="X505" i="9"/>
  <c r="X502" i="9"/>
  <c r="X497" i="9"/>
  <c r="X492" i="9"/>
  <c r="X470" i="9"/>
  <c r="X466" i="9"/>
  <c r="X464" i="9"/>
  <c r="X457" i="9"/>
  <c r="X455" i="9"/>
  <c r="X452" i="9"/>
  <c r="X449" i="9"/>
  <c r="X443" i="9"/>
  <c r="X441" i="9"/>
  <c r="X435" i="9"/>
  <c r="X428" i="9"/>
  <c r="X421" i="9"/>
  <c r="X416" i="9"/>
  <c r="X414" i="9"/>
  <c r="X410" i="9"/>
  <c r="X408" i="9"/>
  <c r="X402" i="9"/>
  <c r="X399" i="9"/>
  <c r="X396" i="9"/>
  <c r="X383" i="9"/>
  <c r="X380" i="9"/>
  <c r="X378" i="9"/>
  <c r="X375" i="9"/>
  <c r="X371" i="9"/>
  <c r="X367" i="9"/>
  <c r="X355" i="9"/>
  <c r="X351" i="9"/>
  <c r="X348" i="9"/>
  <c r="X347" i="9"/>
  <c r="X346" i="9"/>
  <c r="X344" i="9"/>
  <c r="X341" i="9"/>
  <c r="X336" i="9"/>
  <c r="X334" i="9"/>
  <c r="X333" i="9"/>
  <c r="X331" i="9"/>
  <c r="X327" i="9"/>
  <c r="X326" i="9"/>
  <c r="X322" i="9"/>
  <c r="X319" i="9"/>
  <c r="X314" i="9"/>
  <c r="X310" i="9"/>
  <c r="X304" i="9"/>
  <c r="X301" i="9"/>
  <c r="X296" i="9"/>
  <c r="X295" i="9"/>
  <c r="X280" i="9"/>
  <c r="X276" i="9"/>
  <c r="X267" i="9"/>
  <c r="X263" i="9"/>
  <c r="X252" i="9"/>
  <c r="X251" i="9"/>
  <c r="X247" i="9"/>
  <c r="X241" i="9"/>
  <c r="X230" i="9"/>
  <c r="X228" i="9"/>
  <c r="X217" i="9"/>
  <c r="X215" i="9"/>
  <c r="X213" i="9"/>
  <c r="X209" i="9"/>
  <c r="X202" i="9"/>
  <c r="X201" i="9"/>
  <c r="X197" i="9"/>
  <c r="X195" i="9"/>
  <c r="X191" i="9"/>
  <c r="X188" i="9"/>
  <c r="X185" i="9"/>
  <c r="X184" i="9"/>
  <c r="X183" i="9"/>
  <c r="X182" i="9"/>
  <c r="X176" i="9"/>
  <c r="X172" i="9"/>
  <c r="X170" i="9"/>
  <c r="X168" i="9"/>
  <c r="X162" i="9"/>
  <c r="X158" i="9"/>
  <c r="X153" i="9"/>
  <c r="X150" i="9"/>
  <c r="X143" i="9"/>
  <c r="X142" i="9"/>
  <c r="X138" i="9"/>
  <c r="X134" i="9"/>
  <c r="X132" i="9"/>
  <c r="X130" i="9"/>
  <c r="X126" i="9"/>
  <c r="X123" i="9"/>
  <c r="X122" i="9"/>
  <c r="X118" i="9"/>
  <c r="X116" i="9"/>
  <c r="X115" i="9"/>
  <c r="X112" i="9"/>
  <c r="X107" i="9"/>
  <c r="X105" i="9"/>
  <c r="X102" i="9"/>
  <c r="X100" i="9"/>
  <c r="X96" i="9"/>
  <c r="X90" i="9"/>
  <c r="X89" i="9"/>
  <c r="X88" i="9"/>
  <c r="X84" i="9"/>
  <c r="X81" i="9"/>
  <c r="X80" i="9"/>
  <c r="X78" i="9"/>
  <c r="X76" i="9"/>
  <c r="X72" i="9"/>
  <c r="X70" i="9"/>
  <c r="X68" i="9"/>
  <c r="X64" i="9"/>
  <c r="X60" i="9"/>
  <c r="X58" i="9"/>
  <c r="X55" i="9"/>
  <c r="X54" i="9"/>
  <c r="X51" i="9"/>
  <c r="X48" i="9"/>
  <c r="X46" i="9"/>
  <c r="X44" i="9"/>
  <c r="X43" i="9"/>
  <c r="X42" i="9"/>
  <c r="X36" i="9"/>
  <c r="X35" i="9"/>
  <c r="X33" i="9"/>
  <c r="X30" i="9"/>
  <c r="X29" i="9"/>
  <c r="X28" i="9"/>
  <c r="X27" i="9"/>
  <c r="X24" i="9"/>
  <c r="X23" i="9"/>
  <c r="X21" i="9"/>
  <c r="X18" i="9"/>
  <c r="X16" i="9"/>
  <c r="X10" i="9"/>
  <c r="X7" i="9"/>
  <c r="X6" i="9"/>
  <c r="X5" i="9"/>
  <c r="X8" i="9"/>
  <c r="X25" i="9"/>
  <c r="X40" i="9"/>
  <c r="X71" i="9"/>
  <c r="X77" i="9"/>
  <c r="X82" i="9"/>
  <c r="X86" i="9"/>
  <c r="X91" i="9"/>
  <c r="X97" i="9"/>
  <c r="X104" i="9"/>
  <c r="X109" i="9"/>
  <c r="X113" i="9"/>
  <c r="X119" i="9"/>
  <c r="X125" i="9"/>
  <c r="X131" i="9"/>
  <c r="X136" i="9"/>
  <c r="X146" i="9"/>
  <c r="X148" i="9"/>
  <c r="X151" i="9"/>
  <c r="X156" i="9"/>
  <c r="X159" i="9"/>
  <c r="X160" i="9"/>
  <c r="X164" i="9"/>
  <c r="X169" i="9"/>
  <c r="X171" i="9"/>
  <c r="X174" i="9"/>
  <c r="X177" i="9"/>
  <c r="X181" i="9"/>
  <c r="X186" i="9"/>
  <c r="X190" i="9"/>
  <c r="X193" i="9"/>
  <c r="X203" i="9"/>
  <c r="X205" i="9"/>
  <c r="X210" i="9"/>
  <c r="X214" i="9"/>
  <c r="X216" i="9"/>
  <c r="X222" i="9"/>
  <c r="X225" i="9"/>
  <c r="X231" i="9"/>
  <c r="X233" i="9"/>
  <c r="X236" i="9"/>
  <c r="X239" i="9"/>
  <c r="X243" i="9"/>
  <c r="X248" i="9"/>
  <c r="X249" i="9"/>
  <c r="X253" i="9"/>
  <c r="X257" i="9"/>
  <c r="X262" i="9"/>
  <c r="X266" i="9"/>
  <c r="X268" i="9"/>
  <c r="X274" i="9"/>
  <c r="X275" i="9"/>
  <c r="X282" i="9"/>
  <c r="X293" i="9"/>
  <c r="X298" i="9"/>
  <c r="X299" i="9"/>
  <c r="X311" i="9"/>
  <c r="X313" i="9"/>
  <c r="X316" i="9"/>
  <c r="X320" i="9"/>
  <c r="X324" i="9"/>
  <c r="X328" i="9"/>
  <c r="X332" i="9"/>
  <c r="X338" i="9"/>
  <c r="X339" i="9"/>
  <c r="X340" i="9"/>
  <c r="X345" i="9"/>
  <c r="X350" i="9"/>
  <c r="X356" i="9"/>
  <c r="X359" i="9"/>
  <c r="X364" i="9"/>
  <c r="X368" i="9"/>
  <c r="X369" i="9"/>
  <c r="X372" i="9"/>
  <c r="X373" i="9"/>
  <c r="X376" i="9"/>
  <c r="X384" i="9"/>
  <c r="X385" i="9"/>
  <c r="X389" i="9"/>
  <c r="X391" i="9"/>
  <c r="X393" i="9"/>
  <c r="X395" i="9"/>
  <c r="X403" i="9"/>
  <c r="X412" i="9"/>
  <c r="X415" i="9"/>
  <c r="X418" i="9"/>
  <c r="X422" i="9"/>
  <c r="X426" i="9"/>
  <c r="X431" i="9"/>
  <c r="X434" i="9"/>
  <c r="X436" i="9"/>
  <c r="X439" i="9"/>
  <c r="X442" i="9"/>
  <c r="X445" i="9"/>
  <c r="X447" i="9"/>
  <c r="X448" i="9"/>
  <c r="X450" i="9"/>
  <c r="X453" i="9"/>
  <c r="X458" i="9"/>
  <c r="X460" i="9"/>
  <c r="X471" i="9"/>
  <c r="X473" i="9"/>
  <c r="X476" i="9"/>
  <c r="X480" i="9"/>
  <c r="X482" i="9"/>
  <c r="X484" i="9"/>
  <c r="X489" i="9"/>
  <c r="X490" i="9"/>
  <c r="X493" i="9"/>
  <c r="X496" i="9"/>
  <c r="X499" i="9"/>
  <c r="X503" i="9"/>
  <c r="X508" i="9"/>
  <c r="X514" i="9"/>
  <c r="X522" i="9"/>
  <c r="X525" i="9"/>
  <c r="X536" i="9"/>
  <c r="X542" i="9"/>
  <c r="X543" i="9"/>
  <c r="X544" i="9"/>
  <c r="X546" i="9"/>
  <c r="X551" i="9"/>
  <c r="X561" i="9"/>
  <c r="X567" i="9"/>
  <c r="X572" i="9"/>
  <c r="X575" i="9"/>
  <c r="X580" i="9"/>
  <c r="X582" i="9"/>
  <c r="X583" i="9"/>
  <c r="X585" i="9"/>
  <c r="X586" i="9"/>
  <c r="X591" i="9"/>
  <c r="X595" i="9"/>
  <c r="X597" i="9"/>
  <c r="X601" i="9"/>
  <c r="X604" i="9"/>
  <c r="X616" i="9"/>
  <c r="X618" i="9"/>
  <c r="X620" i="9"/>
  <c r="X621" i="9"/>
  <c r="X625" i="9"/>
  <c r="X627" i="9"/>
  <c r="X628" i="9"/>
  <c r="X630" i="9"/>
  <c r="X638" i="9"/>
  <c r="X639" i="9"/>
  <c r="X640" i="9"/>
  <c r="X644" i="9"/>
  <c r="X645" i="9"/>
  <c r="X648" i="9"/>
  <c r="X651" i="9"/>
  <c r="X657" i="9"/>
  <c r="X662" i="9"/>
  <c r="X666" i="9"/>
  <c r="X671" i="9"/>
  <c r="X675" i="9"/>
  <c r="X676" i="9"/>
  <c r="X680" i="9"/>
  <c r="X682" i="9"/>
  <c r="X683" i="9"/>
  <c r="X685" i="9"/>
  <c r="X686" i="9"/>
  <c r="X687" i="9"/>
  <c r="X692" i="9"/>
  <c r="X698" i="9"/>
  <c r="X704" i="9"/>
  <c r="X710" i="9"/>
  <c r="X711" i="9"/>
  <c r="X718" i="9"/>
  <c r="X721" i="9"/>
  <c r="X722" i="9"/>
  <c r="X724" i="9"/>
  <c r="X726" i="9"/>
  <c r="X727" i="9"/>
  <c r="L4" i="9"/>
  <c r="AD5" i="9"/>
  <c r="AD10" i="9"/>
  <c r="AD11" i="9"/>
  <c r="AD13" i="9"/>
  <c r="AD14" i="9"/>
  <c r="L15" i="9"/>
  <c r="AD16" i="9"/>
  <c r="AD20" i="9"/>
  <c r="AD21" i="9"/>
  <c r="AD22" i="9"/>
  <c r="AD27" i="9"/>
  <c r="AD28" i="9"/>
  <c r="AD31" i="9"/>
  <c r="AD32" i="9"/>
  <c r="AD33" i="9"/>
  <c r="AD35" i="9"/>
  <c r="AD36" i="9"/>
  <c r="AD37" i="9"/>
  <c r="AD42" i="9"/>
  <c r="AD47" i="9"/>
  <c r="AD49" i="9"/>
  <c r="AD50" i="9"/>
  <c r="AD51" i="9"/>
  <c r="AD52" i="9"/>
  <c r="AD55" i="9"/>
  <c r="AD56" i="9"/>
  <c r="AD57" i="9"/>
  <c r="AD61" i="9"/>
  <c r="AD62" i="9"/>
  <c r="AD65" i="9"/>
  <c r="AD66" i="9"/>
  <c r="AD67" i="9"/>
  <c r="AD68" i="9"/>
  <c r="AD71" i="9"/>
  <c r="AD72" i="9"/>
  <c r="AD73" i="9"/>
  <c r="AD74" i="9"/>
  <c r="L77" i="9"/>
  <c r="AD78" i="9"/>
  <c r="AD79" i="9"/>
  <c r="AD80" i="9"/>
  <c r="AD84" i="9"/>
  <c r="AD85" i="9"/>
  <c r="AD86" i="9"/>
  <c r="AD87" i="9"/>
  <c r="AD88" i="9"/>
  <c r="AD89" i="9"/>
  <c r="AD92" i="9"/>
  <c r="AD93" i="9"/>
  <c r="AD94" i="9"/>
  <c r="AD99" i="9"/>
  <c r="AD100" i="9"/>
  <c r="AD101" i="9"/>
  <c r="AD105" i="9"/>
  <c r="AD107" i="9"/>
  <c r="AD109" i="9"/>
  <c r="AD115" i="9"/>
  <c r="AD116" i="9"/>
  <c r="AD119" i="9"/>
  <c r="AD120" i="9"/>
  <c r="AD121" i="9"/>
  <c r="AD122" i="9"/>
  <c r="AD123" i="9"/>
  <c r="AD127" i="9"/>
  <c r="AD128" i="9"/>
  <c r="AD130" i="9"/>
  <c r="AD132" i="9"/>
  <c r="AD133" i="9"/>
  <c r="AD134" i="9"/>
  <c r="AD137" i="9"/>
  <c r="AD138" i="9"/>
  <c r="AD142" i="9"/>
  <c r="AD143" i="9"/>
  <c r="AD147" i="9"/>
  <c r="AD148" i="9"/>
  <c r="AD151" i="9"/>
  <c r="AD153" i="9"/>
  <c r="AD154" i="9"/>
  <c r="AD156" i="9"/>
  <c r="AD157" i="9"/>
  <c r="AD160" i="9"/>
  <c r="AD161" i="9"/>
  <c r="AD162" i="9"/>
  <c r="AD165" i="9"/>
  <c r="AD166" i="9"/>
  <c r="AD167" i="9"/>
  <c r="AD170" i="9"/>
  <c r="AD171" i="9"/>
  <c r="AD172" i="9"/>
  <c r="L175" i="9"/>
  <c r="AD178" i="9"/>
  <c r="AD179" i="9"/>
  <c r="AD182" i="9"/>
  <c r="AD183" i="9"/>
  <c r="AD184" i="9"/>
  <c r="AD187" i="9"/>
  <c r="AD188" i="9"/>
  <c r="AD189" i="9"/>
  <c r="AD191" i="9"/>
  <c r="AD196" i="9"/>
  <c r="AD199" i="9"/>
  <c r="AD200" i="9"/>
  <c r="AD201" i="9"/>
  <c r="AD202" i="9"/>
  <c r="AD206" i="9"/>
  <c r="AD207" i="9"/>
  <c r="AD213" i="9"/>
  <c r="AD216" i="9"/>
  <c r="AD217" i="9"/>
  <c r="AD218" i="9"/>
  <c r="AD219" i="9"/>
  <c r="AD224" i="9"/>
  <c r="AD225" i="9"/>
  <c r="AD227" i="9"/>
  <c r="AD228" i="9"/>
  <c r="AD229" i="9"/>
  <c r="AD231" i="9"/>
  <c r="AD232" i="9"/>
  <c r="AD233" i="9"/>
  <c r="AD234" i="9"/>
  <c r="AD237" i="9"/>
  <c r="AD238" i="9"/>
  <c r="AD239" i="9"/>
  <c r="AD240" i="9"/>
  <c r="AD244" i="9"/>
  <c r="AD245" i="9"/>
  <c r="AD246" i="9"/>
  <c r="AD249" i="9"/>
  <c r="AD250" i="9"/>
  <c r="AD253" i="9"/>
  <c r="AD254" i="9"/>
  <c r="AD255" i="9"/>
  <c r="AD258" i="9"/>
  <c r="AD259" i="9"/>
  <c r="AD262" i="9"/>
  <c r="AD263" i="9"/>
  <c r="AD264" i="9"/>
  <c r="AD269" i="9"/>
  <c r="AD270" i="9"/>
  <c r="AD271" i="9"/>
  <c r="AD274" i="9"/>
  <c r="L275" i="9"/>
  <c r="AD278" i="9"/>
  <c r="AD279" i="9"/>
  <c r="AD280" i="9"/>
  <c r="AD284" i="9"/>
  <c r="AD285" i="9"/>
  <c r="AD288" i="9"/>
  <c r="AD289" i="9"/>
  <c r="AD294" i="9"/>
  <c r="AD299" i="9"/>
  <c r="AD300" i="9"/>
  <c r="AD305" i="9"/>
  <c r="AD306" i="9"/>
  <c r="AD307" i="9"/>
  <c r="AD308" i="9"/>
  <c r="AD311" i="9"/>
  <c r="AD312" i="9"/>
  <c r="AD313" i="9"/>
  <c r="AD320" i="9"/>
  <c r="AD321" i="9"/>
  <c r="AD322" i="9"/>
  <c r="AD324" i="9"/>
  <c r="AD325" i="9"/>
  <c r="AD329" i="9"/>
  <c r="AD330" i="9"/>
  <c r="AD331" i="9"/>
  <c r="AD333" i="9"/>
  <c r="AD334" i="9"/>
  <c r="AD339" i="9"/>
  <c r="AD340" i="9"/>
  <c r="AD342" i="9"/>
  <c r="AD346" i="9"/>
  <c r="AD347" i="9"/>
  <c r="AD350" i="9"/>
  <c r="AD351" i="9"/>
  <c r="AD352" i="9"/>
  <c r="AD353" i="9"/>
  <c r="AD358" i="9"/>
  <c r="AD365" i="9"/>
  <c r="AD368" i="9"/>
  <c r="AD370" i="9"/>
  <c r="AD371" i="9"/>
  <c r="AD372" i="9"/>
  <c r="AD373" i="9"/>
  <c r="AD379" i="9"/>
  <c r="AD380" i="9"/>
  <c r="AD383" i="9"/>
  <c r="AD384" i="9"/>
  <c r="AD385" i="9"/>
  <c r="AD390" i="9"/>
  <c r="AD391" i="9"/>
  <c r="AD392" i="9"/>
  <c r="AD396" i="9"/>
  <c r="AD397" i="9"/>
  <c r="AD399" i="9"/>
  <c r="AD401" i="9"/>
  <c r="AD405" i="9"/>
  <c r="AD406" i="9"/>
  <c r="AD407" i="9"/>
  <c r="AD408" i="9"/>
  <c r="AD409" i="9"/>
  <c r="AD410" i="9"/>
  <c r="AD414" i="9"/>
  <c r="AD416" i="9"/>
  <c r="AD418" i="9"/>
  <c r="AD419" i="9"/>
  <c r="AD423" i="9"/>
  <c r="AD427" i="9"/>
  <c r="AD428" i="9"/>
  <c r="AD431" i="9"/>
  <c r="AD432" i="9"/>
  <c r="AD433" i="9"/>
  <c r="AD434" i="9"/>
  <c r="AD437" i="9"/>
  <c r="AD438" i="9"/>
  <c r="AD440" i="9"/>
  <c r="AD441" i="9"/>
  <c r="AD443" i="9"/>
  <c r="AD445" i="9"/>
  <c r="AD446" i="9"/>
  <c r="AD447" i="9"/>
  <c r="AD450" i="9"/>
  <c r="AD451" i="9"/>
  <c r="AD452" i="9"/>
  <c r="AD454" i="9"/>
  <c r="AD455" i="9"/>
  <c r="AD456" i="9"/>
  <c r="AD457" i="9"/>
  <c r="AD458" i="9"/>
  <c r="AD459" i="9"/>
  <c r="AD460" i="9"/>
  <c r="AD461" i="9"/>
  <c r="AD464" i="9"/>
  <c r="AD467" i="9"/>
  <c r="AD468" i="9"/>
  <c r="AD471" i="9"/>
  <c r="AD472" i="9"/>
  <c r="AD473" i="9"/>
  <c r="AD477" i="9"/>
  <c r="AD478" i="9"/>
  <c r="AD482" i="9"/>
  <c r="AD483" i="9"/>
  <c r="AD485" i="9"/>
  <c r="AD486" i="9"/>
  <c r="AD487" i="9"/>
  <c r="AD488" i="9"/>
  <c r="AD490" i="9"/>
  <c r="AD491" i="9"/>
  <c r="AD494" i="9"/>
  <c r="AD495" i="9"/>
  <c r="AD500" i="9"/>
  <c r="AD501" i="9"/>
  <c r="AD504" i="9"/>
  <c r="AD505" i="9"/>
  <c r="AD510" i="9"/>
  <c r="AD511" i="9"/>
  <c r="AD515" i="9"/>
  <c r="AD519" i="9"/>
  <c r="L523" i="9"/>
  <c r="AD524" i="9"/>
  <c r="AD525" i="9"/>
  <c r="AD526" i="9"/>
  <c r="AD527" i="9"/>
  <c r="AD528" i="9"/>
  <c r="AD529" i="9"/>
  <c r="AD531" i="9"/>
  <c r="AD532" i="9"/>
  <c r="AD537" i="9"/>
  <c r="AD538" i="9"/>
  <c r="AD541" i="9"/>
  <c r="AD543" i="9"/>
  <c r="AD547" i="9"/>
  <c r="AD552" i="9"/>
  <c r="AD556" i="9"/>
  <c r="AD557" i="9"/>
  <c r="AD562" i="9"/>
  <c r="AD563" i="9"/>
  <c r="AD565" i="9"/>
  <c r="AD568" i="9"/>
  <c r="AD569" i="9"/>
  <c r="AD571" i="9"/>
  <c r="AD574" i="9"/>
  <c r="AD575" i="9"/>
  <c r="AD577" i="9"/>
  <c r="AD578" i="9"/>
  <c r="AD583" i="9"/>
  <c r="AD587" i="9"/>
  <c r="AD588" i="9"/>
  <c r="AD590" i="9"/>
  <c r="AD596" i="9"/>
  <c r="AD597" i="9"/>
  <c r="AD602" i="9"/>
  <c r="AD608" i="9"/>
  <c r="AD609" i="9"/>
  <c r="AD613" i="9"/>
  <c r="AD614" i="9"/>
  <c r="AD615" i="9"/>
  <c r="AD618" i="9"/>
  <c r="AD619" i="9"/>
  <c r="AD620" i="9"/>
  <c r="AD621" i="9"/>
  <c r="AD627" i="9"/>
  <c r="AD629" i="9"/>
  <c r="AD631" i="9"/>
  <c r="AD633" i="9"/>
  <c r="AD635" i="9"/>
  <c r="AD636" i="9"/>
  <c r="AD637" i="9"/>
  <c r="AD642" i="9"/>
  <c r="AD643" i="9"/>
  <c r="AD644" i="9"/>
  <c r="AD645" i="9"/>
  <c r="AD646" i="9"/>
  <c r="AD647" i="9"/>
  <c r="AD649" i="9"/>
  <c r="AD650" i="9"/>
  <c r="AD652" i="9"/>
  <c r="AD653" i="9"/>
  <c r="AD654" i="9"/>
  <c r="AD655" i="9"/>
  <c r="AD656" i="9"/>
  <c r="AD659" i="9"/>
  <c r="AD660" i="9"/>
  <c r="AD663" i="9"/>
  <c r="AD664" i="9"/>
  <c r="AD667" i="9"/>
  <c r="AD668" i="9"/>
  <c r="AD669" i="9"/>
  <c r="AD672" i="9"/>
  <c r="AD676" i="9"/>
  <c r="AD677" i="9"/>
  <c r="AD681" i="9"/>
  <c r="AD682" i="9"/>
  <c r="AD683" i="9"/>
  <c r="AD684" i="9"/>
  <c r="AD686" i="9"/>
  <c r="AD688" i="9"/>
  <c r="AD689" i="9"/>
  <c r="AD693" i="9"/>
  <c r="AD694" i="9"/>
  <c r="AD695" i="9"/>
  <c r="AD702" i="9"/>
  <c r="AD704" i="9"/>
  <c r="AD706" i="9"/>
  <c r="AD707" i="9"/>
  <c r="AD709" i="9"/>
  <c r="AD711" i="9"/>
  <c r="AD714" i="9"/>
  <c r="AD715" i="9"/>
  <c r="AD716" i="9"/>
  <c r="AD719" i="9"/>
  <c r="AD720" i="9"/>
  <c r="AD721" i="9"/>
  <c r="AD722" i="9"/>
  <c r="AD723" i="9"/>
  <c r="AD725" i="9"/>
  <c r="AD726" i="9"/>
  <c r="AD727" i="9"/>
  <c r="AD728" i="9"/>
  <c r="AB3" i="9"/>
  <c r="AB6" i="9"/>
  <c r="AB7" i="9"/>
  <c r="AB9" i="9"/>
  <c r="AB14" i="9"/>
  <c r="AB16" i="9"/>
  <c r="AB17" i="9"/>
  <c r="AB18" i="9"/>
  <c r="AB19" i="9"/>
  <c r="AB20" i="9"/>
  <c r="AB22" i="9"/>
  <c r="AB24" i="9"/>
  <c r="AB25" i="9"/>
  <c r="AB26" i="9"/>
  <c r="AB29" i="9"/>
  <c r="AB30" i="9"/>
  <c r="AB31" i="9"/>
  <c r="AB32" i="9"/>
  <c r="AB34" i="9"/>
  <c r="AB35" i="9"/>
  <c r="AB38" i="9"/>
  <c r="AB39" i="9"/>
  <c r="AB40" i="9"/>
  <c r="AB41" i="9"/>
  <c r="AB43" i="9"/>
  <c r="AB44" i="9"/>
  <c r="AB45" i="9"/>
  <c r="AB46" i="9"/>
  <c r="AB48" i="9"/>
  <c r="AB49" i="9"/>
  <c r="AB50" i="9"/>
  <c r="AB53" i="9"/>
  <c r="AB54" i="9"/>
  <c r="AB55" i="9"/>
  <c r="AB57" i="9"/>
  <c r="AB58" i="9"/>
  <c r="AB59" i="9"/>
  <c r="AB60" i="9"/>
  <c r="AB63" i="9"/>
  <c r="AB64" i="9"/>
  <c r="AB66" i="9"/>
  <c r="AB70" i="9"/>
  <c r="AB72" i="9"/>
  <c r="AB74" i="9"/>
  <c r="AB75" i="9"/>
  <c r="AB76" i="9"/>
  <c r="AB77" i="9"/>
  <c r="AB78" i="9"/>
  <c r="AB81" i="9"/>
  <c r="AB82" i="9"/>
  <c r="AB83" i="9"/>
  <c r="AB86" i="9"/>
  <c r="AB87" i="9"/>
  <c r="AB90" i="9"/>
  <c r="AB91" i="9"/>
  <c r="AB92" i="9"/>
  <c r="AB94" i="9"/>
  <c r="AB95" i="9"/>
  <c r="AB96" i="9"/>
  <c r="AB97" i="9"/>
  <c r="AB98" i="9"/>
  <c r="AB100" i="9"/>
  <c r="AB102" i="9"/>
  <c r="AB103" i="9"/>
  <c r="AB104" i="9"/>
  <c r="AB105" i="9"/>
  <c r="AB109" i="9"/>
  <c r="AB111" i="9"/>
  <c r="AB112" i="9"/>
  <c r="AB114" i="9"/>
  <c r="AB118" i="9"/>
  <c r="AB119" i="9"/>
  <c r="AB120" i="9"/>
  <c r="AB123" i="9"/>
  <c r="AB124" i="9"/>
  <c r="AB126" i="9"/>
  <c r="AB130" i="9"/>
  <c r="AB132" i="9"/>
  <c r="AB136" i="9"/>
  <c r="AB137" i="9"/>
  <c r="AB145" i="9"/>
  <c r="AB146" i="9"/>
  <c r="AB152" i="9"/>
  <c r="AB159" i="9"/>
  <c r="AB161" i="9"/>
  <c r="AB163" i="9"/>
  <c r="AB164" i="9"/>
  <c r="AB167" i="9"/>
  <c r="AB169" i="9"/>
  <c r="AB170" i="9"/>
  <c r="AB173" i="9"/>
  <c r="AB177" i="9"/>
  <c r="AB178" i="9"/>
  <c r="AB181" i="9"/>
  <c r="AB182" i="9"/>
  <c r="AB184" i="9"/>
  <c r="AB185" i="9"/>
  <c r="AB187" i="9"/>
  <c r="AB193" i="9"/>
  <c r="AB194" i="9"/>
  <c r="AB198" i="9"/>
  <c r="AB199" i="9"/>
  <c r="AB200" i="9"/>
  <c r="AB205" i="9"/>
  <c r="AB209" i="9"/>
  <c r="AB211" i="9"/>
  <c r="AB217" i="9"/>
  <c r="AB222" i="9"/>
  <c r="AB223" i="9"/>
  <c r="AB226" i="9"/>
  <c r="AB227" i="9"/>
  <c r="AB231" i="9"/>
  <c r="AB232" i="9"/>
  <c r="AB236" i="9"/>
  <c r="AB241" i="9"/>
  <c r="AB242" i="9"/>
  <c r="AB243" i="9"/>
  <c r="AB244" i="9"/>
  <c r="AB248" i="9"/>
  <c r="AB250" i="9"/>
  <c r="AB251" i="9"/>
  <c r="AB253" i="9"/>
  <c r="AB254" i="9"/>
  <c r="AB257" i="9"/>
  <c r="AB260" i="9"/>
  <c r="AB262" i="9"/>
  <c r="AB263" i="9"/>
  <c r="AB266" i="9"/>
  <c r="AB268" i="9"/>
  <c r="AB269" i="9"/>
  <c r="AB274" i="9"/>
  <c r="AB276" i="9"/>
  <c r="AB278" i="9"/>
  <c r="AB280" i="9"/>
  <c r="AB282" i="9"/>
  <c r="AB283" i="9"/>
  <c r="AB286" i="9"/>
  <c r="AB288" i="9"/>
  <c r="AB290" i="9"/>
  <c r="AB291" i="9"/>
  <c r="AB292" i="9"/>
  <c r="AB293" i="9"/>
  <c r="AB294" i="9"/>
  <c r="AB296" i="9"/>
  <c r="AB300" i="9"/>
  <c r="AB303" i="9"/>
  <c r="AB304" i="9"/>
  <c r="AB305" i="9"/>
  <c r="AB307" i="9"/>
  <c r="AB308" i="9"/>
  <c r="AB310" i="9"/>
  <c r="AB311" i="9"/>
  <c r="AB312" i="9"/>
  <c r="AB316" i="9"/>
  <c r="AB317" i="9"/>
  <c r="AB319" i="9"/>
  <c r="AB321" i="9"/>
  <c r="AB324" i="9"/>
  <c r="AB325" i="9"/>
  <c r="AB329" i="9"/>
  <c r="AB331" i="9"/>
  <c r="AB332" i="9"/>
  <c r="AB333" i="9"/>
  <c r="AB336" i="9"/>
  <c r="AB338" i="9"/>
  <c r="AB339" i="9"/>
  <c r="AB340" i="9"/>
  <c r="AB344" i="9"/>
  <c r="AB345" i="9"/>
  <c r="AB346" i="9"/>
  <c r="AB350" i="9"/>
  <c r="AB351" i="9"/>
  <c r="AB355" i="9"/>
  <c r="AB357" i="9"/>
  <c r="AB358" i="9"/>
  <c r="AB359" i="9"/>
  <c r="AB360" i="9"/>
  <c r="AB361" i="9"/>
  <c r="AB362" i="9"/>
  <c r="AB364" i="9"/>
  <c r="AB365" i="9"/>
  <c r="AB369" i="9"/>
  <c r="AB370" i="9"/>
  <c r="AB373" i="9"/>
  <c r="AB374" i="9"/>
  <c r="AB375" i="9"/>
  <c r="AB379" i="9"/>
  <c r="AB382" i="9"/>
  <c r="AB383" i="9"/>
  <c r="AB384" i="9"/>
  <c r="AB389" i="9"/>
  <c r="AB390" i="9"/>
  <c r="AB391" i="9"/>
  <c r="AB392" i="9"/>
  <c r="AB396" i="9"/>
  <c r="AB399" i="9"/>
  <c r="AB405" i="9"/>
  <c r="AB407" i="9"/>
  <c r="AB408" i="9"/>
  <c r="AB413" i="9"/>
  <c r="AB414" i="9"/>
  <c r="AB418" i="9"/>
  <c r="AB419" i="9"/>
  <c r="AB423" i="9"/>
  <c r="AB424" i="9"/>
  <c r="AB427" i="9"/>
  <c r="AB432" i="9"/>
  <c r="AB436" i="9"/>
  <c r="AB437" i="9"/>
  <c r="AB440" i="9"/>
  <c r="AB441" i="9"/>
  <c r="AB444" i="9"/>
  <c r="AB446" i="9"/>
  <c r="AB451" i="9"/>
  <c r="AB452" i="9"/>
  <c r="AB454" i="9"/>
  <c r="AB455" i="9"/>
  <c r="AB458" i="9"/>
  <c r="AB459" i="9"/>
  <c r="AB460" i="9"/>
  <c r="AB464" i="9"/>
  <c r="AB467" i="9"/>
  <c r="AB468" i="9"/>
  <c r="AB472" i="9"/>
  <c r="AB475" i="9"/>
  <c r="AB477" i="9"/>
  <c r="AB481" i="9"/>
  <c r="AB484" i="9"/>
  <c r="AB485" i="9"/>
  <c r="AB486" i="9"/>
  <c r="AB492" i="9"/>
  <c r="AB494" i="9"/>
  <c r="AB497" i="9"/>
  <c r="AB498" i="9"/>
  <c r="AB499" i="9"/>
  <c r="AB500" i="9"/>
  <c r="AB501" i="9"/>
  <c r="AB504" i="9"/>
  <c r="AB505" i="9"/>
  <c r="AB509" i="9"/>
  <c r="AB510" i="9"/>
  <c r="AB514" i="9"/>
  <c r="AB519" i="9"/>
  <c r="AB521" i="9"/>
  <c r="AB523" i="9"/>
  <c r="AB528" i="9"/>
  <c r="AB529" i="9"/>
  <c r="AB531" i="9"/>
  <c r="AB537" i="9"/>
  <c r="AB538" i="9"/>
  <c r="AB543" i="9"/>
  <c r="AB545" i="9"/>
  <c r="AB546" i="9"/>
  <c r="AB547" i="9"/>
  <c r="AB554" i="9"/>
  <c r="AB556" i="9"/>
  <c r="AB562" i="9"/>
  <c r="AB563" i="9"/>
  <c r="AB568" i="9"/>
  <c r="AB571" i="9"/>
  <c r="AB574" i="9"/>
  <c r="AB577" i="9"/>
  <c r="AB578" i="9"/>
  <c r="AB583" i="9"/>
  <c r="AB584" i="9"/>
  <c r="AB586" i="9"/>
  <c r="AB587" i="9"/>
  <c r="AB588" i="9"/>
  <c r="AB590" i="9"/>
  <c r="AB595" i="9"/>
  <c r="AB596" i="9"/>
  <c r="AB603" i="9"/>
  <c r="AB604" i="9"/>
  <c r="AB608" i="9"/>
  <c r="AB611" i="9"/>
  <c r="AB613" i="9"/>
  <c r="AB622" i="9"/>
  <c r="AB623" i="9"/>
  <c r="AB628" i="9"/>
  <c r="AB635" i="9"/>
  <c r="AB638" i="9"/>
  <c r="AB639" i="9"/>
  <c r="AB642" i="9"/>
  <c r="AB643" i="9"/>
  <c r="AB644" i="9"/>
  <c r="AB652" i="9"/>
  <c r="AB659" i="9"/>
  <c r="AB660" i="9"/>
  <c r="AB662" i="9"/>
  <c r="AB668" i="9"/>
  <c r="AB669" i="9"/>
  <c r="AB670" i="9"/>
  <c r="AB672" i="9"/>
  <c r="AB675" i="9"/>
  <c r="AB678" i="9"/>
  <c r="AB683" i="9"/>
  <c r="AB684" i="9"/>
  <c r="AB685" i="9"/>
  <c r="AB686" i="9"/>
  <c r="AB688" i="9"/>
  <c r="AB690" i="9"/>
  <c r="AB697" i="9"/>
  <c r="AB698" i="9"/>
  <c r="AB705" i="9"/>
  <c r="AB706" i="9"/>
  <c r="AB707" i="9"/>
  <c r="AB708" i="9"/>
  <c r="AB711" i="9"/>
  <c r="AB712" i="9"/>
  <c r="AB719" i="9"/>
  <c r="AB726" i="9"/>
  <c r="AB727" i="9"/>
  <c r="AB728" i="9"/>
  <c r="Z3" i="9"/>
  <c r="Z4" i="9"/>
  <c r="Z5" i="9"/>
  <c r="Z8" i="9"/>
  <c r="Z9" i="9"/>
  <c r="Z11" i="9"/>
  <c r="Z13" i="9"/>
  <c r="Z14" i="9"/>
  <c r="Z16" i="9"/>
  <c r="Z19" i="9"/>
  <c r="Z20" i="9"/>
  <c r="Z22" i="9"/>
  <c r="Z26" i="9"/>
  <c r="Z28" i="9"/>
  <c r="Z31" i="9"/>
  <c r="Z32" i="9"/>
  <c r="Z35" i="9"/>
  <c r="Z37" i="9"/>
  <c r="Z40" i="9"/>
  <c r="Z41" i="9"/>
  <c r="Z42" i="9"/>
  <c r="Z45" i="9"/>
  <c r="Z46" i="9"/>
  <c r="Z49" i="9"/>
  <c r="Z50" i="9"/>
  <c r="Z52" i="9"/>
  <c r="Z55" i="9"/>
  <c r="Z57" i="9"/>
  <c r="Z59" i="9"/>
  <c r="Z60" i="9"/>
  <c r="Z61" i="9"/>
  <c r="Z62" i="9"/>
  <c r="Z65" i="9"/>
  <c r="Z66" i="9"/>
  <c r="Z68" i="9"/>
  <c r="Z71" i="9"/>
  <c r="Z72" i="9"/>
  <c r="Z74" i="9"/>
  <c r="Z78" i="9"/>
  <c r="Z79" i="9"/>
  <c r="Z80" i="9"/>
  <c r="Z82" i="9"/>
  <c r="Z83" i="9"/>
  <c r="Z84" i="9"/>
  <c r="Z85" i="9"/>
  <c r="Z87" i="9"/>
  <c r="Z89" i="9"/>
  <c r="Z91" i="9"/>
  <c r="Z92" i="9"/>
  <c r="Z93" i="9"/>
  <c r="Z94" i="9"/>
  <c r="Z95" i="9"/>
  <c r="Z98" i="9"/>
  <c r="Z100" i="9"/>
  <c r="Z101" i="9"/>
  <c r="Z102" i="9"/>
  <c r="Z104" i="9"/>
  <c r="Z105" i="9"/>
  <c r="Z107" i="9"/>
  <c r="Z108" i="9"/>
  <c r="Z110" i="9"/>
  <c r="Z111" i="9"/>
  <c r="Z114" i="9"/>
  <c r="Z117" i="9"/>
  <c r="Z119" i="9"/>
  <c r="Z120" i="9"/>
  <c r="Z122" i="9"/>
  <c r="Z124" i="9"/>
  <c r="Z126" i="9"/>
  <c r="Z127" i="9"/>
  <c r="Z128" i="9"/>
  <c r="Z129" i="9"/>
  <c r="Z132" i="9"/>
  <c r="Z134" i="9"/>
  <c r="Z137" i="9"/>
  <c r="Z138" i="9"/>
  <c r="Z139" i="9"/>
  <c r="Z140" i="9"/>
  <c r="Z143" i="9"/>
  <c r="Z144" i="9"/>
  <c r="Z148" i="9"/>
  <c r="Z149" i="9"/>
  <c r="Z151" i="9"/>
  <c r="Z153" i="9"/>
  <c r="Z154" i="9"/>
  <c r="Z155" i="9"/>
  <c r="Z156" i="9"/>
  <c r="Z157" i="9"/>
  <c r="Z158" i="9"/>
  <c r="Z161" i="9"/>
  <c r="Z162" i="9"/>
  <c r="Z164" i="9"/>
  <c r="Z165" i="9"/>
  <c r="Z166" i="9"/>
  <c r="Z167" i="9"/>
  <c r="Z169" i="9"/>
  <c r="Z170" i="9"/>
  <c r="Z171" i="9"/>
  <c r="Z178" i="9"/>
  <c r="Z182" i="9"/>
  <c r="Z183" i="9"/>
  <c r="Z184" i="9"/>
  <c r="Z187" i="9"/>
  <c r="Z190" i="9"/>
  <c r="Z194" i="9"/>
  <c r="Z196" i="9"/>
  <c r="Z197" i="9"/>
  <c r="Z198" i="9"/>
  <c r="Z199" i="9"/>
  <c r="Z200" i="9"/>
  <c r="Z202" i="9"/>
  <c r="Z204" i="9"/>
  <c r="Z205" i="9"/>
  <c r="Z207" i="9"/>
  <c r="Z211" i="9"/>
  <c r="Z212" i="9"/>
  <c r="Z213" i="9"/>
  <c r="Z214" i="9"/>
  <c r="Z215" i="9"/>
  <c r="Z217" i="9"/>
  <c r="Z219" i="9"/>
  <c r="Z221" i="9"/>
  <c r="Z223" i="9"/>
  <c r="Z224" i="9"/>
  <c r="Z225" i="9"/>
  <c r="Z227" i="9"/>
  <c r="Z228" i="9"/>
  <c r="Z229" i="9"/>
  <c r="Z230" i="9"/>
  <c r="Z232" i="9"/>
  <c r="Z234" i="9"/>
  <c r="Z236" i="9"/>
  <c r="Z238" i="9"/>
  <c r="Z240" i="9"/>
  <c r="Z241" i="9"/>
  <c r="Z242" i="9"/>
  <c r="Z244" i="9"/>
  <c r="Z246" i="9"/>
  <c r="Z250" i="9"/>
  <c r="Z252" i="9"/>
  <c r="Z254" i="9"/>
  <c r="Z255" i="9"/>
  <c r="Z257" i="9"/>
  <c r="Z259" i="9"/>
  <c r="Z263" i="9"/>
  <c r="Z265" i="9"/>
  <c r="Z266" i="9"/>
  <c r="Z267" i="9"/>
  <c r="Z270" i="9"/>
  <c r="Z271" i="9"/>
  <c r="Z275" i="9"/>
  <c r="Z277" i="9"/>
  <c r="Z278" i="9"/>
  <c r="Z279" i="9"/>
  <c r="Z280" i="9"/>
  <c r="Z283" i="9"/>
  <c r="Z284" i="9"/>
  <c r="Z285" i="9"/>
  <c r="Z286" i="9"/>
  <c r="Z287" i="9"/>
  <c r="Z288" i="9"/>
  <c r="Z289" i="9"/>
  <c r="Z290" i="9"/>
  <c r="Z293" i="9"/>
  <c r="Z294" i="9"/>
  <c r="Z295" i="9"/>
  <c r="Z297" i="9"/>
  <c r="Z298" i="9"/>
  <c r="Z300" i="9"/>
  <c r="Z302" i="9"/>
  <c r="Z303" i="9"/>
  <c r="Z304" i="9"/>
  <c r="Z305" i="9"/>
  <c r="Z306" i="9"/>
  <c r="Z307" i="9"/>
  <c r="Z308" i="9"/>
  <c r="Z310" i="9"/>
  <c r="Z312" i="9"/>
  <c r="Z313" i="9"/>
  <c r="Z315" i="9"/>
  <c r="Z317" i="9"/>
  <c r="Z322" i="9"/>
  <c r="Z323" i="9"/>
  <c r="Z325" i="9"/>
  <c r="Z327" i="9"/>
  <c r="Z329" i="9"/>
  <c r="Z330" i="9"/>
  <c r="Z333" i="9"/>
  <c r="Z335" i="9"/>
  <c r="Z337" i="9"/>
  <c r="Z338" i="9"/>
  <c r="Z339" i="9"/>
  <c r="Z340" i="9"/>
  <c r="Z342" i="9"/>
  <c r="Z344" i="9"/>
  <c r="Z347" i="9"/>
  <c r="Z349" i="9"/>
  <c r="Z351" i="9"/>
  <c r="Z353" i="9"/>
  <c r="Z354" i="9"/>
  <c r="Z357" i="9"/>
  <c r="Z359" i="9"/>
  <c r="Z361" i="9"/>
  <c r="Z362" i="9"/>
  <c r="Z363" i="9"/>
  <c r="Z366" i="9"/>
  <c r="Z367" i="9"/>
  <c r="Z368" i="9"/>
  <c r="Z369" i="9"/>
  <c r="Z370" i="9"/>
  <c r="Z371" i="9"/>
  <c r="Z373" i="9"/>
  <c r="Z376" i="9"/>
  <c r="Z379" i="9"/>
  <c r="Z380" i="9"/>
  <c r="Z381" i="9"/>
  <c r="Z384" i="9"/>
  <c r="Z386" i="9"/>
  <c r="Z389" i="9"/>
  <c r="Z390" i="9"/>
  <c r="Z391" i="9"/>
  <c r="Z392" i="9"/>
  <c r="Z396" i="9"/>
  <c r="Z398" i="9"/>
  <c r="Z399" i="9"/>
  <c r="Z401" i="9"/>
  <c r="Z404" i="9"/>
  <c r="Z407" i="9"/>
  <c r="Z408" i="9"/>
  <c r="Z409" i="9"/>
  <c r="Z410" i="9"/>
  <c r="Z411" i="9"/>
  <c r="Z413" i="9"/>
  <c r="Z414" i="9"/>
  <c r="Z415" i="9"/>
  <c r="Z419" i="9"/>
  <c r="Z423" i="9"/>
  <c r="Z424" i="9"/>
  <c r="Z427" i="9"/>
  <c r="Z429" i="9"/>
  <c r="Z430" i="9"/>
  <c r="Z431" i="9"/>
  <c r="Z432" i="9"/>
  <c r="Z433" i="9"/>
  <c r="Z436" i="9"/>
  <c r="Z437" i="9"/>
  <c r="Z440" i="9"/>
  <c r="Z441" i="9"/>
  <c r="Z442" i="9"/>
  <c r="Z446" i="9"/>
  <c r="Z448" i="9"/>
  <c r="Z450" i="9"/>
  <c r="Z451" i="9"/>
  <c r="Z454" i="9"/>
  <c r="Z455" i="9"/>
  <c r="Z456" i="9"/>
  <c r="Z458" i="9"/>
  <c r="Z459" i="9"/>
  <c r="Z460" i="9"/>
  <c r="Z461" i="9"/>
  <c r="Z467" i="9"/>
  <c r="Z468" i="9"/>
  <c r="Z472" i="9"/>
  <c r="Z473" i="9"/>
  <c r="Z477" i="9"/>
  <c r="Z478" i="9"/>
  <c r="Z481" i="9"/>
  <c r="Z482" i="9"/>
  <c r="Z483" i="9"/>
  <c r="Z485" i="9"/>
  <c r="Z486" i="9"/>
  <c r="Z490" i="9"/>
  <c r="Z491" i="9"/>
  <c r="Z492" i="9"/>
  <c r="Z494" i="9"/>
  <c r="Z496" i="9"/>
  <c r="Z497" i="9"/>
  <c r="Z498" i="9"/>
  <c r="Z499" i="9"/>
  <c r="Z500" i="9"/>
  <c r="Z501" i="9"/>
  <c r="Z504" i="9"/>
  <c r="Z505" i="9"/>
  <c r="Z506" i="9"/>
  <c r="Z509" i="9"/>
  <c r="Z510" i="9"/>
  <c r="Z511" i="9"/>
  <c r="Z515" i="9"/>
  <c r="Z516" i="9"/>
  <c r="Z519" i="9"/>
  <c r="Z524" i="9"/>
  <c r="Z526" i="9"/>
  <c r="Z527" i="9"/>
  <c r="Z528" i="9"/>
  <c r="Z531" i="9"/>
  <c r="Z533" i="9"/>
  <c r="Z537" i="9"/>
  <c r="Z539" i="9"/>
  <c r="Z542" i="9"/>
  <c r="Z543" i="9"/>
  <c r="Z547" i="9"/>
  <c r="Z549" i="9"/>
  <c r="Z552" i="9"/>
  <c r="Z553" i="9"/>
  <c r="Z554" i="9"/>
  <c r="Z556" i="9"/>
  <c r="Z557" i="9"/>
  <c r="Z558" i="9"/>
  <c r="Z562" i="9"/>
  <c r="Z563" i="9"/>
  <c r="Z564" i="9"/>
  <c r="Z568" i="9"/>
  <c r="Z569" i="9"/>
  <c r="Z571" i="9"/>
  <c r="Z574" i="9"/>
  <c r="Z575" i="9"/>
  <c r="Z578" i="9"/>
  <c r="Z579" i="9"/>
  <c r="Z580" i="9"/>
  <c r="Z583" i="9"/>
  <c r="Z584" i="9"/>
  <c r="Z588" i="9"/>
  <c r="Z590" i="9"/>
  <c r="Z591" i="9"/>
  <c r="Z593" i="9"/>
  <c r="Z596" i="9"/>
  <c r="Z597" i="9"/>
  <c r="Z598" i="9"/>
  <c r="Z599" i="9"/>
  <c r="Z602" i="9"/>
  <c r="Z605" i="9"/>
  <c r="Z608" i="9"/>
  <c r="Z609" i="9"/>
  <c r="Z610" i="9"/>
  <c r="Z611" i="9"/>
  <c r="Z613" i="9"/>
  <c r="Z614" i="9"/>
  <c r="Z615" i="9"/>
  <c r="Z619" i="9"/>
  <c r="Z621" i="9"/>
  <c r="Z622" i="9"/>
  <c r="Z624" i="9"/>
  <c r="Z625" i="9"/>
  <c r="Z626" i="9"/>
  <c r="Z627" i="9"/>
  <c r="Z628" i="9"/>
  <c r="Z629" i="9"/>
  <c r="Z631" i="9"/>
  <c r="Z632" i="9"/>
  <c r="Z635" i="9"/>
  <c r="Z636" i="9"/>
  <c r="Z637" i="9"/>
  <c r="Z638" i="9"/>
  <c r="Z641" i="9"/>
  <c r="Z642" i="9"/>
  <c r="Z643" i="9"/>
  <c r="Z644" i="9"/>
  <c r="Z647" i="9"/>
  <c r="Z652" i="9"/>
  <c r="Z653" i="9"/>
  <c r="Z655" i="9"/>
  <c r="Z656" i="9"/>
  <c r="Z659" i="9"/>
  <c r="Z660" i="9"/>
  <c r="Z663" i="9"/>
  <c r="Z668" i="9"/>
  <c r="Z672" i="9"/>
  <c r="Z673" i="9"/>
  <c r="Z677" i="9"/>
  <c r="Z678" i="9"/>
  <c r="Z681" i="9"/>
  <c r="Z682" i="9"/>
  <c r="Z684" i="9"/>
  <c r="Z685" i="9"/>
  <c r="Z686" i="9"/>
  <c r="Z688" i="9"/>
  <c r="Z689" i="9"/>
  <c r="Z690" i="9"/>
  <c r="Z691" i="9"/>
  <c r="Z693" i="9"/>
  <c r="Z694" i="9"/>
  <c r="Z697" i="9"/>
  <c r="Z698" i="9"/>
  <c r="Z702" i="9"/>
  <c r="Z703" i="9"/>
  <c r="Z704" i="9"/>
  <c r="Z707" i="9"/>
  <c r="Z708" i="9"/>
  <c r="Z711" i="9"/>
  <c r="Z714" i="9"/>
  <c r="Z719" i="9"/>
  <c r="Z720" i="9"/>
  <c r="Z723" i="9"/>
  <c r="Z725" i="9"/>
  <c r="Z726" i="9"/>
  <c r="Z727" i="9"/>
  <c r="X17" i="9"/>
  <c r="X38" i="9"/>
  <c r="X63" i="9"/>
  <c r="X103" i="9"/>
  <c r="L129" i="9"/>
  <c r="X135" i="9"/>
  <c r="X141" i="9"/>
  <c r="X144" i="9"/>
  <c r="X145" i="9"/>
  <c r="X163" i="9"/>
  <c r="X166" i="9"/>
  <c r="X173" i="9"/>
  <c r="X180" i="9"/>
  <c r="X189" i="9"/>
  <c r="X192" i="9"/>
  <c r="X198" i="9"/>
  <c r="X199" i="9"/>
  <c r="X204" i="9"/>
  <c r="X208" i="9"/>
  <c r="X220" i="9"/>
  <c r="X221" i="9"/>
  <c r="X226" i="9"/>
  <c r="X235" i="9"/>
  <c r="X242" i="9"/>
  <c r="X250" i="9"/>
  <c r="X256" i="9"/>
  <c r="X259" i="9"/>
  <c r="L260" i="9"/>
  <c r="X261" i="9"/>
  <c r="X271" i="9"/>
  <c r="X272" i="9"/>
  <c r="X273" i="9"/>
  <c r="X277" i="9"/>
  <c r="X281" i="9"/>
  <c r="X286" i="9"/>
  <c r="X287" i="9"/>
  <c r="X292" i="9"/>
  <c r="X297" i="9"/>
  <c r="X302" i="9"/>
  <c r="X309" i="9"/>
  <c r="X315" i="9"/>
  <c r="X318" i="9"/>
  <c r="X323" i="9"/>
  <c r="X330" i="9"/>
  <c r="X335" i="9"/>
  <c r="X337" i="9"/>
  <c r="X343" i="9"/>
  <c r="X349" i="9"/>
  <c r="X354" i="9"/>
  <c r="X360" i="9"/>
  <c r="X361" i="9"/>
  <c r="X362" i="9"/>
  <c r="X363" i="9"/>
  <c r="X374" i="9"/>
  <c r="X377" i="9"/>
  <c r="X381" i="9"/>
  <c r="X382" i="9"/>
  <c r="X387" i="9"/>
  <c r="X388" i="9"/>
  <c r="X392" i="9"/>
  <c r="X394" i="9"/>
  <c r="X398" i="9"/>
  <c r="X400" i="9"/>
  <c r="X401" i="9"/>
  <c r="X404" i="9"/>
  <c r="X405" i="9"/>
  <c r="X406" i="9"/>
  <c r="X411" i="9"/>
  <c r="X417" i="9"/>
  <c r="X420" i="9"/>
  <c r="X424" i="9"/>
  <c r="X425" i="9"/>
  <c r="X429" i="9"/>
  <c r="X430" i="9"/>
  <c r="X433" i="9"/>
  <c r="X438" i="9"/>
  <c r="X444" i="9"/>
  <c r="X462" i="9"/>
  <c r="X463" i="9"/>
  <c r="X465" i="9"/>
  <c r="X468" i="9"/>
  <c r="X469" i="9"/>
  <c r="X474" i="9"/>
  <c r="X475" i="9"/>
  <c r="X478" i="9"/>
  <c r="X479" i="9"/>
  <c r="X486" i="9"/>
  <c r="X487" i="9"/>
  <c r="X488" i="9"/>
  <c r="X498" i="9"/>
  <c r="X507" i="9"/>
  <c r="X511" i="9"/>
  <c r="X516" i="9"/>
  <c r="X517" i="9"/>
  <c r="X518" i="9"/>
  <c r="X529" i="9"/>
  <c r="X533" i="9"/>
  <c r="X540" i="9"/>
  <c r="X541" i="9"/>
  <c r="X549" i="9"/>
  <c r="X554" i="9"/>
  <c r="X558" i="9"/>
  <c r="X559" i="9"/>
  <c r="X560" i="9"/>
  <c r="X564" i="9"/>
  <c r="X565" i="9"/>
  <c r="X570" i="9"/>
  <c r="X573" i="9"/>
  <c r="X576" i="9"/>
  <c r="X579" i="9"/>
  <c r="X581" i="9"/>
  <c r="X584" i="9"/>
  <c r="X587" i="9"/>
  <c r="X594" i="9"/>
  <c r="X598" i="9"/>
  <c r="X599" i="9"/>
  <c r="X602" i="9"/>
  <c r="X606" i="9"/>
  <c r="X611" i="9"/>
  <c r="X612" i="9"/>
  <c r="X623" i="9"/>
  <c r="X624" i="9"/>
  <c r="X626" i="9"/>
  <c r="X629" i="9"/>
  <c r="X641" i="9"/>
  <c r="X646" i="9"/>
  <c r="X650" i="9"/>
  <c r="X654" i="9"/>
  <c r="X658" i="9"/>
  <c r="X661" i="9"/>
  <c r="X665" i="9"/>
  <c r="X670" i="9"/>
  <c r="X674" i="9"/>
  <c r="X677" i="9"/>
  <c r="X678" i="9"/>
  <c r="X679" i="9"/>
  <c r="X691" i="9"/>
  <c r="X695" i="9"/>
  <c r="X696" i="9"/>
  <c r="X699" i="9"/>
  <c r="X700" i="9"/>
  <c r="X705" i="9"/>
  <c r="X706" i="9"/>
  <c r="X708" i="9"/>
  <c r="X709" i="9"/>
  <c r="X712" i="9"/>
  <c r="X713" i="9"/>
  <c r="X716" i="9"/>
  <c r="X717" i="9"/>
  <c r="X723" i="9"/>
  <c r="X728" i="9"/>
  <c r="V119" i="9"/>
  <c r="V122" i="9"/>
  <c r="V136" i="9"/>
  <c r="V151" i="9"/>
  <c r="V157" i="9"/>
  <c r="V159" i="9"/>
  <c r="V171" i="9"/>
  <c r="V177" i="9"/>
  <c r="V181" i="9"/>
  <c r="V193" i="9"/>
  <c r="V196" i="9"/>
  <c r="V213" i="9"/>
  <c r="V219" i="9"/>
  <c r="V225" i="9"/>
  <c r="V226" i="9"/>
  <c r="V229" i="9"/>
  <c r="V231" i="9"/>
  <c r="V234" i="9"/>
  <c r="V238" i="9"/>
  <c r="V240" i="9"/>
  <c r="V243" i="9"/>
  <c r="V245" i="9"/>
  <c r="V246" i="9"/>
  <c r="V250" i="9"/>
  <c r="V259" i="9"/>
  <c r="V265" i="9"/>
  <c r="V271" i="9"/>
  <c r="V279" i="9"/>
  <c r="V280" i="9"/>
  <c r="V285" i="9"/>
  <c r="V290" i="9"/>
  <c r="V298" i="9"/>
  <c r="V299" i="9"/>
  <c r="V300" i="9"/>
  <c r="V307" i="9"/>
  <c r="V313" i="9"/>
  <c r="V322" i="9"/>
  <c r="V330" i="9"/>
  <c r="V338" i="9"/>
  <c r="V339" i="9"/>
  <c r="V340" i="9"/>
  <c r="V342" i="9"/>
  <c r="V346" i="9"/>
  <c r="V347" i="9"/>
  <c r="V359" i="9"/>
  <c r="V366" i="9"/>
  <c r="V368" i="9"/>
  <c r="V371" i="9"/>
  <c r="V372" i="9"/>
  <c r="V373" i="9"/>
  <c r="V386" i="9"/>
  <c r="V389" i="9"/>
  <c r="V391" i="9"/>
  <c r="V392" i="9"/>
  <c r="V398" i="9"/>
  <c r="V404" i="9"/>
  <c r="V408" i="9"/>
  <c r="V415" i="9"/>
  <c r="V418" i="9"/>
  <c r="V419" i="9"/>
  <c r="V422" i="9"/>
  <c r="V424" i="9"/>
  <c r="V426" i="9"/>
  <c r="V427" i="9"/>
  <c r="V429" i="9"/>
  <c r="V431" i="9"/>
  <c r="V433" i="9"/>
  <c r="V436" i="9"/>
  <c r="V442" i="9"/>
  <c r="V445" i="9"/>
  <c r="V448" i="9"/>
  <c r="V451" i="9"/>
  <c r="V456" i="9"/>
  <c r="V460" i="9"/>
  <c r="V461" i="9"/>
  <c r="V468" i="9"/>
  <c r="V477" i="9"/>
  <c r="V482" i="9"/>
  <c r="V484" i="9"/>
  <c r="V485" i="9"/>
  <c r="V486" i="9"/>
  <c r="V491" i="9"/>
  <c r="V493" i="9"/>
  <c r="V496" i="9"/>
  <c r="V499" i="9"/>
  <c r="V501" i="9"/>
  <c r="V505" i="9"/>
  <c r="V506" i="9"/>
  <c r="V508" i="9"/>
  <c r="V509" i="9"/>
  <c r="V519" i="9"/>
  <c r="V526" i="9"/>
  <c r="V527" i="9"/>
  <c r="V533" i="9"/>
  <c r="V536" i="9"/>
  <c r="V546" i="9"/>
  <c r="V549" i="9"/>
  <c r="V557" i="9"/>
  <c r="V558" i="9"/>
  <c r="V561" i="9"/>
  <c r="V564" i="9"/>
  <c r="V569" i="9"/>
  <c r="V575" i="9"/>
  <c r="V579" i="9"/>
  <c r="V584" i="9"/>
  <c r="V585" i="9"/>
  <c r="V589" i="9"/>
  <c r="V590" i="9"/>
  <c r="V591" i="9"/>
  <c r="V597" i="9"/>
  <c r="V601" i="9"/>
  <c r="V602" i="9"/>
  <c r="V609" i="9"/>
  <c r="V610" i="9"/>
  <c r="V611" i="9"/>
  <c r="V613" i="9"/>
  <c r="V615" i="9"/>
  <c r="V621" i="9"/>
  <c r="V622" i="9"/>
  <c r="V624" i="9"/>
  <c r="V630" i="9"/>
  <c r="V632" i="9"/>
  <c r="V636" i="9"/>
  <c r="V638" i="9"/>
  <c r="V640" i="9"/>
  <c r="V641" i="9"/>
  <c r="V643" i="9"/>
  <c r="V644" i="9"/>
  <c r="V648" i="9"/>
  <c r="V651" i="9"/>
  <c r="V654" i="9"/>
  <c r="V656" i="9"/>
  <c r="V657" i="9"/>
  <c r="V659" i="9"/>
  <c r="V660" i="9"/>
  <c r="V662" i="9"/>
  <c r="V667" i="9"/>
  <c r="V668" i="9"/>
  <c r="V669" i="9"/>
  <c r="V672" i="9"/>
  <c r="V673" i="9"/>
  <c r="V677" i="9"/>
  <c r="V680" i="9"/>
  <c r="V681" i="9"/>
  <c r="V682" i="9"/>
  <c r="V684" i="9"/>
  <c r="V685" i="9"/>
  <c r="V686" i="9"/>
  <c r="V687" i="9"/>
  <c r="V689" i="9"/>
  <c r="V690" i="9"/>
  <c r="V692" i="9"/>
  <c r="V694" i="9"/>
  <c r="V697" i="9"/>
  <c r="V707" i="9"/>
  <c r="V708" i="9"/>
  <c r="V711" i="9"/>
  <c r="V712" i="9"/>
  <c r="V715" i="9"/>
  <c r="V718" i="9"/>
  <c r="V719" i="9"/>
  <c r="V720" i="9"/>
  <c r="V721" i="9"/>
  <c r="V725" i="9"/>
  <c r="V726" i="9"/>
  <c r="V727" i="9"/>
  <c r="V76" i="9"/>
  <c r="V81" i="9"/>
  <c r="V97" i="9"/>
  <c r="V100" i="9"/>
  <c r="V103" i="9"/>
  <c r="V104" i="9"/>
  <c r="V109" i="9"/>
  <c r="V113" i="9"/>
  <c r="V118" i="9"/>
  <c r="V125" i="9"/>
  <c r="V135" i="9"/>
  <c r="V145" i="9"/>
  <c r="V146" i="9"/>
  <c r="V150" i="9"/>
  <c r="V164" i="9"/>
  <c r="V169" i="9"/>
  <c r="V173" i="9"/>
  <c r="V174" i="9"/>
  <c r="V176" i="9"/>
  <c r="V180" i="9"/>
  <c r="V190" i="9"/>
  <c r="V192" i="9"/>
  <c r="V198" i="9"/>
  <c r="V199" i="9"/>
  <c r="V205" i="9"/>
  <c r="V209" i="9"/>
  <c r="V215" i="9"/>
  <c r="V216" i="9"/>
  <c r="V221" i="9"/>
  <c r="V222" i="9"/>
  <c r="V236" i="9"/>
  <c r="V242" i="9"/>
  <c r="V248" i="9"/>
  <c r="V253" i="9"/>
  <c r="V257" i="9"/>
  <c r="V261" i="9"/>
  <c r="V262" i="9"/>
  <c r="V267" i="9"/>
  <c r="V268" i="9"/>
  <c r="V277" i="9"/>
  <c r="V282" i="9"/>
  <c r="V287" i="9"/>
  <c r="V292" i="9"/>
  <c r="V295" i="9"/>
  <c r="V302" i="9"/>
  <c r="V304" i="9"/>
  <c r="V315" i="9"/>
  <c r="V316" i="9"/>
  <c r="V319" i="9"/>
  <c r="V320" i="9"/>
  <c r="V323" i="9"/>
  <c r="V324" i="9"/>
  <c r="V328" i="9"/>
  <c r="V335" i="9"/>
  <c r="V337" i="9"/>
  <c r="V344" i="9"/>
  <c r="V345" i="9"/>
  <c r="V349" i="9"/>
  <c r="V350" i="9"/>
  <c r="V355" i="9"/>
  <c r="V356" i="9"/>
  <c r="V361" i="9"/>
  <c r="V363" i="9"/>
  <c r="V364" i="9"/>
  <c r="V369" i="9"/>
  <c r="V375" i="9"/>
  <c r="V376" i="9"/>
  <c r="V378" i="9"/>
  <c r="V381" i="9"/>
  <c r="V384" i="9"/>
  <c r="V385" i="9"/>
  <c r="V388" i="9"/>
  <c r="V394" i="9"/>
  <c r="V400" i="9"/>
  <c r="V402" i="9"/>
  <c r="V406" i="9"/>
  <c r="V409" i="9"/>
  <c r="V417" i="9"/>
  <c r="V421" i="9"/>
  <c r="V425" i="9"/>
  <c r="V435" i="9"/>
  <c r="V438" i="9"/>
  <c r="V439" i="9"/>
  <c r="V444" i="9"/>
  <c r="V453" i="9"/>
  <c r="V462" i="9"/>
  <c r="V463" i="9"/>
  <c r="V464" i="9"/>
  <c r="V466" i="9"/>
  <c r="V470" i="9"/>
  <c r="V471" i="9"/>
  <c r="V475" i="9"/>
  <c r="V476" i="9"/>
  <c r="V487" i="9"/>
  <c r="V488" i="9"/>
  <c r="V489" i="9"/>
  <c r="V498" i="9"/>
  <c r="V502" i="9"/>
  <c r="V503" i="9"/>
  <c r="V511" i="9"/>
  <c r="V512" i="9"/>
  <c r="V513" i="9"/>
  <c r="V514" i="9"/>
  <c r="V518" i="9"/>
  <c r="V522" i="9"/>
  <c r="V524" i="9"/>
  <c r="V529" i="9"/>
  <c r="V535" i="9"/>
  <c r="V541" i="9"/>
  <c r="V542" i="9"/>
  <c r="V543" i="9"/>
  <c r="V548" i="9"/>
  <c r="V550" i="9"/>
  <c r="V551" i="9"/>
  <c r="V559" i="9"/>
  <c r="V560" i="9"/>
  <c r="V570" i="9"/>
  <c r="V573" i="9"/>
  <c r="V577" i="9"/>
  <c r="V581" i="9"/>
  <c r="V582" i="9"/>
  <c r="V587" i="9"/>
  <c r="V592" i="9"/>
  <c r="V595" i="9"/>
  <c r="V598" i="9"/>
  <c r="V600" i="9"/>
  <c r="V604" i="9"/>
  <c r="V606" i="9"/>
  <c r="V607" i="9"/>
  <c r="V612" i="9"/>
  <c r="V617" i="9"/>
  <c r="V618" i="9"/>
  <c r="V620" i="9"/>
  <c r="V626" i="9"/>
  <c r="V634" i="9"/>
  <c r="V637" i="9"/>
  <c r="V649" i="9"/>
  <c r="V655" i="9"/>
  <c r="V661" i="9"/>
  <c r="V666" i="9"/>
  <c r="V670" i="9"/>
  <c r="V671" i="9"/>
  <c r="V678" i="9"/>
  <c r="V679" i="9"/>
  <c r="V695" i="9"/>
  <c r="V696" i="9"/>
  <c r="V700" i="9"/>
  <c r="V701" i="9"/>
  <c r="V704" i="9"/>
  <c r="V706" i="9"/>
  <c r="V709" i="9"/>
  <c r="V710" i="9"/>
  <c r="V713" i="9"/>
  <c r="V717" i="9"/>
  <c r="V723" i="9"/>
  <c r="V724" i="9"/>
  <c r="T91" i="9"/>
  <c r="T104" i="9"/>
  <c r="T113" i="9"/>
  <c r="T120" i="9"/>
  <c r="T131" i="9"/>
  <c r="T137" i="9"/>
  <c r="T151" i="9"/>
  <c r="T169" i="9"/>
  <c r="T170" i="9"/>
  <c r="T186" i="9"/>
  <c r="T199" i="9"/>
  <c r="T210" i="9"/>
  <c r="T216" i="9"/>
  <c r="T217" i="9"/>
  <c r="T226" i="9"/>
  <c r="T236" i="9"/>
  <c r="T243" i="9"/>
  <c r="T257" i="9"/>
  <c r="T262" i="9"/>
  <c r="T274" i="9"/>
  <c r="T278" i="9"/>
  <c r="T288" i="9"/>
  <c r="T293" i="9"/>
  <c r="T298" i="9"/>
  <c r="T303" i="9"/>
  <c r="T305" i="9"/>
  <c r="T311" i="9"/>
  <c r="T312" i="9"/>
  <c r="T316" i="9"/>
  <c r="T320" i="9"/>
  <c r="T332" i="9"/>
  <c r="T345" i="9"/>
  <c r="T346" i="9"/>
  <c r="T356" i="9"/>
  <c r="T364" i="9"/>
  <c r="T384" i="9"/>
  <c r="T395" i="9"/>
  <c r="T403" i="9"/>
  <c r="T414" i="9"/>
  <c r="T426" i="9"/>
  <c r="T428" i="9"/>
  <c r="T439" i="9"/>
  <c r="T450" i="9"/>
  <c r="T453" i="9"/>
  <c r="T458" i="9"/>
  <c r="T476" i="9"/>
  <c r="T484" i="9"/>
  <c r="T485" i="9"/>
  <c r="T493" i="9"/>
  <c r="T503" i="9"/>
  <c r="T504" i="9"/>
  <c r="T510" i="9"/>
  <c r="T526" i="9"/>
  <c r="T530" i="9"/>
  <c r="T537" i="9"/>
  <c r="T538" i="9"/>
  <c r="T546" i="9"/>
  <c r="T551" i="9"/>
  <c r="T557" i="9"/>
  <c r="T567" i="9"/>
  <c r="T569" i="9"/>
  <c r="T575" i="9"/>
  <c r="T578" i="9"/>
  <c r="T582" i="9"/>
  <c r="T583" i="9"/>
  <c r="T590" i="9"/>
  <c r="T595" i="9"/>
  <c r="T596" i="9"/>
  <c r="T601" i="9"/>
  <c r="T608" i="9"/>
  <c r="T609" i="9"/>
  <c r="T611" i="9"/>
  <c r="T613" i="9"/>
  <c r="T614" i="9"/>
  <c r="T627" i="9"/>
  <c r="T630" i="9"/>
  <c r="T635" i="9"/>
  <c r="T640" i="9"/>
  <c r="T643" i="9"/>
  <c r="T647" i="9"/>
  <c r="T648" i="9"/>
  <c r="T659" i="9"/>
  <c r="T660" i="9"/>
  <c r="T663" i="9"/>
  <c r="T666" i="9"/>
  <c r="T671" i="9"/>
  <c r="T672" i="9"/>
  <c r="T675" i="9"/>
  <c r="T680" i="9"/>
  <c r="T681" i="9"/>
  <c r="T687" i="9"/>
  <c r="T692" i="9"/>
  <c r="T693" i="9"/>
  <c r="T697" i="9"/>
  <c r="T701" i="9"/>
  <c r="T702" i="9"/>
  <c r="T707" i="9"/>
  <c r="T718" i="9"/>
  <c r="T720" i="9"/>
  <c r="T721" i="9"/>
  <c r="T722" i="9"/>
  <c r="T728" i="9"/>
  <c r="R97" i="9"/>
  <c r="R104" i="9"/>
  <c r="R109" i="9"/>
  <c r="R118" i="9"/>
  <c r="R119" i="9"/>
  <c r="R125" i="9"/>
  <c r="R130" i="9"/>
  <c r="R131" i="9"/>
  <c r="R135" i="9"/>
  <c r="R141" i="9"/>
  <c r="R145" i="9"/>
  <c r="R146" i="9"/>
  <c r="R150" i="9"/>
  <c r="R152" i="9"/>
  <c r="R168" i="9"/>
  <c r="R173" i="9"/>
  <c r="R178" i="9"/>
  <c r="R180" i="9"/>
  <c r="R182" i="9"/>
  <c r="R192" i="9"/>
  <c r="R193" i="9"/>
  <c r="R194" i="9"/>
  <c r="R198" i="9"/>
  <c r="R200" i="9"/>
  <c r="R204" i="9"/>
  <c r="R209" i="9"/>
  <c r="R211" i="9"/>
  <c r="R215" i="9"/>
  <c r="R216" i="9"/>
  <c r="R223" i="9"/>
  <c r="R231" i="9"/>
  <c r="R232" i="9"/>
  <c r="R236" i="9"/>
  <c r="R242" i="9"/>
  <c r="R243" i="9"/>
  <c r="R244" i="9"/>
  <c r="R248" i="9"/>
  <c r="R252" i="9"/>
  <c r="R253" i="9"/>
  <c r="R254" i="9"/>
  <c r="R261" i="9"/>
  <c r="R262" i="9"/>
  <c r="R263" i="9"/>
  <c r="R269" i="9"/>
  <c r="R273" i="9"/>
  <c r="R277" i="9"/>
  <c r="R278" i="9"/>
  <c r="R283" i="9"/>
  <c r="R287" i="9"/>
  <c r="R288" i="9"/>
  <c r="R292" i="9"/>
  <c r="R293" i="9"/>
  <c r="R294" i="9"/>
  <c r="R297" i="9"/>
  <c r="R298" i="9"/>
  <c r="R302" i="9"/>
  <c r="R303" i="9"/>
  <c r="R304" i="9"/>
  <c r="R305" i="9"/>
  <c r="R308" i="9"/>
  <c r="R310" i="9"/>
  <c r="R312" i="9"/>
  <c r="R315" i="9"/>
  <c r="R316" i="9"/>
  <c r="R317" i="9"/>
  <c r="R319" i="9"/>
  <c r="R323" i="9"/>
  <c r="R324" i="9"/>
  <c r="R325" i="9"/>
  <c r="R327" i="9"/>
  <c r="R328" i="9"/>
  <c r="R331" i="9"/>
  <c r="R332" i="9"/>
  <c r="R333" i="9"/>
  <c r="R337" i="9"/>
  <c r="R338" i="9"/>
  <c r="R344" i="9"/>
  <c r="R349" i="9"/>
  <c r="R350" i="9"/>
  <c r="R351" i="9"/>
  <c r="R356" i="9"/>
  <c r="R357" i="9"/>
  <c r="R361" i="9"/>
  <c r="R363" i="9"/>
  <c r="R364" i="9"/>
  <c r="R369" i="9"/>
  <c r="R376" i="9"/>
  <c r="R379" i="9"/>
  <c r="R385" i="9"/>
  <c r="R388" i="9"/>
  <c r="R389" i="9"/>
  <c r="R390" i="9"/>
  <c r="R395" i="9"/>
  <c r="R396" i="9"/>
  <c r="R400" i="9"/>
  <c r="R403" i="9"/>
  <c r="R407" i="9"/>
  <c r="R411" i="9"/>
  <c r="R417" i="9"/>
  <c r="R418" i="9"/>
  <c r="R419" i="9"/>
  <c r="R421" i="9"/>
  <c r="R422" i="9"/>
  <c r="R425" i="9"/>
  <c r="R426" i="9"/>
  <c r="R427" i="9"/>
  <c r="R430" i="9"/>
  <c r="R431" i="9"/>
  <c r="R436" i="9"/>
  <c r="R438" i="9"/>
  <c r="R439" i="9"/>
  <c r="R440" i="9"/>
  <c r="R444" i="9"/>
  <c r="R445" i="9"/>
  <c r="R446" i="9"/>
  <c r="R449" i="9"/>
  <c r="R450" i="9"/>
  <c r="R451" i="9"/>
  <c r="R453" i="9"/>
  <c r="R454" i="9"/>
  <c r="R459" i="9"/>
  <c r="R463" i="9"/>
  <c r="R464" i="9"/>
  <c r="R466" i="9"/>
  <c r="R470" i="9"/>
  <c r="R471" i="9"/>
  <c r="R475" i="9"/>
  <c r="R476" i="9"/>
  <c r="R477" i="9"/>
  <c r="R479" i="9"/>
  <c r="R480" i="9"/>
  <c r="R481" i="9"/>
  <c r="R489" i="9"/>
  <c r="R493" i="9"/>
  <c r="R494" i="9"/>
  <c r="R498" i="9"/>
  <c r="R499" i="9"/>
  <c r="R500" i="9"/>
  <c r="R502" i="9"/>
  <c r="R503" i="9"/>
  <c r="R507" i="9"/>
  <c r="R508" i="9"/>
  <c r="R513" i="9"/>
  <c r="R514" i="9"/>
  <c r="R518" i="9"/>
  <c r="R519" i="9"/>
  <c r="R521" i="9"/>
  <c r="R522" i="9"/>
  <c r="R529" i="9"/>
  <c r="R530" i="9"/>
  <c r="R531" i="9"/>
  <c r="R535" i="9"/>
  <c r="R536" i="9"/>
  <c r="R537" i="9"/>
  <c r="R542" i="9"/>
  <c r="R545" i="9"/>
  <c r="R546" i="9"/>
  <c r="R548" i="9"/>
  <c r="R551" i="9"/>
  <c r="R555" i="9"/>
  <c r="R562" i="9"/>
  <c r="R567" i="9"/>
  <c r="R568" i="9"/>
  <c r="R573" i="9"/>
  <c r="R577" i="9"/>
  <c r="R578" i="9"/>
  <c r="R581" i="9"/>
  <c r="R582" i="9"/>
  <c r="R585" i="9"/>
  <c r="R587" i="9"/>
  <c r="R588" i="9"/>
  <c r="R589" i="9"/>
  <c r="R592" i="9"/>
  <c r="R593" i="9"/>
  <c r="R595" i="9"/>
  <c r="R596" i="9"/>
  <c r="R600" i="9"/>
  <c r="R603" i="9"/>
  <c r="R606" i="9"/>
  <c r="R608" i="9"/>
  <c r="R613" i="9"/>
  <c r="R617" i="9"/>
  <c r="R618" i="9"/>
  <c r="R619" i="9"/>
  <c r="R623" i="9"/>
  <c r="R626" i="9"/>
  <c r="R629" i="9"/>
  <c r="R630" i="9"/>
  <c r="R634" i="9"/>
  <c r="R642" i="9"/>
  <c r="R643" i="9"/>
  <c r="R647" i="9"/>
  <c r="R648" i="9"/>
  <c r="R650" i="9"/>
  <c r="R651" i="9"/>
  <c r="R652" i="9"/>
  <c r="R655" i="9"/>
  <c r="R658" i="9"/>
  <c r="R659" i="9"/>
  <c r="R666" i="9"/>
  <c r="R669" i="9"/>
  <c r="R670" i="9"/>
  <c r="R671" i="9"/>
  <c r="R672" i="9"/>
  <c r="R675" i="9"/>
  <c r="R680" i="9"/>
  <c r="R684" i="9"/>
  <c r="R688" i="9"/>
  <c r="R689" i="9"/>
  <c r="R692" i="9"/>
  <c r="R693" i="9"/>
  <c r="R696" i="9"/>
  <c r="R697" i="9"/>
  <c r="R700" i="9"/>
  <c r="R701" i="9"/>
  <c r="R702" i="9"/>
  <c r="R703" i="9"/>
  <c r="R706" i="9"/>
  <c r="R707" i="9"/>
  <c r="R710" i="9"/>
  <c r="R712" i="9"/>
  <c r="R717" i="9"/>
  <c r="R723" i="9"/>
  <c r="R726" i="9"/>
  <c r="V65" i="9"/>
  <c r="V71" i="9"/>
  <c r="V77" i="9"/>
  <c r="V82" i="9"/>
  <c r="V86" i="9"/>
  <c r="V131" i="9"/>
  <c r="V186" i="9"/>
  <c r="V210" i="9"/>
  <c r="V274" i="9"/>
  <c r="V293" i="9"/>
  <c r="V311" i="9"/>
  <c r="V383" i="9"/>
  <c r="V395" i="9"/>
  <c r="V411" i="9"/>
  <c r="V430" i="9"/>
  <c r="V450" i="9"/>
  <c r="V458" i="9"/>
  <c r="V465" i="9"/>
  <c r="V469" i="9"/>
  <c r="V479" i="9"/>
  <c r="V480" i="9"/>
  <c r="V497" i="9"/>
  <c r="V507" i="9"/>
  <c r="V521" i="9"/>
  <c r="V525" i="9"/>
  <c r="V530" i="9"/>
  <c r="V534" i="9"/>
  <c r="V544" i="9"/>
  <c r="V545" i="9"/>
  <c r="V554" i="9"/>
  <c r="V555" i="9"/>
  <c r="V565" i="9"/>
  <c r="V566" i="9"/>
  <c r="V572" i="9"/>
  <c r="V576" i="9"/>
  <c r="V586" i="9"/>
  <c r="V594" i="9"/>
  <c r="V603" i="9"/>
  <c r="V616" i="9"/>
  <c r="V623" i="9"/>
  <c r="V628" i="9"/>
  <c r="V629" i="9"/>
  <c r="V633" i="9"/>
  <c r="V650" i="9"/>
  <c r="V658" i="9"/>
  <c r="V664" i="9"/>
  <c r="V665" i="9"/>
  <c r="V674" i="9"/>
  <c r="V675" i="9"/>
  <c r="V683" i="9"/>
  <c r="V698" i="9"/>
  <c r="V705" i="9"/>
  <c r="V716" i="9"/>
  <c r="V722" i="9"/>
  <c r="V728" i="9"/>
  <c r="T4" i="9"/>
  <c r="T8" i="9"/>
  <c r="T25" i="9"/>
  <c r="T31" i="9"/>
  <c r="T33" i="9"/>
  <c r="T40" i="9"/>
  <c r="T45" i="9"/>
  <c r="T49" i="9"/>
  <c r="T56" i="9"/>
  <c r="T59" i="9"/>
  <c r="T65" i="9"/>
  <c r="T71" i="9"/>
  <c r="T73" i="9"/>
  <c r="T77" i="9"/>
  <c r="T79" i="9"/>
  <c r="T82" i="9"/>
  <c r="T90" i="9"/>
  <c r="T93" i="9"/>
  <c r="T96" i="9"/>
  <c r="T103" i="9"/>
  <c r="T109" i="9"/>
  <c r="T112" i="9"/>
  <c r="T115" i="9"/>
  <c r="T118" i="9"/>
  <c r="T119" i="9"/>
  <c r="T123" i="9"/>
  <c r="T125" i="9"/>
  <c r="T127" i="9"/>
  <c r="T130" i="9"/>
  <c r="T135" i="9"/>
  <c r="T136" i="9"/>
  <c r="T138" i="9"/>
  <c r="T141" i="9"/>
  <c r="T145" i="9"/>
  <c r="T146" i="9"/>
  <c r="T150" i="9"/>
  <c r="T156" i="9"/>
  <c r="T159" i="9"/>
  <c r="T163" i="9"/>
  <c r="T164" i="9"/>
  <c r="T165" i="9"/>
  <c r="T168" i="9"/>
  <c r="T173" i="9"/>
  <c r="T174" i="9"/>
  <c r="T176" i="9"/>
  <c r="T179" i="9"/>
  <c r="T180" i="9"/>
  <c r="T181" i="9"/>
  <c r="T182" i="9"/>
  <c r="T183" i="9"/>
  <c r="T185" i="9"/>
  <c r="T192" i="9"/>
  <c r="T193" i="9"/>
  <c r="T198" i="9"/>
  <c r="T204" i="9"/>
  <c r="T205" i="9"/>
  <c r="T209" i="9"/>
  <c r="T212" i="9"/>
  <c r="T215" i="9"/>
  <c r="T218" i="9"/>
  <c r="T221" i="9"/>
  <c r="T224" i="9"/>
  <c r="T230" i="9"/>
  <c r="T231" i="9"/>
  <c r="T232" i="9"/>
  <c r="T242" i="9"/>
  <c r="T245" i="9"/>
  <c r="T252" i="9"/>
  <c r="T253" i="9"/>
  <c r="T258" i="9"/>
  <c r="T261" i="9"/>
  <c r="T264" i="9"/>
  <c r="T267" i="9"/>
  <c r="T268" i="9"/>
  <c r="T273" i="9"/>
  <c r="T277" i="9"/>
  <c r="T282" i="9"/>
  <c r="T287" i="9"/>
  <c r="T292" i="9"/>
  <c r="T295" i="9"/>
  <c r="T297" i="9"/>
  <c r="T302" i="9"/>
  <c r="T304" i="9"/>
  <c r="T306" i="9"/>
  <c r="T310" i="9"/>
  <c r="T313" i="9"/>
  <c r="T315" i="9"/>
  <c r="T319" i="9"/>
  <c r="T323" i="9"/>
  <c r="T324" i="9"/>
  <c r="T327" i="9"/>
  <c r="T328" i="9"/>
  <c r="T329" i="9"/>
  <c r="T331" i="9"/>
  <c r="T337" i="9"/>
  <c r="T338" i="9"/>
  <c r="T343" i="9"/>
  <c r="T344" i="9"/>
  <c r="T349" i="9"/>
  <c r="T350" i="9"/>
  <c r="T352" i="9"/>
  <c r="T355" i="9"/>
  <c r="T360" i="9"/>
  <c r="T361" i="9"/>
  <c r="T363" i="9"/>
  <c r="T368" i="9"/>
  <c r="T369" i="9"/>
  <c r="T371" i="9"/>
  <c r="T372" i="9"/>
  <c r="T375" i="9"/>
  <c r="T376" i="9"/>
  <c r="T377" i="9"/>
  <c r="T378" i="9"/>
  <c r="T383" i="9"/>
  <c r="T385" i="9"/>
  <c r="T388" i="9"/>
  <c r="T389" i="9"/>
  <c r="T393" i="9"/>
  <c r="T394" i="9"/>
  <c r="T400" i="9"/>
  <c r="T402" i="9"/>
  <c r="T405" i="9"/>
  <c r="T406" i="9"/>
  <c r="T408" i="9"/>
  <c r="T411" i="9"/>
  <c r="T412" i="9"/>
  <c r="T416" i="9"/>
  <c r="T417" i="9"/>
  <c r="T418" i="9"/>
  <c r="T421" i="9"/>
  <c r="T422" i="9"/>
  <c r="T425" i="9"/>
  <c r="T430" i="9"/>
  <c r="T431" i="9"/>
  <c r="T432" i="9"/>
  <c r="T435" i="9"/>
  <c r="T436" i="9"/>
  <c r="T438" i="9"/>
  <c r="T441" i="9"/>
  <c r="T443" i="9"/>
  <c r="T444" i="9"/>
  <c r="T445" i="9"/>
  <c r="T449" i="9"/>
  <c r="T452" i="9"/>
  <c r="T455" i="9"/>
  <c r="T460" i="9"/>
  <c r="T463" i="9"/>
  <c r="T464" i="9"/>
  <c r="T466" i="9"/>
  <c r="T470" i="9"/>
  <c r="T471" i="9"/>
  <c r="T473" i="9"/>
  <c r="T474" i="9"/>
  <c r="T475" i="9"/>
  <c r="T479" i="9"/>
  <c r="T480" i="9"/>
  <c r="T487" i="9"/>
  <c r="T488" i="9"/>
  <c r="T489" i="9"/>
  <c r="T498" i="9"/>
  <c r="T499" i="9"/>
  <c r="T502" i="9"/>
  <c r="T505" i="9"/>
  <c r="T507" i="9"/>
  <c r="T508" i="9"/>
  <c r="T512" i="9"/>
  <c r="T513" i="9"/>
  <c r="T514" i="9"/>
  <c r="T515" i="9"/>
  <c r="T518" i="9"/>
  <c r="T521" i="9"/>
  <c r="T522" i="9"/>
  <c r="T525" i="9"/>
  <c r="T528" i="9"/>
  <c r="T529" i="9"/>
  <c r="T535" i="9"/>
  <c r="T536" i="9"/>
  <c r="T541" i="9"/>
  <c r="T542" i="9"/>
  <c r="T545" i="9"/>
  <c r="T548" i="9"/>
  <c r="T550" i="9"/>
  <c r="T552" i="9"/>
  <c r="T555" i="9"/>
  <c r="T559" i="9"/>
  <c r="T560" i="9"/>
  <c r="T561" i="9"/>
  <c r="T563" i="9"/>
  <c r="T566" i="9"/>
  <c r="T570" i="9"/>
  <c r="T571" i="9"/>
  <c r="T573" i="9"/>
  <c r="T577" i="9"/>
  <c r="T580" i="9"/>
  <c r="T581" i="9"/>
  <c r="T585" i="9"/>
  <c r="T586" i="9"/>
  <c r="T587" i="9"/>
  <c r="T589" i="9"/>
  <c r="T592" i="9"/>
  <c r="T594" i="9"/>
  <c r="T597" i="9"/>
  <c r="T600" i="9"/>
  <c r="T603" i="9"/>
  <c r="T604" i="9"/>
  <c r="T605" i="9"/>
  <c r="T606" i="9"/>
  <c r="T612" i="9"/>
  <c r="T616" i="9"/>
  <c r="T617" i="9"/>
  <c r="T618" i="9"/>
  <c r="T619" i="9"/>
  <c r="T622" i="9"/>
  <c r="T623" i="9"/>
  <c r="T625" i="9"/>
  <c r="T626" i="9"/>
  <c r="T628" i="9"/>
  <c r="T629" i="9"/>
  <c r="T634" i="9"/>
  <c r="T636" i="9"/>
  <c r="T637" i="9"/>
  <c r="T639" i="9"/>
  <c r="T645" i="9"/>
  <c r="T646" i="9"/>
  <c r="T650" i="9"/>
  <c r="T651" i="9"/>
  <c r="T652" i="9"/>
  <c r="T653" i="9"/>
  <c r="T655" i="9"/>
  <c r="T656" i="9"/>
  <c r="T658" i="9"/>
  <c r="T661" i="9"/>
  <c r="T667" i="9"/>
  <c r="T669" i="9"/>
  <c r="T670" i="9"/>
  <c r="T674" i="9"/>
  <c r="T678" i="9"/>
  <c r="T679" i="9"/>
  <c r="T683" i="9"/>
  <c r="T684" i="9"/>
  <c r="T685" i="9"/>
  <c r="T691" i="9"/>
  <c r="T695" i="9"/>
  <c r="T696" i="9"/>
  <c r="T699" i="9"/>
  <c r="T700" i="9"/>
  <c r="T705" i="9"/>
  <c r="T706" i="9"/>
  <c r="T709" i="9"/>
  <c r="T710" i="9"/>
  <c r="T711" i="9"/>
  <c r="T712" i="9"/>
  <c r="T713" i="9"/>
  <c r="T714" i="9"/>
  <c r="T716" i="9"/>
  <c r="T717" i="9"/>
  <c r="T723" i="9"/>
  <c r="T724" i="9"/>
  <c r="T726" i="9"/>
  <c r="R3" i="9"/>
  <c r="R6" i="9"/>
  <c r="R12" i="9"/>
  <c r="R14" i="9"/>
  <c r="R20" i="9"/>
  <c r="R23" i="9"/>
  <c r="R26" i="9"/>
  <c r="R29" i="9"/>
  <c r="R32" i="9"/>
  <c r="R35" i="9"/>
  <c r="R43" i="9"/>
  <c r="R46" i="9"/>
  <c r="R48" i="9"/>
  <c r="R50" i="9"/>
  <c r="R52" i="9"/>
  <c r="R53" i="9"/>
  <c r="R55" i="9"/>
  <c r="R57" i="9"/>
  <c r="R60" i="9"/>
  <c r="R62" i="9"/>
  <c r="R63" i="9"/>
  <c r="R66" i="9"/>
  <c r="R72" i="9"/>
  <c r="R74" i="9"/>
  <c r="R75" i="9"/>
  <c r="R78" i="9"/>
  <c r="R80" i="9"/>
  <c r="R83" i="9"/>
  <c r="R87" i="9"/>
  <c r="R89" i="9"/>
  <c r="R92" i="9"/>
  <c r="R94" i="9"/>
  <c r="R95" i="9"/>
  <c r="R96" i="9"/>
  <c r="R101" i="9"/>
  <c r="R102" i="9"/>
  <c r="R103" i="9"/>
  <c r="R105" i="9"/>
  <c r="R111" i="9"/>
  <c r="R112" i="9"/>
  <c r="R114" i="9"/>
  <c r="R120" i="9"/>
  <c r="R122" i="9"/>
  <c r="R123" i="9"/>
  <c r="R124" i="9"/>
  <c r="R126" i="9"/>
  <c r="R128" i="9"/>
  <c r="R129" i="9"/>
  <c r="R132" i="9"/>
  <c r="R140" i="9"/>
  <c r="R144" i="9"/>
  <c r="R148" i="9"/>
  <c r="R149" i="9"/>
  <c r="R155" i="9"/>
  <c r="R157" i="9"/>
  <c r="R158" i="9"/>
  <c r="R162" i="9"/>
  <c r="R163" i="9"/>
  <c r="R166" i="9"/>
  <c r="R167" i="9"/>
  <c r="R172" i="9"/>
  <c r="R176" i="9"/>
  <c r="R185" i="9"/>
  <c r="R187" i="9"/>
  <c r="R189" i="9"/>
  <c r="R196" i="9"/>
  <c r="R197" i="9"/>
  <c r="R208" i="9"/>
  <c r="R219" i="9"/>
  <c r="R220" i="9"/>
  <c r="R221" i="9"/>
  <c r="R225" i="9"/>
  <c r="R227" i="9"/>
  <c r="R230" i="9"/>
  <c r="R235" i="9"/>
  <c r="R238" i="9"/>
  <c r="R240" i="9"/>
  <c r="R241" i="9"/>
  <c r="R247" i="9"/>
  <c r="R255" i="9"/>
  <c r="R256" i="9"/>
  <c r="R259" i="9"/>
  <c r="R264" i="9"/>
  <c r="R266" i="9"/>
  <c r="R267" i="9"/>
  <c r="R276" i="9"/>
  <c r="R280" i="9"/>
  <c r="R284" i="9"/>
  <c r="R290" i="9"/>
  <c r="R295" i="9"/>
  <c r="R296" i="9"/>
  <c r="R300" i="9"/>
  <c r="R307" i="9"/>
  <c r="R314" i="9"/>
  <c r="R318" i="9"/>
  <c r="R326" i="9"/>
  <c r="R330" i="9"/>
  <c r="R336" i="9"/>
  <c r="R341" i="9"/>
  <c r="R343" i="9"/>
  <c r="R348" i="9"/>
  <c r="R352" i="9"/>
  <c r="R355" i="9"/>
  <c r="R359" i="9"/>
  <c r="R360" i="9"/>
  <c r="R362" i="9"/>
  <c r="R366" i="9"/>
  <c r="R367" i="9"/>
  <c r="R370" i="9"/>
  <c r="R373" i="9"/>
  <c r="R374" i="9"/>
  <c r="R375" i="9"/>
  <c r="R377" i="9"/>
  <c r="R380" i="9"/>
  <c r="R381" i="9"/>
  <c r="R382" i="9"/>
  <c r="R386" i="9"/>
  <c r="R387" i="9"/>
  <c r="R391" i="9"/>
  <c r="R392" i="9"/>
  <c r="R393" i="9"/>
  <c r="R397" i="9"/>
  <c r="R398" i="9"/>
  <c r="R399" i="9"/>
  <c r="R402" i="9"/>
  <c r="R404" i="9"/>
  <c r="R408" i="9"/>
  <c r="R409" i="9"/>
  <c r="R410" i="9"/>
  <c r="R413" i="9"/>
  <c r="R414" i="9"/>
  <c r="R415" i="9"/>
  <c r="R416" i="9"/>
  <c r="R420" i="9"/>
  <c r="R423" i="9"/>
  <c r="R424" i="9"/>
  <c r="R428" i="9"/>
  <c r="R429" i="9"/>
  <c r="R432" i="9"/>
  <c r="R433" i="9"/>
  <c r="R434" i="9"/>
  <c r="R435" i="9"/>
  <c r="R437" i="9"/>
  <c r="R441" i="9"/>
  <c r="R442" i="9"/>
  <c r="R443" i="9"/>
  <c r="R447" i="9"/>
  <c r="R448" i="9"/>
  <c r="R452" i="9"/>
  <c r="R455" i="9"/>
  <c r="R456" i="9"/>
  <c r="R457" i="9"/>
  <c r="R460" i="9"/>
  <c r="R461" i="9"/>
  <c r="R467" i="9"/>
  <c r="R468" i="9"/>
  <c r="R472" i="9"/>
  <c r="R473" i="9"/>
  <c r="R474" i="9"/>
  <c r="R482" i="9"/>
  <c r="R483" i="9"/>
  <c r="R485" i="9"/>
  <c r="R486" i="9"/>
  <c r="R487" i="9"/>
  <c r="R488" i="9"/>
  <c r="R490" i="9"/>
  <c r="R491" i="9"/>
  <c r="R492" i="9"/>
  <c r="R495" i="9"/>
  <c r="R496" i="9"/>
  <c r="R497" i="9"/>
  <c r="R501" i="9"/>
  <c r="R504" i="9"/>
  <c r="R505" i="9"/>
  <c r="R506" i="9"/>
  <c r="R510" i="9"/>
  <c r="R511" i="9"/>
  <c r="R512" i="9"/>
  <c r="R515" i="9"/>
  <c r="R516" i="9"/>
  <c r="R517" i="9"/>
  <c r="R520" i="9"/>
  <c r="R523" i="9"/>
  <c r="R524" i="9"/>
  <c r="R526" i="9"/>
  <c r="R527" i="9"/>
  <c r="R528" i="9"/>
  <c r="R532" i="9"/>
  <c r="R533" i="9"/>
  <c r="R534" i="9"/>
  <c r="R538" i="9"/>
  <c r="R539" i="9"/>
  <c r="R540" i="9"/>
  <c r="R541" i="9"/>
  <c r="R543" i="9"/>
  <c r="R544" i="9"/>
  <c r="R547" i="9"/>
  <c r="R549" i="9"/>
  <c r="R550" i="9"/>
  <c r="R552" i="9"/>
  <c r="R553" i="9"/>
  <c r="R554" i="9"/>
  <c r="R556" i="9"/>
  <c r="R557" i="9"/>
  <c r="R558" i="9"/>
  <c r="R559" i="9"/>
  <c r="R563" i="9"/>
  <c r="R564" i="9"/>
  <c r="R566" i="9"/>
  <c r="R569" i="9"/>
  <c r="R570" i="9"/>
  <c r="R571" i="9"/>
  <c r="R572" i="9"/>
  <c r="R574" i="9"/>
  <c r="R575" i="9"/>
  <c r="R576" i="9"/>
  <c r="R579" i="9"/>
  <c r="R580" i="9"/>
  <c r="R583" i="9"/>
  <c r="R584" i="9"/>
  <c r="R590" i="9"/>
  <c r="R594" i="9"/>
  <c r="R597" i="9"/>
  <c r="R598" i="9"/>
  <c r="R599" i="9"/>
  <c r="R601" i="9"/>
  <c r="R602" i="9"/>
  <c r="R605" i="9"/>
  <c r="R609" i="9"/>
  <c r="R610" i="9"/>
  <c r="R611" i="9"/>
  <c r="R612" i="9"/>
  <c r="R614" i="9"/>
  <c r="R615" i="9"/>
  <c r="R616" i="9"/>
  <c r="R620" i="9"/>
  <c r="R622" i="9"/>
  <c r="R624" i="9"/>
  <c r="R627" i="9"/>
  <c r="R628" i="9"/>
  <c r="R631" i="9"/>
  <c r="R632" i="9"/>
  <c r="R633" i="9"/>
  <c r="R635" i="9"/>
  <c r="R636" i="9"/>
  <c r="R637" i="9"/>
  <c r="R639" i="9"/>
  <c r="R640" i="9"/>
  <c r="R644" i="9"/>
  <c r="R645" i="9"/>
  <c r="R646" i="9"/>
  <c r="R649" i="9"/>
  <c r="R653" i="9"/>
  <c r="R656" i="9"/>
  <c r="R660" i="9"/>
  <c r="R662" i="9"/>
  <c r="R663" i="9"/>
  <c r="R664" i="9"/>
  <c r="R665" i="9"/>
  <c r="R667" i="9"/>
  <c r="R668" i="9"/>
  <c r="R677" i="9"/>
  <c r="R678" i="9"/>
  <c r="R681" i="9"/>
  <c r="R683" i="9"/>
  <c r="R690" i="9"/>
  <c r="R691" i="9"/>
  <c r="R694" i="9"/>
  <c r="R695" i="9"/>
  <c r="R698" i="9"/>
  <c r="R699" i="9"/>
  <c r="R704" i="9"/>
  <c r="R705" i="9"/>
  <c r="R709" i="9"/>
  <c r="R714" i="9"/>
  <c r="R715" i="9"/>
  <c r="R716" i="9"/>
  <c r="R721" i="9"/>
  <c r="R722" i="9"/>
  <c r="R727" i="9"/>
  <c r="R728" i="9"/>
  <c r="P5" i="9"/>
  <c r="P11" i="9"/>
  <c r="P21" i="9"/>
  <c r="P22" i="9"/>
  <c r="P28" i="9"/>
  <c r="P36" i="9"/>
  <c r="P37" i="9"/>
  <c r="P51" i="9"/>
  <c r="P52" i="9"/>
  <c r="P57" i="9"/>
  <c r="P62" i="9"/>
  <c r="P68" i="9"/>
  <c r="P74" i="9"/>
  <c r="P80" i="9"/>
  <c r="P85" i="9"/>
  <c r="P86" i="9"/>
  <c r="P89" i="9"/>
  <c r="P94" i="9"/>
  <c r="P95" i="9"/>
  <c r="P97" i="9"/>
  <c r="P100" i="9"/>
  <c r="P101" i="9"/>
  <c r="P103" i="9"/>
  <c r="P104" i="9"/>
  <c r="P107" i="9"/>
  <c r="P110" i="9"/>
  <c r="P112" i="9"/>
  <c r="P113" i="9"/>
  <c r="P116" i="9"/>
  <c r="P118" i="9"/>
  <c r="P119" i="9"/>
  <c r="P121" i="9"/>
  <c r="P122" i="9"/>
  <c r="P123" i="9"/>
  <c r="P125" i="9"/>
  <c r="P128" i="9"/>
  <c r="P130" i="9"/>
  <c r="P131" i="9"/>
  <c r="P133" i="9"/>
  <c r="P134" i="9"/>
  <c r="P135" i="9"/>
  <c r="P139" i="9"/>
  <c r="P141" i="9"/>
  <c r="P143" i="9"/>
  <c r="P145" i="9"/>
  <c r="P147" i="9"/>
  <c r="P148" i="9"/>
  <c r="P150" i="9"/>
  <c r="P151" i="9"/>
  <c r="P153" i="9"/>
  <c r="P154" i="9"/>
  <c r="P157" i="9"/>
  <c r="P158" i="9"/>
  <c r="P159" i="9"/>
  <c r="P161" i="9"/>
  <c r="P162" i="9"/>
  <c r="P163" i="9"/>
  <c r="P164" i="9"/>
  <c r="P166" i="9"/>
  <c r="P168" i="9"/>
  <c r="P169" i="9"/>
  <c r="P171" i="9"/>
  <c r="P172" i="9"/>
  <c r="P173" i="9"/>
  <c r="P174" i="9"/>
  <c r="P175" i="9"/>
  <c r="P176" i="9"/>
  <c r="P177" i="9"/>
  <c r="P180" i="9"/>
  <c r="P181" i="9"/>
  <c r="P184" i="9"/>
  <c r="P185" i="9"/>
  <c r="P186" i="9"/>
  <c r="P188" i="9"/>
  <c r="P190" i="9"/>
  <c r="P192" i="9"/>
  <c r="P196" i="9"/>
  <c r="P197" i="9"/>
  <c r="P198" i="9"/>
  <c r="P199" i="9"/>
  <c r="P202" i="9"/>
  <c r="P204" i="9"/>
  <c r="P208" i="9"/>
  <c r="P209" i="9"/>
  <c r="P210" i="9"/>
  <c r="P212" i="9"/>
  <c r="P213" i="9"/>
  <c r="P215" i="9"/>
  <c r="P216" i="9"/>
  <c r="P219" i="9"/>
  <c r="P220" i="9"/>
  <c r="P221" i="9"/>
  <c r="P222" i="9"/>
  <c r="P225" i="9"/>
  <c r="P226" i="9"/>
  <c r="P228" i="9"/>
  <c r="P229" i="9"/>
  <c r="P230" i="9"/>
  <c r="P231" i="9"/>
  <c r="P234" i="9"/>
  <c r="P236" i="9"/>
  <c r="P237" i="9"/>
  <c r="P239" i="9"/>
  <c r="P240" i="9"/>
  <c r="P241" i="9"/>
  <c r="P242" i="9"/>
  <c r="P243" i="9"/>
  <c r="P245" i="9"/>
  <c r="P246" i="9"/>
  <c r="P247" i="9"/>
  <c r="P249" i="9"/>
  <c r="P250" i="9"/>
  <c r="P252" i="9"/>
  <c r="P253" i="9"/>
  <c r="P256" i="9"/>
  <c r="P257" i="9"/>
  <c r="P259" i="9"/>
  <c r="P260" i="9"/>
  <c r="P261" i="9"/>
  <c r="P262" i="9"/>
  <c r="P264" i="9"/>
  <c r="P265" i="9"/>
  <c r="P266" i="9"/>
  <c r="P267" i="9"/>
  <c r="P268" i="9"/>
  <c r="P271" i="9"/>
  <c r="P273" i="9"/>
  <c r="P274" i="9"/>
  <c r="P275" i="9"/>
  <c r="P276" i="9"/>
  <c r="P277" i="9"/>
  <c r="P279" i="9"/>
  <c r="P280" i="9"/>
  <c r="P281" i="9"/>
  <c r="P282" i="9"/>
  <c r="P285" i="9"/>
  <c r="P286" i="9"/>
  <c r="P287" i="9"/>
  <c r="P289" i="9"/>
  <c r="P290" i="9"/>
  <c r="P292" i="9"/>
  <c r="P293" i="9"/>
  <c r="P295" i="9"/>
  <c r="P296" i="9"/>
  <c r="P297" i="9"/>
  <c r="P302" i="9"/>
  <c r="P304" i="9"/>
  <c r="P306" i="9"/>
  <c r="P307" i="9"/>
  <c r="P310" i="9"/>
  <c r="P311" i="9"/>
  <c r="P314" i="9"/>
  <c r="P316" i="9"/>
  <c r="P319" i="9"/>
  <c r="P320" i="9"/>
  <c r="P321" i="9"/>
  <c r="P322" i="9"/>
  <c r="P324" i="9"/>
  <c r="P326" i="9"/>
  <c r="P327" i="9"/>
  <c r="P328" i="9"/>
  <c r="P329" i="9"/>
  <c r="P330" i="9"/>
  <c r="P331" i="9"/>
  <c r="P335" i="9"/>
  <c r="P336" i="9"/>
  <c r="P337" i="9"/>
  <c r="P338" i="9"/>
  <c r="P340" i="9"/>
  <c r="P341" i="9"/>
  <c r="P343" i="9"/>
  <c r="P344" i="9"/>
  <c r="P345" i="9"/>
  <c r="P348" i="9"/>
  <c r="P349" i="9"/>
  <c r="P353" i="9"/>
  <c r="P354" i="9"/>
  <c r="P355" i="9"/>
  <c r="P356" i="9"/>
  <c r="P359" i="9"/>
  <c r="P360" i="9"/>
  <c r="P361" i="9"/>
  <c r="P362" i="9"/>
  <c r="P363" i="9"/>
  <c r="P366" i="9"/>
  <c r="P367" i="9"/>
  <c r="P368" i="9"/>
  <c r="P374" i="9"/>
  <c r="P375" i="9"/>
  <c r="P377" i="9"/>
  <c r="P378" i="9"/>
  <c r="P380" i="9"/>
  <c r="P383" i="9"/>
  <c r="P385" i="9"/>
  <c r="P386" i="9"/>
  <c r="P387" i="9"/>
  <c r="P388" i="9"/>
  <c r="P391" i="9"/>
  <c r="P393" i="9"/>
  <c r="P394" i="9"/>
  <c r="P395" i="9"/>
  <c r="P398" i="9"/>
  <c r="P399" i="9"/>
  <c r="P400" i="9"/>
  <c r="P401" i="9"/>
  <c r="P402" i="9"/>
  <c r="P404" i="9"/>
  <c r="P406" i="9"/>
  <c r="P408" i="9"/>
  <c r="P409" i="9"/>
  <c r="P411" i="9"/>
  <c r="P416" i="9"/>
  <c r="P417" i="9"/>
  <c r="P420" i="9"/>
  <c r="P421" i="9"/>
  <c r="P424" i="9"/>
  <c r="P425" i="9"/>
  <c r="P429" i="9"/>
  <c r="P430" i="9"/>
  <c r="P432" i="9"/>
  <c r="P433" i="9"/>
  <c r="P434" i="9"/>
  <c r="P435" i="9"/>
  <c r="P438" i="9"/>
  <c r="P442" i="9"/>
  <c r="P443" i="9"/>
  <c r="P444" i="9"/>
  <c r="P445" i="9"/>
  <c r="P447" i="9"/>
  <c r="P448" i="9"/>
  <c r="P449" i="9"/>
  <c r="P452" i="9"/>
  <c r="P453" i="9"/>
  <c r="P455" i="9"/>
  <c r="P456" i="9"/>
  <c r="P457" i="9"/>
  <c r="P460" i="9"/>
  <c r="P461" i="9"/>
  <c r="P462" i="9"/>
  <c r="P463" i="9"/>
  <c r="P464" i="9"/>
  <c r="P465" i="9"/>
  <c r="P466" i="9"/>
  <c r="P468" i="9"/>
  <c r="P470" i="9"/>
  <c r="P475" i="9"/>
  <c r="P479" i="9"/>
  <c r="P483" i="9"/>
  <c r="P485" i="9"/>
  <c r="P486" i="9"/>
  <c r="P488" i="9"/>
  <c r="P489" i="9"/>
  <c r="P490" i="9"/>
  <c r="P491" i="9"/>
  <c r="P492" i="9"/>
  <c r="P495" i="9"/>
  <c r="P496" i="9"/>
  <c r="P497" i="9"/>
  <c r="P498" i="9"/>
  <c r="P501" i="9"/>
  <c r="P502" i="9"/>
  <c r="P505" i="9"/>
  <c r="P506" i="9"/>
  <c r="P507" i="9"/>
  <c r="P508" i="9"/>
  <c r="P511" i="9"/>
  <c r="P512" i="9"/>
  <c r="P513" i="9"/>
  <c r="P518" i="9"/>
  <c r="P520" i="9"/>
  <c r="P521" i="9"/>
  <c r="P524" i="9"/>
  <c r="P527" i="9"/>
  <c r="P528" i="9"/>
  <c r="P529" i="9"/>
  <c r="P533" i="9"/>
  <c r="P534" i="9"/>
  <c r="P535" i="9"/>
  <c r="P538" i="9"/>
  <c r="P539" i="9"/>
  <c r="P540" i="9"/>
  <c r="P541" i="9"/>
  <c r="P544" i="9"/>
  <c r="P545" i="9"/>
  <c r="P548" i="9"/>
  <c r="P549" i="9"/>
  <c r="P550" i="9"/>
  <c r="P552" i="9"/>
  <c r="P553" i="9"/>
  <c r="P554" i="9"/>
  <c r="P555" i="9"/>
  <c r="P558" i="9"/>
  <c r="P560" i="9"/>
  <c r="P563" i="9"/>
  <c r="P564" i="9"/>
  <c r="P565" i="9"/>
  <c r="P566" i="9"/>
  <c r="P570" i="9"/>
  <c r="P571" i="9"/>
  <c r="P573" i="9"/>
  <c r="P577" i="9"/>
  <c r="P579" i="9"/>
  <c r="P580" i="9"/>
  <c r="P581" i="9"/>
  <c r="P584" i="9"/>
  <c r="P587" i="9"/>
  <c r="P589" i="9"/>
  <c r="P590" i="9"/>
  <c r="P591" i="9"/>
  <c r="P592" i="9"/>
  <c r="P594" i="9"/>
  <c r="P598" i="9"/>
  <c r="P599" i="9"/>
  <c r="P600" i="9"/>
  <c r="P601" i="9"/>
  <c r="P602" i="9"/>
  <c r="P603" i="9"/>
  <c r="P612" i="9"/>
  <c r="P613" i="9"/>
  <c r="P614" i="9"/>
  <c r="P615" i="9"/>
  <c r="P616" i="9"/>
  <c r="P617" i="9"/>
  <c r="P620" i="9"/>
  <c r="P621" i="9"/>
  <c r="P623" i="9"/>
  <c r="P626" i="9"/>
  <c r="P627" i="9"/>
  <c r="P628" i="9"/>
  <c r="P629" i="9"/>
  <c r="P631" i="9"/>
  <c r="P633" i="9"/>
  <c r="P634" i="9"/>
  <c r="P637" i="9"/>
  <c r="P638" i="9"/>
  <c r="P639" i="9"/>
  <c r="P640" i="9"/>
  <c r="P641" i="9"/>
  <c r="P644" i="9"/>
  <c r="P645" i="9"/>
  <c r="P646" i="9"/>
  <c r="P648" i="9"/>
  <c r="P650" i="9"/>
  <c r="P653" i="9"/>
  <c r="P654" i="9"/>
  <c r="P657" i="9"/>
  <c r="P658" i="9"/>
  <c r="P660" i="9"/>
  <c r="P661" i="9"/>
  <c r="P662" i="9"/>
  <c r="P663" i="9"/>
  <c r="P664" i="9"/>
  <c r="P665" i="9"/>
  <c r="P668" i="9"/>
  <c r="P669" i="9"/>
  <c r="P670" i="9"/>
  <c r="P673" i="9"/>
  <c r="P674" i="9"/>
  <c r="P677" i="9"/>
  <c r="P678" i="9"/>
  <c r="P679" i="9"/>
  <c r="P681" i="9"/>
  <c r="P682" i="9"/>
  <c r="P683" i="9"/>
  <c r="P686" i="9"/>
  <c r="P687" i="9"/>
  <c r="P690" i="9"/>
  <c r="P691" i="9"/>
  <c r="P694" i="9"/>
  <c r="P695" i="9"/>
  <c r="P698" i="9"/>
  <c r="P705" i="9"/>
  <c r="P708" i="9"/>
  <c r="P709" i="9"/>
  <c r="P711" i="9"/>
  <c r="P712" i="9"/>
  <c r="P713" i="9"/>
  <c r="P716" i="9"/>
  <c r="P718" i="9"/>
  <c r="P720" i="9"/>
  <c r="P721" i="9"/>
  <c r="P722" i="9"/>
  <c r="P723" i="9"/>
  <c r="P726" i="9"/>
  <c r="P727" i="9"/>
  <c r="P651" i="9"/>
  <c r="P551" i="9"/>
  <c r="P542" i="9"/>
  <c r="P487" i="9"/>
  <c r="P474" i="9"/>
  <c r="P436" i="9"/>
  <c r="P410" i="9"/>
  <c r="P382" i="9"/>
  <c r="P350" i="9"/>
  <c r="P332" i="9"/>
  <c r="P318" i="9"/>
  <c r="P298" i="9"/>
  <c r="P291" i="9"/>
  <c r="P272" i="9"/>
  <c r="P251" i="9"/>
  <c r="P248" i="9"/>
  <c r="P214" i="9"/>
  <c r="P205" i="9"/>
  <c r="P203" i="9"/>
  <c r="P193" i="9"/>
  <c r="P191" i="9"/>
  <c r="P167" i="9"/>
  <c r="P149" i="9"/>
  <c r="P146" i="9"/>
  <c r="P144" i="9"/>
  <c r="P140" i="9"/>
  <c r="P136" i="9"/>
  <c r="P129" i="9"/>
  <c r="P117" i="9"/>
  <c r="P111" i="9"/>
  <c r="P109" i="9"/>
  <c r="P108" i="9"/>
  <c r="P102" i="9"/>
  <c r="P91" i="9"/>
  <c r="P82" i="9"/>
  <c r="P77" i="9"/>
  <c r="P75" i="9"/>
  <c r="P71" i="9"/>
  <c r="P69" i="9"/>
  <c r="P65" i="9"/>
  <c r="P63" i="9"/>
  <c r="P59" i="9"/>
  <c r="P53" i="9"/>
  <c r="P49" i="9"/>
  <c r="P48" i="9"/>
  <c r="P45" i="9"/>
  <c r="P43" i="9"/>
  <c r="P40" i="9"/>
  <c r="P38" i="9"/>
  <c r="P34" i="9"/>
  <c r="P31" i="9"/>
  <c r="P29" i="9"/>
  <c r="P25" i="9"/>
  <c r="P23" i="9"/>
  <c r="P19" i="9"/>
  <c r="P17" i="9"/>
  <c r="P13" i="9"/>
  <c r="P12" i="9"/>
  <c r="P8" i="9"/>
  <c r="P6" i="9"/>
  <c r="N375" i="9"/>
  <c r="N378" i="9"/>
  <c r="N383" i="9"/>
  <c r="N388" i="9"/>
  <c r="N394" i="9"/>
  <c r="N402" i="9"/>
  <c r="N411" i="9"/>
  <c r="N417" i="9"/>
  <c r="N425" i="9"/>
  <c r="N435" i="9"/>
  <c r="N438" i="9"/>
  <c r="N440" i="9"/>
  <c r="N444" i="9"/>
  <c r="N464" i="9"/>
  <c r="N470" i="9"/>
  <c r="N479" i="9"/>
  <c r="N488" i="9"/>
  <c r="N498" i="9"/>
  <c r="N507" i="9"/>
  <c r="N518" i="9"/>
  <c r="N529" i="9"/>
  <c r="N537" i="9"/>
  <c r="N541" i="9"/>
  <c r="N548" i="9"/>
  <c r="N555" i="9"/>
  <c r="N566" i="9"/>
  <c r="N573" i="9"/>
  <c r="N578" i="9"/>
  <c r="N581" i="9"/>
  <c r="N587" i="9"/>
  <c r="N590" i="9"/>
  <c r="N592" i="9"/>
  <c r="N596" i="9"/>
  <c r="N600" i="9"/>
  <c r="N613" i="9"/>
  <c r="N626" i="9"/>
  <c r="N634" i="9"/>
  <c r="N658" i="9"/>
  <c r="N672" i="9"/>
  <c r="N713" i="9"/>
  <c r="N723" i="9"/>
  <c r="AD3" i="9"/>
  <c r="AD6" i="9"/>
  <c r="AD7" i="9"/>
  <c r="AD8" i="9"/>
  <c r="AD9" i="9"/>
  <c r="AD12" i="9"/>
  <c r="AD17" i="9"/>
  <c r="AD18" i="9"/>
  <c r="AD19" i="9"/>
  <c r="AD23" i="9"/>
  <c r="AD24" i="9"/>
  <c r="AD25" i="9"/>
  <c r="AD26" i="9"/>
  <c r="AD29" i="9"/>
  <c r="AD30" i="9"/>
  <c r="AD34" i="9"/>
  <c r="AD38" i="9"/>
  <c r="AD39" i="9"/>
  <c r="AD40" i="9"/>
  <c r="AD41" i="9"/>
  <c r="AD43" i="9"/>
  <c r="AD44" i="9"/>
  <c r="AD45" i="9"/>
  <c r="AD46" i="9"/>
  <c r="AD48" i="9"/>
  <c r="AD53" i="9"/>
  <c r="AD54" i="9"/>
  <c r="AD58" i="9"/>
  <c r="AD59" i="9"/>
  <c r="AD60" i="9"/>
  <c r="AD63" i="9"/>
  <c r="AD64" i="9"/>
  <c r="AD69" i="9"/>
  <c r="AD70" i="9"/>
  <c r="AD75" i="9"/>
  <c r="AD76" i="9"/>
  <c r="AD77" i="9"/>
  <c r="AD81" i="9"/>
  <c r="AD82" i="9"/>
  <c r="AD83" i="9"/>
  <c r="AD90" i="9"/>
  <c r="AD91" i="9"/>
  <c r="AD95" i="9"/>
  <c r="AD96" i="9"/>
  <c r="AD97" i="9"/>
  <c r="AD98" i="9"/>
  <c r="AD102" i="9"/>
  <c r="AD104" i="9"/>
  <c r="AD106" i="9"/>
  <c r="AD108" i="9"/>
  <c r="AD110" i="9"/>
  <c r="AD111" i="9"/>
  <c r="AD113" i="9"/>
  <c r="AD114" i="9"/>
  <c r="AD117" i="9"/>
  <c r="AD124" i="9"/>
  <c r="AD125" i="9"/>
  <c r="AD126" i="9"/>
  <c r="AD129" i="9"/>
  <c r="AD131" i="9"/>
  <c r="AD136" i="9"/>
  <c r="AD139" i="9"/>
  <c r="AD140" i="9"/>
  <c r="AD144" i="9"/>
  <c r="AD146" i="9"/>
  <c r="AD149" i="9"/>
  <c r="AD152" i="9"/>
  <c r="AD155" i="9"/>
  <c r="AD158" i="9"/>
  <c r="AD159" i="9"/>
  <c r="AD164" i="9"/>
  <c r="AD168" i="9"/>
  <c r="AD169" i="9"/>
  <c r="AD174" i="9"/>
  <c r="AD177" i="9"/>
  <c r="AD181" i="9"/>
  <c r="AD186" i="9"/>
  <c r="AD190" i="9"/>
  <c r="AD193" i="9"/>
  <c r="AD194" i="9"/>
  <c r="AD195" i="9"/>
  <c r="AD197" i="9"/>
  <c r="AD198" i="9"/>
  <c r="AD203" i="9"/>
  <c r="AD205" i="9"/>
  <c r="AD208" i="9"/>
  <c r="AD209" i="9"/>
  <c r="AD210" i="9"/>
  <c r="AD211" i="9"/>
  <c r="AD212" i="9"/>
  <c r="AD214" i="9"/>
  <c r="AD220" i="9"/>
  <c r="AD222" i="9"/>
  <c r="AD223" i="9"/>
  <c r="AD226" i="9"/>
  <c r="AD230" i="9"/>
  <c r="AD235" i="9"/>
  <c r="AD236" i="9"/>
  <c r="AD241" i="9"/>
  <c r="AD242" i="9"/>
  <c r="AD243" i="9"/>
  <c r="AD247" i="9"/>
  <c r="AD248" i="9"/>
  <c r="AD251" i="9"/>
  <c r="AD256" i="9"/>
  <c r="AD257" i="9"/>
  <c r="AD260" i="9"/>
  <c r="AD261" i="9"/>
  <c r="AD266" i="9"/>
  <c r="AD268" i="9"/>
  <c r="AD272" i="9"/>
  <c r="AD273" i="9"/>
  <c r="AD276" i="9"/>
  <c r="AD281" i="9"/>
  <c r="AD282" i="9"/>
  <c r="AD283" i="9"/>
  <c r="AD286" i="9"/>
  <c r="AD287" i="9"/>
  <c r="AD291" i="9"/>
  <c r="AD292" i="9"/>
  <c r="AD293" i="9"/>
  <c r="AD296" i="9"/>
  <c r="AD298" i="9"/>
  <c r="AD301" i="9"/>
  <c r="AD303" i="9"/>
  <c r="AD309" i="9"/>
  <c r="AD314" i="9"/>
  <c r="AD316" i="9"/>
  <c r="AD317" i="9"/>
  <c r="AD318" i="9"/>
  <c r="AD326" i="9"/>
  <c r="AD328" i="9"/>
  <c r="AD332" i="9"/>
  <c r="AD336" i="9"/>
  <c r="AD338" i="9"/>
  <c r="AD341" i="9"/>
  <c r="AD343" i="9"/>
  <c r="AD345" i="9"/>
  <c r="AD348" i="9"/>
  <c r="AD354" i="9"/>
  <c r="AD355" i="9"/>
  <c r="AD356" i="9"/>
  <c r="AD357" i="9"/>
  <c r="AD360" i="9"/>
  <c r="AD362" i="9"/>
  <c r="AD363" i="9"/>
  <c r="AD364" i="9"/>
  <c r="AD367" i="9"/>
  <c r="AD369" i="9"/>
  <c r="AD374" i="9"/>
  <c r="AD376" i="9"/>
  <c r="AD377" i="9"/>
  <c r="AD382" i="9"/>
  <c r="AD387" i="9"/>
  <c r="AD389" i="9"/>
  <c r="AD393" i="9"/>
  <c r="AD395" i="9"/>
  <c r="AD403" i="9"/>
  <c r="AD412" i="9"/>
  <c r="AD413" i="9"/>
  <c r="AD420" i="9"/>
  <c r="AD422" i="9"/>
  <c r="AD426" i="9"/>
  <c r="AD436" i="9"/>
  <c r="AD439" i="9"/>
  <c r="AD453" i="9"/>
  <c r="AD462" i="9"/>
  <c r="AD476" i="9"/>
  <c r="AD481" i="9"/>
  <c r="AD492" i="9"/>
  <c r="AD493" i="9"/>
  <c r="AD497" i="9"/>
  <c r="AD509" i="9"/>
  <c r="AD512" i="9"/>
  <c r="AD517" i="9"/>
  <c r="AD520" i="9"/>
  <c r="AD534" i="9"/>
  <c r="AD546" i="9"/>
  <c r="AD586" i="9"/>
  <c r="AD593" i="9"/>
  <c r="AD604" i="9"/>
  <c r="AD605" i="9"/>
  <c r="AD640" i="9"/>
  <c r="AD662" i="9"/>
  <c r="AD685" i="9"/>
  <c r="AD691" i="9"/>
  <c r="AD697" i="9"/>
  <c r="AD705" i="9"/>
  <c r="AB4" i="9"/>
  <c r="AB5" i="9"/>
  <c r="AB10" i="9"/>
  <c r="AB11" i="9"/>
  <c r="AB12" i="9"/>
  <c r="AB21" i="9"/>
  <c r="AB23" i="9"/>
  <c r="AB27" i="9"/>
  <c r="AB28" i="9"/>
  <c r="AB33" i="9"/>
  <c r="AB36" i="9"/>
  <c r="AB37" i="9"/>
  <c r="AB42" i="9"/>
  <c r="AB47" i="9"/>
  <c r="AB51" i="9"/>
  <c r="AB52" i="9"/>
  <c r="AB56" i="9"/>
  <c r="AB61" i="9"/>
  <c r="AB62" i="9"/>
  <c r="AB67" i="9"/>
  <c r="AB68" i="9"/>
  <c r="AB69" i="9"/>
  <c r="AB73" i="9"/>
  <c r="AB79" i="9"/>
  <c r="AB80" i="9"/>
  <c r="AB84" i="9"/>
  <c r="AB85" i="9"/>
  <c r="AB88" i="9"/>
  <c r="AB89" i="9"/>
  <c r="AB93" i="9"/>
  <c r="AB99" i="9"/>
  <c r="AB101" i="9"/>
  <c r="AB106" i="9"/>
  <c r="AB107" i="9"/>
  <c r="AB108" i="9"/>
  <c r="AB110" i="9"/>
  <c r="AB115" i="9"/>
  <c r="AB116" i="9"/>
  <c r="AB117" i="9"/>
  <c r="AB121" i="9"/>
  <c r="AB122" i="9"/>
  <c r="AB127" i="9"/>
  <c r="AB128" i="9"/>
  <c r="AB129" i="9"/>
  <c r="AB133" i="9"/>
  <c r="AB134" i="9"/>
  <c r="AB138" i="9"/>
  <c r="AB139" i="9"/>
  <c r="AB140" i="9"/>
  <c r="AB142" i="9"/>
  <c r="AB143" i="9"/>
  <c r="AB144" i="9"/>
  <c r="AB147" i="9"/>
  <c r="AB148" i="9"/>
  <c r="AB149" i="9"/>
  <c r="AB153" i="9"/>
  <c r="AB154" i="9"/>
  <c r="AB155" i="9"/>
  <c r="AB156" i="9"/>
  <c r="AB157" i="9"/>
  <c r="AB158" i="9"/>
  <c r="AB160" i="9"/>
  <c r="AB162" i="9"/>
  <c r="AB165" i="9"/>
  <c r="AB166" i="9"/>
  <c r="AB171" i="9"/>
  <c r="AB172" i="9"/>
  <c r="AB175" i="9"/>
  <c r="AB179" i="9"/>
  <c r="AB183" i="9"/>
  <c r="AB188" i="9"/>
  <c r="AB189" i="9"/>
  <c r="AB191" i="9"/>
  <c r="AB195" i="9"/>
  <c r="AB196" i="9"/>
  <c r="AB197" i="9"/>
  <c r="AB201" i="9"/>
  <c r="AB202" i="9"/>
  <c r="AB203" i="9"/>
  <c r="AB206" i="9"/>
  <c r="AB207" i="9"/>
  <c r="AB208" i="9"/>
  <c r="AB212" i="9"/>
  <c r="AB213" i="9"/>
  <c r="AB214" i="9"/>
  <c r="AB218" i="9"/>
  <c r="AB219" i="9"/>
  <c r="AB220" i="9"/>
  <c r="AB224" i="9"/>
  <c r="AB225" i="9"/>
  <c r="AB228" i="9"/>
  <c r="AB229" i="9"/>
  <c r="AB233" i="9"/>
  <c r="AB234" i="9"/>
  <c r="AB235" i="9"/>
  <c r="AB237" i="9"/>
  <c r="AB238" i="9"/>
  <c r="AB239" i="9"/>
  <c r="AB240" i="9"/>
  <c r="AB245" i="9"/>
  <c r="AB246" i="9"/>
  <c r="AB247" i="9"/>
  <c r="AB249" i="9"/>
  <c r="AB255" i="9"/>
  <c r="AB256" i="9"/>
  <c r="AB258" i="9"/>
  <c r="AB259" i="9"/>
  <c r="AB264" i="9"/>
  <c r="AB265" i="9"/>
  <c r="AB270" i="9"/>
  <c r="AB271" i="9"/>
  <c r="AB272" i="9"/>
  <c r="AB275" i="9"/>
  <c r="AB279" i="9"/>
  <c r="AB281" i="9"/>
  <c r="AB284" i="9"/>
  <c r="AB285" i="9"/>
  <c r="AB289" i="9"/>
  <c r="AB299" i="9"/>
  <c r="AB301" i="9"/>
  <c r="AB306" i="9"/>
  <c r="AB309" i="9"/>
  <c r="AB313" i="9"/>
  <c r="AB314" i="9"/>
  <c r="AB318" i="9"/>
  <c r="AB322" i="9"/>
  <c r="AB326" i="9"/>
  <c r="AB330" i="9"/>
  <c r="AB334" i="9"/>
  <c r="AB335" i="9"/>
  <c r="AB341" i="9"/>
  <c r="AB342" i="9"/>
  <c r="AB343" i="9"/>
  <c r="AB347" i="9"/>
  <c r="AB348" i="9"/>
  <c r="AB352" i="9"/>
  <c r="AB353" i="9"/>
  <c r="AB354" i="9"/>
  <c r="AB366" i="9"/>
  <c r="AB367" i="9"/>
  <c r="AB368" i="9"/>
  <c r="AB371" i="9"/>
  <c r="AB372" i="9"/>
  <c r="AB377" i="9"/>
  <c r="AB380" i="9"/>
  <c r="AB381" i="9"/>
  <c r="AB386" i="9"/>
  <c r="AB397" i="9"/>
  <c r="AB398" i="9"/>
  <c r="AB401" i="9"/>
  <c r="AB404" i="9"/>
  <c r="AB409" i="9"/>
  <c r="AB410" i="9"/>
  <c r="AB415" i="9"/>
  <c r="AB420" i="9"/>
  <c r="AB428" i="9"/>
  <c r="AB429" i="9"/>
  <c r="AB433" i="9"/>
  <c r="AB442" i="9"/>
  <c r="AB443" i="9"/>
  <c r="AB447" i="9"/>
  <c r="AB448" i="9"/>
  <c r="AB456" i="9"/>
  <c r="AB457" i="9"/>
  <c r="AB461" i="9"/>
  <c r="AB465" i="9"/>
  <c r="AB473" i="9"/>
  <c r="AB478" i="9"/>
  <c r="AB482" i="9"/>
  <c r="AB483" i="9"/>
  <c r="AB490" i="9"/>
  <c r="AB491" i="9"/>
  <c r="AB496" i="9"/>
  <c r="AB506" i="9"/>
  <c r="AB511" i="9"/>
  <c r="AB512" i="9"/>
  <c r="AB516" i="9"/>
  <c r="AB524" i="9"/>
  <c r="AB526" i="9"/>
  <c r="AB527" i="9"/>
  <c r="AB532" i="9"/>
  <c r="AB533" i="9"/>
  <c r="AB539" i="9"/>
  <c r="AB540" i="9"/>
  <c r="AB549" i="9"/>
  <c r="AB552" i="9"/>
  <c r="AB553" i="9"/>
  <c r="AB557" i="9"/>
  <c r="AB558" i="9"/>
  <c r="AB559" i="9"/>
  <c r="AB564" i="9"/>
  <c r="AB569" i="9"/>
  <c r="AB575" i="9"/>
  <c r="AB579" i="9"/>
  <c r="AB591" i="9"/>
  <c r="AB598" i="9"/>
  <c r="AB602" i="9"/>
  <c r="AB605" i="9"/>
  <c r="AB610" i="9"/>
  <c r="AB614" i="9"/>
  <c r="AB615" i="9"/>
  <c r="AB620" i="9"/>
  <c r="AB621" i="9"/>
  <c r="AB624" i="9"/>
  <c r="AB627" i="9"/>
  <c r="AB631" i="9"/>
  <c r="AB632" i="9"/>
  <c r="AB641" i="9"/>
  <c r="AB653" i="9"/>
  <c r="AB654" i="9"/>
  <c r="AB657" i="9"/>
  <c r="AB664" i="9"/>
  <c r="AB667" i="9"/>
  <c r="AB673" i="9"/>
  <c r="AB676" i="9"/>
  <c r="AB677" i="9"/>
  <c r="AB682" i="9"/>
  <c r="AB689" i="9"/>
  <c r="AB694" i="9"/>
  <c r="AB704" i="9"/>
  <c r="AB714" i="9"/>
  <c r="AB715" i="9"/>
  <c r="AB721" i="9"/>
  <c r="Z6" i="9"/>
  <c r="Z7" i="9"/>
  <c r="Z12" i="9"/>
  <c r="Z17" i="9"/>
  <c r="Z18" i="9"/>
  <c r="Z23" i="9"/>
  <c r="Z24" i="9"/>
  <c r="Z25" i="9"/>
  <c r="Z29" i="9"/>
  <c r="Z30" i="9"/>
  <c r="Z34" i="9"/>
  <c r="Z38" i="9"/>
  <c r="Z39" i="9"/>
  <c r="Z43" i="9"/>
  <c r="Z44" i="9"/>
  <c r="Z48" i="9"/>
  <c r="Z53" i="9"/>
  <c r="Z54" i="9"/>
  <c r="Z58" i="9"/>
  <c r="Z63" i="9"/>
  <c r="Z64" i="9"/>
  <c r="Z69" i="9"/>
  <c r="Z70" i="9"/>
  <c r="Z75" i="9"/>
  <c r="Z76" i="9"/>
  <c r="Z81" i="9"/>
  <c r="Z86" i="9"/>
  <c r="Z90" i="9"/>
  <c r="Z96" i="9"/>
  <c r="Z103" i="9"/>
  <c r="Z112" i="9"/>
  <c r="Z116" i="9"/>
  <c r="Z118" i="9"/>
  <c r="Z123" i="9"/>
  <c r="Z130" i="9"/>
  <c r="Z135" i="9"/>
  <c r="Z141" i="9"/>
  <c r="Z145" i="9"/>
  <c r="Z150" i="9"/>
  <c r="Z152" i="9"/>
  <c r="Z163" i="9"/>
  <c r="Z168" i="9"/>
  <c r="Z173" i="9"/>
  <c r="Z176" i="9"/>
  <c r="Z180" i="9"/>
  <c r="Z185" i="9"/>
  <c r="Z188" i="9"/>
  <c r="Z192" i="9"/>
  <c r="Z209" i="9"/>
  <c r="Z249" i="9"/>
  <c r="Z258" i="9"/>
  <c r="Z261" i="9"/>
  <c r="Z269" i="9"/>
  <c r="Z273" i="9"/>
  <c r="Z292" i="9"/>
  <c r="Z319" i="9"/>
  <c r="Z331" i="9"/>
  <c r="Z334" i="9"/>
  <c r="Z358" i="9"/>
  <c r="Z385" i="9"/>
  <c r="Z397" i="9"/>
  <c r="Z428" i="9"/>
  <c r="Z523" i="9"/>
  <c r="Z538" i="9"/>
  <c r="Z667" i="9"/>
  <c r="Z695" i="9"/>
  <c r="Z728" i="9"/>
  <c r="X3" i="9"/>
  <c r="X4" i="9"/>
  <c r="X9" i="9"/>
  <c r="X11" i="9"/>
  <c r="X13" i="9"/>
  <c r="X14" i="9"/>
  <c r="X15" i="9"/>
  <c r="X19" i="9"/>
  <c r="X20" i="9"/>
  <c r="X22" i="9"/>
  <c r="X26" i="9"/>
  <c r="X31" i="9"/>
  <c r="X32" i="9"/>
  <c r="X34" i="9"/>
  <c r="X37" i="9"/>
  <c r="X41" i="9"/>
  <c r="X45" i="9"/>
  <c r="X47" i="9"/>
  <c r="X49" i="9"/>
  <c r="X50" i="9"/>
  <c r="X52" i="9"/>
  <c r="X56" i="9"/>
  <c r="X57" i="9"/>
  <c r="X59" i="9"/>
  <c r="X61" i="9"/>
  <c r="X62" i="9"/>
  <c r="X65" i="9"/>
  <c r="X66" i="9"/>
  <c r="X67" i="9"/>
  <c r="X73" i="9"/>
  <c r="X74" i="9"/>
  <c r="X79" i="9"/>
  <c r="X83" i="9"/>
  <c r="X85" i="9"/>
  <c r="X87" i="9"/>
  <c r="X92" i="9"/>
  <c r="X93" i="9"/>
  <c r="X94" i="9"/>
  <c r="X98" i="9"/>
  <c r="X99" i="9"/>
  <c r="X101" i="9"/>
  <c r="X106" i="9"/>
  <c r="X110" i="9"/>
  <c r="X114" i="9"/>
  <c r="X120" i="9"/>
  <c r="X121" i="9"/>
  <c r="X124" i="9"/>
  <c r="X127" i="9"/>
  <c r="X128" i="9"/>
  <c r="X133" i="9"/>
  <c r="X137" i="9"/>
  <c r="X139" i="9"/>
  <c r="X147" i="9"/>
  <c r="X152" i="9"/>
  <c r="X154" i="9"/>
  <c r="X157" i="9"/>
  <c r="X161" i="9"/>
  <c r="X165" i="9"/>
  <c r="X175" i="9"/>
  <c r="X178" i="9"/>
  <c r="X179" i="9"/>
  <c r="X187" i="9"/>
  <c r="X194" i="9"/>
  <c r="X196" i="9"/>
  <c r="X200" i="9"/>
  <c r="X206" i="9"/>
  <c r="X207" i="9"/>
  <c r="X211" i="9"/>
  <c r="X212" i="9"/>
  <c r="X218" i="9"/>
  <c r="X219" i="9"/>
  <c r="X223" i="9"/>
  <c r="X224" i="9"/>
  <c r="X227" i="9"/>
  <c r="X229" i="9"/>
  <c r="X232" i="9"/>
  <c r="X234" i="9"/>
  <c r="X237" i="9"/>
  <c r="X238" i="9"/>
  <c r="X240" i="9"/>
  <c r="X244" i="9"/>
  <c r="X245" i="9"/>
  <c r="X246" i="9"/>
  <c r="X254" i="9"/>
  <c r="X255" i="9"/>
  <c r="X258" i="9"/>
  <c r="X264" i="9"/>
  <c r="X265" i="9"/>
  <c r="X269" i="9"/>
  <c r="X270" i="9"/>
  <c r="X278" i="9"/>
  <c r="X279" i="9"/>
  <c r="X283" i="9"/>
  <c r="X284" i="9"/>
  <c r="X285" i="9"/>
  <c r="X288" i="9"/>
  <c r="X289" i="9"/>
  <c r="X290" i="9"/>
  <c r="X294" i="9"/>
  <c r="X300" i="9"/>
  <c r="X303" i="9"/>
  <c r="X305" i="9"/>
  <c r="X306" i="9"/>
  <c r="X307" i="9"/>
  <c r="X308" i="9"/>
  <c r="X312" i="9"/>
  <c r="X317" i="9"/>
  <c r="X321" i="9"/>
  <c r="X325" i="9"/>
  <c r="X329" i="9"/>
  <c r="X342" i="9"/>
  <c r="X352" i="9"/>
  <c r="X353" i="9"/>
  <c r="X357" i="9"/>
  <c r="X358" i="9"/>
  <c r="X365" i="9"/>
  <c r="X366" i="9"/>
  <c r="X370" i="9"/>
  <c r="X379" i="9"/>
  <c r="X386" i="9"/>
  <c r="X390" i="9"/>
  <c r="X397" i="9"/>
  <c r="X407" i="9"/>
  <c r="X409" i="9"/>
  <c r="X413" i="9"/>
  <c r="X419" i="9"/>
  <c r="X423" i="9"/>
  <c r="X427" i="9"/>
  <c r="X432" i="9"/>
  <c r="X437" i="9"/>
  <c r="X440" i="9"/>
  <c r="X446" i="9"/>
  <c r="X451" i="9"/>
  <c r="X454" i="9"/>
  <c r="X456" i="9"/>
  <c r="X459" i="9"/>
  <c r="X461" i="9"/>
  <c r="X467" i="9"/>
  <c r="X472" i="9"/>
  <c r="X477" i="9"/>
  <c r="X481" i="9"/>
  <c r="X483" i="9"/>
  <c r="X485" i="9"/>
  <c r="X491" i="9"/>
  <c r="X494" i="9"/>
  <c r="X495" i="9"/>
  <c r="X500" i="9"/>
  <c r="X501" i="9"/>
  <c r="X504" i="9"/>
  <c r="X506" i="9"/>
  <c r="X509" i="9"/>
  <c r="X510" i="9"/>
  <c r="X512" i="9"/>
  <c r="X515" i="9"/>
  <c r="X519" i="9"/>
  <c r="X523" i="9"/>
  <c r="X524" i="9"/>
  <c r="X527" i="9"/>
  <c r="X528" i="9"/>
  <c r="X530" i="9"/>
  <c r="X531" i="9"/>
  <c r="X532" i="9"/>
  <c r="X537" i="9"/>
  <c r="X538" i="9"/>
  <c r="X539" i="9"/>
  <c r="X547" i="9"/>
  <c r="X553" i="9"/>
  <c r="X556" i="9"/>
  <c r="X557" i="9"/>
  <c r="X562" i="9"/>
  <c r="X563" i="9"/>
  <c r="X568" i="9"/>
  <c r="X569" i="9"/>
  <c r="X571" i="9"/>
  <c r="X574" i="9"/>
  <c r="X578" i="9"/>
  <c r="X588" i="9"/>
  <c r="X589" i="9"/>
  <c r="X590" i="9"/>
  <c r="X593" i="9"/>
  <c r="X596" i="9"/>
  <c r="X607" i="9"/>
  <c r="X608" i="9"/>
  <c r="X609" i="9"/>
  <c r="X610" i="9"/>
  <c r="X613" i="9"/>
  <c r="X614" i="9"/>
  <c r="X615" i="9"/>
  <c r="X619" i="9"/>
  <c r="X631" i="9"/>
  <c r="X632" i="9"/>
  <c r="X635" i="9"/>
  <c r="X636" i="9"/>
  <c r="X637" i="9"/>
  <c r="X642" i="9"/>
  <c r="X643" i="9"/>
  <c r="X647" i="9"/>
  <c r="X649" i="9"/>
  <c r="X652" i="9"/>
  <c r="X653" i="9"/>
  <c r="X656" i="9"/>
  <c r="X659" i="9"/>
  <c r="X660" i="9"/>
  <c r="X663" i="9"/>
  <c r="X664" i="9"/>
  <c r="X667" i="9"/>
  <c r="X668" i="9"/>
  <c r="X669" i="9"/>
  <c r="X672" i="9"/>
  <c r="X673" i="9"/>
  <c r="X681" i="9"/>
  <c r="X684" i="9"/>
  <c r="X688" i="9"/>
  <c r="X689" i="9"/>
  <c r="X690" i="9"/>
  <c r="X693" i="9"/>
  <c r="X694" i="9"/>
  <c r="X697" i="9"/>
  <c r="X701" i="9"/>
  <c r="X702" i="9"/>
  <c r="X703" i="9"/>
  <c r="X707" i="9"/>
  <c r="X714" i="9"/>
  <c r="X715" i="9"/>
  <c r="X719" i="9"/>
  <c r="X720" i="9"/>
  <c r="X725" i="9"/>
  <c r="V3" i="9"/>
  <c r="V4" i="9"/>
  <c r="V5" i="9"/>
  <c r="V6" i="9"/>
  <c r="V7" i="9"/>
  <c r="V8" i="9"/>
  <c r="V9" i="9"/>
  <c r="V10" i="9"/>
  <c r="V11" i="9"/>
  <c r="V12" i="9"/>
  <c r="V13" i="9"/>
  <c r="V14" i="9"/>
  <c r="V15" i="9"/>
  <c r="V16" i="9"/>
  <c r="V17" i="9"/>
  <c r="V18" i="9"/>
  <c r="V19" i="9"/>
  <c r="V20" i="9"/>
  <c r="V21" i="9"/>
  <c r="V22" i="9"/>
  <c r="V23" i="9"/>
  <c r="V24" i="9"/>
  <c r="V25" i="9"/>
  <c r="V26" i="9"/>
  <c r="V27" i="9"/>
  <c r="V28" i="9"/>
  <c r="V29" i="9"/>
  <c r="V30" i="9"/>
  <c r="V31" i="9"/>
  <c r="V32" i="9"/>
  <c r="V33" i="9"/>
  <c r="V34" i="9"/>
  <c r="V35" i="9"/>
  <c r="V36" i="9"/>
  <c r="V37" i="9"/>
  <c r="V38" i="9"/>
  <c r="V39" i="9"/>
  <c r="V40" i="9"/>
  <c r="V41" i="9"/>
  <c r="V42" i="9"/>
  <c r="V43" i="9"/>
  <c r="V44" i="9"/>
  <c r="V45" i="9"/>
  <c r="V46" i="9"/>
  <c r="V47" i="9"/>
  <c r="V48" i="9"/>
  <c r="V49" i="9"/>
  <c r="V50" i="9"/>
  <c r="V51" i="9"/>
  <c r="V52" i="9"/>
  <c r="V53" i="9"/>
  <c r="V54" i="9"/>
  <c r="V55" i="9"/>
  <c r="V56" i="9"/>
  <c r="V57" i="9"/>
  <c r="V58" i="9"/>
  <c r="V59" i="9"/>
  <c r="V60" i="9"/>
  <c r="V61" i="9"/>
  <c r="V62" i="9"/>
  <c r="V63" i="9"/>
  <c r="V64" i="9"/>
  <c r="V66" i="9"/>
  <c r="V67" i="9"/>
  <c r="V68" i="9"/>
  <c r="V69" i="9"/>
  <c r="V70" i="9"/>
  <c r="V72" i="9"/>
  <c r="V73" i="9"/>
  <c r="V74" i="9"/>
  <c r="V75" i="9"/>
  <c r="V78" i="9"/>
  <c r="V79" i="9"/>
  <c r="V80" i="9"/>
  <c r="V83" i="9"/>
  <c r="V84" i="9"/>
  <c r="V85" i="9"/>
  <c r="V87" i="9"/>
  <c r="V88" i="9"/>
  <c r="V89" i="9"/>
  <c r="V90" i="9"/>
  <c r="V92" i="9"/>
  <c r="V93" i="9"/>
  <c r="V94" i="9"/>
  <c r="V95" i="9"/>
  <c r="V96" i="9"/>
  <c r="V98" i="9"/>
  <c r="V99" i="9"/>
  <c r="V101" i="9"/>
  <c r="V102" i="9"/>
  <c r="V105" i="9"/>
  <c r="V106" i="9"/>
  <c r="V107" i="9"/>
  <c r="V108" i="9"/>
  <c r="V110" i="9"/>
  <c r="V111" i="9"/>
  <c r="V112" i="9"/>
  <c r="V114" i="9"/>
  <c r="V115" i="9"/>
  <c r="V116" i="9"/>
  <c r="V117" i="9"/>
  <c r="V120" i="9"/>
  <c r="V121" i="9"/>
  <c r="V123" i="9"/>
  <c r="V124" i="9"/>
  <c r="V126" i="9"/>
  <c r="V127" i="9"/>
  <c r="V128" i="9"/>
  <c r="V129" i="9"/>
  <c r="V130" i="9"/>
  <c r="V132" i="9"/>
  <c r="V133" i="9"/>
  <c r="V134" i="9"/>
  <c r="V137" i="9"/>
  <c r="V138" i="9"/>
  <c r="V139" i="9"/>
  <c r="V140" i="9"/>
  <c r="V141" i="9"/>
  <c r="V142" i="9"/>
  <c r="V143" i="9"/>
  <c r="V144" i="9"/>
  <c r="V147" i="9"/>
  <c r="V148" i="9"/>
  <c r="V149" i="9"/>
  <c r="V152" i="9"/>
  <c r="V153" i="9"/>
  <c r="V154" i="9"/>
  <c r="V155" i="9"/>
  <c r="V156" i="9"/>
  <c r="V158" i="9"/>
  <c r="V160" i="9"/>
  <c r="V161" i="9"/>
  <c r="V162" i="9"/>
  <c r="V163" i="9"/>
  <c r="V165" i="9"/>
  <c r="V166" i="9"/>
  <c r="V167" i="9"/>
  <c r="V168" i="9"/>
  <c r="V170" i="9"/>
  <c r="V172" i="9"/>
  <c r="V175" i="9"/>
  <c r="V178" i="9"/>
  <c r="V179" i="9"/>
  <c r="V182" i="9"/>
  <c r="V183" i="9"/>
  <c r="V184" i="9"/>
  <c r="V185" i="9"/>
  <c r="V187" i="9"/>
  <c r="V188" i="9"/>
  <c r="V189" i="9"/>
  <c r="V191" i="9"/>
  <c r="V194" i="9"/>
  <c r="V195" i="9"/>
  <c r="V197" i="9"/>
  <c r="V200" i="9"/>
  <c r="V201" i="9"/>
  <c r="V202" i="9"/>
  <c r="V203" i="9"/>
  <c r="V204" i="9"/>
  <c r="V206" i="9"/>
  <c r="V207" i="9"/>
  <c r="V208" i="9"/>
  <c r="V211" i="9"/>
  <c r="V212" i="9"/>
  <c r="V214" i="9"/>
  <c r="V217" i="9"/>
  <c r="V218" i="9"/>
  <c r="V220" i="9"/>
  <c r="V223" i="9"/>
  <c r="V224" i="9"/>
  <c r="V227" i="9"/>
  <c r="V228" i="9"/>
  <c r="V230" i="9"/>
  <c r="V232" i="9"/>
  <c r="V233" i="9"/>
  <c r="V235" i="9"/>
  <c r="V237" i="9"/>
  <c r="V239" i="9"/>
  <c r="V241" i="9"/>
  <c r="V244" i="9"/>
  <c r="V247" i="9"/>
  <c r="V249" i="9"/>
  <c r="V251" i="9"/>
  <c r="V252" i="9"/>
  <c r="V254" i="9"/>
  <c r="V255" i="9"/>
  <c r="V256" i="9"/>
  <c r="V258" i="9"/>
  <c r="V260" i="9"/>
  <c r="V263" i="9"/>
  <c r="V264" i="9"/>
  <c r="V266" i="9"/>
  <c r="V269" i="9"/>
  <c r="V270" i="9"/>
  <c r="V272" i="9"/>
  <c r="V273" i="9"/>
  <c r="V275" i="9"/>
  <c r="V276" i="9"/>
  <c r="V278" i="9"/>
  <c r="V281" i="9"/>
  <c r="V283" i="9"/>
  <c r="V284" i="9"/>
  <c r="V286" i="9"/>
  <c r="V288" i="9"/>
  <c r="V289" i="9"/>
  <c r="V291" i="9"/>
  <c r="V294" i="9"/>
  <c r="V296" i="9"/>
  <c r="V297" i="9"/>
  <c r="V301" i="9"/>
  <c r="V303" i="9"/>
  <c r="V305" i="9"/>
  <c r="V306" i="9"/>
  <c r="V308" i="9"/>
  <c r="V309" i="9"/>
  <c r="V310" i="9"/>
  <c r="V312" i="9"/>
  <c r="V314" i="9"/>
  <c r="V317" i="9"/>
  <c r="V318" i="9"/>
  <c r="V321" i="9"/>
  <c r="V325" i="9"/>
  <c r="V326" i="9"/>
  <c r="V327" i="9"/>
  <c r="V329" i="9"/>
  <c r="V331" i="9"/>
  <c r="V332" i="9"/>
  <c r="V333" i="9"/>
  <c r="V334" i="9"/>
  <c r="V336" i="9"/>
  <c r="V341" i="9"/>
  <c r="V343" i="9"/>
  <c r="V348" i="9"/>
  <c r="V351" i="9"/>
  <c r="V352" i="9"/>
  <c r="V353" i="9"/>
  <c r="V354" i="9"/>
  <c r="V357" i="9"/>
  <c r="V358" i="9"/>
  <c r="V360" i="9"/>
  <c r="V362" i="9"/>
  <c r="V365" i="9"/>
  <c r="V367" i="9"/>
  <c r="V370" i="9"/>
  <c r="V374" i="9"/>
  <c r="V377" i="9"/>
  <c r="V379" i="9"/>
  <c r="V380" i="9"/>
  <c r="V382" i="9"/>
  <c r="V387" i="9"/>
  <c r="V390" i="9"/>
  <c r="V393" i="9"/>
  <c r="V396" i="9"/>
  <c r="V397" i="9"/>
  <c r="V399" i="9"/>
  <c r="V401" i="9"/>
  <c r="V405" i="9"/>
  <c r="V407" i="9"/>
  <c r="V410" i="9"/>
  <c r="V413" i="9"/>
  <c r="V414" i="9"/>
  <c r="V416" i="9"/>
  <c r="V420" i="9"/>
  <c r="V423" i="9"/>
  <c r="V428" i="9"/>
  <c r="V432" i="9"/>
  <c r="V434" i="9"/>
  <c r="V437" i="9"/>
  <c r="V440" i="9"/>
  <c r="V441" i="9"/>
  <c r="V443" i="9"/>
  <c r="V446" i="9"/>
  <c r="V447" i="9"/>
  <c r="V449" i="9"/>
  <c r="V452" i="9"/>
  <c r="V454" i="9"/>
  <c r="V455" i="9"/>
  <c r="V457" i="9"/>
  <c r="V459" i="9"/>
  <c r="V467" i="9"/>
  <c r="V472" i="9"/>
  <c r="V473" i="9"/>
  <c r="V474" i="9"/>
  <c r="V478" i="9"/>
  <c r="V481" i="9"/>
  <c r="V483" i="9"/>
  <c r="V490" i="9"/>
  <c r="V492" i="9"/>
  <c r="V494" i="9"/>
  <c r="V500" i="9"/>
  <c r="V504" i="9"/>
  <c r="V510" i="9"/>
  <c r="V515" i="9"/>
  <c r="V516" i="9"/>
  <c r="V517" i="9"/>
  <c r="V520" i="9"/>
  <c r="V523" i="9"/>
  <c r="V528" i="9"/>
  <c r="V531" i="9"/>
  <c r="V537" i="9"/>
  <c r="V538" i="9"/>
  <c r="V539" i="9"/>
  <c r="V540" i="9"/>
  <c r="V547" i="9"/>
  <c r="V552" i="9"/>
  <c r="V553" i="9"/>
  <c r="V556" i="9"/>
  <c r="V562" i="9"/>
  <c r="V563" i="9"/>
  <c r="V567" i="9"/>
  <c r="V568" i="9"/>
  <c r="V571" i="9"/>
  <c r="V574" i="9"/>
  <c r="V578" i="9"/>
  <c r="V580" i="9"/>
  <c r="V583" i="9"/>
  <c r="V588" i="9"/>
  <c r="V593" i="9"/>
  <c r="V596" i="9"/>
  <c r="V599" i="9"/>
  <c r="V605" i="9"/>
  <c r="V608" i="9"/>
  <c r="V614" i="9"/>
  <c r="V619" i="9"/>
  <c r="V625" i="9"/>
  <c r="V627" i="9"/>
  <c r="V631" i="9"/>
  <c r="V635" i="9"/>
  <c r="V642" i="9"/>
  <c r="V645" i="9"/>
  <c r="V647" i="9"/>
  <c r="V652" i="9"/>
  <c r="V653" i="9"/>
  <c r="V663" i="9"/>
  <c r="V676" i="9"/>
  <c r="V688" i="9"/>
  <c r="V693" i="9"/>
  <c r="V699" i="9"/>
  <c r="V702" i="9"/>
  <c r="V703" i="9"/>
  <c r="V714" i="9"/>
  <c r="T5" i="9"/>
  <c r="T6" i="9"/>
  <c r="T7" i="9"/>
  <c r="T10" i="9"/>
  <c r="T11" i="9"/>
  <c r="T12" i="9"/>
  <c r="T13" i="9"/>
  <c r="T15" i="9"/>
  <c r="T16" i="9"/>
  <c r="T17" i="9"/>
  <c r="T18" i="9"/>
  <c r="T19" i="9"/>
  <c r="T21" i="9"/>
  <c r="T22" i="9"/>
  <c r="T23" i="9"/>
  <c r="T24" i="9"/>
  <c r="T27" i="9"/>
  <c r="T28" i="9"/>
  <c r="T29" i="9"/>
  <c r="T30" i="9"/>
  <c r="T36" i="9"/>
  <c r="T37" i="9"/>
  <c r="T38" i="9"/>
  <c r="T39" i="9"/>
  <c r="T42" i="9"/>
  <c r="T43" i="9"/>
  <c r="T44" i="9"/>
  <c r="T47" i="9"/>
  <c r="T48" i="9"/>
  <c r="T52" i="9"/>
  <c r="T53" i="9"/>
  <c r="T54" i="9"/>
  <c r="T57" i="9"/>
  <c r="T58" i="9"/>
  <c r="T61" i="9"/>
  <c r="T62" i="9"/>
  <c r="T63" i="9"/>
  <c r="T64" i="9"/>
  <c r="T67" i="9"/>
  <c r="T68" i="9"/>
  <c r="T69" i="9"/>
  <c r="T70" i="9"/>
  <c r="T74" i="9"/>
  <c r="T75" i="9"/>
  <c r="T76" i="9"/>
  <c r="T80" i="9"/>
  <c r="T81" i="9"/>
  <c r="T84" i="9"/>
  <c r="T85" i="9"/>
  <c r="T86" i="9"/>
  <c r="T88" i="9"/>
  <c r="T89" i="9"/>
  <c r="T94" i="9"/>
  <c r="T95" i="9"/>
  <c r="T97" i="9"/>
  <c r="T99" i="9"/>
  <c r="T100" i="9"/>
  <c r="T101" i="9"/>
  <c r="T102" i="9"/>
  <c r="T106" i="9"/>
  <c r="T107" i="9"/>
  <c r="T108" i="9"/>
  <c r="T110" i="9"/>
  <c r="T111" i="9"/>
  <c r="T116" i="9"/>
  <c r="T117" i="9"/>
  <c r="T121" i="9"/>
  <c r="T122" i="9"/>
  <c r="T128" i="9"/>
  <c r="T129" i="9"/>
  <c r="T133" i="9"/>
  <c r="T134" i="9"/>
  <c r="T139" i="9"/>
  <c r="T140" i="9"/>
  <c r="T142" i="9"/>
  <c r="T143" i="9"/>
  <c r="T144" i="9"/>
  <c r="T147" i="9"/>
  <c r="T148" i="9"/>
  <c r="T149" i="9"/>
  <c r="T153" i="9"/>
  <c r="T154" i="9"/>
  <c r="T155" i="9"/>
  <c r="T157" i="9"/>
  <c r="T158" i="9"/>
  <c r="T160" i="9"/>
  <c r="T161" i="9"/>
  <c r="T162" i="9"/>
  <c r="T166" i="9"/>
  <c r="T167" i="9"/>
  <c r="T171" i="9"/>
  <c r="T172" i="9"/>
  <c r="T175" i="9"/>
  <c r="T184" i="9"/>
  <c r="T188" i="9"/>
  <c r="T189" i="9"/>
  <c r="T191" i="9"/>
  <c r="T195" i="9"/>
  <c r="T196" i="9"/>
  <c r="T197" i="9"/>
  <c r="T202" i="9"/>
  <c r="T203" i="9"/>
  <c r="T206" i="9"/>
  <c r="T207" i="9"/>
  <c r="T208" i="9"/>
  <c r="T213" i="9"/>
  <c r="T214" i="9"/>
  <c r="T219" i="9"/>
  <c r="T220" i="9"/>
  <c r="T225" i="9"/>
  <c r="T228" i="9"/>
  <c r="T229" i="9"/>
  <c r="T233" i="9"/>
  <c r="T234" i="9"/>
  <c r="T235" i="9"/>
  <c r="T237" i="9"/>
  <c r="T238" i="9"/>
  <c r="T239" i="9"/>
  <c r="T240" i="9"/>
  <c r="T241" i="9"/>
  <c r="T246" i="9"/>
  <c r="T247" i="9"/>
  <c r="T249" i="9"/>
  <c r="T250" i="9"/>
  <c r="T251" i="9"/>
  <c r="T256" i="9"/>
  <c r="T259" i="9"/>
  <c r="T260" i="9"/>
  <c r="T265" i="9"/>
  <c r="T266" i="9"/>
  <c r="T270" i="9"/>
  <c r="T271" i="9"/>
  <c r="T272" i="9"/>
  <c r="T275" i="9"/>
  <c r="T276" i="9"/>
  <c r="T279" i="9"/>
  <c r="T280" i="9"/>
  <c r="T281" i="9"/>
  <c r="T284" i="9"/>
  <c r="T285" i="9"/>
  <c r="T286" i="9"/>
  <c r="T290" i="9"/>
  <c r="T291" i="9"/>
  <c r="T296" i="9"/>
  <c r="T299" i="9"/>
  <c r="T300" i="9"/>
  <c r="T301" i="9"/>
  <c r="T307" i="9"/>
  <c r="T309" i="9"/>
  <c r="T314" i="9"/>
  <c r="T318" i="9"/>
  <c r="T322" i="9"/>
  <c r="T326" i="9"/>
  <c r="T330" i="9"/>
  <c r="T334" i="9"/>
  <c r="T335" i="9"/>
  <c r="T336" i="9"/>
  <c r="T339" i="9"/>
  <c r="T340" i="9"/>
  <c r="T341" i="9"/>
  <c r="T342" i="9"/>
  <c r="T347" i="9"/>
  <c r="T348" i="9"/>
  <c r="T353" i="9"/>
  <c r="T354" i="9"/>
  <c r="T358" i="9"/>
  <c r="T359" i="9"/>
  <c r="T362" i="9"/>
  <c r="T365" i="9"/>
  <c r="T366" i="9"/>
  <c r="T367" i="9"/>
  <c r="T373" i="9"/>
  <c r="T374" i="9"/>
  <c r="T380" i="9"/>
  <c r="T381" i="9"/>
  <c r="T382" i="9"/>
  <c r="T386" i="9"/>
  <c r="T387" i="9"/>
  <c r="T391" i="9"/>
  <c r="T392" i="9"/>
  <c r="T397" i="9"/>
  <c r="T398" i="9"/>
  <c r="T399" i="9"/>
  <c r="T401" i="9"/>
  <c r="T404" i="9"/>
  <c r="T409" i="9"/>
  <c r="T410" i="9"/>
  <c r="T415" i="9"/>
  <c r="T420" i="9"/>
  <c r="T423" i="9"/>
  <c r="T424" i="9"/>
  <c r="T429" i="9"/>
  <c r="T433" i="9"/>
  <c r="T434" i="9"/>
  <c r="T442" i="9"/>
  <c r="T447" i="9"/>
  <c r="T448" i="9"/>
  <c r="T456" i="9"/>
  <c r="T457" i="9"/>
  <c r="T461" i="9"/>
  <c r="T462" i="9"/>
  <c r="T465" i="9"/>
  <c r="T468" i="9"/>
  <c r="T469" i="9"/>
  <c r="T478" i="9"/>
  <c r="T483" i="9"/>
  <c r="T486" i="9"/>
  <c r="T490" i="9"/>
  <c r="T491" i="9"/>
  <c r="T492" i="9"/>
  <c r="T496" i="9"/>
  <c r="T497" i="9"/>
  <c r="T501" i="9"/>
  <c r="T506" i="9"/>
  <c r="T511" i="9"/>
  <c r="T516" i="9"/>
  <c r="T517" i="9"/>
  <c r="T520" i="9"/>
  <c r="T524" i="9"/>
  <c r="T527" i="9"/>
  <c r="T533" i="9"/>
  <c r="T534" i="9"/>
  <c r="T539" i="9"/>
  <c r="T540" i="9"/>
  <c r="T543" i="9"/>
  <c r="T544" i="9"/>
  <c r="T549" i="9"/>
  <c r="T553" i="9"/>
  <c r="T554" i="9"/>
  <c r="T558" i="9"/>
  <c r="T564" i="9"/>
  <c r="T565" i="9"/>
  <c r="T572" i="9"/>
  <c r="T576" i="9"/>
  <c r="T579" i="9"/>
  <c r="T584" i="9"/>
  <c r="T591" i="9"/>
  <c r="T598" i="9"/>
  <c r="T599" i="9"/>
  <c r="T602" i="9"/>
  <c r="T607" i="9"/>
  <c r="T610" i="9"/>
  <c r="T615" i="9"/>
  <c r="T621" i="9"/>
  <c r="T624" i="9"/>
  <c r="T631" i="9"/>
  <c r="T632" i="9"/>
  <c r="T638" i="9"/>
  <c r="T641" i="9"/>
  <c r="T644" i="9"/>
  <c r="T654" i="9"/>
  <c r="T657" i="9"/>
  <c r="T664" i="9"/>
  <c r="T668" i="9"/>
  <c r="T673" i="9"/>
  <c r="T677" i="9"/>
  <c r="T682" i="9"/>
  <c r="T686" i="9"/>
  <c r="T689" i="9"/>
  <c r="T690" i="9"/>
  <c r="T694" i="9"/>
  <c r="T698" i="9"/>
  <c r="T704" i="9"/>
  <c r="T708" i="9"/>
  <c r="T715" i="9"/>
  <c r="T727" i="9"/>
  <c r="R4" i="9"/>
  <c r="R7" i="9"/>
  <c r="R8" i="9"/>
  <c r="R9" i="9"/>
  <c r="R10" i="9"/>
  <c r="R13" i="9"/>
  <c r="R15" i="9"/>
  <c r="R17" i="9"/>
  <c r="R18" i="9"/>
  <c r="R19" i="9"/>
  <c r="R24" i="9"/>
  <c r="R25" i="9"/>
  <c r="R27" i="9"/>
  <c r="R30" i="9"/>
  <c r="R31" i="9"/>
  <c r="R33" i="9"/>
  <c r="R34" i="9"/>
  <c r="R36" i="9"/>
  <c r="R39" i="9"/>
  <c r="R40" i="9"/>
  <c r="R41" i="9"/>
  <c r="R42" i="9"/>
  <c r="R44" i="9"/>
  <c r="R45" i="9"/>
  <c r="R47" i="9"/>
  <c r="R49" i="9"/>
  <c r="R51" i="9"/>
  <c r="R54" i="9"/>
  <c r="R56" i="9"/>
  <c r="R58" i="9"/>
  <c r="R59" i="9"/>
  <c r="R61" i="9"/>
  <c r="R64" i="9"/>
  <c r="R65" i="9"/>
  <c r="R67" i="9"/>
  <c r="R70" i="9"/>
  <c r="R71" i="9"/>
  <c r="R73" i="9"/>
  <c r="R76" i="9"/>
  <c r="R77" i="9"/>
  <c r="R79" i="9"/>
  <c r="R81" i="9"/>
  <c r="R82" i="9"/>
  <c r="R84" i="9"/>
  <c r="R86" i="9"/>
  <c r="R88" i="9"/>
  <c r="R90" i="9"/>
  <c r="R91" i="9"/>
  <c r="R93" i="9"/>
  <c r="R98" i="9"/>
  <c r="R99" i="9"/>
  <c r="R106" i="9"/>
  <c r="R113" i="9"/>
  <c r="R115" i="9"/>
  <c r="R121" i="9"/>
  <c r="R127" i="9"/>
  <c r="R133" i="9"/>
  <c r="R136" i="9"/>
  <c r="R137" i="9"/>
  <c r="R138" i="9"/>
  <c r="R142" i="9"/>
  <c r="R147" i="9"/>
  <c r="R151" i="9"/>
  <c r="R153" i="9"/>
  <c r="R156" i="9"/>
  <c r="R160" i="9"/>
  <c r="R165" i="9"/>
  <c r="R170" i="9"/>
  <c r="R175" i="9"/>
  <c r="R177" i="9"/>
  <c r="R179" i="9"/>
  <c r="R183" i="9"/>
  <c r="R188" i="9"/>
  <c r="R190" i="9"/>
  <c r="R195" i="9"/>
  <c r="R201" i="9"/>
  <c r="R206" i="9"/>
  <c r="R210" i="9"/>
  <c r="R212" i="9"/>
  <c r="R218" i="9"/>
  <c r="R224" i="9"/>
  <c r="R226" i="9"/>
  <c r="R228" i="9"/>
  <c r="R233" i="9"/>
  <c r="R237" i="9"/>
  <c r="R239" i="9"/>
  <c r="R245" i="9"/>
  <c r="R249" i="9"/>
  <c r="R258" i="9"/>
  <c r="R260" i="9"/>
  <c r="R268" i="9"/>
  <c r="R270" i="9"/>
  <c r="R275" i="9"/>
  <c r="R279" i="9"/>
  <c r="R282" i="9"/>
  <c r="R289" i="9"/>
  <c r="R299" i="9"/>
  <c r="R306" i="9"/>
  <c r="R313" i="9"/>
  <c r="R320" i="9"/>
  <c r="R321" i="9"/>
  <c r="R329" i="9"/>
  <c r="R339" i="9"/>
  <c r="R345" i="9"/>
  <c r="R346" i="9"/>
  <c r="R358" i="9"/>
  <c r="R365" i="9"/>
  <c r="R368" i="9"/>
  <c r="R371" i="9"/>
  <c r="R372" i="9"/>
  <c r="R383" i="9"/>
  <c r="R384" i="9"/>
  <c r="R406" i="9"/>
  <c r="R412" i="9"/>
  <c r="R458" i="9"/>
  <c r="R465" i="9"/>
  <c r="R484" i="9"/>
  <c r="R509" i="9"/>
  <c r="R560" i="9"/>
  <c r="R561" i="9"/>
  <c r="R604" i="9"/>
  <c r="R607" i="9"/>
  <c r="R676" i="9"/>
  <c r="R685" i="9"/>
  <c r="R687" i="9"/>
  <c r="R711" i="9"/>
  <c r="R713" i="9"/>
  <c r="R718" i="9"/>
  <c r="R720" i="9"/>
  <c r="P4" i="9"/>
  <c r="P9" i="9"/>
  <c r="P10" i="9"/>
  <c r="P14" i="9"/>
  <c r="P15" i="9"/>
  <c r="P16" i="9"/>
  <c r="P20" i="9"/>
  <c r="P26" i="9"/>
  <c r="P27" i="9"/>
  <c r="P32" i="9"/>
  <c r="P33" i="9"/>
  <c r="P35" i="9"/>
  <c r="P41" i="9"/>
  <c r="P42" i="9"/>
  <c r="P46" i="9"/>
  <c r="P47" i="9"/>
  <c r="P50" i="9"/>
  <c r="P55" i="9"/>
  <c r="P56" i="9"/>
  <c r="P60" i="9"/>
  <c r="P61" i="9"/>
  <c r="P66" i="9"/>
  <c r="P67" i="9"/>
  <c r="P72" i="9"/>
  <c r="P73" i="9"/>
  <c r="P78" i="9"/>
  <c r="P79" i="9"/>
  <c r="P83" i="9"/>
  <c r="P84" i="9"/>
  <c r="P87" i="9"/>
  <c r="P88" i="9"/>
  <c r="P92" i="9"/>
  <c r="P93" i="9"/>
  <c r="P98" i="9"/>
  <c r="P99" i="9"/>
  <c r="P105" i="9"/>
  <c r="P106" i="9"/>
  <c r="P114" i="9"/>
  <c r="P115" i="9"/>
  <c r="P120" i="9"/>
  <c r="P124" i="9"/>
  <c r="P126" i="9"/>
  <c r="P127" i="9"/>
  <c r="P132" i="9"/>
  <c r="P137" i="9"/>
  <c r="P138" i="9"/>
  <c r="P142" i="9"/>
  <c r="P152" i="9"/>
  <c r="P155" i="9"/>
  <c r="P156" i="9"/>
  <c r="P160" i="9"/>
  <c r="P165" i="9"/>
  <c r="P170" i="9"/>
  <c r="P178" i="9"/>
  <c r="P179" i="9"/>
  <c r="P182" i="9"/>
  <c r="P183" i="9"/>
  <c r="P187" i="9"/>
  <c r="P189" i="9"/>
  <c r="P194" i="9"/>
  <c r="P195" i="9"/>
  <c r="P200" i="9"/>
  <c r="P201" i="9"/>
  <c r="P206" i="9"/>
  <c r="P207" i="9"/>
  <c r="P211" i="9"/>
  <c r="P217" i="9"/>
  <c r="P218" i="9"/>
  <c r="P223" i="9"/>
  <c r="P224" i="9"/>
  <c r="P227" i="9"/>
  <c r="P232" i="9"/>
  <c r="P235" i="9"/>
  <c r="P244" i="9"/>
  <c r="P254" i="9"/>
  <c r="P255" i="9"/>
  <c r="P258" i="9"/>
  <c r="P263" i="9"/>
  <c r="P269" i="9"/>
  <c r="P270" i="9"/>
  <c r="P278" i="9"/>
  <c r="P283" i="9"/>
  <c r="P284" i="9"/>
  <c r="P288" i="9"/>
  <c r="P294" i="9"/>
  <c r="P299" i="9"/>
  <c r="P303" i="9"/>
  <c r="P305" i="9"/>
  <c r="P308" i="9"/>
  <c r="P312" i="9"/>
  <c r="P313" i="9"/>
  <c r="P317" i="9"/>
  <c r="P325" i="9"/>
  <c r="P333" i="9"/>
  <c r="P334" i="9"/>
  <c r="P339" i="9"/>
  <c r="P346" i="9"/>
  <c r="P347" i="9"/>
  <c r="P351" i="9"/>
  <c r="P352" i="9"/>
  <c r="P357" i="9"/>
  <c r="P358" i="9"/>
  <c r="P365" i="9"/>
  <c r="P370" i="9"/>
  <c r="P371" i="9"/>
  <c r="P372" i="9"/>
  <c r="P379" i="9"/>
  <c r="P390" i="9"/>
  <c r="P396" i="9"/>
  <c r="P397" i="9"/>
  <c r="P407" i="9"/>
  <c r="P413" i="9"/>
  <c r="P418" i="9"/>
  <c r="P419" i="9"/>
  <c r="P423" i="9"/>
  <c r="P427" i="9"/>
  <c r="P428" i="9"/>
  <c r="P437" i="9"/>
  <c r="P440" i="9"/>
  <c r="P441" i="9"/>
  <c r="P446" i="9"/>
  <c r="P451" i="9"/>
  <c r="P454" i="9"/>
  <c r="P459" i="9"/>
  <c r="P472" i="9"/>
  <c r="P473" i="9"/>
  <c r="P477" i="9"/>
  <c r="P481" i="9"/>
  <c r="P482" i="9"/>
  <c r="P494" i="9"/>
  <c r="P500" i="9"/>
  <c r="P504" i="9"/>
  <c r="P509" i="9"/>
  <c r="P510" i="9"/>
  <c r="P515" i="9"/>
  <c r="P519" i="9"/>
  <c r="P523" i="9"/>
  <c r="P525" i="9"/>
  <c r="P526" i="9"/>
  <c r="P531" i="9"/>
  <c r="P537" i="9"/>
  <c r="P547" i="9"/>
  <c r="P556" i="9"/>
  <c r="P557" i="9"/>
  <c r="P559" i="9"/>
  <c r="P562" i="9"/>
  <c r="P568" i="9"/>
  <c r="P569" i="9"/>
  <c r="P572" i="9"/>
  <c r="P574" i="9"/>
  <c r="P575" i="9"/>
  <c r="P576" i="9"/>
  <c r="P578" i="9"/>
  <c r="P583" i="9"/>
  <c r="P586" i="9"/>
  <c r="P588" i="9"/>
  <c r="P593" i="9"/>
  <c r="P596" i="9"/>
  <c r="P597" i="9"/>
  <c r="P605" i="9"/>
  <c r="P608" i="9"/>
  <c r="P609" i="9"/>
  <c r="P611" i="9"/>
  <c r="P619" i="9"/>
  <c r="P622" i="9"/>
  <c r="P624" i="9"/>
  <c r="P625" i="9"/>
  <c r="P635" i="9"/>
  <c r="P636" i="9"/>
  <c r="P642" i="9"/>
  <c r="P643" i="9"/>
  <c r="P647" i="9"/>
  <c r="P649" i="9"/>
  <c r="P652" i="9"/>
  <c r="P656" i="9"/>
  <c r="P659" i="9"/>
  <c r="P667" i="9"/>
  <c r="P671" i="9"/>
  <c r="P672" i="9"/>
  <c r="P675" i="9"/>
  <c r="P676" i="9"/>
  <c r="P684" i="9"/>
  <c r="P685" i="9"/>
  <c r="P688" i="9"/>
  <c r="P689" i="9"/>
  <c r="P693" i="9"/>
  <c r="P697" i="9"/>
  <c r="P702" i="9"/>
  <c r="P703" i="9"/>
  <c r="P707" i="9"/>
  <c r="P714" i="9"/>
  <c r="P719" i="9"/>
  <c r="P724" i="9"/>
  <c r="P725" i="9"/>
  <c r="N3" i="9"/>
  <c r="N4" i="9"/>
  <c r="N5" i="9"/>
  <c r="N6" i="9"/>
  <c r="N7" i="9"/>
  <c r="N8" i="9"/>
  <c r="N9" i="9"/>
  <c r="N10" i="9"/>
  <c r="N11" i="9"/>
  <c r="N12" i="9"/>
  <c r="N13" i="9"/>
  <c r="N14" i="9"/>
  <c r="N15" i="9"/>
  <c r="N16" i="9"/>
  <c r="N17" i="9"/>
  <c r="N18" i="9"/>
  <c r="N19" i="9"/>
  <c r="N20" i="9"/>
  <c r="N21" i="9"/>
  <c r="N22" i="9"/>
  <c r="N23" i="9"/>
  <c r="N24" i="9"/>
  <c r="N25" i="9"/>
  <c r="N26" i="9"/>
  <c r="N27" i="9"/>
  <c r="N28" i="9"/>
  <c r="N29" i="9"/>
  <c r="N30" i="9"/>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4" i="9"/>
  <c r="N325" i="9"/>
  <c r="N326" i="9"/>
  <c r="N328" i="9"/>
  <c r="N329" i="9"/>
  <c r="N330" i="9"/>
  <c r="N332" i="9"/>
  <c r="N333" i="9"/>
  <c r="N334" i="9"/>
  <c r="N335" i="9"/>
  <c r="N336" i="9"/>
  <c r="N338" i="9"/>
  <c r="N339" i="9"/>
  <c r="N340" i="9"/>
  <c r="N341" i="9"/>
  <c r="N342" i="9"/>
  <c r="N343" i="9"/>
  <c r="N345" i="9"/>
  <c r="N346" i="9"/>
  <c r="N347" i="9"/>
  <c r="N348" i="9"/>
  <c r="N350" i="9"/>
  <c r="N351" i="9"/>
  <c r="N352" i="9"/>
  <c r="N353" i="9"/>
  <c r="N354" i="9"/>
  <c r="N356" i="9"/>
  <c r="N357" i="9"/>
  <c r="N358" i="9"/>
  <c r="N359" i="9"/>
  <c r="N360" i="9"/>
  <c r="N362" i="9"/>
  <c r="N364" i="9"/>
  <c r="N365" i="9"/>
  <c r="N366" i="9"/>
  <c r="N367" i="9"/>
  <c r="N368" i="9"/>
  <c r="N369" i="9"/>
  <c r="N370" i="9"/>
  <c r="N371" i="9"/>
  <c r="N372" i="9"/>
  <c r="N373" i="9"/>
  <c r="N374" i="9"/>
  <c r="N376" i="9"/>
  <c r="N377" i="9"/>
  <c r="N379" i="9"/>
  <c r="N380" i="9"/>
  <c r="N381" i="9"/>
  <c r="N382" i="9"/>
  <c r="N384" i="9"/>
  <c r="N385" i="9"/>
  <c r="N386" i="9"/>
  <c r="N387" i="9"/>
  <c r="N389" i="9"/>
  <c r="N390" i="9"/>
  <c r="N391" i="9"/>
  <c r="N392" i="9"/>
  <c r="N393" i="9"/>
  <c r="N395" i="9"/>
  <c r="N396" i="9"/>
  <c r="N397" i="9"/>
  <c r="N398" i="9"/>
  <c r="N399" i="9"/>
  <c r="N401" i="9"/>
  <c r="N403" i="9"/>
  <c r="N404" i="9"/>
  <c r="N405" i="9"/>
  <c r="N407" i="9"/>
  <c r="N408" i="9"/>
  <c r="N409" i="9"/>
  <c r="N410" i="9"/>
  <c r="N412" i="9"/>
  <c r="N413" i="9"/>
  <c r="N414" i="9"/>
  <c r="N415" i="9"/>
  <c r="N416" i="9"/>
  <c r="N418" i="9"/>
  <c r="N419" i="9"/>
  <c r="N420" i="9"/>
  <c r="N422" i="9"/>
  <c r="N423" i="9"/>
  <c r="N424" i="9"/>
  <c r="N426" i="9"/>
  <c r="N427" i="9"/>
  <c r="N428" i="9"/>
  <c r="N429" i="9"/>
  <c r="N431" i="9"/>
  <c r="N432" i="9"/>
  <c r="N433" i="9"/>
  <c r="N434" i="9"/>
  <c r="N436" i="9"/>
  <c r="N437" i="9"/>
  <c r="N439" i="9"/>
  <c r="N441" i="9"/>
  <c r="N442" i="9"/>
  <c r="N443" i="9"/>
  <c r="N445" i="9"/>
  <c r="N446" i="9"/>
  <c r="N447" i="9"/>
  <c r="N448" i="9"/>
  <c r="N450" i="9"/>
  <c r="N451" i="9"/>
  <c r="N452" i="9"/>
  <c r="N453" i="9"/>
  <c r="N454" i="9"/>
  <c r="N455" i="9"/>
  <c r="N456" i="9"/>
  <c r="N457" i="9"/>
  <c r="N458" i="9"/>
  <c r="N459" i="9"/>
  <c r="N460" i="9"/>
  <c r="N461" i="9"/>
  <c r="N462" i="9"/>
  <c r="N465" i="9"/>
  <c r="N467" i="9"/>
  <c r="N468" i="9"/>
  <c r="N469" i="9"/>
  <c r="N471" i="9"/>
  <c r="N472" i="9"/>
  <c r="N473" i="9"/>
  <c r="N474" i="9"/>
  <c r="N476" i="9"/>
  <c r="N477" i="9"/>
  <c r="N478" i="9"/>
  <c r="N480" i="9"/>
  <c r="N481" i="9"/>
  <c r="N482" i="9"/>
  <c r="N483" i="9"/>
  <c r="N484" i="9"/>
  <c r="N485" i="9"/>
  <c r="N486" i="9"/>
  <c r="N487" i="9"/>
  <c r="N489" i="9"/>
  <c r="N490" i="9"/>
  <c r="N491" i="9"/>
  <c r="N492" i="9"/>
  <c r="N493" i="9"/>
  <c r="N494" i="9"/>
  <c r="N495" i="9"/>
  <c r="N496" i="9"/>
  <c r="N497" i="9"/>
  <c r="N499" i="9"/>
  <c r="N501" i="9"/>
  <c r="N503" i="9"/>
  <c r="N504" i="9"/>
  <c r="N505" i="9"/>
  <c r="N506" i="9"/>
  <c r="N508" i="9"/>
  <c r="N510" i="9"/>
  <c r="N511" i="9"/>
  <c r="N512" i="9"/>
  <c r="N514" i="9"/>
  <c r="N515" i="9"/>
  <c r="N516" i="9"/>
  <c r="N517" i="9"/>
  <c r="N520" i="9"/>
  <c r="N522" i="9"/>
  <c r="N523" i="9"/>
  <c r="N524" i="9"/>
  <c r="N525" i="9"/>
  <c r="N526" i="9"/>
  <c r="N527" i="9"/>
  <c r="N528" i="9"/>
  <c r="N530" i="9"/>
  <c r="N532" i="9"/>
  <c r="N533" i="9"/>
  <c r="N534" i="9"/>
  <c r="N536" i="9"/>
  <c r="N538" i="9"/>
  <c r="N539" i="9"/>
  <c r="N540" i="9"/>
  <c r="N542" i="9"/>
  <c r="N543" i="9"/>
  <c r="N544" i="9"/>
  <c r="N546" i="9"/>
  <c r="N547" i="9"/>
  <c r="N549" i="9"/>
  <c r="N551" i="9"/>
  <c r="N552" i="9"/>
  <c r="N553" i="9"/>
  <c r="N554" i="9"/>
  <c r="N557" i="9"/>
  <c r="N558" i="9"/>
  <c r="N559" i="9"/>
  <c r="N561" i="9"/>
  <c r="N562" i="9"/>
  <c r="N563" i="9"/>
  <c r="N564" i="9"/>
  <c r="N565" i="9"/>
  <c r="N567" i="9"/>
  <c r="N569" i="9"/>
  <c r="N571" i="9"/>
  <c r="N572" i="9"/>
  <c r="N575" i="9"/>
  <c r="N576" i="9"/>
  <c r="N579" i="9"/>
  <c r="N580" i="9"/>
  <c r="N582" i="9"/>
  <c r="N583" i="9"/>
  <c r="N584" i="9"/>
  <c r="N585" i="9"/>
  <c r="N586" i="9"/>
  <c r="N589" i="9"/>
  <c r="N591" i="9"/>
  <c r="N595" i="9"/>
  <c r="N597" i="9"/>
  <c r="N598" i="9"/>
  <c r="N599" i="9"/>
  <c r="N601" i="9"/>
  <c r="N602" i="9"/>
  <c r="N604" i="9"/>
  <c r="N605" i="9"/>
  <c r="N606" i="9"/>
  <c r="N607" i="9"/>
  <c r="N608" i="9"/>
  <c r="N609" i="9"/>
  <c r="N610" i="9"/>
  <c r="N611" i="9"/>
  <c r="N614" i="9"/>
  <c r="N615" i="9"/>
  <c r="N616" i="9"/>
  <c r="N618" i="9"/>
  <c r="N620" i="9"/>
  <c r="N621" i="9"/>
  <c r="N622" i="9"/>
  <c r="N624" i="9"/>
  <c r="N625" i="9"/>
  <c r="N627" i="9"/>
  <c r="N628" i="9"/>
  <c r="N630" i="9"/>
  <c r="N631" i="9"/>
  <c r="N632" i="9"/>
  <c r="N633" i="9"/>
  <c r="N636" i="9"/>
  <c r="N637" i="9"/>
  <c r="N638" i="9"/>
  <c r="N639" i="9"/>
  <c r="N640" i="9"/>
  <c r="N641" i="9"/>
  <c r="N644" i="9"/>
  <c r="N645" i="9"/>
  <c r="N646" i="9"/>
  <c r="N648" i="9"/>
  <c r="N649" i="9"/>
  <c r="N651" i="9"/>
  <c r="N653" i="9"/>
  <c r="N654" i="9"/>
  <c r="N656" i="9"/>
  <c r="N657" i="9"/>
  <c r="N660" i="9"/>
  <c r="N662" i="9"/>
  <c r="N663" i="9"/>
  <c r="N664" i="9"/>
  <c r="N665" i="9"/>
  <c r="N666" i="9"/>
  <c r="N667" i="9"/>
  <c r="N668" i="9"/>
  <c r="N669" i="9"/>
  <c r="N671" i="9"/>
  <c r="N673" i="9"/>
  <c r="N675" i="9"/>
  <c r="N676" i="9"/>
  <c r="N677" i="9"/>
  <c r="N678" i="9"/>
  <c r="N680" i="9"/>
  <c r="N681" i="9"/>
  <c r="N682" i="9"/>
  <c r="N683" i="9"/>
  <c r="N685" i="9"/>
  <c r="N686" i="9"/>
  <c r="N687" i="9"/>
  <c r="N689" i="9"/>
  <c r="N690" i="9"/>
  <c r="N691" i="9"/>
  <c r="N692" i="9"/>
  <c r="N694" i="9"/>
  <c r="N695" i="9"/>
  <c r="N698" i="9"/>
  <c r="N699" i="9"/>
  <c r="N701" i="9"/>
  <c r="N703" i="9"/>
  <c r="N704" i="9"/>
  <c r="N705" i="9"/>
  <c r="N708" i="9"/>
  <c r="N710" i="9"/>
  <c r="N711" i="9"/>
  <c r="N712" i="9"/>
  <c r="N714" i="9"/>
  <c r="N715" i="9"/>
  <c r="N716" i="9"/>
  <c r="N718" i="9"/>
  <c r="N720" i="9"/>
  <c r="N721" i="9"/>
  <c r="N722" i="9"/>
  <c r="N724" i="9"/>
  <c r="N726" i="9"/>
  <c r="N727" i="9"/>
  <c r="N728" i="9"/>
  <c r="L127" i="9"/>
  <c r="L19" i="9"/>
  <c r="J53" i="8" l="1"/>
  <c r="AB53" i="8"/>
  <c r="J73" i="8"/>
  <c r="AB73" i="8"/>
  <c r="Z53" i="8"/>
  <c r="J30" i="8"/>
  <c r="Z30" i="8"/>
  <c r="J33" i="8"/>
  <c r="J218" i="8"/>
  <c r="J267" i="8"/>
  <c r="J15" i="8"/>
  <c r="X73" i="8"/>
  <c r="X53" i="8"/>
  <c r="X30" i="8"/>
  <c r="V218" i="8"/>
  <c r="J392" i="8"/>
  <c r="V289" i="8"/>
  <c r="J289" i="8"/>
  <c r="J183" i="8"/>
  <c r="T183" i="8"/>
  <c r="T53" i="8"/>
  <c r="J112" i="8"/>
  <c r="J50" i="8"/>
  <c r="J263" i="8"/>
  <c r="J327" i="8"/>
  <c r="R224" i="8"/>
  <c r="J224" i="8"/>
  <c r="J37" i="8"/>
  <c r="J193" i="8"/>
  <c r="J223" i="8"/>
  <c r="J450" i="8"/>
  <c r="J219" i="8"/>
  <c r="J35" i="8"/>
  <c r="J192" i="8"/>
  <c r="J264" i="8"/>
  <c r="P224" i="8"/>
  <c r="J225" i="8"/>
  <c r="J180" i="8"/>
  <c r="J84" i="8"/>
  <c r="K515" i="8"/>
  <c r="J169" i="8"/>
  <c r="N229" i="8"/>
  <c r="J229" i="8"/>
  <c r="P99" i="8"/>
  <c r="J99" i="8"/>
  <c r="J76" i="8"/>
  <c r="P76" i="8"/>
  <c r="J45" i="8"/>
  <c r="P45" i="8"/>
  <c r="P21" i="8"/>
  <c r="J21" i="8"/>
  <c r="J16" i="8"/>
  <c r="P16" i="8"/>
  <c r="J34" i="8"/>
  <c r="J141" i="8"/>
  <c r="J7" i="8"/>
  <c r="J121" i="8"/>
  <c r="J165" i="8"/>
  <c r="P131" i="8"/>
  <c r="J131" i="8"/>
  <c r="P56" i="8"/>
  <c r="J56" i="8"/>
  <c r="J27" i="8"/>
  <c r="P27" i="8"/>
  <c r="P3" i="8"/>
  <c r="J3" i="8"/>
  <c r="P154" i="8"/>
  <c r="J154" i="8"/>
  <c r="J109" i="8"/>
  <c r="P109" i="8"/>
  <c r="J39" i="8"/>
  <c r="P39" i="8"/>
  <c r="J10" i="8"/>
  <c r="P10" i="8"/>
  <c r="J90" i="8"/>
  <c r="N325" i="8"/>
  <c r="J325" i="8"/>
  <c r="J197" i="8"/>
  <c r="J228" i="8"/>
  <c r="P175" i="8"/>
  <c r="J175" i="8"/>
  <c r="J136" i="8"/>
  <c r="P136" i="8"/>
  <c r="P103" i="8"/>
  <c r="J103" i="8"/>
  <c r="J65" i="8"/>
  <c r="P65" i="8"/>
  <c r="N191" i="8"/>
  <c r="J191" i="8"/>
  <c r="J70" i="8"/>
  <c r="J202" i="8"/>
  <c r="P235" i="8"/>
  <c r="J235" i="8"/>
  <c r="J52" i="8"/>
  <c r="J113" i="8"/>
  <c r="J514" i="8"/>
  <c r="N289" i="8"/>
  <c r="J221" i="8"/>
  <c r="N443" i="8"/>
  <c r="J443" i="8"/>
  <c r="N382" i="8"/>
  <c r="J382" i="8"/>
  <c r="N324" i="8"/>
  <c r="J324" i="8"/>
  <c r="J313" i="8"/>
  <c r="N266" i="8"/>
  <c r="J266" i="8"/>
  <c r="N227" i="8"/>
  <c r="J227" i="8"/>
  <c r="N216" i="8"/>
  <c r="J216" i="8"/>
  <c r="J213" i="8"/>
  <c r="N195" i="8"/>
  <c r="J195" i="8"/>
  <c r="J186" i="8"/>
  <c r="N171" i="8"/>
  <c r="J171" i="8"/>
  <c r="N143" i="8"/>
  <c r="J143" i="8"/>
  <c r="J457" i="8"/>
  <c r="N393" i="8"/>
  <c r="J393" i="8"/>
  <c r="J331" i="8"/>
  <c r="J237" i="8"/>
  <c r="J341" i="8"/>
  <c r="N101" i="8"/>
  <c r="J101" i="8"/>
  <c r="J160" i="8"/>
  <c r="J117" i="8"/>
  <c r="J81" i="8"/>
  <c r="J93" i="8"/>
  <c r="J47" i="8"/>
  <c r="J23" i="8"/>
  <c r="J436" i="8"/>
  <c r="J420" i="8"/>
  <c r="J410" i="8"/>
  <c r="J394" i="8"/>
  <c r="J374" i="8"/>
  <c r="J353" i="8"/>
  <c r="J343" i="8"/>
  <c r="J285" i="8"/>
  <c r="J278" i="8"/>
  <c r="J260" i="8"/>
  <c r="J336" i="8"/>
  <c r="J36" i="8"/>
  <c r="J255" i="8"/>
  <c r="J246" i="8"/>
  <c r="J242" i="8"/>
  <c r="J239" i="8"/>
  <c r="J207" i="8"/>
  <c r="J205" i="8"/>
  <c r="J188" i="8"/>
  <c r="J173" i="8"/>
  <c r="J168" i="8"/>
  <c r="J164" i="8"/>
  <c r="J158" i="8"/>
  <c r="J150" i="8"/>
  <c r="J145" i="8"/>
  <c r="J135" i="8"/>
  <c r="J129" i="8"/>
  <c r="J125" i="8"/>
  <c r="J119" i="8"/>
  <c r="J107" i="8"/>
  <c r="J97" i="8"/>
  <c r="J88" i="8"/>
  <c r="J79" i="8"/>
  <c r="J74" i="8"/>
  <c r="J68" i="8"/>
  <c r="J63" i="8"/>
  <c r="J49" i="8"/>
  <c r="J43" i="8"/>
  <c r="J25" i="8"/>
  <c r="J19" i="8"/>
  <c r="J14" i="8"/>
  <c r="J505" i="8"/>
  <c r="J483" i="8"/>
  <c r="J477" i="8"/>
  <c r="J375" i="8"/>
  <c r="J368" i="8"/>
  <c r="J358" i="8"/>
  <c r="J323" i="8"/>
  <c r="J306" i="8"/>
  <c r="J301" i="8"/>
  <c r="J297" i="8"/>
  <c r="J280" i="8"/>
  <c r="J244" i="8"/>
  <c r="J215" i="8"/>
  <c r="J322" i="8"/>
  <c r="J249" i="8"/>
  <c r="J238" i="8"/>
  <c r="J222" i="8"/>
  <c r="J209" i="8"/>
  <c r="J199" i="8"/>
  <c r="J187" i="8"/>
  <c r="J172" i="8"/>
  <c r="J167" i="8"/>
  <c r="J163" i="8"/>
  <c r="J157" i="8"/>
  <c r="J151" i="8"/>
  <c r="J144" i="8"/>
  <c r="J139" i="8"/>
  <c r="J134" i="8"/>
  <c r="J128" i="8"/>
  <c r="J124" i="8"/>
  <c r="J115" i="8"/>
  <c r="J106" i="8"/>
  <c r="J96" i="8"/>
  <c r="J87" i="8"/>
  <c r="J78" i="8"/>
  <c r="J62" i="8"/>
  <c r="J48" i="8"/>
  <c r="J42" i="8"/>
  <c r="J32" i="8"/>
  <c r="J24" i="8"/>
  <c r="J18" i="8"/>
  <c r="J13" i="8"/>
  <c r="J480" i="8"/>
  <c r="J401" i="8"/>
  <c r="J174" i="8"/>
  <c r="J153" i="8"/>
  <c r="J149" i="8"/>
  <c r="J140" i="8"/>
  <c r="J130" i="8"/>
  <c r="J102" i="8"/>
  <c r="J98" i="8"/>
  <c r="J83" i="8"/>
  <c r="J80" i="8"/>
  <c r="J75" i="8"/>
  <c r="J69" i="8"/>
  <c r="J64" i="8"/>
  <c r="J59" i="8"/>
  <c r="J55" i="8"/>
  <c r="J44" i="8"/>
  <c r="J38" i="8"/>
  <c r="J31" i="8"/>
  <c r="J26" i="8"/>
  <c r="J20" i="8"/>
  <c r="J6" i="8"/>
  <c r="J309" i="8"/>
  <c r="N309" i="8"/>
  <c r="L86" i="8"/>
  <c r="J86" i="8"/>
  <c r="J82" i="8"/>
  <c r="J72" i="8"/>
  <c r="L72" i="8"/>
  <c r="J67" i="8"/>
  <c r="J472" i="8"/>
  <c r="N472" i="8"/>
  <c r="J469" i="8"/>
  <c r="L469" i="8"/>
  <c r="J460" i="8"/>
  <c r="L460" i="8"/>
  <c r="J398" i="8"/>
  <c r="L398" i="8"/>
  <c r="J321" i="8"/>
  <c r="J302" i="8"/>
  <c r="J276" i="8"/>
  <c r="J245" i="8"/>
  <c r="J232" i="8"/>
  <c r="J162" i="8"/>
  <c r="L133" i="8"/>
  <c r="J133" i="8"/>
  <c r="L111" i="8"/>
  <c r="J111" i="8"/>
  <c r="J488" i="8"/>
  <c r="N488" i="8"/>
  <c r="J474" i="8"/>
  <c r="N474" i="8"/>
  <c r="J489" i="8"/>
  <c r="P489" i="8"/>
  <c r="J409" i="8"/>
  <c r="L409" i="8"/>
  <c r="J387" i="8"/>
  <c r="L387" i="8"/>
  <c r="L316" i="8"/>
  <c r="J316" i="8"/>
  <c r="J307" i="8"/>
  <c r="J177" i="8"/>
  <c r="L166" i="8"/>
  <c r="J166" i="8"/>
  <c r="L123" i="8"/>
  <c r="J123" i="8"/>
  <c r="J91" i="8"/>
  <c r="J498" i="8"/>
  <c r="L336" i="8"/>
  <c r="L162" i="8"/>
  <c r="L91" i="8"/>
  <c r="N4" i="8"/>
  <c r="J4" i="8"/>
  <c r="J412" i="8"/>
  <c r="L393" i="8"/>
  <c r="L245" i="8"/>
  <c r="L227" i="8"/>
  <c r="L216" i="8"/>
  <c r="L143" i="8"/>
  <c r="N237" i="8"/>
  <c r="J507" i="8"/>
  <c r="N507" i="8"/>
  <c r="J241" i="8"/>
  <c r="N241" i="8"/>
  <c r="J190" i="8"/>
  <c r="N190" i="8"/>
  <c r="J29" i="8"/>
  <c r="N29" i="8"/>
  <c r="N9" i="8"/>
  <c r="J9" i="8"/>
  <c r="L425" i="8"/>
  <c r="J425" i="8"/>
  <c r="L299" i="8"/>
  <c r="J299" i="8"/>
  <c r="J127" i="8"/>
  <c r="P410" i="8"/>
  <c r="P346" i="8"/>
  <c r="J346" i="8"/>
  <c r="J58" i="8"/>
  <c r="J95" i="8"/>
  <c r="J182" i="8"/>
  <c r="J253" i="8"/>
  <c r="J370" i="8"/>
  <c r="L307" i="8"/>
  <c r="L276" i="8"/>
  <c r="L195" i="8"/>
  <c r="L127" i="8"/>
  <c r="P436" i="8"/>
  <c r="P394" i="8"/>
  <c r="P353" i="8"/>
  <c r="N502" i="8"/>
  <c r="J502" i="8"/>
  <c r="J492" i="8"/>
  <c r="N492" i="8"/>
  <c r="J417" i="8"/>
  <c r="N417" i="8"/>
  <c r="J347" i="8"/>
  <c r="N347" i="8"/>
  <c r="N5" i="8"/>
  <c r="J5" i="8"/>
  <c r="J345" i="8"/>
  <c r="L282" i="8"/>
  <c r="J282" i="8"/>
  <c r="J206" i="8"/>
  <c r="L204" i="8"/>
  <c r="J204" i="8"/>
  <c r="J156" i="8"/>
  <c r="L148" i="8"/>
  <c r="J148" i="8"/>
  <c r="L138" i="8"/>
  <c r="J138" i="8"/>
  <c r="L118" i="8"/>
  <c r="J118" i="8"/>
  <c r="J105" i="8"/>
  <c r="L105" i="8"/>
  <c r="J294" i="8"/>
  <c r="J403" i="8"/>
  <c r="L324" i="8"/>
  <c r="L232" i="8"/>
  <c r="L82" i="8"/>
  <c r="N213" i="8"/>
  <c r="N475" i="8"/>
  <c r="J475" i="8"/>
  <c r="J384" i="8"/>
  <c r="N12" i="8"/>
  <c r="J12" i="8"/>
  <c r="J464" i="8"/>
  <c r="J448" i="8"/>
  <c r="J11" i="8"/>
  <c r="J198" i="8"/>
  <c r="J429" i="8"/>
  <c r="L321" i="8"/>
  <c r="L206" i="8"/>
  <c r="L101" i="8"/>
  <c r="N47" i="8"/>
  <c r="N23" i="8"/>
  <c r="P343" i="8"/>
  <c r="J61" i="8"/>
  <c r="L360" i="8"/>
  <c r="L302" i="8"/>
  <c r="N331" i="8"/>
  <c r="N313" i="8"/>
  <c r="N186" i="8"/>
  <c r="L67" i="8"/>
  <c r="J389" i="8"/>
  <c r="J41" i="8"/>
  <c r="J17" i="8"/>
  <c r="N234" i="8"/>
  <c r="J234" i="8"/>
  <c r="J54" i="8"/>
  <c r="J503" i="8"/>
  <c r="J493" i="8"/>
  <c r="J418" i="8"/>
  <c r="J431" i="8"/>
  <c r="J328" i="8"/>
  <c r="J178" i="8"/>
  <c r="V178" i="8"/>
  <c r="J500" i="8"/>
  <c r="V431" i="8"/>
  <c r="V328" i="8"/>
  <c r="J482" i="8"/>
  <c r="J465" i="8"/>
  <c r="J458" i="8"/>
  <c r="J444" i="8"/>
  <c r="J440" i="8"/>
  <c r="J435" i="8"/>
  <c r="J426" i="8"/>
  <c r="J421" i="8"/>
  <c r="J413" i="8"/>
  <c r="J404" i="8"/>
  <c r="J399" i="8"/>
  <c r="J388" i="8"/>
  <c r="J383" i="8"/>
  <c r="J373" i="8"/>
  <c r="J355" i="8"/>
  <c r="J352" i="8"/>
  <c r="J348" i="8"/>
  <c r="J342" i="8"/>
  <c r="J337" i="8"/>
  <c r="J334" i="8"/>
  <c r="J317" i="8"/>
  <c r="J314" i="8"/>
  <c r="J310" i="8"/>
  <c r="J300" i="8"/>
  <c r="J284" i="8"/>
  <c r="J283" i="8"/>
  <c r="J277" i="8"/>
  <c r="J273" i="8"/>
  <c r="J270" i="8"/>
  <c r="J298" i="8"/>
  <c r="J272" i="8"/>
  <c r="J248" i="8"/>
  <c r="J220" i="8"/>
  <c r="J77" i="8"/>
  <c r="J71" i="8"/>
  <c r="J66" i="8"/>
  <c r="J60" i="8"/>
  <c r="J57" i="8"/>
  <c r="J51" i="8"/>
  <c r="J46" i="8"/>
  <c r="J40" i="8"/>
  <c r="J28" i="8"/>
  <c r="J22" i="8"/>
  <c r="J511" i="8"/>
  <c r="J508" i="8"/>
  <c r="J504" i="8"/>
  <c r="J495" i="8"/>
  <c r="J485" i="8"/>
  <c r="J466" i="8"/>
  <c r="J462" i="8"/>
  <c r="J437" i="8"/>
  <c r="J432" i="8"/>
  <c r="J427" i="8"/>
  <c r="J422" i="8"/>
  <c r="J419" i="8"/>
  <c r="J406" i="8"/>
  <c r="J395" i="8"/>
  <c r="J380" i="8"/>
  <c r="J367" i="8"/>
  <c r="J344" i="8"/>
  <c r="J339" i="8"/>
  <c r="J305" i="8"/>
  <c r="J279" i="8"/>
  <c r="J256" i="8"/>
  <c r="J251" i="8"/>
  <c r="J230" i="8"/>
  <c r="J8" i="8"/>
  <c r="J496" i="8"/>
  <c r="J490" i="8"/>
  <c r="J423" i="8"/>
  <c r="J402" i="8"/>
  <c r="J396" i="8"/>
  <c r="J340" i="8"/>
  <c r="J333" i="8"/>
  <c r="J329" i="8"/>
  <c r="J319" i="8"/>
  <c r="J292" i="8"/>
  <c r="J262" i="8"/>
  <c r="J257" i="8"/>
  <c r="J247" i="8"/>
  <c r="J259" i="8"/>
  <c r="J254" i="8"/>
  <c r="J233" i="8"/>
  <c r="J217" i="8"/>
  <c r="J214" i="8"/>
  <c r="J196" i="8"/>
  <c r="J476" i="8"/>
  <c r="J454" i="8"/>
  <c r="J442" i="8"/>
  <c r="J415" i="8"/>
  <c r="J390" i="8"/>
  <c r="J357" i="8"/>
  <c r="J349" i="8"/>
  <c r="J332" i="8"/>
  <c r="J318" i="8"/>
  <c r="J311" i="8"/>
  <c r="J291" i="8"/>
  <c r="J261" i="8"/>
  <c r="J210" i="8"/>
  <c r="J208" i="8"/>
  <c r="J296" i="8"/>
  <c r="J243" i="8"/>
  <c r="J201" i="8"/>
  <c r="J185" i="8"/>
  <c r="J179" i="8"/>
  <c r="J159" i="8"/>
  <c r="J146" i="8"/>
  <c r="J120" i="8"/>
  <c r="J116" i="8"/>
  <c r="J108" i="8"/>
  <c r="J92" i="8"/>
  <c r="J89" i="8"/>
  <c r="J494" i="8"/>
  <c r="J449" i="8"/>
  <c r="J414" i="8"/>
  <c r="J366" i="8"/>
  <c r="J315" i="8"/>
  <c r="J304" i="8"/>
  <c r="J152" i="8"/>
  <c r="J231" i="8"/>
  <c r="L231" i="8"/>
  <c r="L298" i="8"/>
  <c r="J265" i="8"/>
  <c r="L265" i="8"/>
  <c r="J203" i="8"/>
  <c r="L203" i="8"/>
  <c r="J194" i="8"/>
  <c r="L194" i="8"/>
  <c r="L272" i="8"/>
  <c r="L220" i="8"/>
  <c r="J281" i="8"/>
  <c r="L281" i="8"/>
  <c r="J236" i="8"/>
  <c r="L236" i="8"/>
  <c r="J226" i="8"/>
  <c r="L226" i="8"/>
  <c r="J189" i="8"/>
  <c r="L189" i="8"/>
  <c r="J269" i="8"/>
  <c r="L293" i="8"/>
  <c r="J293" i="8"/>
  <c r="J258" i="8"/>
  <c r="L258" i="8"/>
  <c r="J240" i="8"/>
  <c r="J212" i="8"/>
  <c r="L212" i="8"/>
  <c r="L248" i="8"/>
  <c r="J275" i="8"/>
  <c r="J308" i="8"/>
  <c r="J350" i="8"/>
  <c r="J407" i="8"/>
  <c r="J481" i="8"/>
  <c r="L262" i="8"/>
  <c r="J184" i="8"/>
  <c r="J181" i="8"/>
  <c r="J176" i="8"/>
  <c r="J170" i="8"/>
  <c r="J161" i="8"/>
  <c r="J155" i="8"/>
  <c r="J147" i="8"/>
  <c r="J142" i="8"/>
  <c r="J137" i="8"/>
  <c r="J132" i="8"/>
  <c r="J126" i="8"/>
  <c r="J122" i="8"/>
  <c r="J114" i="8"/>
  <c r="J110" i="8"/>
  <c r="J104" i="8"/>
  <c r="J100" i="8"/>
  <c r="J94" i="8"/>
  <c r="J85" i="8"/>
  <c r="J211" i="8"/>
  <c r="J268" i="8"/>
  <c r="J303" i="8"/>
  <c r="J365" i="8"/>
  <c r="J372" i="8"/>
  <c r="J452" i="8"/>
  <c r="J463" i="8"/>
  <c r="J473" i="8"/>
  <c r="J513" i="8"/>
  <c r="L490" i="8"/>
  <c r="L329" i="8"/>
  <c r="J252" i="8"/>
  <c r="J467" i="8"/>
  <c r="L340" i="8"/>
  <c r="J326" i="8"/>
  <c r="J446" i="8"/>
  <c r="J200" i="8"/>
  <c r="J455" i="8"/>
  <c r="J438" i="8"/>
  <c r="J430" i="8"/>
  <c r="J509" i="8"/>
  <c r="J491" i="8"/>
  <c r="J478" i="8"/>
  <c r="J428" i="8"/>
  <c r="J378" i="8"/>
  <c r="J369" i="8"/>
  <c r="J351" i="8"/>
  <c r="J512" i="8"/>
  <c r="J486" i="8"/>
  <c r="J470" i="8"/>
  <c r="J433" i="8"/>
  <c r="J416" i="8"/>
  <c r="J391" i="8"/>
  <c r="J371" i="8"/>
  <c r="J510" i="8"/>
  <c r="J499" i="8"/>
  <c r="J479" i="8"/>
  <c r="J461" i="8"/>
  <c r="J445" i="8"/>
  <c r="J441" i="8"/>
  <c r="J405" i="8"/>
  <c r="J400" i="8"/>
  <c r="J379" i="8"/>
  <c r="J377" i="8"/>
  <c r="J356" i="8"/>
  <c r="J338" i="8"/>
  <c r="J295" i="8"/>
  <c r="J274" i="8"/>
  <c r="J271" i="8"/>
  <c r="J250" i="8"/>
  <c r="J501" i="8"/>
  <c r="J471" i="8"/>
  <c r="J456" i="8"/>
  <c r="J447" i="8"/>
  <c r="J434" i="8"/>
  <c r="J408" i="8"/>
  <c r="J397" i="8"/>
  <c r="J381" i="8"/>
  <c r="J354" i="8"/>
  <c r="J497" i="8"/>
  <c r="J468" i="8"/>
  <c r="J453" i="8"/>
  <c r="J330" i="8"/>
  <c r="J312" i="8"/>
  <c r="J506" i="8"/>
  <c r="J487" i="8"/>
  <c r="J459" i="8"/>
  <c r="J451" i="8"/>
  <c r="J439" i="8"/>
  <c r="J424" i="8"/>
  <c r="J411" i="8"/>
  <c r="J376" i="8"/>
  <c r="J364" i="8"/>
  <c r="J335" i="8"/>
  <c r="J320" i="8"/>
  <c r="L509" i="8"/>
  <c r="L506" i="8"/>
  <c r="L501" i="8"/>
  <c r="L497" i="8"/>
  <c r="L491" i="8"/>
  <c r="L487" i="8"/>
  <c r="J484" i="8"/>
  <c r="AD523" i="9"/>
  <c r="AD275" i="9"/>
  <c r="L237" i="9"/>
  <c r="AD4" i="9"/>
  <c r="L138" i="9"/>
  <c r="AD175" i="9"/>
  <c r="AD15" i="9"/>
  <c r="L188" i="9"/>
  <c r="L270" i="9"/>
  <c r="L255" i="9"/>
  <c r="L228" i="9"/>
  <c r="Z77" i="9"/>
  <c r="L63" i="9"/>
  <c r="L165" i="9"/>
  <c r="L284" i="9"/>
  <c r="L117" i="9"/>
  <c r="L289" i="9"/>
  <c r="X167" i="9"/>
  <c r="L167" i="9"/>
  <c r="L108" i="9"/>
  <c r="X108" i="9"/>
  <c r="L676" i="9"/>
  <c r="Z676" i="9"/>
  <c r="Z365" i="9"/>
  <c r="L365" i="9"/>
  <c r="L233" i="9"/>
  <c r="Z233" i="9"/>
  <c r="L206" i="9"/>
  <c r="Z206" i="9"/>
  <c r="L160" i="9"/>
  <c r="Z160" i="9"/>
  <c r="L147" i="9"/>
  <c r="Z147" i="9"/>
  <c r="AB210" i="9"/>
  <c r="L210" i="9"/>
  <c r="L61" i="9"/>
  <c r="L183" i="9"/>
  <c r="Z237" i="9"/>
  <c r="X291" i="9"/>
  <c r="L291" i="9"/>
  <c r="L155" i="9"/>
  <c r="X155" i="9"/>
  <c r="X149" i="9"/>
  <c r="L149" i="9"/>
  <c r="X12" i="9"/>
  <c r="L12" i="9"/>
  <c r="L447" i="9"/>
  <c r="Z447" i="9"/>
  <c r="Z321" i="9"/>
  <c r="L321" i="9"/>
  <c r="L299" i="9"/>
  <c r="Z299" i="9"/>
  <c r="L245" i="9"/>
  <c r="Z245" i="9"/>
  <c r="L88" i="9"/>
  <c r="Z88" i="9"/>
  <c r="Z67" i="9"/>
  <c r="L67" i="9"/>
  <c r="L21" i="9"/>
  <c r="Z21" i="9"/>
  <c r="L71" i="9"/>
  <c r="AB71" i="9"/>
  <c r="AB65" i="9"/>
  <c r="L65" i="9"/>
  <c r="AB13" i="9"/>
  <c r="L13" i="9"/>
  <c r="L8" i="9"/>
  <c r="AB8" i="9"/>
  <c r="X69" i="9"/>
  <c r="L69" i="9"/>
  <c r="Z352" i="9"/>
  <c r="L352" i="9"/>
  <c r="Z239" i="9"/>
  <c r="L239" i="9"/>
  <c r="Z142" i="9"/>
  <c r="L142" i="9"/>
  <c r="L115" i="9"/>
  <c r="Z115" i="9"/>
  <c r="Z99" i="9"/>
  <c r="L99" i="9"/>
  <c r="Z73" i="9"/>
  <c r="L73" i="9"/>
  <c r="L51" i="9"/>
  <c r="Z51" i="9"/>
  <c r="Z33" i="9"/>
  <c r="L33" i="9"/>
  <c r="L23" i="9"/>
  <c r="L279" i="9"/>
  <c r="X140" i="9"/>
  <c r="L140" i="9"/>
  <c r="Z532" i="9"/>
  <c r="L532" i="9"/>
  <c r="Z346" i="9"/>
  <c r="L346" i="9"/>
  <c r="Z264" i="9"/>
  <c r="L264" i="9"/>
  <c r="Z218" i="9"/>
  <c r="L218" i="9"/>
  <c r="L201" i="9"/>
  <c r="Z201" i="9"/>
  <c r="Z179" i="9"/>
  <c r="L179" i="9"/>
  <c r="Z133" i="9"/>
  <c r="L133" i="9"/>
  <c r="Z56" i="9"/>
  <c r="L56" i="9"/>
  <c r="L36" i="9"/>
  <c r="Z36" i="9"/>
  <c r="Z27" i="9"/>
  <c r="L27" i="9"/>
  <c r="L10" i="9"/>
  <c r="Z10" i="9"/>
  <c r="L84" i="9"/>
  <c r="L153" i="9"/>
  <c r="L42" i="9"/>
  <c r="L156" i="9"/>
  <c r="L306" i="9"/>
  <c r="Z15" i="9"/>
  <c r="X111" i="9"/>
  <c r="L111" i="9"/>
  <c r="X95" i="9"/>
  <c r="L95" i="9"/>
  <c r="X75" i="9"/>
  <c r="L75" i="9"/>
  <c r="X53" i="9"/>
  <c r="L53" i="9"/>
  <c r="L620" i="9"/>
  <c r="Z620" i="9"/>
  <c r="Z372" i="9"/>
  <c r="L372" i="9"/>
  <c r="L195" i="9"/>
  <c r="Z195" i="9"/>
  <c r="L121" i="9"/>
  <c r="Z121" i="9"/>
  <c r="Z106" i="9"/>
  <c r="L106" i="9"/>
  <c r="Z47" i="9"/>
  <c r="L47" i="9"/>
  <c r="L43" i="9"/>
  <c r="L102" i="9"/>
  <c r="Z175" i="9"/>
  <c r="L40" i="9"/>
  <c r="X39" i="9"/>
  <c r="L39" i="9"/>
  <c r="L495" i="9"/>
  <c r="Z495" i="9"/>
  <c r="X260" i="9"/>
  <c r="X129" i="9"/>
  <c r="L38" i="9"/>
  <c r="X117" i="9"/>
  <c r="L17" i="9"/>
  <c r="L703" i="9"/>
  <c r="L91" i="9"/>
  <c r="L317" i="9"/>
  <c r="L490" i="9"/>
  <c r="L414" i="9"/>
  <c r="L467" i="9"/>
  <c r="L391" i="9"/>
  <c r="L380" i="9"/>
  <c r="L358" i="9"/>
  <c r="Z272" i="9"/>
  <c r="L272" i="9"/>
  <c r="L191" i="9"/>
  <c r="Z191" i="9"/>
  <c r="L203" i="9"/>
  <c r="L184" i="9"/>
  <c r="L465" i="9"/>
  <c r="Z465" i="9"/>
  <c r="L405" i="9"/>
  <c r="V532" i="9"/>
  <c r="L482" i="9"/>
  <c r="L339" i="9"/>
  <c r="V495" i="9"/>
  <c r="L727" i="9"/>
  <c r="V91" i="9"/>
  <c r="L104" i="9"/>
  <c r="L216" i="9"/>
  <c r="T317" i="9"/>
  <c r="L31" i="9"/>
  <c r="L45" i="9"/>
  <c r="L82" i="9"/>
  <c r="L281" i="9"/>
  <c r="L125" i="9"/>
  <c r="L113" i="9"/>
  <c r="L231" i="9"/>
  <c r="L136" i="9"/>
  <c r="L236" i="9"/>
  <c r="L371" i="9"/>
  <c r="L605" i="9"/>
  <c r="T532" i="9"/>
  <c r="T495" i="9"/>
  <c r="T467" i="9"/>
  <c r="L653" i="9"/>
  <c r="T523" i="9"/>
  <c r="L557" i="9"/>
  <c r="L93" i="9"/>
  <c r="L720" i="9"/>
  <c r="T255" i="9"/>
  <c r="T51" i="9"/>
  <c r="L583" i="9"/>
  <c r="L79" i="9"/>
  <c r="L515" i="9"/>
  <c r="T676" i="9"/>
  <c r="T321" i="9"/>
  <c r="T289" i="9"/>
  <c r="L258" i="9"/>
  <c r="L368" i="9"/>
  <c r="L428" i="9"/>
  <c r="T482" i="9"/>
  <c r="T201" i="9"/>
  <c r="L552" i="9"/>
  <c r="T725" i="9"/>
  <c r="L725" i="9"/>
  <c r="T719" i="9"/>
  <c r="L719" i="9"/>
  <c r="L268" i="9"/>
  <c r="L248" i="9"/>
  <c r="L226" i="9"/>
  <c r="L222" i="9"/>
  <c r="L190" i="9"/>
  <c r="L181" i="9"/>
  <c r="L177" i="9"/>
  <c r="L169" i="9"/>
  <c r="L159" i="9"/>
  <c r="L151" i="9"/>
  <c r="L97" i="9"/>
  <c r="L86" i="9"/>
  <c r="L59" i="9"/>
  <c r="L49" i="9"/>
  <c r="L34" i="9"/>
  <c r="L25" i="9"/>
  <c r="L724" i="9"/>
  <c r="L205" i="9"/>
  <c r="L131" i="9"/>
  <c r="T248" i="9"/>
  <c r="T222" i="9"/>
  <c r="T190" i="9"/>
  <c r="T177" i="9"/>
  <c r="T34" i="9"/>
  <c r="L298" i="9"/>
  <c r="R311" i="9"/>
  <c r="L311" i="9"/>
  <c r="R199" i="9"/>
  <c r="L199" i="9"/>
  <c r="R186" i="9"/>
  <c r="L186" i="9"/>
  <c r="R174" i="9"/>
  <c r="L174" i="9"/>
  <c r="R164" i="9"/>
  <c r="L164" i="9"/>
  <c r="L146" i="9"/>
  <c r="R205" i="9"/>
  <c r="R159" i="9"/>
  <c r="R725" i="9"/>
  <c r="L193" i="9"/>
  <c r="L262" i="9"/>
  <c r="R222" i="9"/>
  <c r="R724" i="9"/>
  <c r="R169" i="9"/>
  <c r="L274" i="9"/>
  <c r="R274" i="9"/>
  <c r="L257" i="9"/>
  <c r="R257" i="9"/>
  <c r="L243" i="9"/>
  <c r="R181" i="9"/>
  <c r="R719" i="9"/>
  <c r="L217" i="9"/>
  <c r="R217" i="9"/>
  <c r="L119" i="9"/>
  <c r="L109" i="9"/>
  <c r="R117" i="9"/>
  <c r="R108" i="9"/>
  <c r="R69" i="9"/>
  <c r="R184" i="9"/>
  <c r="R38" i="9"/>
  <c r="T620" i="9"/>
  <c r="L334" i="9"/>
  <c r="L329" i="9"/>
  <c r="L313" i="9"/>
  <c r="L224" i="9"/>
  <c r="L48" i="9"/>
  <c r="L656" i="9"/>
  <c r="L728" i="9"/>
  <c r="L6" i="9"/>
  <c r="L29" i="9"/>
  <c r="L144" i="9"/>
  <c r="L158" i="9"/>
  <c r="L172" i="9"/>
  <c r="L716" i="9"/>
  <c r="R191" i="9"/>
  <c r="L235" i="9"/>
  <c r="R203" i="9"/>
  <c r="T703" i="9"/>
  <c r="L722" i="9"/>
  <c r="R586" i="9"/>
  <c r="L586" i="9"/>
  <c r="R525" i="9"/>
  <c r="L525" i="9"/>
  <c r="R478" i="9"/>
  <c r="L478" i="9"/>
  <c r="L469" i="9"/>
  <c r="R469" i="9"/>
  <c r="R462" i="9"/>
  <c r="L462" i="9"/>
  <c r="L401" i="9"/>
  <c r="R401" i="9"/>
  <c r="L354" i="9"/>
  <c r="R354" i="9"/>
  <c r="L309" i="9"/>
  <c r="R309" i="9"/>
  <c r="L301" i="9"/>
  <c r="R301" i="9"/>
  <c r="L286" i="9"/>
  <c r="R286" i="9"/>
  <c r="L251" i="9"/>
  <c r="R251" i="9"/>
  <c r="R214" i="9"/>
  <c r="L214" i="9"/>
  <c r="R565" i="9"/>
  <c r="L565" i="9"/>
  <c r="R625" i="9"/>
  <c r="L625" i="9"/>
  <c r="L343" i="9"/>
  <c r="L208" i="9"/>
  <c r="L266" i="9"/>
  <c r="R272" i="9"/>
  <c r="L517" i="9"/>
  <c r="L387" i="9"/>
  <c r="L256" i="9"/>
  <c r="L318" i="9"/>
  <c r="R291" i="9"/>
  <c r="R281" i="9"/>
  <c r="L166" i="9"/>
  <c r="L197" i="9"/>
  <c r="L241" i="9"/>
  <c r="L393" i="9"/>
  <c r="R405" i="9"/>
  <c r="L526" i="9"/>
  <c r="L571" i="9"/>
  <c r="L637" i="9"/>
  <c r="L714" i="9"/>
  <c r="R334" i="9"/>
  <c r="L597" i="9"/>
  <c r="L510" i="9"/>
  <c r="L397" i="9"/>
  <c r="L528" i="9"/>
  <c r="L636" i="9"/>
  <c r="L423" i="9"/>
  <c r="P300" i="9"/>
  <c r="L300" i="9"/>
  <c r="P238" i="9"/>
  <c r="L238" i="9"/>
  <c r="L721" i="9"/>
  <c r="P715" i="9"/>
  <c r="L715" i="9"/>
  <c r="P717" i="9"/>
  <c r="L717" i="9"/>
  <c r="L627" i="9"/>
  <c r="L681" i="9"/>
  <c r="L460" i="9"/>
  <c r="L726" i="9"/>
  <c r="P467" i="9"/>
  <c r="P233" i="9"/>
  <c r="L533" i="9"/>
  <c r="L347" i="9"/>
  <c r="L246" i="9"/>
  <c r="L234" i="9"/>
  <c r="L202" i="9"/>
  <c r="L154" i="9"/>
  <c r="L85" i="9"/>
  <c r="L74" i="9"/>
  <c r="L62" i="9"/>
  <c r="L335" i="9"/>
  <c r="L265" i="9"/>
  <c r="L134" i="9"/>
  <c r="L110" i="9"/>
  <c r="L94" i="9"/>
  <c r="L89" i="9"/>
  <c r="L80" i="9"/>
  <c r="L68" i="9"/>
  <c r="L57" i="9"/>
  <c r="L37" i="9"/>
  <c r="L212" i="9"/>
  <c r="L249" i="9"/>
  <c r="L485" i="9"/>
  <c r="L614" i="9"/>
  <c r="P532" i="9"/>
  <c r="P414" i="9"/>
  <c r="R68" i="9"/>
  <c r="R85" i="9"/>
  <c r="P469" i="9"/>
  <c r="L514" i="9"/>
  <c r="L499" i="9"/>
  <c r="L484" i="9"/>
  <c r="L471" i="9"/>
  <c r="L458" i="9"/>
  <c r="L439" i="9"/>
  <c r="L426" i="9"/>
  <c r="L418" i="9"/>
  <c r="L389" i="9"/>
  <c r="L384" i="9"/>
  <c r="L376" i="9"/>
  <c r="L350" i="9"/>
  <c r="L454" i="9"/>
  <c r="L170" i="9"/>
  <c r="L87" i="9"/>
  <c r="L718" i="9"/>
  <c r="P58" i="9"/>
  <c r="L58" i="9"/>
  <c r="P30" i="9"/>
  <c r="L30" i="9"/>
  <c r="P7" i="9"/>
  <c r="L7" i="9"/>
  <c r="L285" i="9"/>
  <c r="R285" i="9"/>
  <c r="L128" i="9"/>
  <c r="L137" i="9"/>
  <c r="L196" i="9"/>
  <c r="L225" i="9"/>
  <c r="L232" i="9"/>
  <c r="L280" i="9"/>
  <c r="L288" i="9"/>
  <c r="L305" i="9"/>
  <c r="R335" i="9"/>
  <c r="R202" i="9"/>
  <c r="L693" i="9"/>
  <c r="P70" i="9"/>
  <c r="L70" i="9"/>
  <c r="L54" i="9"/>
  <c r="P54" i="9"/>
  <c r="R353" i="9"/>
  <c r="L353" i="9"/>
  <c r="R171" i="9"/>
  <c r="L171" i="9"/>
  <c r="R143" i="9"/>
  <c r="L143" i="9"/>
  <c r="R16" i="9"/>
  <c r="L16" i="9"/>
  <c r="L5" i="9"/>
  <c r="R5" i="9"/>
  <c r="L688" i="9"/>
  <c r="T688" i="9"/>
  <c r="T509" i="9"/>
  <c r="L509" i="9"/>
  <c r="L494" i="9"/>
  <c r="T494" i="9"/>
  <c r="L472" i="9"/>
  <c r="T472" i="9"/>
  <c r="T459" i="9"/>
  <c r="L459" i="9"/>
  <c r="T446" i="9"/>
  <c r="L446" i="9"/>
  <c r="T427" i="9"/>
  <c r="L427" i="9"/>
  <c r="T396" i="9"/>
  <c r="L396" i="9"/>
  <c r="T227" i="9"/>
  <c r="L227" i="9"/>
  <c r="T200" i="9"/>
  <c r="L200" i="9"/>
  <c r="T124" i="9"/>
  <c r="L124" i="9"/>
  <c r="T78" i="9"/>
  <c r="L78" i="9"/>
  <c r="T55" i="9"/>
  <c r="L55" i="9"/>
  <c r="T35" i="9"/>
  <c r="L35" i="9"/>
  <c r="T14" i="9"/>
  <c r="L14" i="9"/>
  <c r="P96" i="9"/>
  <c r="L96" i="9"/>
  <c r="P64" i="9"/>
  <c r="L64" i="9"/>
  <c r="P18" i="9"/>
  <c r="L18" i="9"/>
  <c r="L322" i="9"/>
  <c r="R322" i="9"/>
  <c r="R213" i="9"/>
  <c r="L213" i="9"/>
  <c r="L139" i="9"/>
  <c r="R139" i="9"/>
  <c r="L22" i="9"/>
  <c r="R22" i="9"/>
  <c r="R11" i="9"/>
  <c r="L11" i="9"/>
  <c r="L642" i="9"/>
  <c r="T642" i="9"/>
  <c r="L568" i="9"/>
  <c r="T568" i="9"/>
  <c r="T531" i="9"/>
  <c r="L531" i="9"/>
  <c r="L519" i="9"/>
  <c r="T519" i="9"/>
  <c r="L481" i="9"/>
  <c r="T481" i="9"/>
  <c r="L440" i="9"/>
  <c r="T440" i="9"/>
  <c r="T407" i="9"/>
  <c r="L407" i="9"/>
  <c r="L390" i="9"/>
  <c r="T390" i="9"/>
  <c r="T379" i="9"/>
  <c r="L379" i="9"/>
  <c r="T269" i="9"/>
  <c r="L269" i="9"/>
  <c r="T114" i="9"/>
  <c r="L114" i="9"/>
  <c r="T66" i="9"/>
  <c r="L66" i="9"/>
  <c r="T41" i="9"/>
  <c r="L41" i="9"/>
  <c r="L101" i="9"/>
  <c r="L157" i="9"/>
  <c r="L182" i="9"/>
  <c r="L307" i="9"/>
  <c r="L504" i="9"/>
  <c r="L579" i="9"/>
  <c r="L690" i="9"/>
  <c r="R154" i="9"/>
  <c r="R110" i="9"/>
  <c r="T454" i="9"/>
  <c r="P90" i="9"/>
  <c r="L90" i="9"/>
  <c r="L342" i="9"/>
  <c r="R342" i="9"/>
  <c r="R250" i="9"/>
  <c r="L250" i="9"/>
  <c r="R229" i="9"/>
  <c r="L229" i="9"/>
  <c r="L207" i="9"/>
  <c r="R207" i="9"/>
  <c r="R116" i="9"/>
  <c r="L116" i="9"/>
  <c r="R107" i="9"/>
  <c r="L107" i="9"/>
  <c r="L593" i="9"/>
  <c r="T593" i="9"/>
  <c r="T556" i="9"/>
  <c r="L556" i="9"/>
  <c r="T357" i="9"/>
  <c r="L357" i="9"/>
  <c r="T333" i="9"/>
  <c r="L333" i="9"/>
  <c r="T178" i="9"/>
  <c r="L178" i="9"/>
  <c r="T92" i="9"/>
  <c r="L92" i="9"/>
  <c r="L148" i="9"/>
  <c r="L219" i="9"/>
  <c r="L303" i="9"/>
  <c r="P39" i="9"/>
  <c r="L677" i="9"/>
  <c r="L610" i="9"/>
  <c r="P81" i="9"/>
  <c r="L81" i="9"/>
  <c r="P44" i="9"/>
  <c r="L44" i="9"/>
  <c r="L574" i="9"/>
  <c r="T574" i="9"/>
  <c r="L547" i="9"/>
  <c r="T547" i="9"/>
  <c r="T500" i="9"/>
  <c r="L500" i="9"/>
  <c r="T477" i="9"/>
  <c r="L477" i="9"/>
  <c r="T451" i="9"/>
  <c r="L451" i="9"/>
  <c r="T437" i="9"/>
  <c r="L437" i="9"/>
  <c r="T419" i="9"/>
  <c r="L419" i="9"/>
  <c r="T370" i="9"/>
  <c r="L370" i="9"/>
  <c r="T351" i="9"/>
  <c r="L351" i="9"/>
  <c r="T325" i="9"/>
  <c r="L325" i="9"/>
  <c r="T308" i="9"/>
  <c r="L308" i="9"/>
  <c r="T244" i="9"/>
  <c r="L244" i="9"/>
  <c r="T223" i="9"/>
  <c r="L223" i="9"/>
  <c r="T194" i="9"/>
  <c r="L194" i="9"/>
  <c r="T152" i="9"/>
  <c r="L152" i="9"/>
  <c r="T126" i="9"/>
  <c r="L126" i="9"/>
  <c r="T98" i="9"/>
  <c r="L98" i="9"/>
  <c r="T72" i="9"/>
  <c r="L72" i="9"/>
  <c r="T50" i="9"/>
  <c r="L50" i="9"/>
  <c r="T32" i="9"/>
  <c r="L32" i="9"/>
  <c r="T26" i="9"/>
  <c r="L26" i="9"/>
  <c r="T9" i="9"/>
  <c r="L9" i="9"/>
  <c r="L240" i="9"/>
  <c r="L259" i="9"/>
  <c r="L278" i="9"/>
  <c r="L584" i="9"/>
  <c r="R246" i="9"/>
  <c r="T87" i="9"/>
  <c r="P76" i="9"/>
  <c r="L76" i="9"/>
  <c r="P24" i="9"/>
  <c r="L24" i="9"/>
  <c r="R340" i="9"/>
  <c r="L340" i="9"/>
  <c r="R271" i="9"/>
  <c r="L271" i="9"/>
  <c r="L161" i="9"/>
  <c r="R161" i="9"/>
  <c r="R100" i="9"/>
  <c r="L100" i="9"/>
  <c r="R28" i="9"/>
  <c r="L28" i="9"/>
  <c r="T588" i="9"/>
  <c r="L588" i="9"/>
  <c r="L562" i="9"/>
  <c r="T562" i="9"/>
  <c r="T413" i="9"/>
  <c r="L413" i="9"/>
  <c r="T294" i="9"/>
  <c r="L294" i="9"/>
  <c r="L283" i="9"/>
  <c r="T283" i="9"/>
  <c r="T263" i="9"/>
  <c r="L263" i="9"/>
  <c r="T254" i="9"/>
  <c r="L254" i="9"/>
  <c r="T211" i="9"/>
  <c r="L211" i="9"/>
  <c r="T187" i="9"/>
  <c r="L187" i="9"/>
  <c r="T132" i="9"/>
  <c r="L132" i="9"/>
  <c r="T105" i="9"/>
  <c r="L105" i="9"/>
  <c r="T83" i="9"/>
  <c r="L83" i="9"/>
  <c r="T60" i="9"/>
  <c r="L60" i="9"/>
  <c r="T46" i="9"/>
  <c r="L46" i="9"/>
  <c r="T20" i="9"/>
  <c r="L20" i="9"/>
  <c r="T3" i="9"/>
  <c r="L120" i="9"/>
  <c r="L483" i="9"/>
  <c r="L122" i="9"/>
  <c r="L312" i="9"/>
  <c r="L442" i="9"/>
  <c r="L461" i="9"/>
  <c r="L564" i="9"/>
  <c r="R347" i="9"/>
  <c r="R265" i="9"/>
  <c r="R234" i="9"/>
  <c r="R134" i="9"/>
  <c r="R37" i="9"/>
  <c r="L553" i="9"/>
  <c r="L404" i="9"/>
  <c r="L501" i="9"/>
  <c r="L524" i="9"/>
  <c r="L558" i="9"/>
  <c r="L598" i="9"/>
  <c r="L694" i="9"/>
  <c r="P543" i="9"/>
  <c r="L543" i="9"/>
  <c r="P516" i="9"/>
  <c r="L516" i="9"/>
  <c r="L433" i="9"/>
  <c r="P392" i="9"/>
  <c r="L392" i="9"/>
  <c r="P381" i="9"/>
  <c r="L381" i="9"/>
  <c r="L373" i="9"/>
  <c r="L290" i="9"/>
  <c r="L491" i="9"/>
  <c r="L527" i="9"/>
  <c r="L539" i="9"/>
  <c r="L549" i="9"/>
  <c r="P610" i="9"/>
  <c r="P704" i="9"/>
  <c r="L704" i="9"/>
  <c r="P632" i="9"/>
  <c r="L632" i="9"/>
  <c r="L409" i="9"/>
  <c r="L424" i="9"/>
  <c r="L456" i="9"/>
  <c r="L511" i="9"/>
  <c r="P373" i="9"/>
  <c r="L702" i="9"/>
  <c r="L697" i="9"/>
  <c r="L684" i="9"/>
  <c r="L659" i="9"/>
  <c r="L647" i="9"/>
  <c r="L643" i="9"/>
  <c r="L635" i="9"/>
  <c r="L608" i="9"/>
  <c r="L685" i="9"/>
  <c r="L667" i="9"/>
  <c r="L575" i="9"/>
  <c r="L473" i="9"/>
  <c r="L432" i="9"/>
  <c r="L408" i="9"/>
  <c r="L687" i="9"/>
  <c r="L412" i="9"/>
  <c r="L403" i="9"/>
  <c r="L324" i="9"/>
  <c r="L293" i="9"/>
  <c r="L282" i="9"/>
  <c r="L253" i="9"/>
  <c r="L711" i="9"/>
  <c r="L489" i="9"/>
  <c r="L705" i="9"/>
  <c r="L691" i="9"/>
  <c r="L646" i="9"/>
  <c r="L639" i="9"/>
  <c r="L580" i="9"/>
  <c r="L540" i="9"/>
  <c r="L497" i="9"/>
  <c r="L487" i="9"/>
  <c r="L474" i="9"/>
  <c r="L452" i="9"/>
  <c r="L443" i="9"/>
  <c r="L434" i="9"/>
  <c r="L416" i="9"/>
  <c r="L374" i="9"/>
  <c r="L276" i="9"/>
  <c r="L247" i="9"/>
  <c r="L220" i="9"/>
  <c r="L189" i="9"/>
  <c r="L162" i="9"/>
  <c r="L689" i="9"/>
  <c r="L660" i="9"/>
  <c r="L563" i="9"/>
  <c r="L505" i="9"/>
  <c r="L707" i="9"/>
  <c r="L652" i="9"/>
  <c r="L619" i="9"/>
  <c r="L415" i="9"/>
  <c r="L662" i="9"/>
  <c r="V691" i="9"/>
  <c r="V646" i="9"/>
  <c r="L665" i="9"/>
  <c r="L649" i="9"/>
  <c r="L633" i="9"/>
  <c r="L616" i="9"/>
  <c r="V639" i="9"/>
  <c r="V412" i="9"/>
  <c r="V403" i="9"/>
  <c r="L572" i="9"/>
  <c r="L602" i="9"/>
  <c r="L644" i="9"/>
  <c r="L624" i="9"/>
  <c r="L302" i="9"/>
  <c r="L695" i="9"/>
  <c r="T665" i="9"/>
  <c r="T649" i="9"/>
  <c r="T633" i="9"/>
  <c r="L622" i="9"/>
  <c r="L611" i="9"/>
  <c r="L576" i="9"/>
  <c r="L559" i="9"/>
  <c r="L118" i="9"/>
  <c r="L135" i="9"/>
  <c r="L145" i="9"/>
  <c r="L163" i="9"/>
  <c r="L173" i="9"/>
  <c r="L180" i="9"/>
  <c r="L204" i="9"/>
  <c r="L221" i="9"/>
  <c r="L261" i="9"/>
  <c r="L277" i="9"/>
  <c r="L287" i="9"/>
  <c r="L713" i="9"/>
  <c r="L679" i="9"/>
  <c r="L674" i="9"/>
  <c r="L661" i="9"/>
  <c r="L103" i="9"/>
  <c r="L112" i="9"/>
  <c r="L123" i="9"/>
  <c r="L130" i="9"/>
  <c r="L141" i="9"/>
  <c r="L150" i="9"/>
  <c r="L168" i="9"/>
  <c r="L176" i="9"/>
  <c r="L192" i="9"/>
  <c r="L209" i="9"/>
  <c r="L252" i="9"/>
  <c r="L267" i="9"/>
  <c r="T662" i="9"/>
  <c r="L692" i="9"/>
  <c r="L680" i="9"/>
  <c r="L666" i="9"/>
  <c r="L185" i="9"/>
  <c r="L198" i="9"/>
  <c r="L215" i="9"/>
  <c r="L230" i="9"/>
  <c r="L242" i="9"/>
  <c r="L273" i="9"/>
  <c r="L710" i="9"/>
  <c r="L701" i="9"/>
  <c r="L675" i="9"/>
  <c r="L671" i="9"/>
  <c r="L651" i="9"/>
  <c r="L683" i="9"/>
  <c r="L599" i="9"/>
  <c r="L554" i="9"/>
  <c r="L657" i="9"/>
  <c r="L654" i="9"/>
  <c r="L641" i="9"/>
  <c r="L638" i="9"/>
  <c r="L621" i="9"/>
  <c r="L506" i="9"/>
  <c r="L496" i="9"/>
  <c r="L486" i="9"/>
  <c r="L468" i="9"/>
  <c r="L292" i="9"/>
  <c r="L304" i="9"/>
  <c r="L394" i="9"/>
  <c r="R394" i="9"/>
  <c r="L615" i="9"/>
  <c r="L664" i="9"/>
  <c r="L698" i="9"/>
  <c r="R654" i="9"/>
  <c r="R641" i="9"/>
  <c r="R621" i="9"/>
  <c r="L378" i="9"/>
  <c r="R378" i="9"/>
  <c r="L706" i="9"/>
  <c r="L696" i="9"/>
  <c r="L670" i="9"/>
  <c r="L650" i="9"/>
  <c r="L323" i="9"/>
  <c r="L319" i="9"/>
  <c r="L315" i="9"/>
  <c r="R708" i="9"/>
  <c r="L708" i="9"/>
  <c r="R682" i="9"/>
  <c r="L682" i="9"/>
  <c r="R673" i="9"/>
  <c r="L673" i="9"/>
  <c r="L591" i="9"/>
  <c r="R591" i="9"/>
  <c r="L700" i="9"/>
  <c r="L655" i="9"/>
  <c r="L686" i="9"/>
  <c r="R686" i="9"/>
  <c r="L297" i="9"/>
  <c r="L310" i="9"/>
  <c r="R679" i="9"/>
  <c r="R661" i="9"/>
  <c r="R657" i="9"/>
  <c r="R674" i="9"/>
  <c r="L295" i="9"/>
  <c r="L668" i="9"/>
  <c r="R638" i="9"/>
  <c r="L429" i="9"/>
  <c r="L441" i="9"/>
  <c r="L455" i="9"/>
  <c r="L538" i="9"/>
  <c r="L569" i="9"/>
  <c r="L609" i="9"/>
  <c r="L631" i="9"/>
  <c r="L663" i="9"/>
  <c r="L444" i="9"/>
  <c r="P701" i="9"/>
  <c r="L623" i="9"/>
  <c r="P606" i="9"/>
  <c r="L606" i="9"/>
  <c r="P680" i="9"/>
  <c r="L341" i="9"/>
  <c r="L492" i="9"/>
  <c r="L520" i="9"/>
  <c r="L534" i="9"/>
  <c r="L544" i="9"/>
  <c r="P700" i="9"/>
  <c r="P323" i="9"/>
  <c r="P315" i="9"/>
  <c r="L617" i="9"/>
  <c r="P301" i="9"/>
  <c r="P405" i="9"/>
  <c r="P478" i="9"/>
  <c r="P514" i="9"/>
  <c r="P696" i="9"/>
  <c r="P699" i="9"/>
  <c r="L699" i="9"/>
  <c r="L326" i="9"/>
  <c r="L399" i="9"/>
  <c r="L512" i="9"/>
  <c r="L628" i="9"/>
  <c r="L645" i="9"/>
  <c r="L669" i="9"/>
  <c r="L678" i="9"/>
  <c r="P710" i="9"/>
  <c r="P706" i="9"/>
  <c r="L709" i="9"/>
  <c r="L629" i="9"/>
  <c r="P309" i="9"/>
  <c r="L395" i="9"/>
  <c r="L445" i="9"/>
  <c r="P655" i="9"/>
  <c r="L296" i="9"/>
  <c r="L314" i="9"/>
  <c r="L338" i="9"/>
  <c r="L360" i="9"/>
  <c r="L367" i="9"/>
  <c r="L420" i="9"/>
  <c r="L712" i="9"/>
  <c r="P692" i="9"/>
  <c r="P666" i="9"/>
  <c r="L648" i="9"/>
  <c r="P458" i="9"/>
  <c r="P517" i="9"/>
  <c r="L320" i="9"/>
  <c r="L453" i="9"/>
  <c r="L316" i="9"/>
  <c r="L330" i="9"/>
  <c r="L336" i="9"/>
  <c r="L359" i="9"/>
  <c r="L362" i="9"/>
  <c r="L377" i="9"/>
  <c r="L386" i="9"/>
  <c r="L410" i="9"/>
  <c r="L448" i="9"/>
  <c r="L457" i="9"/>
  <c r="P415" i="9"/>
  <c r="P342" i="9"/>
  <c r="L640" i="9"/>
  <c r="L542" i="9"/>
  <c r="L436" i="9"/>
  <c r="L450" i="9"/>
  <c r="P450" i="9"/>
  <c r="L480" i="9"/>
  <c r="P480" i="9"/>
  <c r="L493" i="9"/>
  <c r="P493" i="9"/>
  <c r="L503" i="9"/>
  <c r="P503" i="9"/>
  <c r="L522" i="9"/>
  <c r="P522" i="9"/>
  <c r="P530" i="9"/>
  <c r="L530" i="9"/>
  <c r="L567" i="9"/>
  <c r="P567" i="9"/>
  <c r="L582" i="9"/>
  <c r="P582" i="9"/>
  <c r="L585" i="9"/>
  <c r="P585" i="9"/>
  <c r="L595" i="9"/>
  <c r="P595" i="9"/>
  <c r="L607" i="9"/>
  <c r="P607" i="9"/>
  <c r="L630" i="9"/>
  <c r="P630" i="9"/>
  <c r="L364" i="9"/>
  <c r="P364" i="9"/>
  <c r="L369" i="9"/>
  <c r="P369" i="9"/>
  <c r="L422" i="9"/>
  <c r="P422" i="9"/>
  <c r="L431" i="9"/>
  <c r="P431" i="9"/>
  <c r="L476" i="9"/>
  <c r="P476" i="9"/>
  <c r="L536" i="9"/>
  <c r="P536" i="9"/>
  <c r="L546" i="9"/>
  <c r="P546" i="9"/>
  <c r="L561" i="9"/>
  <c r="P561" i="9"/>
  <c r="L604" i="9"/>
  <c r="P604" i="9"/>
  <c r="L618" i="9"/>
  <c r="P618" i="9"/>
  <c r="L332" i="9"/>
  <c r="L601" i="9"/>
  <c r="L508" i="9"/>
  <c r="L328" i="9"/>
  <c r="L348" i="9"/>
  <c r="L356" i="9"/>
  <c r="L366" i="9"/>
  <c r="L382" i="9"/>
  <c r="L398" i="9"/>
  <c r="P499" i="9"/>
  <c r="P484" i="9"/>
  <c r="P471" i="9"/>
  <c r="P439" i="9"/>
  <c r="P426" i="9"/>
  <c r="P412" i="9"/>
  <c r="P403" i="9"/>
  <c r="P389" i="9"/>
  <c r="P384" i="9"/>
  <c r="P376" i="9"/>
  <c r="L589" i="9"/>
  <c r="L385" i="9"/>
  <c r="L345" i="9"/>
  <c r="L551" i="9"/>
  <c r="L375" i="9"/>
  <c r="L425" i="9"/>
  <c r="L438" i="9"/>
  <c r="L464" i="9"/>
  <c r="L488" i="9"/>
  <c r="L518" i="9"/>
  <c r="L541" i="9"/>
  <c r="L555" i="9"/>
  <c r="L581" i="9"/>
  <c r="L590" i="9"/>
  <c r="L600" i="9"/>
  <c r="L613" i="9"/>
  <c r="L626" i="9"/>
  <c r="L658" i="9"/>
  <c r="L672" i="9"/>
  <c r="L723" i="9"/>
  <c r="N725" i="9"/>
  <c r="N719" i="9"/>
  <c r="N707" i="9"/>
  <c r="N702" i="9"/>
  <c r="N697" i="9"/>
  <c r="N693" i="9"/>
  <c r="N688" i="9"/>
  <c r="N684" i="9"/>
  <c r="N659" i="9"/>
  <c r="N652" i="9"/>
  <c r="N647" i="9"/>
  <c r="N643" i="9"/>
  <c r="N642" i="9"/>
  <c r="N635" i="9"/>
  <c r="N619" i="9"/>
  <c r="N588" i="9"/>
  <c r="N568" i="9"/>
  <c r="N500" i="9"/>
  <c r="N612" i="9"/>
  <c r="L612" i="9"/>
  <c r="N570" i="9"/>
  <c r="L570" i="9"/>
  <c r="N463" i="9"/>
  <c r="L463" i="9"/>
  <c r="L449" i="9"/>
  <c r="N449" i="9"/>
  <c r="L400" i="9"/>
  <c r="N400" i="9"/>
  <c r="L361" i="9"/>
  <c r="N361" i="9"/>
  <c r="L349" i="9"/>
  <c r="N349" i="9"/>
  <c r="L327" i="9"/>
  <c r="N327" i="9"/>
  <c r="L498" i="9"/>
  <c r="L566" i="9"/>
  <c r="L578" i="9"/>
  <c r="L634" i="9"/>
  <c r="N717" i="9"/>
  <c r="N709" i="9"/>
  <c r="N700" i="9"/>
  <c r="N679" i="9"/>
  <c r="N670" i="9"/>
  <c r="N661" i="9"/>
  <c r="N655" i="9"/>
  <c r="N617" i="9"/>
  <c r="N574" i="9"/>
  <c r="N531" i="9"/>
  <c r="N509" i="9"/>
  <c r="L603" i="9"/>
  <c r="N603" i="9"/>
  <c r="N577" i="9"/>
  <c r="L577" i="9"/>
  <c r="L560" i="9"/>
  <c r="N560" i="9"/>
  <c r="L545" i="9"/>
  <c r="N545" i="9"/>
  <c r="N535" i="9"/>
  <c r="L535" i="9"/>
  <c r="L521" i="9"/>
  <c r="N521" i="9"/>
  <c r="N502" i="9"/>
  <c r="L502" i="9"/>
  <c r="N475" i="9"/>
  <c r="L475" i="9"/>
  <c r="L466" i="9"/>
  <c r="N466" i="9"/>
  <c r="N430" i="9"/>
  <c r="L430" i="9"/>
  <c r="L363" i="9"/>
  <c r="N363" i="9"/>
  <c r="L344" i="9"/>
  <c r="N344" i="9"/>
  <c r="L337" i="9"/>
  <c r="N337" i="9"/>
  <c r="L331" i="9"/>
  <c r="N331" i="9"/>
  <c r="L383" i="9"/>
  <c r="L388" i="9"/>
  <c r="L435" i="9"/>
  <c r="L470" i="9"/>
  <c r="L537" i="9"/>
  <c r="L548" i="9"/>
  <c r="L587" i="9"/>
  <c r="L596" i="9"/>
  <c r="N706" i="9"/>
  <c r="N696" i="9"/>
  <c r="N674" i="9"/>
  <c r="N650" i="9"/>
  <c r="N629" i="9"/>
  <c r="N623" i="9"/>
  <c r="N593" i="9"/>
  <c r="L417" i="9"/>
  <c r="N594" i="9"/>
  <c r="L594" i="9"/>
  <c r="N550" i="9"/>
  <c r="L550" i="9"/>
  <c r="N513" i="9"/>
  <c r="L513" i="9"/>
  <c r="L421" i="9"/>
  <c r="N421" i="9"/>
  <c r="N406" i="9"/>
  <c r="L406" i="9"/>
  <c r="L355" i="9"/>
  <c r="N355" i="9"/>
  <c r="L402" i="9"/>
  <c r="L411" i="9"/>
  <c r="L479" i="9"/>
  <c r="L507" i="9"/>
  <c r="L529" i="9"/>
  <c r="L573" i="9"/>
  <c r="L592" i="9"/>
  <c r="N556" i="9"/>
  <c r="N519" i="9"/>
  <c r="N323" i="9"/>
  <c r="E515" i="8"/>
  <c r="L732" i="9" l="1"/>
  <c r="AD732" i="9"/>
  <c r="AB732" i="9"/>
  <c r="AB734" i="9" s="1"/>
  <c r="J732" i="9"/>
  <c r="Z732" i="9"/>
  <c r="Z734" i="9" s="1"/>
  <c r="X732" i="9"/>
  <c r="X734" i="9" s="1"/>
  <c r="V732" i="9"/>
  <c r="V734" i="9" s="1"/>
  <c r="R732" i="9"/>
  <c r="R734" i="9" s="1"/>
  <c r="T732" i="9"/>
  <c r="P732" i="9"/>
  <c r="P734" i="9" s="1"/>
  <c r="N732" i="9"/>
  <c r="N734" i="9" s="1"/>
  <c r="AB290" i="8" l="1"/>
  <c r="V290" i="8"/>
  <c r="T290" i="8"/>
  <c r="R290" i="8"/>
  <c r="P290" i="8"/>
  <c r="Z290" i="8"/>
  <c r="X290" i="8"/>
  <c r="L290" i="8"/>
  <c r="N290" i="8"/>
  <c r="J290" i="8"/>
  <c r="AB288" i="8"/>
  <c r="P288" i="8"/>
  <c r="T288" i="8"/>
  <c r="R288" i="8"/>
  <c r="Z288" i="8"/>
  <c r="X288" i="8"/>
  <c r="V288" i="8"/>
  <c r="N288" i="8"/>
  <c r="L288" i="8"/>
  <c r="J288" i="8"/>
  <c r="AB287" i="8"/>
  <c r="Z287" i="8"/>
  <c r="T287" i="8"/>
  <c r="R287" i="8"/>
  <c r="V287" i="8"/>
  <c r="N287" i="8"/>
  <c r="X287" i="8"/>
  <c r="P287" i="8"/>
  <c r="L287" i="8"/>
  <c r="J287" i="8"/>
  <c r="I515" i="8"/>
  <c r="Z286" i="8"/>
  <c r="X286" i="8"/>
  <c r="R286" i="8"/>
  <c r="L286" i="8"/>
  <c r="V286" i="8"/>
  <c r="P286" i="8"/>
  <c r="AB286" i="8"/>
  <c r="T286" i="8"/>
  <c r="N286" i="8"/>
  <c r="J286" i="8"/>
  <c r="T119" i="11"/>
  <c r="U119" i="11" s="1"/>
  <c r="T118" i="11"/>
  <c r="T117" i="11"/>
  <c r="U117" i="11" s="1"/>
  <c r="T116" i="11"/>
  <c r="U116" i="11" s="1"/>
  <c r="T115" i="11"/>
  <c r="U115" i="11" s="1"/>
  <c r="T114" i="11"/>
  <c r="T113" i="11"/>
  <c r="T112" i="11"/>
  <c r="T111" i="11"/>
  <c r="U111" i="11" s="1"/>
  <c r="T110" i="11"/>
  <c r="U110" i="11" s="1"/>
  <c r="T109" i="11"/>
  <c r="U109" i="11" s="1"/>
  <c r="T108" i="11"/>
  <c r="U108" i="11" s="1"/>
  <c r="T107" i="11"/>
  <c r="U107" i="11" s="1"/>
  <c r="T106" i="11"/>
  <c r="U106" i="11" s="1"/>
  <c r="T105" i="11"/>
  <c r="T104" i="11"/>
  <c r="U104" i="11" s="1"/>
  <c r="T103" i="11"/>
  <c r="T102" i="11"/>
  <c r="T101" i="11"/>
  <c r="U101" i="11" s="1"/>
  <c r="T100" i="11"/>
  <c r="U100" i="11" s="1"/>
  <c r="T99" i="11"/>
  <c r="U99" i="11" s="1"/>
  <c r="T98" i="11"/>
  <c r="U98" i="11" s="1"/>
  <c r="T97" i="11"/>
  <c r="T96" i="11"/>
  <c r="T95" i="11"/>
  <c r="T94" i="11"/>
  <c r="T93" i="11"/>
  <c r="U93" i="11" s="1"/>
  <c r="T92" i="11"/>
  <c r="U92" i="11" s="1"/>
  <c r="T91" i="11"/>
  <c r="U91" i="11" s="1"/>
  <c r="T90" i="11"/>
  <c r="U90" i="11" s="1"/>
  <c r="T89" i="11"/>
  <c r="T88" i="11"/>
  <c r="T87" i="11"/>
  <c r="T86" i="11"/>
  <c r="U86" i="11" s="1"/>
  <c r="T85" i="11"/>
  <c r="U85" i="11" s="1"/>
  <c r="T84" i="11"/>
  <c r="U84" i="11" s="1"/>
  <c r="T83" i="11"/>
  <c r="U83" i="11" s="1"/>
  <c r="T82" i="11"/>
  <c r="U82" i="11" s="1"/>
  <c r="T81" i="11"/>
  <c r="U81" i="11" s="1"/>
  <c r="T80" i="11"/>
  <c r="U80" i="11" s="1"/>
  <c r="T79" i="11"/>
  <c r="T78" i="11"/>
  <c r="T77" i="11"/>
  <c r="U77" i="11" s="1"/>
  <c r="T76" i="11"/>
  <c r="U76" i="11" s="1"/>
  <c r="T75" i="11"/>
  <c r="U75" i="11" s="1"/>
  <c r="T74" i="11"/>
  <c r="U74" i="11" s="1"/>
  <c r="T73" i="11"/>
  <c r="T72" i="11"/>
  <c r="T71" i="11"/>
  <c r="T70" i="11"/>
  <c r="T69" i="11"/>
  <c r="U69" i="11" s="1"/>
  <c r="T68" i="11"/>
  <c r="U68" i="11" s="1"/>
  <c r="T67" i="11"/>
  <c r="T66" i="11"/>
  <c r="U66" i="11" s="1"/>
  <c r="T65" i="11"/>
  <c r="T64" i="11"/>
  <c r="T63" i="11"/>
  <c r="T62" i="11"/>
  <c r="T61" i="11"/>
  <c r="U61" i="11" s="1"/>
  <c r="T60" i="11"/>
  <c r="U60" i="11" s="1"/>
  <c r="T59" i="11"/>
  <c r="U59" i="11" s="1"/>
  <c r="T58" i="11"/>
  <c r="U58" i="11" s="1"/>
  <c r="T57" i="11"/>
  <c r="T56" i="11"/>
  <c r="U56" i="11" s="1"/>
  <c r="T55" i="11"/>
  <c r="T54" i="11"/>
  <c r="T53" i="11"/>
  <c r="U53" i="11" s="1"/>
  <c r="T52" i="11"/>
  <c r="U52" i="11" s="1"/>
  <c r="T51" i="11"/>
  <c r="U51" i="11" s="1"/>
  <c r="T50" i="11"/>
  <c r="U50" i="11" s="1"/>
  <c r="T49" i="11"/>
  <c r="T48" i="11"/>
  <c r="T47" i="11"/>
  <c r="T46" i="11"/>
  <c r="U46" i="11" s="1"/>
  <c r="T45" i="11"/>
  <c r="U45" i="11" s="1"/>
  <c r="T44" i="11"/>
  <c r="U44" i="11" s="1"/>
  <c r="T43" i="11"/>
  <c r="U43" i="11" s="1"/>
  <c r="T42" i="11"/>
  <c r="U42" i="11" s="1"/>
  <c r="T41" i="11"/>
  <c r="T40" i="11"/>
  <c r="T39" i="11"/>
  <c r="T38" i="11"/>
  <c r="T37" i="11"/>
  <c r="U37" i="11" s="1"/>
  <c r="T36" i="11"/>
  <c r="U36" i="11" s="1"/>
  <c r="T35" i="11"/>
  <c r="U35" i="11" s="1"/>
  <c r="T34" i="11"/>
  <c r="U34" i="11" s="1"/>
  <c r="T33" i="11"/>
  <c r="T32" i="11"/>
  <c r="U32" i="11" s="1"/>
  <c r="T31" i="11"/>
  <c r="T30" i="11"/>
  <c r="U30" i="11" s="1"/>
  <c r="T29" i="11"/>
  <c r="U29" i="11" s="1"/>
  <c r="T28" i="11"/>
  <c r="U28" i="11" s="1"/>
  <c r="T27" i="11"/>
  <c r="U27" i="11" s="1"/>
  <c r="T26" i="11"/>
  <c r="U26" i="11" s="1"/>
  <c r="T25" i="11"/>
  <c r="T24" i="11"/>
  <c r="T23" i="11"/>
  <c r="T22" i="11"/>
  <c r="T21" i="11"/>
  <c r="U21" i="11" s="1"/>
  <c r="T20" i="11"/>
  <c r="U20" i="11" s="1"/>
  <c r="T19" i="11"/>
  <c r="U19" i="11" s="1"/>
  <c r="T18" i="11"/>
  <c r="U18" i="11" s="1"/>
  <c r="T17" i="11"/>
  <c r="T16" i="11"/>
  <c r="T15" i="11"/>
  <c r="T14" i="11"/>
  <c r="U14" i="11" s="1"/>
  <c r="T13" i="11"/>
  <c r="U13" i="11" s="1"/>
  <c r="T12" i="11"/>
  <c r="U12" i="11" s="1"/>
  <c r="T11" i="11"/>
  <c r="U11" i="11" s="1"/>
  <c r="T10" i="11"/>
  <c r="U10" i="11" s="1"/>
  <c r="T9" i="11"/>
  <c r="T8" i="11"/>
  <c r="U8" i="11" s="1"/>
  <c r="T7" i="11"/>
  <c r="T6" i="11"/>
  <c r="T5" i="11"/>
  <c r="T4" i="11"/>
  <c r="U4" i="11" s="1"/>
  <c r="T3" i="11"/>
  <c r="U3" i="11" s="1"/>
  <c r="U114" i="11"/>
  <c r="E732" i="9"/>
  <c r="H120" i="11"/>
  <c r="CI120" i="11"/>
  <c r="CH120" i="11"/>
  <c r="CG120" i="11"/>
  <c r="CF120" i="11"/>
  <c r="CD120" i="11"/>
  <c r="CC120" i="11"/>
  <c r="CB120" i="11"/>
  <c r="CA120" i="11"/>
  <c r="BZ120" i="11"/>
  <c r="BY120" i="11"/>
  <c r="BX120" i="11"/>
  <c r="BW120" i="11"/>
  <c r="BV120" i="11"/>
  <c r="BU120" i="11"/>
  <c r="BT120" i="11"/>
  <c r="BS120" i="11"/>
  <c r="BR120" i="11"/>
  <c r="BQ120" i="11"/>
  <c r="BP120" i="11"/>
  <c r="BO120" i="11"/>
  <c r="BM120" i="11"/>
  <c r="BN120" i="11"/>
  <c r="BL120" i="11"/>
  <c r="BK120" i="11"/>
  <c r="BJ120" i="11"/>
  <c r="BI120" i="11"/>
  <c r="BH120" i="11"/>
  <c r="BG120" i="11"/>
  <c r="BF120" i="11"/>
  <c r="BE120" i="11"/>
  <c r="BD120" i="11"/>
  <c r="BC120" i="11"/>
  <c r="BB120" i="11"/>
  <c r="BA120" i="11"/>
  <c r="AZ120" i="11"/>
  <c r="AY120" i="11"/>
  <c r="AX120" i="11"/>
  <c r="AW120" i="11"/>
  <c r="AV120" i="11"/>
  <c r="AU120" i="11"/>
  <c r="AT120" i="11"/>
  <c r="AS120" i="11"/>
  <c r="AR120" i="11"/>
  <c r="AQ120" i="11"/>
  <c r="AP120" i="11"/>
  <c r="AO120" i="11"/>
  <c r="AN120" i="11"/>
  <c r="AM120" i="11"/>
  <c r="AL120" i="11"/>
  <c r="AK120" i="11"/>
  <c r="AJ120" i="11"/>
  <c r="AI120" i="11"/>
  <c r="AH120" i="11"/>
  <c r="AG120" i="11"/>
  <c r="AF120" i="11"/>
  <c r="AE120" i="11"/>
  <c r="AD120" i="11"/>
  <c r="B120" i="11"/>
  <c r="Z113" i="11"/>
  <c r="AA113" i="11" s="1"/>
  <c r="X113" i="11"/>
  <c r="V113" i="11"/>
  <c r="U113" i="11"/>
  <c r="R113" i="11"/>
  <c r="S113" i="11" s="1"/>
  <c r="P113" i="11"/>
  <c r="Q113" i="11" s="1"/>
  <c r="N113" i="11"/>
  <c r="L113" i="11"/>
  <c r="M113" i="11" s="1"/>
  <c r="J113" i="11"/>
  <c r="K113" i="11" s="1"/>
  <c r="I113" i="11"/>
  <c r="Z114" i="11"/>
  <c r="AA114" i="11" s="1"/>
  <c r="X114" i="11"/>
  <c r="V114" i="11"/>
  <c r="R114" i="11"/>
  <c r="S114" i="11" s="1"/>
  <c r="P114" i="11"/>
  <c r="Q114" i="11" s="1"/>
  <c r="N114" i="11"/>
  <c r="L114" i="11"/>
  <c r="M114" i="11" s="1"/>
  <c r="J114" i="11"/>
  <c r="K114" i="11" s="1"/>
  <c r="I114" i="11"/>
  <c r="Z115" i="11"/>
  <c r="AA115" i="11" s="1"/>
  <c r="X115" i="11"/>
  <c r="V115" i="11"/>
  <c r="R115" i="11"/>
  <c r="S115" i="11" s="1"/>
  <c r="P115" i="11"/>
  <c r="Q115" i="11" s="1"/>
  <c r="N115" i="11"/>
  <c r="L115" i="11"/>
  <c r="M115" i="11" s="1"/>
  <c r="J115" i="11"/>
  <c r="K115" i="11" s="1"/>
  <c r="I115" i="11"/>
  <c r="Z116" i="11"/>
  <c r="AA116" i="11" s="1"/>
  <c r="X116" i="11"/>
  <c r="V116" i="11"/>
  <c r="R116" i="11"/>
  <c r="S116" i="11" s="1"/>
  <c r="P116" i="11"/>
  <c r="Q116" i="11" s="1"/>
  <c r="N116" i="11"/>
  <c r="L116" i="11"/>
  <c r="M116" i="11" s="1"/>
  <c r="J116" i="11"/>
  <c r="K116" i="11" s="1"/>
  <c r="I116" i="11"/>
  <c r="Z117" i="11"/>
  <c r="AA117" i="11" s="1"/>
  <c r="X117" i="11"/>
  <c r="V117" i="11"/>
  <c r="R117" i="11"/>
  <c r="S117" i="11" s="1"/>
  <c r="P117" i="11"/>
  <c r="Q117" i="11" s="1"/>
  <c r="N117" i="11"/>
  <c r="L117" i="11"/>
  <c r="M117" i="11" s="1"/>
  <c r="J117" i="11"/>
  <c r="K117" i="11" s="1"/>
  <c r="I117" i="11"/>
  <c r="Z118" i="11"/>
  <c r="AA118" i="11" s="1"/>
  <c r="X118" i="11"/>
  <c r="V118" i="11"/>
  <c r="U118" i="11"/>
  <c r="R118" i="11"/>
  <c r="S118" i="11" s="1"/>
  <c r="P118" i="11"/>
  <c r="Q118" i="11" s="1"/>
  <c r="N118" i="11"/>
  <c r="L118" i="11"/>
  <c r="M118" i="11" s="1"/>
  <c r="J118" i="11"/>
  <c r="K118" i="11" s="1"/>
  <c r="I118" i="11"/>
  <c r="Z119" i="11"/>
  <c r="AA119" i="11" s="1"/>
  <c r="X119" i="11"/>
  <c r="V119" i="11"/>
  <c r="R119" i="11"/>
  <c r="S119" i="11" s="1"/>
  <c r="P119" i="11"/>
  <c r="Q119" i="11" s="1"/>
  <c r="N119" i="11"/>
  <c r="L119" i="11"/>
  <c r="M119" i="11" s="1"/>
  <c r="J119" i="11"/>
  <c r="K119" i="11" s="1"/>
  <c r="I119" i="11"/>
  <c r="Z30" i="11"/>
  <c r="AA30" i="11" s="1"/>
  <c r="X30" i="11"/>
  <c r="V30" i="11"/>
  <c r="R30" i="11"/>
  <c r="S30" i="11" s="1"/>
  <c r="P30" i="11"/>
  <c r="Q30" i="11" s="1"/>
  <c r="N30" i="11"/>
  <c r="L30" i="11"/>
  <c r="J30" i="11"/>
  <c r="K30" i="11" s="1"/>
  <c r="R50" i="11"/>
  <c r="S50" i="11" s="1"/>
  <c r="R55" i="11"/>
  <c r="S55" i="11" s="1"/>
  <c r="R20" i="11"/>
  <c r="S20" i="11" s="1"/>
  <c r="R54" i="11"/>
  <c r="S54" i="11" s="1"/>
  <c r="R56" i="11"/>
  <c r="S56" i="11" s="1"/>
  <c r="R57" i="11"/>
  <c r="S57" i="11" s="1"/>
  <c r="R37" i="11"/>
  <c r="S37" i="11" s="1"/>
  <c r="R40" i="11"/>
  <c r="S40" i="11" s="1"/>
  <c r="R41" i="11"/>
  <c r="S41" i="11" s="1"/>
  <c r="R43" i="11"/>
  <c r="S43" i="11" s="1"/>
  <c r="R42" i="11"/>
  <c r="S42" i="11" s="1"/>
  <c r="R58" i="11"/>
  <c r="S58" i="11" s="1"/>
  <c r="R103" i="11"/>
  <c r="S103" i="11" s="1"/>
  <c r="R90" i="11"/>
  <c r="S90" i="11" s="1"/>
  <c r="R35" i="11"/>
  <c r="S35" i="11" s="1"/>
  <c r="R51" i="11"/>
  <c r="S51" i="11" s="1"/>
  <c r="R59" i="11"/>
  <c r="S59" i="11" s="1"/>
  <c r="R16" i="11"/>
  <c r="S16" i="11" s="1"/>
  <c r="R28" i="11"/>
  <c r="S28" i="11" s="1"/>
  <c r="R77" i="11"/>
  <c r="S77" i="11" s="1"/>
  <c r="R78" i="11"/>
  <c r="R27" i="11"/>
  <c r="S27" i="11" s="1"/>
  <c r="R67" i="11"/>
  <c r="S67" i="11" s="1"/>
  <c r="R111" i="11"/>
  <c r="S111" i="11" s="1"/>
  <c r="R85" i="11"/>
  <c r="S85" i="11" s="1"/>
  <c r="R84" i="11"/>
  <c r="S84" i="11" s="1"/>
  <c r="R109" i="11"/>
  <c r="S109" i="11" s="1"/>
  <c r="R108" i="11"/>
  <c r="S108" i="11" s="1"/>
  <c r="R110" i="11"/>
  <c r="S110" i="11" s="1"/>
  <c r="R93" i="11"/>
  <c r="S93" i="11" s="1"/>
  <c r="R100" i="11"/>
  <c r="S100" i="11" s="1"/>
  <c r="R99" i="11"/>
  <c r="S99" i="11" s="1"/>
  <c r="R97" i="11"/>
  <c r="S97" i="11" s="1"/>
  <c r="R92" i="11"/>
  <c r="S92" i="11" s="1"/>
  <c r="R82" i="11"/>
  <c r="S82" i="11" s="1"/>
  <c r="R81" i="11"/>
  <c r="S81" i="11" s="1"/>
  <c r="R76" i="11"/>
  <c r="R68" i="11"/>
  <c r="R66" i="11"/>
  <c r="S66" i="11" s="1"/>
  <c r="R83" i="11"/>
  <c r="S83" i="11" s="1"/>
  <c r="R52" i="11"/>
  <c r="S52" i="11" s="1"/>
  <c r="R62" i="11"/>
  <c r="S62" i="11" s="1"/>
  <c r="R60" i="11"/>
  <c r="S60" i="11" s="1"/>
  <c r="R46" i="11"/>
  <c r="S46" i="11" s="1"/>
  <c r="R45" i="11"/>
  <c r="S45" i="11" s="1"/>
  <c r="R48" i="11"/>
  <c r="S48" i="11" s="1"/>
  <c r="R53" i="11"/>
  <c r="S53" i="11" s="1"/>
  <c r="R34" i="11"/>
  <c r="S34" i="11" s="1"/>
  <c r="R32" i="11"/>
  <c r="S32" i="11" s="1"/>
  <c r="R33" i="11"/>
  <c r="S33" i="11" s="1"/>
  <c r="R26" i="11"/>
  <c r="S26" i="11" s="1"/>
  <c r="R25" i="11"/>
  <c r="S25" i="11" s="1"/>
  <c r="R14" i="11"/>
  <c r="S14" i="11" s="1"/>
  <c r="R13" i="11"/>
  <c r="S13" i="11" s="1"/>
  <c r="R11" i="11"/>
  <c r="S11" i="11" s="1"/>
  <c r="R10" i="11"/>
  <c r="S10" i="11" s="1"/>
  <c r="R8" i="11"/>
  <c r="R7" i="11"/>
  <c r="S7" i="11" s="1"/>
  <c r="R4" i="11"/>
  <c r="S4" i="11" s="1"/>
  <c r="R3" i="11"/>
  <c r="S3" i="11" s="1"/>
  <c r="R112" i="11"/>
  <c r="R49" i="11"/>
  <c r="S49" i="11" s="1"/>
  <c r="R106" i="11"/>
  <c r="S106" i="11" s="1"/>
  <c r="R105" i="11"/>
  <c r="S105" i="11" s="1"/>
  <c r="R107" i="11"/>
  <c r="S107" i="11" s="1"/>
  <c r="R104" i="11"/>
  <c r="S104" i="11" s="1"/>
  <c r="R102" i="11"/>
  <c r="S102" i="11" s="1"/>
  <c r="R98" i="11"/>
  <c r="S98" i="11" s="1"/>
  <c r="R96" i="11"/>
  <c r="R95" i="11"/>
  <c r="S95" i="11" s="1"/>
  <c r="R94" i="11"/>
  <c r="S94" i="11" s="1"/>
  <c r="R91" i="11"/>
  <c r="S91" i="11" s="1"/>
  <c r="R89" i="11"/>
  <c r="S89" i="11" s="1"/>
  <c r="R88" i="11"/>
  <c r="S88" i="11" s="1"/>
  <c r="R87" i="11"/>
  <c r="S87" i="11" s="1"/>
  <c r="R86" i="11"/>
  <c r="S86" i="11" s="1"/>
  <c r="R80" i="11"/>
  <c r="R79" i="11"/>
  <c r="S79" i="11" s="1"/>
  <c r="R74" i="11"/>
  <c r="S74" i="11" s="1"/>
  <c r="R73" i="11"/>
  <c r="S73" i="11" s="1"/>
  <c r="R72" i="11"/>
  <c r="S72" i="11" s="1"/>
  <c r="R71" i="11"/>
  <c r="S71" i="11" s="1"/>
  <c r="R70" i="11"/>
  <c r="S70" i="11" s="1"/>
  <c r="R69" i="11"/>
  <c r="S69" i="11" s="1"/>
  <c r="R65" i="11"/>
  <c r="R64" i="11"/>
  <c r="S64" i="11" s="1"/>
  <c r="R63" i="11"/>
  <c r="S63" i="11" s="1"/>
  <c r="R61" i="11"/>
  <c r="S61" i="11" s="1"/>
  <c r="R75" i="11"/>
  <c r="S75" i="11" s="1"/>
  <c r="R101" i="11"/>
  <c r="S101" i="11" s="1"/>
  <c r="R47" i="11"/>
  <c r="S47" i="11" s="1"/>
  <c r="R44" i="11"/>
  <c r="S44" i="11" s="1"/>
  <c r="R39" i="11"/>
  <c r="R38" i="11"/>
  <c r="R36" i="11"/>
  <c r="S36" i="11" s="1"/>
  <c r="R31" i="11"/>
  <c r="S31" i="11" s="1"/>
  <c r="R29" i="11"/>
  <c r="S29" i="11" s="1"/>
  <c r="R15" i="11"/>
  <c r="S15" i="11" s="1"/>
  <c r="R24" i="11"/>
  <c r="S24" i="11" s="1"/>
  <c r="R23" i="11"/>
  <c r="S23" i="11" s="1"/>
  <c r="R22" i="11"/>
  <c r="S22" i="11" s="1"/>
  <c r="R21" i="11"/>
  <c r="R18" i="11"/>
  <c r="S18" i="11" s="1"/>
  <c r="R19" i="11"/>
  <c r="S19" i="11" s="1"/>
  <c r="R17" i="11"/>
  <c r="S17" i="11" s="1"/>
  <c r="R12" i="11"/>
  <c r="S12" i="11" s="1"/>
  <c r="R9" i="11"/>
  <c r="S9" i="11" s="1"/>
  <c r="R6" i="11"/>
  <c r="S6" i="11" s="1"/>
  <c r="R5" i="11"/>
  <c r="U54" i="11"/>
  <c r="U57" i="11"/>
  <c r="U25" i="11"/>
  <c r="Z50" i="11"/>
  <c r="AA50" i="11" s="1"/>
  <c r="Z55" i="11"/>
  <c r="AA55" i="11" s="1"/>
  <c r="Z20" i="11"/>
  <c r="AA20" i="11" s="1"/>
  <c r="Z54" i="11"/>
  <c r="AA54" i="11" s="1"/>
  <c r="Z56" i="11"/>
  <c r="Z57" i="11"/>
  <c r="AA57" i="11" s="1"/>
  <c r="Z37" i="11"/>
  <c r="AA37" i="11" s="1"/>
  <c r="Z40" i="11"/>
  <c r="AA40" i="11" s="1"/>
  <c r="Z41" i="11"/>
  <c r="AA41" i="11" s="1"/>
  <c r="Z43" i="11"/>
  <c r="AA43" i="11" s="1"/>
  <c r="Z42" i="11"/>
  <c r="AA42" i="11" s="1"/>
  <c r="Z58" i="11"/>
  <c r="AA58" i="11" s="1"/>
  <c r="Z103" i="11"/>
  <c r="AA103" i="11" s="1"/>
  <c r="Z90" i="11"/>
  <c r="AA90" i="11" s="1"/>
  <c r="Z35" i="11"/>
  <c r="AA35" i="11" s="1"/>
  <c r="Z51" i="11"/>
  <c r="AA51" i="11" s="1"/>
  <c r="Z59" i="11"/>
  <c r="AA59" i="11" s="1"/>
  <c r="Z16" i="11"/>
  <c r="AA16" i="11" s="1"/>
  <c r="Z28" i="11"/>
  <c r="AA28" i="11" s="1"/>
  <c r="Z77" i="11"/>
  <c r="AA77" i="11" s="1"/>
  <c r="Z78" i="11"/>
  <c r="AA78" i="11" s="1"/>
  <c r="Z27" i="11"/>
  <c r="AA27" i="11" s="1"/>
  <c r="Z67" i="11"/>
  <c r="AA67" i="11" s="1"/>
  <c r="Z111" i="11"/>
  <c r="AA111" i="11" s="1"/>
  <c r="Z85" i="11"/>
  <c r="AA85" i="11" s="1"/>
  <c r="Z84" i="11"/>
  <c r="Z109" i="11"/>
  <c r="AA109" i="11" s="1"/>
  <c r="Z108" i="11"/>
  <c r="AA108" i="11" s="1"/>
  <c r="Z110" i="11"/>
  <c r="AA110" i="11" s="1"/>
  <c r="Z93" i="11"/>
  <c r="AA93" i="11" s="1"/>
  <c r="Z100" i="11"/>
  <c r="AA100" i="11" s="1"/>
  <c r="Z99" i="11"/>
  <c r="AA99" i="11" s="1"/>
  <c r="Z97" i="11"/>
  <c r="AA97" i="11" s="1"/>
  <c r="Z92" i="11"/>
  <c r="AA92" i="11" s="1"/>
  <c r="Z82" i="11"/>
  <c r="AA82" i="11" s="1"/>
  <c r="Z81" i="11"/>
  <c r="AA81" i="11" s="1"/>
  <c r="Z76" i="11"/>
  <c r="AA76" i="11" s="1"/>
  <c r="Z68" i="11"/>
  <c r="AA68" i="11" s="1"/>
  <c r="Z66" i="11"/>
  <c r="AA66" i="11" s="1"/>
  <c r="Z83" i="11"/>
  <c r="AA83" i="11" s="1"/>
  <c r="Z52" i="11"/>
  <c r="AA52" i="11" s="1"/>
  <c r="Z62" i="11"/>
  <c r="AA62" i="11" s="1"/>
  <c r="Z60" i="11"/>
  <c r="AA60" i="11" s="1"/>
  <c r="Z46" i="11"/>
  <c r="AA46" i="11" s="1"/>
  <c r="Z45" i="11"/>
  <c r="AA45" i="11" s="1"/>
  <c r="Z48" i="11"/>
  <c r="AA48" i="11" s="1"/>
  <c r="Z53" i="11"/>
  <c r="AA53" i="11" s="1"/>
  <c r="Z34" i="11"/>
  <c r="AA34" i="11" s="1"/>
  <c r="Z32" i="11"/>
  <c r="AA32" i="11" s="1"/>
  <c r="Z33" i="11"/>
  <c r="AA33" i="11" s="1"/>
  <c r="Z26" i="11"/>
  <c r="AA26" i="11" s="1"/>
  <c r="Z25" i="11"/>
  <c r="AA25" i="11" s="1"/>
  <c r="Z14" i="11"/>
  <c r="AA14" i="11" s="1"/>
  <c r="Z13" i="11"/>
  <c r="AA13" i="11" s="1"/>
  <c r="Z11" i="11"/>
  <c r="AA11" i="11" s="1"/>
  <c r="Z10" i="11"/>
  <c r="AA10" i="11" s="1"/>
  <c r="Z8" i="11"/>
  <c r="AA8" i="11" s="1"/>
  <c r="Z7" i="11"/>
  <c r="AA7" i="11" s="1"/>
  <c r="Z4" i="11"/>
  <c r="AA4" i="11" s="1"/>
  <c r="Z3" i="11"/>
  <c r="AA3" i="11" s="1"/>
  <c r="Z112" i="11"/>
  <c r="AA112" i="11" s="1"/>
  <c r="Z49" i="11"/>
  <c r="AA49" i="11" s="1"/>
  <c r="Z106" i="11"/>
  <c r="AA106" i="11" s="1"/>
  <c r="Z105" i="11"/>
  <c r="AA105" i="11" s="1"/>
  <c r="Z107" i="11"/>
  <c r="AA107" i="11" s="1"/>
  <c r="Z104" i="11"/>
  <c r="AA104" i="11" s="1"/>
  <c r="Z102" i="11"/>
  <c r="AA102" i="11" s="1"/>
  <c r="Z98" i="11"/>
  <c r="AA98" i="11" s="1"/>
  <c r="Z96" i="11"/>
  <c r="AA96" i="11" s="1"/>
  <c r="Z95" i="11"/>
  <c r="AA95" i="11" s="1"/>
  <c r="Z94" i="11"/>
  <c r="AA94" i="11" s="1"/>
  <c r="Z91" i="11"/>
  <c r="AA91" i="11" s="1"/>
  <c r="Z89" i="11"/>
  <c r="AA89" i="11" s="1"/>
  <c r="Z88" i="11"/>
  <c r="AA88" i="11" s="1"/>
  <c r="Z87" i="11"/>
  <c r="AA87" i="11" s="1"/>
  <c r="Z86" i="11"/>
  <c r="AA86" i="11" s="1"/>
  <c r="Z80" i="11"/>
  <c r="AA80" i="11" s="1"/>
  <c r="Z79" i="11"/>
  <c r="Z74" i="11"/>
  <c r="AA74" i="11" s="1"/>
  <c r="Z73" i="11"/>
  <c r="AA73" i="11" s="1"/>
  <c r="Z72" i="11"/>
  <c r="AA72" i="11" s="1"/>
  <c r="Z71" i="11"/>
  <c r="AA71" i="11" s="1"/>
  <c r="Z70" i="11"/>
  <c r="AA70" i="11" s="1"/>
  <c r="Z69" i="11"/>
  <c r="AA69" i="11" s="1"/>
  <c r="Z65" i="11"/>
  <c r="AA65" i="11" s="1"/>
  <c r="Z64" i="11"/>
  <c r="AA64" i="11" s="1"/>
  <c r="Z63" i="11"/>
  <c r="AA63" i="11" s="1"/>
  <c r="Z61" i="11"/>
  <c r="AA61" i="11" s="1"/>
  <c r="Z75" i="11"/>
  <c r="AA75" i="11" s="1"/>
  <c r="Z101" i="11"/>
  <c r="AA101" i="11" s="1"/>
  <c r="Z47" i="11"/>
  <c r="AA47" i="11" s="1"/>
  <c r="Z44" i="11"/>
  <c r="AA44" i="11" s="1"/>
  <c r="Z39" i="11"/>
  <c r="AA39" i="11" s="1"/>
  <c r="Z38" i="11"/>
  <c r="AA38" i="11" s="1"/>
  <c r="Z36" i="11"/>
  <c r="AA36" i="11" s="1"/>
  <c r="Z31" i="11"/>
  <c r="AA31" i="11" s="1"/>
  <c r="Z29" i="11"/>
  <c r="AA29" i="11" s="1"/>
  <c r="Z15" i="11"/>
  <c r="AA15" i="11" s="1"/>
  <c r="Z24" i="11"/>
  <c r="AA24" i="11" s="1"/>
  <c r="Z23" i="11"/>
  <c r="AA23" i="11" s="1"/>
  <c r="Z22" i="11"/>
  <c r="AA22" i="11" s="1"/>
  <c r="Z21" i="11"/>
  <c r="AA21" i="11" s="1"/>
  <c r="Z18" i="11"/>
  <c r="AA18" i="11" s="1"/>
  <c r="Z19" i="11"/>
  <c r="AA19" i="11" s="1"/>
  <c r="Z17" i="11"/>
  <c r="AA17" i="11" s="1"/>
  <c r="Z12" i="11"/>
  <c r="AA12" i="11" s="1"/>
  <c r="Z9" i="11"/>
  <c r="AA9" i="11" s="1"/>
  <c r="Z6" i="11"/>
  <c r="AA6" i="11" s="1"/>
  <c r="Z5" i="11"/>
  <c r="AA5" i="11" s="1"/>
  <c r="X50" i="11"/>
  <c r="X55" i="11"/>
  <c r="X20" i="11"/>
  <c r="X54" i="11"/>
  <c r="X56" i="11"/>
  <c r="X57" i="11"/>
  <c r="X37" i="11"/>
  <c r="X40" i="11"/>
  <c r="X41" i="11"/>
  <c r="X43" i="11"/>
  <c r="X42" i="11"/>
  <c r="X58" i="11"/>
  <c r="X103" i="11"/>
  <c r="X90" i="11"/>
  <c r="X35" i="11"/>
  <c r="X51" i="11"/>
  <c r="X59" i="11"/>
  <c r="X16" i="11"/>
  <c r="X28" i="11"/>
  <c r="X77" i="11"/>
  <c r="X78" i="11"/>
  <c r="X27" i="11"/>
  <c r="X67" i="11"/>
  <c r="X111" i="11"/>
  <c r="X85" i="11"/>
  <c r="X84" i="11"/>
  <c r="X109" i="11"/>
  <c r="X108" i="11"/>
  <c r="X110" i="11"/>
  <c r="X93" i="11"/>
  <c r="X100" i="11"/>
  <c r="X99" i="11"/>
  <c r="X97" i="11"/>
  <c r="X92" i="11"/>
  <c r="X82" i="11"/>
  <c r="X81" i="11"/>
  <c r="X76" i="11"/>
  <c r="X68" i="11"/>
  <c r="X66" i="11"/>
  <c r="X83" i="11"/>
  <c r="X52" i="11"/>
  <c r="X62" i="11"/>
  <c r="X60" i="11"/>
  <c r="X46" i="11"/>
  <c r="X45" i="11"/>
  <c r="X48" i="11"/>
  <c r="X53" i="11"/>
  <c r="X34" i="11"/>
  <c r="X32" i="11"/>
  <c r="X33" i="11"/>
  <c r="X26" i="11"/>
  <c r="X25" i="11"/>
  <c r="X14" i="11"/>
  <c r="X13" i="11"/>
  <c r="X11" i="11"/>
  <c r="X10" i="11"/>
  <c r="X8" i="11"/>
  <c r="X7" i="11"/>
  <c r="X4" i="11"/>
  <c r="X3" i="11"/>
  <c r="X112" i="11"/>
  <c r="Y112" i="11" s="1"/>
  <c r="X49" i="11"/>
  <c r="Y49" i="11" s="1"/>
  <c r="X106" i="11"/>
  <c r="Y106" i="11" s="1"/>
  <c r="X105" i="11"/>
  <c r="Y105" i="11" s="1"/>
  <c r="X107" i="11"/>
  <c r="X104" i="11"/>
  <c r="Y104" i="11" s="1"/>
  <c r="X102" i="11"/>
  <c r="Y102" i="11" s="1"/>
  <c r="X98" i="11"/>
  <c r="Y98" i="11" s="1"/>
  <c r="X96" i="11"/>
  <c r="Y96" i="11" s="1"/>
  <c r="X95" i="11"/>
  <c r="Y95" i="11" s="1"/>
  <c r="X94" i="11"/>
  <c r="Y94" i="11" s="1"/>
  <c r="X91" i="11"/>
  <c r="Y91" i="11" s="1"/>
  <c r="X89" i="11"/>
  <c r="Y89" i="11" s="1"/>
  <c r="X88" i="11"/>
  <c r="Y88" i="11" s="1"/>
  <c r="X87" i="11"/>
  <c r="Y87" i="11" s="1"/>
  <c r="X86" i="11"/>
  <c r="Y86" i="11" s="1"/>
  <c r="X80" i="11"/>
  <c r="Y80" i="11" s="1"/>
  <c r="X79" i="11"/>
  <c r="Y79" i="11" s="1"/>
  <c r="X74" i="11"/>
  <c r="Y74" i="11" s="1"/>
  <c r="X73" i="11"/>
  <c r="Y73" i="11" s="1"/>
  <c r="X72" i="11"/>
  <c r="Y72" i="11" s="1"/>
  <c r="X71" i="11"/>
  <c r="Y71" i="11" s="1"/>
  <c r="X70" i="11"/>
  <c r="Y70" i="11" s="1"/>
  <c r="X69" i="11"/>
  <c r="Y69" i="11" s="1"/>
  <c r="X65" i="11"/>
  <c r="Y65" i="11" s="1"/>
  <c r="X64" i="11"/>
  <c r="Y64" i="11" s="1"/>
  <c r="X63" i="11"/>
  <c r="Y63" i="11" s="1"/>
  <c r="X61" i="11"/>
  <c r="Y61" i="11" s="1"/>
  <c r="X75" i="11"/>
  <c r="Y75" i="11" s="1"/>
  <c r="X101" i="11"/>
  <c r="Y101" i="11" s="1"/>
  <c r="X47" i="11"/>
  <c r="Y47" i="11" s="1"/>
  <c r="X44" i="11"/>
  <c r="Y44" i="11" s="1"/>
  <c r="X39" i="11"/>
  <c r="Y39" i="11" s="1"/>
  <c r="X38" i="11"/>
  <c r="Y38" i="11" s="1"/>
  <c r="X36" i="11"/>
  <c r="Y36" i="11" s="1"/>
  <c r="X31" i="11"/>
  <c r="Y31" i="11" s="1"/>
  <c r="X29" i="11"/>
  <c r="Y29" i="11" s="1"/>
  <c r="X15" i="11"/>
  <c r="Y15" i="11" s="1"/>
  <c r="X24" i="11"/>
  <c r="Y24" i="11" s="1"/>
  <c r="X23" i="11"/>
  <c r="Y23" i="11" s="1"/>
  <c r="X22" i="11"/>
  <c r="Y22" i="11" s="1"/>
  <c r="X21" i="11"/>
  <c r="Y21" i="11" s="1"/>
  <c r="X18" i="11"/>
  <c r="Y18" i="11" s="1"/>
  <c r="X19" i="11"/>
  <c r="Y19" i="11" s="1"/>
  <c r="X17" i="11"/>
  <c r="Y17" i="11" s="1"/>
  <c r="X12" i="11"/>
  <c r="Y12" i="11" s="1"/>
  <c r="X9" i="11"/>
  <c r="Y9" i="11" s="1"/>
  <c r="X6" i="11"/>
  <c r="Y6" i="11" s="1"/>
  <c r="X5" i="11"/>
  <c r="Y5" i="11" s="1"/>
  <c r="V50" i="11"/>
  <c r="V55" i="11"/>
  <c r="V20" i="11"/>
  <c r="V54" i="11"/>
  <c r="V56" i="11"/>
  <c r="V57" i="11"/>
  <c r="V37" i="11"/>
  <c r="V40" i="11"/>
  <c r="V41" i="11"/>
  <c r="V43" i="11"/>
  <c r="V42" i="11"/>
  <c r="V58" i="11"/>
  <c r="V103" i="11"/>
  <c r="V90" i="11"/>
  <c r="V35" i="11"/>
  <c r="V51" i="11"/>
  <c r="V59" i="11"/>
  <c r="V16" i="11"/>
  <c r="V28" i="11"/>
  <c r="V77" i="11"/>
  <c r="V78" i="11"/>
  <c r="V27" i="11"/>
  <c r="V67" i="11"/>
  <c r="V111" i="11"/>
  <c r="V85" i="11"/>
  <c r="V84" i="11"/>
  <c r="V109" i="11"/>
  <c r="V108" i="11"/>
  <c r="V110" i="11"/>
  <c r="V93" i="11"/>
  <c r="V100" i="11"/>
  <c r="V99" i="11"/>
  <c r="V97" i="11"/>
  <c r="V92" i="11"/>
  <c r="V82" i="11"/>
  <c r="V81" i="11"/>
  <c r="V76" i="11"/>
  <c r="V68" i="11"/>
  <c r="V66" i="11"/>
  <c r="V83" i="11"/>
  <c r="V52" i="11"/>
  <c r="V62" i="11"/>
  <c r="V60" i="11"/>
  <c r="V46" i="11"/>
  <c r="V45" i="11"/>
  <c r="V48" i="11"/>
  <c r="V53" i="11"/>
  <c r="V34" i="11"/>
  <c r="V32" i="11"/>
  <c r="V33" i="11"/>
  <c r="V26" i="11"/>
  <c r="V25" i="11"/>
  <c r="V14" i="11"/>
  <c r="V13" i="11"/>
  <c r="V11" i="11"/>
  <c r="V10" i="11"/>
  <c r="V8" i="11"/>
  <c r="V7" i="11"/>
  <c r="V4" i="11"/>
  <c r="V3" i="11"/>
  <c r="V112" i="11"/>
  <c r="W112" i="11" s="1"/>
  <c r="V49" i="11"/>
  <c r="W49" i="11" s="1"/>
  <c r="V106" i="11"/>
  <c r="W106" i="11" s="1"/>
  <c r="V105" i="11"/>
  <c r="W105" i="11" s="1"/>
  <c r="V107" i="11"/>
  <c r="W107" i="11" s="1"/>
  <c r="V104" i="11"/>
  <c r="W104" i="11" s="1"/>
  <c r="V102" i="11"/>
  <c r="W102" i="11" s="1"/>
  <c r="V98" i="11"/>
  <c r="W98" i="11" s="1"/>
  <c r="V96" i="11"/>
  <c r="W96" i="11" s="1"/>
  <c r="V95" i="11"/>
  <c r="W95" i="11" s="1"/>
  <c r="V94" i="11"/>
  <c r="W94" i="11" s="1"/>
  <c r="V91" i="11"/>
  <c r="W91" i="11" s="1"/>
  <c r="V89" i="11"/>
  <c r="W89" i="11" s="1"/>
  <c r="V88" i="11"/>
  <c r="W88" i="11" s="1"/>
  <c r="V87" i="11"/>
  <c r="W87" i="11" s="1"/>
  <c r="V86" i="11"/>
  <c r="W86" i="11" s="1"/>
  <c r="V80" i="11"/>
  <c r="W80" i="11" s="1"/>
  <c r="V79" i="11"/>
  <c r="W79" i="11" s="1"/>
  <c r="V74" i="11"/>
  <c r="W74" i="11" s="1"/>
  <c r="V73" i="11"/>
  <c r="W73" i="11" s="1"/>
  <c r="V72" i="11"/>
  <c r="W72" i="11" s="1"/>
  <c r="V71" i="11"/>
  <c r="W71" i="11" s="1"/>
  <c r="V70" i="11"/>
  <c r="W70" i="11" s="1"/>
  <c r="V69" i="11"/>
  <c r="W69" i="11" s="1"/>
  <c r="V65" i="11"/>
  <c r="W65" i="11" s="1"/>
  <c r="V64" i="11"/>
  <c r="W64" i="11" s="1"/>
  <c r="V63" i="11"/>
  <c r="W63" i="11" s="1"/>
  <c r="V61" i="11"/>
  <c r="W61" i="11" s="1"/>
  <c r="V75" i="11"/>
  <c r="W75" i="11" s="1"/>
  <c r="V101" i="11"/>
  <c r="W101" i="11" s="1"/>
  <c r="V47" i="11"/>
  <c r="W47" i="11" s="1"/>
  <c r="V44" i="11"/>
  <c r="W44" i="11" s="1"/>
  <c r="V39" i="11"/>
  <c r="W39" i="11" s="1"/>
  <c r="V38" i="11"/>
  <c r="W38" i="11" s="1"/>
  <c r="V36" i="11"/>
  <c r="W36" i="11" s="1"/>
  <c r="V31" i="11"/>
  <c r="W31" i="11" s="1"/>
  <c r="V29" i="11"/>
  <c r="W29" i="11" s="1"/>
  <c r="V15" i="11"/>
  <c r="W15" i="11" s="1"/>
  <c r="V24" i="11"/>
  <c r="W24" i="11" s="1"/>
  <c r="V23" i="11"/>
  <c r="V22" i="11"/>
  <c r="W22" i="11" s="1"/>
  <c r="V21" i="11"/>
  <c r="W21" i="11" s="1"/>
  <c r="V18" i="11"/>
  <c r="W18" i="11" s="1"/>
  <c r="V19" i="11"/>
  <c r="W19" i="11" s="1"/>
  <c r="V17" i="11"/>
  <c r="W17" i="11" s="1"/>
  <c r="V12" i="11"/>
  <c r="W12" i="11" s="1"/>
  <c r="V9" i="11"/>
  <c r="W9" i="11" s="1"/>
  <c r="V6" i="11"/>
  <c r="W6" i="11" s="1"/>
  <c r="V5" i="11"/>
  <c r="W5" i="11" s="1"/>
  <c r="N50" i="11"/>
  <c r="N55" i="11"/>
  <c r="N20" i="11"/>
  <c r="N54" i="11"/>
  <c r="N56" i="11"/>
  <c r="N57" i="11"/>
  <c r="N37" i="11"/>
  <c r="N40" i="11"/>
  <c r="N41" i="11"/>
  <c r="N43" i="11"/>
  <c r="N42" i="11"/>
  <c r="N58" i="11"/>
  <c r="N103" i="11"/>
  <c r="N90" i="11"/>
  <c r="N35" i="11"/>
  <c r="N51" i="11"/>
  <c r="N59" i="11"/>
  <c r="N16" i="11"/>
  <c r="N28" i="11"/>
  <c r="N77" i="11"/>
  <c r="N78" i="11"/>
  <c r="N27" i="11"/>
  <c r="N67" i="11"/>
  <c r="N111" i="11"/>
  <c r="N85" i="11"/>
  <c r="N84" i="11"/>
  <c r="N109" i="11"/>
  <c r="N108" i="11"/>
  <c r="N110" i="11"/>
  <c r="N93" i="11"/>
  <c r="N100" i="11"/>
  <c r="N99" i="11"/>
  <c r="N97" i="11"/>
  <c r="N92" i="11"/>
  <c r="N82" i="11"/>
  <c r="N81" i="11"/>
  <c r="N76" i="11"/>
  <c r="N68" i="11"/>
  <c r="N66" i="11"/>
  <c r="N83" i="11"/>
  <c r="N52" i="11"/>
  <c r="N62" i="11"/>
  <c r="N60" i="11"/>
  <c r="N46" i="11"/>
  <c r="N45" i="11"/>
  <c r="N48" i="11"/>
  <c r="N53" i="11"/>
  <c r="N34" i="11"/>
  <c r="N32" i="11"/>
  <c r="N33" i="11"/>
  <c r="N26" i="11"/>
  <c r="N25" i="11"/>
  <c r="N14" i="11"/>
  <c r="N13" i="11"/>
  <c r="N11" i="11"/>
  <c r="N10" i="11"/>
  <c r="N8" i="11"/>
  <c r="N7" i="11"/>
  <c r="N4" i="11"/>
  <c r="N3" i="11"/>
  <c r="N112" i="11"/>
  <c r="O112" i="11" s="1"/>
  <c r="N49" i="11"/>
  <c r="O49" i="11" s="1"/>
  <c r="N106" i="11"/>
  <c r="O106" i="11" s="1"/>
  <c r="N105" i="11"/>
  <c r="O105" i="11" s="1"/>
  <c r="N107" i="11"/>
  <c r="N104" i="11"/>
  <c r="O104" i="11" s="1"/>
  <c r="N102" i="11"/>
  <c r="O102" i="11" s="1"/>
  <c r="N98" i="11"/>
  <c r="O98" i="11" s="1"/>
  <c r="N96" i="11"/>
  <c r="O96" i="11" s="1"/>
  <c r="N95" i="11"/>
  <c r="O95" i="11" s="1"/>
  <c r="N94" i="11"/>
  <c r="N91" i="11"/>
  <c r="O91" i="11" s="1"/>
  <c r="N89" i="11"/>
  <c r="O89" i="11" s="1"/>
  <c r="N88" i="11"/>
  <c r="O88" i="11" s="1"/>
  <c r="N87" i="11"/>
  <c r="O87" i="11" s="1"/>
  <c r="N86" i="11"/>
  <c r="O86" i="11" s="1"/>
  <c r="N80" i="11"/>
  <c r="N79" i="11"/>
  <c r="O79" i="11" s="1"/>
  <c r="N74" i="11"/>
  <c r="O74" i="11" s="1"/>
  <c r="N73" i="11"/>
  <c r="O73" i="11" s="1"/>
  <c r="N72" i="11"/>
  <c r="O72" i="11" s="1"/>
  <c r="N71" i="11"/>
  <c r="O71" i="11" s="1"/>
  <c r="N70" i="11"/>
  <c r="O70" i="11" s="1"/>
  <c r="N69" i="11"/>
  <c r="O69" i="11" s="1"/>
  <c r="N65" i="11"/>
  <c r="O65" i="11" s="1"/>
  <c r="N64" i="11"/>
  <c r="O64" i="11" s="1"/>
  <c r="N63" i="11"/>
  <c r="O63" i="11" s="1"/>
  <c r="N61" i="11"/>
  <c r="O61" i="11" s="1"/>
  <c r="N75" i="11"/>
  <c r="N101" i="11"/>
  <c r="O101" i="11" s="1"/>
  <c r="N47" i="11"/>
  <c r="O47" i="11" s="1"/>
  <c r="N44" i="11"/>
  <c r="O44" i="11" s="1"/>
  <c r="N39" i="11"/>
  <c r="O39" i="11" s="1"/>
  <c r="N38" i="11"/>
  <c r="O38" i="11" s="1"/>
  <c r="N36" i="11"/>
  <c r="N31" i="11"/>
  <c r="O31" i="11" s="1"/>
  <c r="N29" i="11"/>
  <c r="O29" i="11" s="1"/>
  <c r="N15" i="11"/>
  <c r="O15" i="11" s="1"/>
  <c r="N24" i="11"/>
  <c r="O24" i="11" s="1"/>
  <c r="N23" i="11"/>
  <c r="O23" i="11" s="1"/>
  <c r="N22" i="11"/>
  <c r="N21" i="11"/>
  <c r="O21" i="11" s="1"/>
  <c r="N18" i="11"/>
  <c r="O18" i="11" s="1"/>
  <c r="N19" i="11"/>
  <c r="O19" i="11" s="1"/>
  <c r="N17" i="11"/>
  <c r="O17" i="11" s="1"/>
  <c r="N12" i="11"/>
  <c r="O12" i="11" s="1"/>
  <c r="N9" i="11"/>
  <c r="N6" i="11"/>
  <c r="O6" i="11" s="1"/>
  <c r="P50" i="11"/>
  <c r="Q50" i="11" s="1"/>
  <c r="P55" i="11"/>
  <c r="Q55" i="11" s="1"/>
  <c r="P20" i="11"/>
  <c r="Q20" i="11" s="1"/>
  <c r="P54" i="11"/>
  <c r="Q54" i="11" s="1"/>
  <c r="P56" i="11"/>
  <c r="Q56" i="11" s="1"/>
  <c r="P57" i="11"/>
  <c r="Q57" i="11" s="1"/>
  <c r="P37" i="11"/>
  <c r="Q37" i="11" s="1"/>
  <c r="P40" i="11"/>
  <c r="Q40" i="11" s="1"/>
  <c r="P41" i="11"/>
  <c r="Q41" i="11" s="1"/>
  <c r="P43" i="11"/>
  <c r="Q43" i="11" s="1"/>
  <c r="P42" i="11"/>
  <c r="Q42" i="11" s="1"/>
  <c r="P58" i="11"/>
  <c r="Q58" i="11" s="1"/>
  <c r="P103" i="11"/>
  <c r="Q103" i="11" s="1"/>
  <c r="P90" i="11"/>
  <c r="Q90" i="11" s="1"/>
  <c r="P35" i="11"/>
  <c r="Q35" i="11" s="1"/>
  <c r="P51" i="11"/>
  <c r="Q51" i="11" s="1"/>
  <c r="P59" i="11"/>
  <c r="Q59" i="11" s="1"/>
  <c r="P16" i="11"/>
  <c r="Q16" i="11" s="1"/>
  <c r="P28" i="11"/>
  <c r="Q28" i="11" s="1"/>
  <c r="P77" i="11"/>
  <c r="Q77" i="11" s="1"/>
  <c r="P78" i="11"/>
  <c r="Q78" i="11" s="1"/>
  <c r="P27" i="11"/>
  <c r="Q27" i="11" s="1"/>
  <c r="P67" i="11"/>
  <c r="Q67" i="11" s="1"/>
  <c r="P111" i="11"/>
  <c r="Q111" i="11" s="1"/>
  <c r="P85" i="11"/>
  <c r="Q85" i="11" s="1"/>
  <c r="P84" i="11"/>
  <c r="Q84" i="11" s="1"/>
  <c r="P109" i="11"/>
  <c r="Q109" i="11" s="1"/>
  <c r="P108" i="11"/>
  <c r="Q108" i="11" s="1"/>
  <c r="P110" i="11"/>
  <c r="Q110" i="11" s="1"/>
  <c r="P93" i="11"/>
  <c r="Q93" i="11" s="1"/>
  <c r="P100" i="11"/>
  <c r="Q100" i="11" s="1"/>
  <c r="P99" i="11"/>
  <c r="Q99" i="11" s="1"/>
  <c r="P97" i="11"/>
  <c r="Q97" i="11" s="1"/>
  <c r="P92" i="11"/>
  <c r="Q92" i="11" s="1"/>
  <c r="P82" i="11"/>
  <c r="Q82" i="11" s="1"/>
  <c r="P81" i="11"/>
  <c r="Q81" i="11" s="1"/>
  <c r="P76" i="11"/>
  <c r="Q76" i="11" s="1"/>
  <c r="P68" i="11"/>
  <c r="Q68" i="11" s="1"/>
  <c r="P66" i="11"/>
  <c r="Q66" i="11" s="1"/>
  <c r="P83" i="11"/>
  <c r="Q83" i="11" s="1"/>
  <c r="P52" i="11"/>
  <c r="Q52" i="11" s="1"/>
  <c r="P62" i="11"/>
  <c r="P60" i="11"/>
  <c r="Q60" i="11" s="1"/>
  <c r="P46" i="11"/>
  <c r="Q46" i="11" s="1"/>
  <c r="P45" i="11"/>
  <c r="P48" i="11"/>
  <c r="Q48" i="11" s="1"/>
  <c r="P53" i="11"/>
  <c r="Q53" i="11" s="1"/>
  <c r="P34" i="11"/>
  <c r="Q34" i="11" s="1"/>
  <c r="P32" i="11"/>
  <c r="Q32" i="11" s="1"/>
  <c r="P33" i="11"/>
  <c r="P26" i="11"/>
  <c r="Q26" i="11" s="1"/>
  <c r="P25" i="11"/>
  <c r="Q25" i="11" s="1"/>
  <c r="P14" i="11"/>
  <c r="Q14" i="11" s="1"/>
  <c r="P13" i="11"/>
  <c r="Q13" i="11" s="1"/>
  <c r="P11" i="11"/>
  <c r="Q11" i="11" s="1"/>
  <c r="P10" i="11"/>
  <c r="Q10" i="11" s="1"/>
  <c r="P8" i="11"/>
  <c r="Q8" i="11" s="1"/>
  <c r="P7" i="11"/>
  <c r="Q7" i="11" s="1"/>
  <c r="P4" i="11"/>
  <c r="Q4" i="11" s="1"/>
  <c r="P3" i="11"/>
  <c r="Q3" i="11" s="1"/>
  <c r="P112" i="11"/>
  <c r="Q112" i="11" s="1"/>
  <c r="P49" i="11"/>
  <c r="Q49" i="11" s="1"/>
  <c r="P106" i="11"/>
  <c r="Q106" i="11" s="1"/>
  <c r="P105" i="11"/>
  <c r="Q105" i="11" s="1"/>
  <c r="P107" i="11"/>
  <c r="Q107" i="11" s="1"/>
  <c r="P104" i="11"/>
  <c r="Q104" i="11" s="1"/>
  <c r="P102" i="11"/>
  <c r="Q102" i="11" s="1"/>
  <c r="P98" i="11"/>
  <c r="Q98" i="11" s="1"/>
  <c r="P96" i="11"/>
  <c r="Q96" i="11" s="1"/>
  <c r="P95" i="11"/>
  <c r="Q95" i="11" s="1"/>
  <c r="P94" i="11"/>
  <c r="Q94" i="11" s="1"/>
  <c r="P91" i="11"/>
  <c r="Q91" i="11" s="1"/>
  <c r="P89" i="11"/>
  <c r="Q89" i="11" s="1"/>
  <c r="P88" i="11"/>
  <c r="Q88" i="11" s="1"/>
  <c r="P87" i="11"/>
  <c r="Q87" i="11" s="1"/>
  <c r="P86" i="11"/>
  <c r="Q86" i="11" s="1"/>
  <c r="P80" i="11"/>
  <c r="Q80" i="11" s="1"/>
  <c r="P79" i="11"/>
  <c r="Q79" i="11" s="1"/>
  <c r="P74" i="11"/>
  <c r="Q74" i="11" s="1"/>
  <c r="P73" i="11"/>
  <c r="Q73" i="11" s="1"/>
  <c r="P72" i="11"/>
  <c r="Q72" i="11" s="1"/>
  <c r="P71" i="11"/>
  <c r="Q71" i="11" s="1"/>
  <c r="P70" i="11"/>
  <c r="Q70" i="11" s="1"/>
  <c r="P69" i="11"/>
  <c r="Q69" i="11" s="1"/>
  <c r="P65" i="11"/>
  <c r="Q65" i="11" s="1"/>
  <c r="P64" i="11"/>
  <c r="Q64" i="11" s="1"/>
  <c r="P63" i="11"/>
  <c r="Q63" i="11" s="1"/>
  <c r="P61" i="11"/>
  <c r="Q61" i="11" s="1"/>
  <c r="P75" i="11"/>
  <c r="Q75" i="11" s="1"/>
  <c r="P101" i="11"/>
  <c r="Q101" i="11" s="1"/>
  <c r="P47" i="11"/>
  <c r="Q47" i="11" s="1"/>
  <c r="P44" i="11"/>
  <c r="Q44" i="11" s="1"/>
  <c r="P39" i="11"/>
  <c r="Q39" i="11" s="1"/>
  <c r="P38" i="11"/>
  <c r="Q38" i="11" s="1"/>
  <c r="P36" i="11"/>
  <c r="Q36" i="11" s="1"/>
  <c r="P31" i="11"/>
  <c r="Q31" i="11" s="1"/>
  <c r="P29" i="11"/>
  <c r="Q29" i="11" s="1"/>
  <c r="P15" i="11"/>
  <c r="Q15" i="11" s="1"/>
  <c r="P24" i="11"/>
  <c r="Q24" i="11" s="1"/>
  <c r="P23" i="11"/>
  <c r="Q23" i="11" s="1"/>
  <c r="P22" i="11"/>
  <c r="Q22" i="11" s="1"/>
  <c r="P21" i="11"/>
  <c r="Q21" i="11" s="1"/>
  <c r="P18" i="11"/>
  <c r="Q18" i="11" s="1"/>
  <c r="P19" i="11"/>
  <c r="Q19" i="11" s="1"/>
  <c r="P17" i="11"/>
  <c r="Q17" i="11" s="1"/>
  <c r="P12" i="11"/>
  <c r="Q12" i="11" s="1"/>
  <c r="P9" i="11"/>
  <c r="Q9" i="11" s="1"/>
  <c r="P6" i="11"/>
  <c r="Q6" i="11" s="1"/>
  <c r="P5" i="11"/>
  <c r="Q5" i="11" s="1"/>
  <c r="N5" i="11"/>
  <c r="O5" i="11" s="1"/>
  <c r="L50" i="11"/>
  <c r="M50" i="11" s="1"/>
  <c r="L55" i="11"/>
  <c r="M55" i="11" s="1"/>
  <c r="L20" i="11"/>
  <c r="M20" i="11" s="1"/>
  <c r="L54" i="11"/>
  <c r="M54" i="11" s="1"/>
  <c r="L56" i="11"/>
  <c r="M56" i="11" s="1"/>
  <c r="L57" i="11"/>
  <c r="M57" i="11" s="1"/>
  <c r="L37" i="11"/>
  <c r="M37" i="11" s="1"/>
  <c r="L40" i="11"/>
  <c r="M40" i="11" s="1"/>
  <c r="L41" i="11"/>
  <c r="M41" i="11" s="1"/>
  <c r="L43" i="11"/>
  <c r="M43" i="11" s="1"/>
  <c r="L42" i="11"/>
  <c r="M42" i="11" s="1"/>
  <c r="L58" i="11"/>
  <c r="M58" i="11" s="1"/>
  <c r="L103" i="11"/>
  <c r="M103" i="11" s="1"/>
  <c r="L90" i="11"/>
  <c r="L35" i="11"/>
  <c r="M35" i="11" s="1"/>
  <c r="L51" i="11"/>
  <c r="M51" i="11" s="1"/>
  <c r="L59" i="11"/>
  <c r="M59" i="11" s="1"/>
  <c r="L16" i="11"/>
  <c r="M16" i="11" s="1"/>
  <c r="L28" i="11"/>
  <c r="M28" i="11" s="1"/>
  <c r="L77" i="11"/>
  <c r="M77" i="11" s="1"/>
  <c r="L78" i="11"/>
  <c r="M78" i="11" s="1"/>
  <c r="L27" i="11"/>
  <c r="M27" i="11" s="1"/>
  <c r="L67" i="11"/>
  <c r="M67" i="11" s="1"/>
  <c r="L111" i="11"/>
  <c r="L85" i="11"/>
  <c r="M85" i="11" s="1"/>
  <c r="L84" i="11"/>
  <c r="M84" i="11" s="1"/>
  <c r="L109" i="11"/>
  <c r="M109" i="11" s="1"/>
  <c r="L108" i="11"/>
  <c r="M108" i="11" s="1"/>
  <c r="L110" i="11"/>
  <c r="M110" i="11" s="1"/>
  <c r="L93" i="11"/>
  <c r="M93" i="11" s="1"/>
  <c r="L100" i="11"/>
  <c r="M100" i="11" s="1"/>
  <c r="L99" i="11"/>
  <c r="M99" i="11" s="1"/>
  <c r="L97" i="11"/>
  <c r="M97" i="11" s="1"/>
  <c r="L92" i="11"/>
  <c r="M92" i="11" s="1"/>
  <c r="L82" i="11"/>
  <c r="M82" i="11" s="1"/>
  <c r="L81" i="11"/>
  <c r="M81" i="11" s="1"/>
  <c r="L76" i="11"/>
  <c r="M76" i="11" s="1"/>
  <c r="L68" i="11"/>
  <c r="M68" i="11" s="1"/>
  <c r="L66" i="11"/>
  <c r="M66" i="11" s="1"/>
  <c r="L83" i="11"/>
  <c r="L52" i="11"/>
  <c r="M52" i="11" s="1"/>
  <c r="L62" i="11"/>
  <c r="M62" i="11" s="1"/>
  <c r="L60" i="11"/>
  <c r="M60" i="11" s="1"/>
  <c r="L46" i="11"/>
  <c r="M46" i="11" s="1"/>
  <c r="L45" i="11"/>
  <c r="M45" i="11" s="1"/>
  <c r="L48" i="11"/>
  <c r="M48" i="11" s="1"/>
  <c r="L53" i="11"/>
  <c r="M53" i="11" s="1"/>
  <c r="L34" i="11"/>
  <c r="M34" i="11" s="1"/>
  <c r="L32" i="11"/>
  <c r="M32" i="11" s="1"/>
  <c r="L33" i="11"/>
  <c r="M33" i="11" s="1"/>
  <c r="L26" i="11"/>
  <c r="M26" i="11" s="1"/>
  <c r="L25" i="11"/>
  <c r="M25" i="11" s="1"/>
  <c r="L14" i="11"/>
  <c r="M14" i="11" s="1"/>
  <c r="L13" i="11"/>
  <c r="L11" i="11"/>
  <c r="M11" i="11" s="1"/>
  <c r="L10" i="11"/>
  <c r="L8" i="11"/>
  <c r="M8" i="11" s="1"/>
  <c r="L7" i="11"/>
  <c r="M7" i="11" s="1"/>
  <c r="L4" i="11"/>
  <c r="M4" i="11" s="1"/>
  <c r="L3" i="11"/>
  <c r="M3" i="11" s="1"/>
  <c r="L112" i="11"/>
  <c r="M112" i="11" s="1"/>
  <c r="L49" i="11"/>
  <c r="M49" i="11" s="1"/>
  <c r="L106" i="11"/>
  <c r="M106" i="11" s="1"/>
  <c r="L105" i="11"/>
  <c r="M105" i="11" s="1"/>
  <c r="L107" i="11"/>
  <c r="M107" i="11" s="1"/>
  <c r="L104" i="11"/>
  <c r="M104" i="11" s="1"/>
  <c r="L102" i="11"/>
  <c r="M102" i="11" s="1"/>
  <c r="L98" i="11"/>
  <c r="M98" i="11" s="1"/>
  <c r="L96" i="11"/>
  <c r="M96" i="11" s="1"/>
  <c r="L95" i="11"/>
  <c r="M95" i="11" s="1"/>
  <c r="L94" i="11"/>
  <c r="M94" i="11" s="1"/>
  <c r="L91" i="11"/>
  <c r="M91" i="11" s="1"/>
  <c r="L89" i="11"/>
  <c r="M89" i="11" s="1"/>
  <c r="L88" i="11"/>
  <c r="M88" i="11" s="1"/>
  <c r="L87" i="11"/>
  <c r="M87" i="11" s="1"/>
  <c r="L86" i="11"/>
  <c r="M86" i="11" s="1"/>
  <c r="L80" i="11"/>
  <c r="M80" i="11" s="1"/>
  <c r="L79" i="11"/>
  <c r="M79" i="11" s="1"/>
  <c r="L74" i="11"/>
  <c r="M74" i="11" s="1"/>
  <c r="L73" i="11"/>
  <c r="M73" i="11" s="1"/>
  <c r="L72" i="11"/>
  <c r="M72" i="11" s="1"/>
  <c r="L71" i="11"/>
  <c r="M71" i="11" s="1"/>
  <c r="L70" i="11"/>
  <c r="M70" i="11" s="1"/>
  <c r="L69" i="11"/>
  <c r="M69" i="11" s="1"/>
  <c r="L65" i="11"/>
  <c r="M65" i="11" s="1"/>
  <c r="L64" i="11"/>
  <c r="M64" i="11" s="1"/>
  <c r="L63" i="11"/>
  <c r="M63" i="11" s="1"/>
  <c r="L61" i="11"/>
  <c r="M61" i="11" s="1"/>
  <c r="L75" i="11"/>
  <c r="M75" i="11" s="1"/>
  <c r="L101" i="11"/>
  <c r="M101" i="11" s="1"/>
  <c r="L47" i="11"/>
  <c r="M47" i="11" s="1"/>
  <c r="L44" i="11"/>
  <c r="M44" i="11" s="1"/>
  <c r="L39" i="11"/>
  <c r="M39" i="11" s="1"/>
  <c r="L38" i="11"/>
  <c r="L36" i="11"/>
  <c r="M36" i="11" s="1"/>
  <c r="L31" i="11"/>
  <c r="M31" i="11" s="1"/>
  <c r="L29" i="11"/>
  <c r="M29" i="11" s="1"/>
  <c r="L15" i="11"/>
  <c r="M15" i="11" s="1"/>
  <c r="L24" i="11"/>
  <c r="M24" i="11" s="1"/>
  <c r="L23" i="11"/>
  <c r="M23" i="11" s="1"/>
  <c r="L22" i="11"/>
  <c r="M22" i="11" s="1"/>
  <c r="L21" i="11"/>
  <c r="M21" i="11" s="1"/>
  <c r="L18" i="11"/>
  <c r="M18" i="11" s="1"/>
  <c r="L19" i="11"/>
  <c r="M19" i="11" s="1"/>
  <c r="L17" i="11"/>
  <c r="M17" i="11" s="1"/>
  <c r="L12" i="11"/>
  <c r="M12" i="11" s="1"/>
  <c r="L9" i="11"/>
  <c r="M9" i="11" s="1"/>
  <c r="L6" i="11"/>
  <c r="M6" i="11" s="1"/>
  <c r="L5" i="11"/>
  <c r="M5" i="11" s="1"/>
  <c r="J66" i="11"/>
  <c r="K66" i="11" s="1"/>
  <c r="J27" i="11"/>
  <c r="J67" i="11"/>
  <c r="K67" i="11" s="1"/>
  <c r="J111" i="11"/>
  <c r="K111" i="11" s="1"/>
  <c r="J28" i="11"/>
  <c r="K28" i="11" s="1"/>
  <c r="J77" i="11"/>
  <c r="J78" i="11"/>
  <c r="K78" i="11" s="1"/>
  <c r="J51" i="11"/>
  <c r="K51" i="11" s="1"/>
  <c r="J59" i="11"/>
  <c r="K59" i="11" s="1"/>
  <c r="U16" i="11"/>
  <c r="J16" i="11"/>
  <c r="K16" i="11" s="1"/>
  <c r="J103" i="11"/>
  <c r="K103" i="11" s="1"/>
  <c r="J90" i="11"/>
  <c r="K90" i="11" s="1"/>
  <c r="J35" i="11"/>
  <c r="K35" i="11" s="1"/>
  <c r="J43" i="11"/>
  <c r="K43" i="11" s="1"/>
  <c r="J42" i="11"/>
  <c r="K42" i="11" s="1"/>
  <c r="J58" i="11"/>
  <c r="K58" i="11" s="1"/>
  <c r="J37" i="11"/>
  <c r="K37" i="11" s="1"/>
  <c r="U40" i="11"/>
  <c r="J40" i="11"/>
  <c r="K40" i="11" s="1"/>
  <c r="U41" i="11"/>
  <c r="J41" i="11"/>
  <c r="K41" i="11" s="1"/>
  <c r="J54" i="11"/>
  <c r="K54" i="11" s="1"/>
  <c r="J56" i="11"/>
  <c r="K56" i="11" s="1"/>
  <c r="J57" i="11"/>
  <c r="K57" i="11" s="1"/>
  <c r="J50" i="11"/>
  <c r="K50" i="11" s="1"/>
  <c r="U55" i="11"/>
  <c r="J55" i="11"/>
  <c r="K55" i="11" s="1"/>
  <c r="J20" i="11"/>
  <c r="J99" i="11"/>
  <c r="K99" i="11" s="1"/>
  <c r="U97" i="11"/>
  <c r="J97" i="11"/>
  <c r="K97" i="11" s="1"/>
  <c r="J92" i="11"/>
  <c r="K92" i="11" s="1"/>
  <c r="J82" i="11"/>
  <c r="K82" i="11" s="1"/>
  <c r="J81" i="11"/>
  <c r="K81" i="11" s="1"/>
  <c r="J109" i="11"/>
  <c r="K109" i="11" s="1"/>
  <c r="J108" i="11"/>
  <c r="K108" i="11" s="1"/>
  <c r="J110" i="11"/>
  <c r="K110" i="11" s="1"/>
  <c r="J93" i="11"/>
  <c r="K93" i="11" s="1"/>
  <c r="J100" i="11"/>
  <c r="K100" i="11" s="1"/>
  <c r="J13" i="11"/>
  <c r="K13" i="11" s="1"/>
  <c r="J11" i="11"/>
  <c r="K11" i="11" s="1"/>
  <c r="J10" i="11"/>
  <c r="K10" i="11" s="1"/>
  <c r="J8" i="11"/>
  <c r="U7" i="11"/>
  <c r="J7" i="11"/>
  <c r="K7" i="11" s="1"/>
  <c r="J4" i="11"/>
  <c r="K4" i="11" s="1"/>
  <c r="J3" i="11"/>
  <c r="K3" i="11" s="1"/>
  <c r="J53" i="11"/>
  <c r="J34" i="11"/>
  <c r="J32" i="11"/>
  <c r="K32" i="11" s="1"/>
  <c r="U33" i="11"/>
  <c r="J33" i="11"/>
  <c r="K33" i="11" s="1"/>
  <c r="J26" i="11"/>
  <c r="K26" i="11" s="1"/>
  <c r="J25" i="11"/>
  <c r="K25" i="11" s="1"/>
  <c r="J14" i="11"/>
  <c r="K14" i="11" s="1"/>
  <c r="J83" i="11"/>
  <c r="K83" i="11" s="1"/>
  <c r="J52" i="11"/>
  <c r="K52" i="11" s="1"/>
  <c r="U62" i="11"/>
  <c r="J62" i="11"/>
  <c r="K62" i="11" s="1"/>
  <c r="J60" i="11"/>
  <c r="K60" i="11" s="1"/>
  <c r="J46" i="11"/>
  <c r="K46" i="11" s="1"/>
  <c r="J45" i="11"/>
  <c r="K45" i="11" s="1"/>
  <c r="J48" i="11"/>
  <c r="J68" i="11"/>
  <c r="K68" i="11" s="1"/>
  <c r="J76" i="11"/>
  <c r="K76" i="11" s="1"/>
  <c r="J84" i="11"/>
  <c r="K84" i="11" s="1"/>
  <c r="J85" i="11"/>
  <c r="K85" i="11" s="1"/>
  <c r="J112" i="11"/>
  <c r="J49" i="11"/>
  <c r="J106" i="11"/>
  <c r="K106" i="11" s="1"/>
  <c r="J105" i="11"/>
  <c r="K105" i="11" s="1"/>
  <c r="J107" i="11"/>
  <c r="K107" i="11" s="1"/>
  <c r="J104" i="11"/>
  <c r="K104" i="11" s="1"/>
  <c r="J102" i="11"/>
  <c r="J98" i="11"/>
  <c r="J96" i="11"/>
  <c r="K96" i="11" s="1"/>
  <c r="J95" i="11"/>
  <c r="K95" i="11" s="1"/>
  <c r="J94" i="11"/>
  <c r="K94" i="11" s="1"/>
  <c r="J91" i="11"/>
  <c r="K91" i="11" s="1"/>
  <c r="J89" i="11"/>
  <c r="J88" i="11"/>
  <c r="J87" i="11"/>
  <c r="K87" i="11" s="1"/>
  <c r="J86" i="11"/>
  <c r="K86" i="11" s="1"/>
  <c r="J80" i="11"/>
  <c r="K80" i="11" s="1"/>
  <c r="J79" i="11"/>
  <c r="K79" i="11" s="1"/>
  <c r="J74" i="11"/>
  <c r="J73" i="11"/>
  <c r="J72" i="11"/>
  <c r="K72" i="11" s="1"/>
  <c r="J71" i="11"/>
  <c r="K71" i="11" s="1"/>
  <c r="J70" i="11"/>
  <c r="K70" i="11" s="1"/>
  <c r="J69" i="11"/>
  <c r="K69" i="11" s="1"/>
  <c r="J65" i="11"/>
  <c r="J64" i="11"/>
  <c r="J63" i="11"/>
  <c r="K63" i="11" s="1"/>
  <c r="J61" i="11"/>
  <c r="K61" i="11" s="1"/>
  <c r="J75" i="11"/>
  <c r="K75" i="11" s="1"/>
  <c r="J101" i="11"/>
  <c r="K101" i="11" s="1"/>
  <c r="J47" i="11"/>
  <c r="J44" i="11"/>
  <c r="J39" i="11"/>
  <c r="K39" i="11" s="1"/>
  <c r="J38" i="11"/>
  <c r="K38" i="11" s="1"/>
  <c r="J36" i="11"/>
  <c r="K36" i="11" s="1"/>
  <c r="J31" i="11"/>
  <c r="K31" i="11" s="1"/>
  <c r="J29" i="11"/>
  <c r="J15" i="11"/>
  <c r="J24" i="11"/>
  <c r="K24" i="11" s="1"/>
  <c r="J23" i="11"/>
  <c r="K23" i="11" s="1"/>
  <c r="J22" i="11"/>
  <c r="K22" i="11" s="1"/>
  <c r="J21" i="11"/>
  <c r="K21" i="11" s="1"/>
  <c r="J18" i="11"/>
  <c r="J19" i="11"/>
  <c r="J17" i="11"/>
  <c r="K17" i="11" s="1"/>
  <c r="J12" i="11"/>
  <c r="K12" i="11" s="1"/>
  <c r="J9" i="11"/>
  <c r="K9" i="11" s="1"/>
  <c r="J6" i="11"/>
  <c r="K6" i="11" s="1"/>
  <c r="J5" i="11"/>
  <c r="K5" i="11" s="1"/>
  <c r="U103" i="11"/>
  <c r="U67" i="11"/>
  <c r="S76" i="11"/>
  <c r="S68" i="11"/>
  <c r="U78" i="11"/>
  <c r="U48" i="11"/>
  <c r="U112" i="11"/>
  <c r="S112" i="11"/>
  <c r="U49" i="11"/>
  <c r="U105" i="11"/>
  <c r="Y107" i="11"/>
  <c r="U102" i="11"/>
  <c r="U96" i="11"/>
  <c r="S96" i="11"/>
  <c r="U95" i="11"/>
  <c r="U94" i="11"/>
  <c r="U89" i="11"/>
  <c r="U88" i="11"/>
  <c r="U87" i="11"/>
  <c r="S80" i="11"/>
  <c r="AA79" i="11"/>
  <c r="U79" i="11"/>
  <c r="U73" i="11"/>
  <c r="U72" i="11"/>
  <c r="U71" i="11"/>
  <c r="U70" i="11"/>
  <c r="U65" i="11"/>
  <c r="S65" i="11"/>
  <c r="U64" i="11"/>
  <c r="U63" i="11"/>
  <c r="U47" i="11"/>
  <c r="U39" i="11"/>
  <c r="S39" i="11"/>
  <c r="U38" i="11"/>
  <c r="S38" i="11"/>
  <c r="U31" i="11"/>
  <c r="U15" i="11"/>
  <c r="U24" i="11"/>
  <c r="W23" i="11"/>
  <c r="U23" i="11"/>
  <c r="U22" i="11"/>
  <c r="S21" i="11"/>
  <c r="U17" i="11"/>
  <c r="U9" i="11"/>
  <c r="U6" i="11"/>
  <c r="S5" i="11"/>
  <c r="N515" i="8" l="1"/>
  <c r="N517" i="8" s="1"/>
  <c r="V515" i="8"/>
  <c r="V517" i="8" s="1"/>
  <c r="Z515" i="8"/>
  <c r="L515" i="8"/>
  <c r="R515" i="8"/>
  <c r="T515" i="8"/>
  <c r="AB515" i="8"/>
  <c r="AB517" i="8" s="1"/>
  <c r="X515" i="8"/>
  <c r="E97" i="11"/>
  <c r="I97" i="11" s="1"/>
  <c r="E10" i="11"/>
  <c r="I10" i="11" s="1"/>
  <c r="E11" i="11"/>
  <c r="I11" i="11" s="1"/>
  <c r="E43" i="11"/>
  <c r="I43" i="11" s="1"/>
  <c r="M10" i="11"/>
  <c r="E71" i="11"/>
  <c r="I71" i="11" s="1"/>
  <c r="E4" i="11"/>
  <c r="I4" i="11" s="1"/>
  <c r="T120" i="11"/>
  <c r="E38" i="11"/>
  <c r="I38" i="11" s="1"/>
  <c r="E90" i="11"/>
  <c r="I90" i="11" s="1"/>
  <c r="E40" i="11"/>
  <c r="I40" i="11" s="1"/>
  <c r="E70" i="11"/>
  <c r="I70" i="11" s="1"/>
  <c r="U5" i="11"/>
  <c r="U120" i="11" s="1"/>
  <c r="E26" i="11"/>
  <c r="I26" i="11" s="1"/>
  <c r="E92" i="11"/>
  <c r="I92" i="11" s="1"/>
  <c r="E79" i="11"/>
  <c r="I79" i="11" s="1"/>
  <c r="E95" i="11"/>
  <c r="I95" i="11" s="1"/>
  <c r="E96" i="11"/>
  <c r="I96" i="11" s="1"/>
  <c r="E34" i="11"/>
  <c r="I34" i="11" s="1"/>
  <c r="N120" i="11"/>
  <c r="E46" i="11"/>
  <c r="I46" i="11" s="1"/>
  <c r="E108" i="11"/>
  <c r="I108" i="11" s="1"/>
  <c r="E58" i="11"/>
  <c r="I58" i="11" s="1"/>
  <c r="E100" i="11"/>
  <c r="I100" i="11" s="1"/>
  <c r="E56" i="11"/>
  <c r="I56" i="11" s="1"/>
  <c r="E13" i="11"/>
  <c r="I13" i="11" s="1"/>
  <c r="M38" i="11"/>
  <c r="M90" i="11"/>
  <c r="E23" i="11"/>
  <c r="I23" i="11" s="1"/>
  <c r="E69" i="11"/>
  <c r="I69" i="11" s="1"/>
  <c r="E86" i="11"/>
  <c r="I86" i="11" s="1"/>
  <c r="E28" i="11"/>
  <c r="I28" i="11" s="1"/>
  <c r="E87" i="11"/>
  <c r="I87" i="11" s="1"/>
  <c r="E68" i="11"/>
  <c r="I68" i="11" s="1"/>
  <c r="AA56" i="11"/>
  <c r="E51" i="11"/>
  <c r="I51" i="11" s="1"/>
  <c r="K34" i="11"/>
  <c r="E85" i="11"/>
  <c r="I85" i="11" s="1"/>
  <c r="E93" i="11"/>
  <c r="I93" i="11" s="1"/>
  <c r="E32" i="11"/>
  <c r="I32" i="11" s="1"/>
  <c r="E103" i="11"/>
  <c r="I103" i="11" s="1"/>
  <c r="E21" i="11"/>
  <c r="I21" i="11" s="1"/>
  <c r="E50" i="11"/>
  <c r="I50" i="11" s="1"/>
  <c r="E99" i="11"/>
  <c r="I99" i="11" s="1"/>
  <c r="E76" i="11"/>
  <c r="I76" i="11" s="1"/>
  <c r="E104" i="11"/>
  <c r="I104" i="11" s="1"/>
  <c r="E61" i="11"/>
  <c r="I61" i="11" s="1"/>
  <c r="E91" i="11"/>
  <c r="I91" i="11" s="1"/>
  <c r="E72" i="11"/>
  <c r="I72" i="11" s="1"/>
  <c r="E7" i="11"/>
  <c r="I7" i="11" s="1"/>
  <c r="E55" i="11"/>
  <c r="I55" i="11" s="1"/>
  <c r="E109" i="11"/>
  <c r="I109" i="11" s="1"/>
  <c r="W120" i="11"/>
  <c r="E12" i="11"/>
  <c r="I12" i="11" s="1"/>
  <c r="E17" i="11"/>
  <c r="I17" i="11" s="1"/>
  <c r="E24" i="11"/>
  <c r="I24" i="11" s="1"/>
  <c r="E39" i="11"/>
  <c r="I39" i="11" s="1"/>
  <c r="E63" i="11"/>
  <c r="I63" i="11" s="1"/>
  <c r="E106" i="11"/>
  <c r="I106" i="11" s="1"/>
  <c r="E60" i="11"/>
  <c r="I60" i="11" s="1"/>
  <c r="E37" i="11"/>
  <c r="I37" i="11" s="1"/>
  <c r="E14" i="11"/>
  <c r="I14" i="11" s="1"/>
  <c r="E52" i="11"/>
  <c r="I52" i="11" s="1"/>
  <c r="E82" i="11"/>
  <c r="I82" i="11" s="1"/>
  <c r="E110" i="11"/>
  <c r="I110" i="11" s="1"/>
  <c r="E67" i="11"/>
  <c r="I67" i="11" s="1"/>
  <c r="E59" i="11"/>
  <c r="I59" i="11" s="1"/>
  <c r="E42" i="11"/>
  <c r="I42" i="11" s="1"/>
  <c r="E6" i="11"/>
  <c r="I6" i="11" s="1"/>
  <c r="E31" i="11"/>
  <c r="I31" i="11" s="1"/>
  <c r="E101" i="11"/>
  <c r="I101" i="11" s="1"/>
  <c r="E16" i="11"/>
  <c r="I16" i="11" s="1"/>
  <c r="E25" i="11"/>
  <c r="I25" i="11" s="1"/>
  <c r="E54" i="11"/>
  <c r="I54" i="11" s="1"/>
  <c r="E66" i="11"/>
  <c r="I66" i="11" s="1"/>
  <c r="E35" i="11"/>
  <c r="I35" i="11" s="1"/>
  <c r="E105" i="11"/>
  <c r="I105" i="11" s="1"/>
  <c r="E18" i="11"/>
  <c r="I18" i="11" s="1"/>
  <c r="K18" i="11"/>
  <c r="K47" i="11"/>
  <c r="E47" i="11"/>
  <c r="I47" i="11" s="1"/>
  <c r="E74" i="11"/>
  <c r="I74" i="11" s="1"/>
  <c r="K74" i="11"/>
  <c r="E112" i="11"/>
  <c r="I112" i="11" s="1"/>
  <c r="K112" i="11"/>
  <c r="E5" i="11"/>
  <c r="I5" i="11" s="1"/>
  <c r="J120" i="11"/>
  <c r="E29" i="11"/>
  <c r="I29" i="11" s="1"/>
  <c r="K29" i="11"/>
  <c r="E65" i="11"/>
  <c r="I65" i="11" s="1"/>
  <c r="K65" i="11"/>
  <c r="E89" i="11"/>
  <c r="I89" i="11" s="1"/>
  <c r="K89" i="11"/>
  <c r="E102" i="11"/>
  <c r="I102" i="11" s="1"/>
  <c r="K102" i="11"/>
  <c r="E19" i="11"/>
  <c r="I19" i="11" s="1"/>
  <c r="K19" i="11"/>
  <c r="E15" i="11"/>
  <c r="I15" i="11" s="1"/>
  <c r="K15" i="11"/>
  <c r="E44" i="11"/>
  <c r="I44" i="11" s="1"/>
  <c r="K44" i="11"/>
  <c r="E64" i="11"/>
  <c r="I64" i="11" s="1"/>
  <c r="K64" i="11"/>
  <c r="E73" i="11"/>
  <c r="I73" i="11" s="1"/>
  <c r="K73" i="11"/>
  <c r="E88" i="11"/>
  <c r="I88" i="11" s="1"/>
  <c r="K88" i="11"/>
  <c r="E98" i="11"/>
  <c r="I98" i="11" s="1"/>
  <c r="K98" i="11"/>
  <c r="E49" i="11"/>
  <c r="I49" i="11" s="1"/>
  <c r="K49" i="11"/>
  <c r="K53" i="11"/>
  <c r="E53" i="11"/>
  <c r="I53" i="11" s="1"/>
  <c r="K77" i="11"/>
  <c r="E77" i="11"/>
  <c r="I77" i="11" s="1"/>
  <c r="E9" i="11"/>
  <c r="I9" i="11" s="1"/>
  <c r="O9" i="11"/>
  <c r="E22" i="11"/>
  <c r="I22" i="11" s="1"/>
  <c r="O22" i="11"/>
  <c r="O36" i="11"/>
  <c r="E36" i="11"/>
  <c r="I36" i="11" s="1"/>
  <c r="E75" i="11"/>
  <c r="I75" i="11" s="1"/>
  <c r="O75" i="11"/>
  <c r="O80" i="11"/>
  <c r="E80" i="11"/>
  <c r="I80" i="11" s="1"/>
  <c r="E94" i="11"/>
  <c r="I94" i="11" s="1"/>
  <c r="O94" i="11"/>
  <c r="O107" i="11"/>
  <c r="E107" i="11"/>
  <c r="I107" i="11" s="1"/>
  <c r="Y120" i="11"/>
  <c r="M83" i="11"/>
  <c r="E83" i="11"/>
  <c r="I83" i="11" s="1"/>
  <c r="Q62" i="11"/>
  <c r="E62" i="11"/>
  <c r="I62" i="11" s="1"/>
  <c r="E81" i="11"/>
  <c r="I81" i="11" s="1"/>
  <c r="L120" i="11"/>
  <c r="M13" i="11"/>
  <c r="Q33" i="11"/>
  <c r="E33" i="11"/>
  <c r="I33" i="11" s="1"/>
  <c r="Q45" i="11"/>
  <c r="E45" i="11"/>
  <c r="I45" i="11" s="1"/>
  <c r="E48" i="11"/>
  <c r="I48" i="11" s="1"/>
  <c r="K48" i="11"/>
  <c r="E20" i="11"/>
  <c r="I20" i="11" s="1"/>
  <c r="K20" i="11"/>
  <c r="M111" i="11"/>
  <c r="E111" i="11"/>
  <c r="I111" i="11" s="1"/>
  <c r="M30" i="11"/>
  <c r="E30" i="11"/>
  <c r="I30" i="11" s="1"/>
  <c r="E3" i="11"/>
  <c r="I3" i="11" s="1"/>
  <c r="E57" i="11"/>
  <c r="I57" i="11" s="1"/>
  <c r="K8" i="11"/>
  <c r="E8" i="11"/>
  <c r="I8" i="11" s="1"/>
  <c r="E27" i="11"/>
  <c r="I27" i="11" s="1"/>
  <c r="K27" i="11"/>
  <c r="V120" i="11"/>
  <c r="X120" i="11"/>
  <c r="Z120" i="11"/>
  <c r="R120" i="11"/>
  <c r="S8" i="11"/>
  <c r="S78" i="11"/>
  <c r="E78" i="11"/>
  <c r="I78" i="11" s="1"/>
  <c r="E41" i="11"/>
  <c r="I41" i="11" s="1"/>
  <c r="P120" i="11"/>
  <c r="AA84" i="11"/>
  <c r="E84" i="11"/>
  <c r="I84" i="11" s="1"/>
  <c r="N520" i="8" l="1"/>
  <c r="V520" i="8"/>
  <c r="X517" i="8"/>
  <c r="X520" i="8"/>
  <c r="T517" i="8"/>
  <c r="T520" i="8"/>
  <c r="R517" i="8"/>
  <c r="R520" i="8"/>
  <c r="L517" i="8"/>
  <c r="L520" i="8"/>
  <c r="Z517" i="8"/>
  <c r="Z520" i="8"/>
  <c r="AA120" i="11"/>
  <c r="S120" i="11"/>
  <c r="K120" i="11"/>
  <c r="I120" i="11"/>
  <c r="Q120" i="11"/>
  <c r="M120" i="11"/>
  <c r="O120" i="11"/>
  <c r="R524" i="8" l="1"/>
  <c r="J362" i="8"/>
  <c r="P359" i="8"/>
  <c r="P360" i="8"/>
  <c r="J360" i="8"/>
  <c r="P386" i="8"/>
  <c r="P363" i="8"/>
  <c r="J385" i="8"/>
  <c r="P385" i="8"/>
  <c r="J386" i="8"/>
  <c r="J363" i="8"/>
  <c r="J361" i="8"/>
  <c r="P361" i="8"/>
  <c r="P362" i="8"/>
  <c r="P515" i="8" l="1"/>
  <c r="J359" i="8"/>
  <c r="H515" i="8"/>
  <c r="P517" i="8" l="1"/>
  <c r="P520" i="8"/>
  <c r="L524" i="8" s="1"/>
  <c r="T524" i="8" s="1"/>
  <c r="J515" i="8"/>
  <c r="L736" i="9" s="1"/>
  <c r="L737" i="9" s="1"/>
  <c r="J517"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tc={B0200B7C-93C8-4B10-B6F0-30B73A152CE2}</author>
    <author>tc={7B465505-36F2-4D64-8859-CE643F7473FA}</author>
    <author>tc={60341C23-68AC-493E-BC81-8DE16522751A}</author>
    <author>tc={E862F215-C054-499C-ADFC-C2BD85F76F9A}</author>
    <author>tc={9F7F972D-2471-4EA7-B5B9-25E339345EBE}</author>
    <author>tc={792780ED-2D82-49D9-8203-706D87252FAF}</author>
    <author>tc={A3A43809-9375-41CD-96A9-306BDC9082D5}</author>
    <author>tc={649A78D6-1099-4F73-89F1-114FBFEF1442}</author>
    <author>tc={7383DB74-B837-40E6-8323-0E2A039B5858}</author>
    <author>tc={DAC1D359-963E-4774-9862-DC2F6686F0EF}</author>
    <author>tc={6DCD36E6-476B-4A5E-A938-4B848DACA523}</author>
    <author>tc={22E9B0D7-420F-4F5E-9D8D-ABFB3BD43DF3}</author>
    <author>tc={0119071F-1CDD-4287-9808-F0C0C417669F}</author>
    <author>tc={D82D2A2F-1F70-4DB0-BD0A-43CCEBDE4A35}</author>
    <author>tc={DE4ED4FC-1A4C-4C11-9D98-42A64776F11B}</author>
    <author>tc={2CA8C0BF-4C6A-4C1C-A19B-FB23B7F0EFE2}</author>
    <author>tc={9571737E-7AE3-4F7C-9C0F-913995920BF5}</author>
    <author>tc={65F55E6C-85AC-4C4E-BF44-568E3269CD17}</author>
    <author>tc={F25C772C-47A4-44F9-87C2-266D1311FCFF}</author>
    <author>tc={249AFEEA-7AC1-45B0-A31E-AE429B865CED}</author>
    <author>tc={5293FA2D-45D5-433C-B7CE-B2FC4B217CED}</author>
    <author>tc={4FF89D5B-7B37-4B44-9A60-988E4E78C9B9}</author>
    <author>tc={F4CBC73A-A87F-4F03-873C-046D64116AE9}</author>
  </authors>
  <commentList>
    <comment ref="AA15" authorId="0" shapeId="0" xr:uid="{00000000-0006-0000-02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10 unidades necesarias en residuos</t>
      </text>
    </comment>
    <comment ref="AA21" authorId="1" shapeId="0" xr:uid="{00000000-0006-0000-0200-00000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6 botellas necesarias en residuos
Respuesta:
    1 para Plaguicidas</t>
      </text>
    </comment>
    <comment ref="AA30" authorId="2" shapeId="0" xr:uid="{00000000-0006-0000-0200-00000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1 Plaguicidas
Respuesta:
    1 Fertilizantes</t>
      </text>
    </comment>
    <comment ref="AA32" authorId="3" shapeId="0" xr:uid="{00000000-0006-0000-0200-00000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1 botella necesaria en residuos</t>
      </text>
    </comment>
    <comment ref="AA33" authorId="4" shapeId="0" xr:uid="{00000000-0006-0000-0200-000006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1 frasco necesario en residuos</t>
      </text>
    </comment>
    <comment ref="AA35" authorId="5" shapeId="0" xr:uid="{00000000-0006-0000-0200-000007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Fertilizantes</t>
      </text>
    </comment>
    <comment ref="AA41" authorId="6" shapeId="0" xr:uid="{00000000-0006-0000-0200-000009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1 plaguicidas
Respuesta:
    5 Fertilizantes</t>
      </text>
    </comment>
    <comment ref="E168" authorId="7" shapeId="0" xr:uid="{00000000-0006-0000-0200-00000C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 en contrato de exclusivos</t>
      </text>
    </comment>
    <comment ref="H179" authorId="8" shapeId="0" xr:uid="{00000000-0006-0000-0200-00000D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requerimiento de PANAFTOSA debe ser marca Merck para LANIP</t>
      </text>
    </comment>
    <comment ref="E294" authorId="9" shapeId="0" xr:uid="{00000000-0006-0000-0200-00001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validación de azufre elemental en el área de LANIA-Plaguicidas</t>
      </text>
    </comment>
    <comment ref="H353" authorId="10" shapeId="0" xr:uid="{00000000-0006-0000-0200-000013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@Ana Eugenia Patiño Suaza Hay dos números de CAS cual es el correcto </t>
      </text>
    </comment>
    <comment ref="H422" authorId="11" shapeId="0" xr:uid="{00000000-0006-0000-0200-000016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incluye No Ref Scharlau o equvalente. Necesario en plan de monitoreo de residuos de plaguicidas</t>
      </text>
    </comment>
    <comment ref="H430" authorId="12" shapeId="0" xr:uid="{00000000-0006-0000-0200-000017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requerimiento de PANAFTOSA  debe ser marca Merck</t>
      </text>
    </comment>
    <comment ref="H437" authorId="13" shapeId="0" xr:uid="{00000000-0006-0000-0200-000018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requerimiento de PANAFTOSA debe ser marca Merck</t>
      </text>
    </comment>
    <comment ref="K463" authorId="14" shapeId="0" xr:uid="{00000000-0006-0000-0200-00001A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Este precio está muy elevado ...saldría el litro de hipoclorito a más de 40.000
</t>
      </text>
    </comment>
    <comment ref="E530" authorId="15" shapeId="0" xr:uid="{00000000-0006-0000-0200-00001B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está repetido en la celda anterior
</t>
      </text>
    </comment>
    <comment ref="H574" authorId="16" shapeId="0" xr:uid="{00000000-0006-0000-0200-00001C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requerimieno de PANAFTOSA debe ser marca Fisher Chemicals o Thermo Scientific</t>
      </text>
    </comment>
    <comment ref="E614" authorId="17" shapeId="0" xr:uid="{00000000-0006-0000-0200-00001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repetido en el 157</t>
      </text>
    </comment>
    <comment ref="H616" authorId="18" shapeId="0" xr:uid="{00000000-0006-0000-0200-000020000000}">
      <text>
        <t>[Comentario encadenado]
Su versión de Excel le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@Ana Eugenia Patiño Suaza la marca de referencia propuesta cuenta con un proceso de exclusividad</t>
      </text>
    </comment>
    <comment ref="H665" authorId="19" shapeId="0" xr:uid="{00000000-0006-0000-0200-00002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@Ana Eugenia Patiño Suaza la marca de referencia propuesta cuenta con un proceso de exclusividad</t>
      </text>
    </comment>
    <comment ref="H670" authorId="20" shapeId="0" xr:uid="{00000000-0006-0000-0200-000023000000}">
      <text>
        <t>[Comentario encadenado]
Su versión de Excel le permite leer este comentario encadenado; sin embargo, las ediciones que se apliquen se quitarán si el archivo se abre en una versión más reciente de Excel. Más información: https://go.microsoft.com/fwlink/?linkid=870924
[Tasks]
Hay una tarea anclada a este comentario que no se puede ver en el cliente.
Comentario:
    @Cristian Giovany García Muñoz  este ítem esta repetido con el siguiente? es la misma referencia</t>
      </text>
    </comment>
    <comment ref="E677" authorId="21" shapeId="0" xr:uid="{00000000-0006-0000-0200-00002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validación de azufre elemental en el área de LANIA-Plaguicidas</t>
      </text>
    </comment>
    <comment ref="W684" authorId="22" shapeId="0" xr:uid="{00000000-0006-0000-0200-00002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NO SOLICITAR ESTE ITEM TENEMOS EN EXCESO NI ADICIONAR</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tc={6E2F0655-B06C-42C7-B8C8-878741D865DB}</author>
    <author>tc={827B2815-E4A0-47DB-B72A-D87926F47B81}</author>
  </authors>
  <commentList>
    <comment ref="U324" authorId="0" shapeId="0" xr:uid="{00000000-0006-0000-0300-00000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REFERENCIA</t>
      </text>
    </comment>
    <comment ref="U325" authorId="1" shapeId="0" xr:uid="{00000000-0006-0000-0300-00000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REFERENCIA</t>
      </text>
    </comment>
  </commentList>
</comments>
</file>

<file path=xl/sharedStrings.xml><?xml version="1.0" encoding="utf-8"?>
<sst xmlns="http://schemas.openxmlformats.org/spreadsheetml/2006/main" count="6667" uniqueCount="3221">
  <si>
    <t>Tipo de contratación</t>
  </si>
  <si>
    <t>Proveedor o contratista 2023</t>
  </si>
  <si>
    <t xml:space="preserve">Suma de Valor total </t>
  </si>
  <si>
    <t>Suma de Valor Total LNDV</t>
  </si>
  <si>
    <t>Suma de Valor total LDV</t>
  </si>
  <si>
    <t>Suma de Valor total LANIP</t>
  </si>
  <si>
    <t>Suma de Valor Total LDF</t>
  </si>
  <si>
    <t>Suma de Valor Total LDF&amp;MR</t>
  </si>
  <si>
    <t>Suma de Valor Total SPA</t>
  </si>
  <si>
    <t>Suma de Valor Total LANIA</t>
  </si>
  <si>
    <t>Suma de Valor Total RED LASE</t>
  </si>
  <si>
    <t>Licitación pública</t>
  </si>
  <si>
    <t>ANNAR</t>
  </si>
  <si>
    <t>AVÁNTIKA</t>
  </si>
  <si>
    <t>BIOCELL</t>
  </si>
  <si>
    <t>CAHOZ</t>
  </si>
  <si>
    <t>CYMA</t>
  </si>
  <si>
    <t>DESIERTO</t>
  </si>
  <si>
    <t>DISPROQUILAB</t>
  </si>
  <si>
    <t>EQUIPOS Y LAB</t>
  </si>
  <si>
    <t>INSOLAB</t>
  </si>
  <si>
    <t>SCIENTIFIC PRODUCTS</t>
  </si>
  <si>
    <t>UT GENMEDIMALCO</t>
  </si>
  <si>
    <t>VIDCOL</t>
  </si>
  <si>
    <t>(en blanco)</t>
  </si>
  <si>
    <t>Total Licitación pública</t>
  </si>
  <si>
    <t>Total general</t>
  </si>
  <si>
    <t>Etiquetas de fila</t>
  </si>
  <si>
    <t>Suma de Valor total del adjudicado</t>
  </si>
  <si>
    <t>Contratación directa</t>
  </si>
  <si>
    <t>A M Asesoría y Mantenimiento Ltda</t>
  </si>
  <si>
    <t>R Biopharm Colombia SAS</t>
  </si>
  <si>
    <t>Sanitas SAS</t>
  </si>
  <si>
    <t>AVANTIKA</t>
  </si>
  <si>
    <t>JIMSA</t>
  </si>
  <si>
    <t>METALCORTE</t>
  </si>
  <si>
    <t>QUIMIREL</t>
  </si>
  <si>
    <t>SADIREP</t>
  </si>
  <si>
    <t>UT GENMEDI</t>
  </si>
  <si>
    <t>DISTRIBUCIÓN REACTIVOS</t>
  </si>
  <si>
    <t>RESPONSABLE</t>
  </si>
  <si>
    <t xml:space="preserve">MAX </t>
  </si>
  <si>
    <r>
      <rPr>
        <b/>
        <sz val="10"/>
        <color rgb="FF000000"/>
        <rFont val="Arial Narrow"/>
        <family val="2"/>
      </rPr>
      <t xml:space="preserve">Consecutivo oferta economica
(las observaciones fueron realizadas con base en este número de ITEM) 
</t>
    </r>
    <r>
      <rPr>
        <b/>
        <sz val="10"/>
        <color rgb="FFFF0000"/>
        <rFont val="Arial Narrow"/>
        <family val="2"/>
      </rPr>
      <t>Dar respuesta teniendo en cuenta este número</t>
    </r>
  </si>
  <si>
    <t>ítem</t>
  </si>
  <si>
    <t>Descripción técnica</t>
  </si>
  <si>
    <t>NUMERO CAS-
PARA LOS QUE APLIQUE</t>
  </si>
  <si>
    <t>FORMULA 
PARA LOS QUE APLIQUE</t>
  </si>
  <si>
    <t>Marca-Ref</t>
  </si>
  <si>
    <t>Presentación</t>
  </si>
  <si>
    <t>Cantidad</t>
  </si>
  <si>
    <t>Valor de referencia</t>
  </si>
  <si>
    <t>Valor Total</t>
  </si>
  <si>
    <t>Cantidad LANIP</t>
  </si>
  <si>
    <t>Valor total LANIP</t>
  </si>
  <si>
    <t>Cantidad 
LDV</t>
  </si>
  <si>
    <t>Valor total LDV</t>
  </si>
  <si>
    <t>Cantidad LNDV</t>
  </si>
  <si>
    <t>Valor Total LNDV</t>
  </si>
  <si>
    <t>GGCA</t>
  </si>
  <si>
    <t>Valor GGCA</t>
  </si>
  <si>
    <t>Cantidad LDF</t>
  </si>
  <si>
    <t>Valor Total LDF</t>
  </si>
  <si>
    <t>Cantidad LDF&amp;MR</t>
  </si>
  <si>
    <t>Valor Total LDF&amp;MR</t>
  </si>
  <si>
    <t>Cantidad RED LASE</t>
  </si>
  <si>
    <t>Valor Total RED LASE</t>
  </si>
  <si>
    <t>Cantidad LANIA</t>
  </si>
  <si>
    <t>Valor Total LANIA</t>
  </si>
  <si>
    <t>Cantidad SPA</t>
  </si>
  <si>
    <t>Valor Total SPA</t>
  </si>
  <si>
    <t>Certificado de sustancias de estupefacientes</t>
  </si>
  <si>
    <t>Carta de distribución</t>
  </si>
  <si>
    <t xml:space="preserve">1-Methylimidazole 99% de pureza. </t>
  </si>
  <si>
    <t>616-47-7</t>
  </si>
  <si>
    <t xml:space="preserve">SIGMA Aldrich Ref. M50834 </t>
  </si>
  <si>
    <t xml:space="preserve">Frasco de 100g </t>
  </si>
  <si>
    <t>No aplica</t>
  </si>
  <si>
    <t>SI</t>
  </si>
  <si>
    <t>2-Mercaptoetanol (1.000X), 55mM en  D-PBS.</t>
  </si>
  <si>
    <t>Gibco
Ref: 21985023 o equivalente</t>
  </si>
  <si>
    <t>Frasco x 50 ml</t>
  </si>
  <si>
    <t>2-Nitrobenzaldehido</t>
  </si>
  <si>
    <t>552-89-6</t>
  </si>
  <si>
    <t>O2NC6H4CHO</t>
  </si>
  <si>
    <t>Sigma N10802 o equivalente</t>
  </si>
  <si>
    <t>Frasco x 2g</t>
  </si>
  <si>
    <t>3-3",5," -TETRAMEILBENCIDINA</t>
  </si>
  <si>
    <t>54827-17-7</t>
  </si>
  <si>
    <t>C16H20N2</t>
  </si>
  <si>
    <t>Frasco x1 g</t>
  </si>
  <si>
    <t>3-AMINO-9-ETHYL-CARBAZOLE</t>
  </si>
  <si>
    <t>132-32-1</t>
  </si>
  <si>
    <t>C14H14N2</t>
  </si>
  <si>
    <t>SIGMA A5754-50G o equivalente</t>
  </si>
  <si>
    <t>FRASCO X 50g</t>
  </si>
  <si>
    <t xml:space="preserve">AccuPower 2X GreenStar QPCR Master Mix </t>
  </si>
  <si>
    <t>Bioneer K-6252</t>
  </si>
  <si>
    <t>Kit de 2X Master Mix 0.625 ml x
8 tubos</t>
  </si>
  <si>
    <t>Aceite de clavo</t>
  </si>
  <si>
    <t xml:space="preserve">ENTHOS </t>
  </si>
  <si>
    <t>Frasco x 250 ml</t>
  </si>
  <si>
    <t>NO APLICA</t>
  </si>
  <si>
    <t>Aceite de inmersión</t>
  </si>
  <si>
    <t>Albor o equivalente</t>
  </si>
  <si>
    <t>Frasco x 100ml</t>
  </si>
  <si>
    <t xml:space="preserve">Aceite de parafina </t>
  </si>
  <si>
    <t xml:space="preserve">Cualquier marca </t>
  </si>
  <si>
    <t>Frasco x 100 ml</t>
  </si>
  <si>
    <t>Aceite mineral</t>
  </si>
  <si>
    <t>8042-47-5</t>
  </si>
  <si>
    <t>Nacional o merck o equivalente</t>
  </si>
  <si>
    <t>Frasco x 50ml</t>
  </si>
  <si>
    <t>Acetato de amonio grado masas</t>
  </si>
  <si>
    <t>631-61-8</t>
  </si>
  <si>
    <t>C2H7NO2</t>
  </si>
  <si>
    <t>Merck o SCHARLAU o equivalnete</t>
  </si>
  <si>
    <t>Frasco x 50g</t>
  </si>
  <si>
    <t>Acetato de amonio grado RA</t>
  </si>
  <si>
    <t xml:space="preserve"> 631-61-8</t>
  </si>
  <si>
    <t>CH₃COONH₄</t>
  </si>
  <si>
    <t>Frasco x 500g</t>
  </si>
  <si>
    <t>Acetato de etilo grado masas</t>
  </si>
  <si>
    <t>141-78-6</t>
  </si>
  <si>
    <t>C4H8O2</t>
  </si>
  <si>
    <t>Frasco x 2.5 litros</t>
  </si>
  <si>
    <t>Acetato de etilo para análisis de residuos</t>
  </si>
  <si>
    <t>Frasco x 4 litros</t>
  </si>
  <si>
    <t>ACETATO DE PLOMO</t>
  </si>
  <si>
    <t>13-35-32-6</t>
  </si>
  <si>
    <t>PB(C2H3O2)2</t>
  </si>
  <si>
    <t xml:space="preserve"> Frasco x100g</t>
  </si>
  <si>
    <t>Acetato de potasio Anhidro</t>
  </si>
  <si>
    <t>127-08-02</t>
  </si>
  <si>
    <t>CH3CO2K</t>
  </si>
  <si>
    <t>Merck o MOL LABS
Ref: R6805 o equivalente</t>
  </si>
  <si>
    <t>Acetato de sodio anhidro</t>
  </si>
  <si>
    <t>127-09-3</t>
  </si>
  <si>
    <t>C2H3NaO2</t>
  </si>
  <si>
    <t>Sigma - Merck  SUPELCO 106268 o equivalente</t>
  </si>
  <si>
    <t xml:space="preserve">Frasco x 50g </t>
  </si>
  <si>
    <t>Acetato de zinc dihidrato, grado reactivo, pureza &gt; 98%. Con certificado de análisis trazable por lote</t>
  </si>
  <si>
    <t>Merck o equivalente</t>
  </si>
  <si>
    <t>Frasco X 1 kg</t>
  </si>
  <si>
    <t>Acetona grado reactivo</t>
  </si>
  <si>
    <t>67-64-1</t>
  </si>
  <si>
    <t>C3H6O</t>
  </si>
  <si>
    <t>Merck o JT Baker o Mallinckrodt o Scharlau o equivalente</t>
  </si>
  <si>
    <t>Acetona HPLC</t>
  </si>
  <si>
    <t>6764-1</t>
  </si>
  <si>
    <t>SCHARLAU o equivalente</t>
  </si>
  <si>
    <t>Frasco 2,5 a 4 litros</t>
  </si>
  <si>
    <t>Acetonitrilo grado HPLC</t>
  </si>
  <si>
    <t>75-05-8</t>
  </si>
  <si>
    <t>CH3CN</t>
  </si>
  <si>
    <t>FISHER SCIENTIFIC A998-4 o Merck o JT BAKER o equivalente</t>
  </si>
  <si>
    <t>Acetonitrilo grado HPLC isocrático o gradiente</t>
  </si>
  <si>
    <t>Acetonitrilo LC/MS</t>
  </si>
  <si>
    <t>Ácido acético glacial 96% PA</t>
  </si>
  <si>
    <t>Acido acetil salicilico</t>
  </si>
  <si>
    <t>69-72-7</t>
  </si>
  <si>
    <t>C7H6O3</t>
  </si>
  <si>
    <t>MERCK -818731</t>
  </si>
  <si>
    <t>Frasco x 100 g</t>
  </si>
  <si>
    <t xml:space="preserve">Ácido bórico granular (cristales) grado reactivo, ACS,ISO,Reag. Ph Eur </t>
  </si>
  <si>
    <t>10043-35-3</t>
  </si>
  <si>
    <t>PANREAC o JT BAKER o MERCK o SIGMA ALDRICH  o equivalente</t>
  </si>
  <si>
    <t>Frasco x 1Kg</t>
  </si>
  <si>
    <t>Ácido cítrico monohidratado</t>
  </si>
  <si>
    <t>Merck 100244 o equivalente</t>
  </si>
  <si>
    <t>Ácido clorhídrico 37 - 38% para análsis ,ACD, Reagen</t>
  </si>
  <si>
    <t>7647-01-0</t>
  </si>
  <si>
    <t>HCl</t>
  </si>
  <si>
    <t>Merck o  JT Baker, Scharlau o equivalente.</t>
  </si>
  <si>
    <t>Ácido clorhídrico, solución 0,25 mol/l (0,25 N)</t>
  </si>
  <si>
    <t>SCHARLAU o Merck, JT Baker o Sigma o equivalente</t>
  </si>
  <si>
    <t>Frasco x 1 litro</t>
  </si>
  <si>
    <t>Ácido fórmico 98-100 % pureza</t>
  </si>
  <si>
    <t>64-18-6</t>
  </si>
  <si>
    <t>HCOOH</t>
  </si>
  <si>
    <t>Acido fórmico para LC-MS</t>
  </si>
  <si>
    <t>Ácido L-ascórbico</t>
  </si>
  <si>
    <t>50-81-7</t>
  </si>
  <si>
    <t>C6H8O6</t>
  </si>
  <si>
    <t>Cualquier marca</t>
  </si>
  <si>
    <t>Frasco x 100g</t>
  </si>
  <si>
    <t>Ácido nítrico ACS 68-70%</t>
  </si>
  <si>
    <t>HNO3</t>
  </si>
  <si>
    <t>JT BAKER  o equivalente</t>
  </si>
  <si>
    <t>Frasco x 2.5  litros</t>
  </si>
  <si>
    <t>Acido Oxálico Grado reactivo</t>
  </si>
  <si>
    <t>144-62-7</t>
  </si>
  <si>
    <t>HOOCCOOH</t>
  </si>
  <si>
    <t>CDH 597665 o Merck o JT Baker o Scharlau o equivalente</t>
  </si>
  <si>
    <t>Acido perclórico, reactivo analítico, concentración 60 a 72%</t>
  </si>
  <si>
    <t xml:space="preserve"> 7601-90-3</t>
  </si>
  <si>
    <t>MACRON o equivalente</t>
  </si>
  <si>
    <t>Frasco 1 a 2.5 litros</t>
  </si>
  <si>
    <t>Ácido peryódico</t>
  </si>
  <si>
    <t>10450-60-9</t>
  </si>
  <si>
    <t> H₅I O₆</t>
  </si>
  <si>
    <t xml:space="preserve">JT BAKER o Merck o equivalente </t>
  </si>
  <si>
    <t>Frasco x 25g</t>
  </si>
  <si>
    <t>Acido Pícrico</t>
  </si>
  <si>
    <t>88-89-1</t>
  </si>
  <si>
    <r>
      <t>(O</t>
    </r>
    <r>
      <rPr>
        <vertAlign val="subscript"/>
        <sz val="10"/>
        <color rgb="FF000000"/>
        <rFont val="Arial Narrow"/>
        <family val="2"/>
      </rPr>
      <t>2</t>
    </r>
    <r>
      <rPr>
        <sz val="10"/>
        <color rgb="FF000000"/>
        <rFont val="Arial Narrow"/>
        <family val="2"/>
      </rPr>
      <t>N)</t>
    </r>
    <r>
      <rPr>
        <vertAlign val="subscript"/>
        <sz val="10"/>
        <color rgb="FF000000"/>
        <rFont val="Arial Narrow"/>
        <family val="2"/>
      </rPr>
      <t>3</t>
    </r>
    <r>
      <rPr>
        <sz val="10"/>
        <color rgb="FF000000"/>
        <rFont val="Arial Narrow"/>
        <family val="2"/>
      </rPr>
      <t>C</t>
    </r>
    <r>
      <rPr>
        <vertAlign val="subscript"/>
        <sz val="10"/>
        <color rgb="FF000000"/>
        <rFont val="Arial Narrow"/>
        <family val="2"/>
      </rPr>
      <t>6</t>
    </r>
    <r>
      <rPr>
        <sz val="10"/>
        <color rgb="FF000000"/>
        <rFont val="Arial Narrow"/>
        <family val="2"/>
      </rPr>
      <t>H</t>
    </r>
    <r>
      <rPr>
        <vertAlign val="subscript"/>
        <sz val="10"/>
        <color rgb="FF000000"/>
        <rFont val="Arial Narrow"/>
        <family val="2"/>
      </rPr>
      <t>2</t>
    </r>
    <r>
      <rPr>
        <sz val="10"/>
        <color rgb="FF000000"/>
        <rFont val="Arial Narrow"/>
        <family val="2"/>
      </rPr>
      <t>OH</t>
    </r>
  </si>
  <si>
    <t>SIGMA 197378-100G o Merck o JT Baker</t>
  </si>
  <si>
    <t>Frasco x  100 g</t>
  </si>
  <si>
    <t>Ácido sulfamico M.W 97,09</t>
  </si>
  <si>
    <t>MOL LABS</t>
  </si>
  <si>
    <t>Ácido sulfúrico 97-98% analítico</t>
  </si>
  <si>
    <t>H2SO4</t>
  </si>
  <si>
    <t>MERCK</t>
  </si>
  <si>
    <t>ADN para cultivo de mycoplasma
(Deoxyribonucleic acid sodium salt from calf thymus)</t>
  </si>
  <si>
    <t xml:space="preserve">73049-39-5
</t>
  </si>
  <si>
    <t xml:space="preserve">sigma  D1501
</t>
  </si>
  <si>
    <t xml:space="preserve">100MG
</t>
  </si>
  <si>
    <t xml:space="preserve">Agar  MRS  </t>
  </si>
  <si>
    <t>Frasco x 500 g</t>
  </si>
  <si>
    <t>Agar Antibiótico # 8</t>
  </si>
  <si>
    <t>CONDALAB 1004, merck o equivalente</t>
  </si>
  <si>
    <t>Agar antibiotico #1</t>
  </si>
  <si>
    <t xml:space="preserve">CONDALAB 1520, merck o equivalentes </t>
  </si>
  <si>
    <t>Agar antibiotico #11</t>
  </si>
  <si>
    <t>CONDALAB 1528 o equivalente</t>
  </si>
  <si>
    <t>Agar avena</t>
  </si>
  <si>
    <t>CONDALAB
Ref: 2060 o equivalente</t>
  </si>
  <si>
    <t xml:space="preserve">AGAR BASE SELECTIVO CAMPYLOBACTER(SIN
SANGRE)
</t>
  </si>
  <si>
    <t>OXOID CM-739 o equivalente</t>
  </si>
  <si>
    <t>Agar casman</t>
  </si>
  <si>
    <t>CDH DM1201 o BBL BD 211106 o CDH DM1201 equivalente</t>
  </si>
  <si>
    <t>Agar chocolate  - Agar base chocolate</t>
  </si>
  <si>
    <t>Merck, Difco o equivalente o CDH DM 1103</t>
  </si>
  <si>
    <t xml:space="preserve">Agar CHROMagar™ Mastitis
</t>
  </si>
  <si>
    <t>CHROMagar™ Ref. MS252. merck  o equivalentes</t>
  </si>
  <si>
    <t xml:space="preserve">Frasco x 5000ml
</t>
  </si>
  <si>
    <t xml:space="preserve">Agar CHROMagar™ Pasteurella
</t>
  </si>
  <si>
    <t>CHROMagar™ Ref. PR012. merck o equivalentes</t>
  </si>
  <si>
    <t>L</t>
  </si>
  <si>
    <t xml:space="preserve">agar chromogénico streptocococcus grupo B
</t>
  </si>
  <si>
    <t>CHROMAGAR REF. SB282. merck o equivalente</t>
  </si>
  <si>
    <t>500 gr</t>
  </si>
  <si>
    <t xml:space="preserve">Agar EMB </t>
  </si>
  <si>
    <t>SHARLAU 01-068 o equivalente</t>
  </si>
  <si>
    <t xml:space="preserve">Agar Extracto de levadura </t>
  </si>
  <si>
    <t xml:space="preserve"> 02-01-8013</t>
  </si>
  <si>
    <t>CONDALAB
Ref: 1312 o Sigma o equivalente</t>
  </si>
  <si>
    <t>Agar Hugh- Leifson (OF)</t>
  </si>
  <si>
    <t>CDH DM1826 o equivalente</t>
  </si>
  <si>
    <t>Agar leche descremada</t>
  </si>
  <si>
    <t>Sigma - Merck o equivalente</t>
  </si>
  <si>
    <t xml:space="preserve">Agar MacConkey  </t>
  </si>
  <si>
    <t xml:space="preserve">Merck, CONDALAB 1052 o equivalente 
</t>
  </si>
  <si>
    <t>Agar MacConkey con sorbitol + BCGI (5-bromo-4-cloro-3-indolil-b -D-glucurónido)</t>
  </si>
  <si>
    <t>MILLIPORE . THERMO ó equivalente</t>
  </si>
  <si>
    <t>Agar Manitol</t>
  </si>
  <si>
    <t xml:space="preserve">CONDALAB 1062 o Microkit o BD o Sharlau o equivalente
</t>
  </si>
  <si>
    <t>Agar Mueller Hinton II (Cation-Adjusted)</t>
  </si>
  <si>
    <t>LIOFILCHEM  610627, MERCK o Equivalente</t>
  </si>
  <si>
    <t>Agar Noble</t>
  </si>
  <si>
    <t>Frasco x 250g</t>
  </si>
  <si>
    <t xml:space="preserve">Agar ROSA de  Bengala  y Cloranfenicol </t>
  </si>
  <si>
    <t>CONDALAB o equivalente</t>
  </si>
  <si>
    <t xml:space="preserve">Frasco  x 500g </t>
  </si>
  <si>
    <t>Agar Saboureaud con Cloranfenicol</t>
  </si>
  <si>
    <t xml:space="preserve">Merck o CONDALAB 1090  o  equivalente </t>
  </si>
  <si>
    <t xml:space="preserve">Agar Sangre azida
</t>
  </si>
  <si>
    <t xml:space="preserve">26628-22-8
</t>
  </si>
  <si>
    <t xml:space="preserve">Condalab 111300 o equivalente </t>
  </si>
  <si>
    <t xml:space="preserve">Frasco X 500g
</t>
  </si>
  <si>
    <t>Agar SPS</t>
  </si>
  <si>
    <t>Sigma o CONDALAB 1082  o Merck o equivalente</t>
  </si>
  <si>
    <t>Agar TBX cromogenico para recuento de E. coli.</t>
  </si>
  <si>
    <t xml:space="preserve">CONDALAB 1151 o equivalentes </t>
  </si>
  <si>
    <t>Agar TSN</t>
  </si>
  <si>
    <t>Merck o  CONDALAB 1075 o equivalente</t>
  </si>
  <si>
    <t>Agar YGC</t>
  </si>
  <si>
    <t>Merck o CONDALAB 1301 o equivalente</t>
  </si>
  <si>
    <t>Agarosa grado biología molecular</t>
  </si>
  <si>
    <t>9012-36-6</t>
  </si>
  <si>
    <t>VWR LIFE SCIENCE
Ref: 97062-250 o Merck o Acumedia o BBL o Sharlau o Sigma o VWR LIFE o equivalente</t>
  </si>
  <si>
    <t>Agat Bilis Esculina</t>
  </si>
  <si>
    <t xml:space="preserve">MERCK / SIGMA o equivalente </t>
  </si>
  <si>
    <t>frasco 500g</t>
  </si>
  <si>
    <t>AgPath-ID(TM) One-step RT-PCR Kit; (100 rxn);</t>
  </si>
  <si>
    <t>Thermo Fisher Aplied  AM1005</t>
  </si>
  <si>
    <t>Kit x 100 rxn</t>
  </si>
  <si>
    <t>Agrobacterium tumefaciens (Smith and Townsend) Conn 4720™</t>
  </si>
  <si>
    <t>ATCC  Conn 4720™</t>
  </si>
  <si>
    <t xml:space="preserve">AGUA DESMINERALIZADA SENSITITRE 
</t>
  </si>
  <si>
    <t>MERK o equivalente</t>
  </si>
  <si>
    <t>CAJA X 10 TUBOS
X 5 ML</t>
  </si>
  <si>
    <t>Agua estéril libre de nucleasas</t>
  </si>
  <si>
    <t>Thermo Fisher o Invitrogen, New England Biolabs o Sigma-Aldrich o VWR LIFE SCIENCE
Ref:97062 o equivalente</t>
  </si>
  <si>
    <t>Caja x 5 frascos x 100ml</t>
  </si>
  <si>
    <t>Agua peptonada buferada</t>
  </si>
  <si>
    <t>3M o sigma o merck, sharlau o equivalente</t>
  </si>
  <si>
    <t xml:space="preserve">AGUA tratada con DEPC, para uso con RNA, es Incubada con 0.1% de DEPC, autoclavada y luego filtrada. </t>
  </si>
  <si>
    <t>Invitrogen Ref. 750024 o equivalente</t>
  </si>
  <si>
    <t>Caja x 4 frascos x 100 ml</t>
  </si>
  <si>
    <t>Agua ultrapura destilada para uso en Biología Molecular con certificado de libre de RNAsas y DNAsas</t>
  </si>
  <si>
    <t>VWR LIFE SCIENCE
Ref: L0201-0500 o equivalente</t>
  </si>
  <si>
    <t>Frasco x 500 ml</t>
  </si>
  <si>
    <t>Alcohol ácido Ziehl Neelsen</t>
  </si>
  <si>
    <t xml:space="preserve">Albor o equivalente </t>
  </si>
  <si>
    <t>Alcohol antiséptico al 70%</t>
  </si>
  <si>
    <t>NACIONAL (OSA)</t>
  </si>
  <si>
    <t>Frasco x 750 ml</t>
  </si>
  <si>
    <t>Alcohol Etilico grado reactivo al 96 %</t>
  </si>
  <si>
    <t>64-17-5</t>
  </si>
  <si>
    <t>CH3CH2OH</t>
  </si>
  <si>
    <t xml:space="preserve">JT BAKER, o BIOQUIGEN o equivalente </t>
  </si>
  <si>
    <t>Frasco x 4 litros o 5 litros</t>
  </si>
  <si>
    <t>Alcohol industrial para mechero</t>
  </si>
  <si>
    <t>Alcohol isoamilico</t>
  </si>
  <si>
    <t>VWR- BEANTOWN CHEMICAL  BT135835, Scharlau, Merck, Sigma o equivalente</t>
  </si>
  <si>
    <t xml:space="preserve">Alcohol polivinílico </t>
  </si>
  <si>
    <t>Merck
Ref: 1142660100</t>
  </si>
  <si>
    <t>Aleación devarda en polvo, no granular</t>
  </si>
  <si>
    <t xml:space="preserve">MERCK (referencia 105341) o equivalente </t>
  </si>
  <si>
    <t>1 o 2 kg</t>
  </si>
  <si>
    <t xml:space="preserve">Alsever´s  solution
</t>
  </si>
  <si>
    <t>PAN BIOTECH P04-42500 o SIGMA ALDRICH A 3551 o equivalente</t>
  </si>
  <si>
    <t xml:space="preserve">Frasco x 500ml  o 5 frascos x 100ml
</t>
  </si>
  <si>
    <t xml:space="preserve">ALUMINUM POTASSIUM SULFATE 
</t>
  </si>
  <si>
    <t xml:space="preserve">778424-9
</t>
  </si>
  <si>
    <t xml:space="preserve">AlK(SO4)2 · 12H2O
</t>
  </si>
  <si>
    <t>Merck, J.T BAKER.
Ref: 1-0564 o equivalente</t>
  </si>
  <si>
    <t xml:space="preserve">Presentación desde Frasco x 250g hasta presentación frasco x 500g
</t>
  </si>
  <si>
    <t>Aminoácidos NO esenciales</t>
  </si>
  <si>
    <t>SIGMA 11140050 o Gibco 11140-050 o Sigma o equivalente</t>
  </si>
  <si>
    <t>Amoniaco 25 % para análisis</t>
  </si>
  <si>
    <t>Scharlau o equivalente</t>
  </si>
  <si>
    <t>Ampicilina, sal sódica, para fines bioquímicos, D(-)-a-Aminobencilpenicilina, sal de sodio</t>
  </si>
  <si>
    <t>SHARLAU AM04680005 o equivalente</t>
  </si>
  <si>
    <t>Frasco x 5 g</t>
  </si>
  <si>
    <t>Anaerocult A</t>
  </si>
  <si>
    <t>Merck o MILLIPORE 132381 o equivalente</t>
  </si>
  <si>
    <t>Caja x 10</t>
  </si>
  <si>
    <t xml:space="preserve">Anaerocult C </t>
  </si>
  <si>
    <t>Merck 16275 o MILLIPORE 132383 o OXOID  o equivalente</t>
  </si>
  <si>
    <t xml:space="preserve">Caja x 25 sobres </t>
  </si>
  <si>
    <t>Anaerogen para anaerobiosis de 2,5L</t>
  </si>
  <si>
    <t>caja por 10 sobres</t>
  </si>
  <si>
    <t>Anaerotest indicador anaerobiosis</t>
  </si>
  <si>
    <t>MERCK  o MILLIPORE 
Ref: 1323710001</t>
  </si>
  <si>
    <t>Envase x 50 tiras</t>
  </si>
  <si>
    <t>Anfotericina B solución para cultivo celular</t>
  </si>
  <si>
    <t>SIGMA A2942-50 o equivalente</t>
  </si>
  <si>
    <t>Anhídrido trifluoroacético para cromatografia</t>
  </si>
  <si>
    <t>407-25-0</t>
  </si>
  <si>
    <t>C4F6O3</t>
  </si>
  <si>
    <t>Frasco x 10 ml</t>
  </si>
  <si>
    <t xml:space="preserve">Aniline Blue  (azul de anilina) 
</t>
  </si>
  <si>
    <t xml:space="preserve">28631-66-5
</t>
  </si>
  <si>
    <t xml:space="preserve">C32H25N3O9S3Na2
</t>
  </si>
  <si>
    <t xml:space="preserve">PANREAC Ref: 253708,1606 , merck o equivalente </t>
  </si>
  <si>
    <t xml:space="preserve">Frasco X 25g
</t>
  </si>
  <si>
    <t>Antibiotic Antimycotic Solution (100×), Stabilized . with 10,000 units penicillin, 10 mg streptomycin and 25 μg amphotericin B per mL, sterile-filtered, BioReagent, suitable for cell culture</t>
  </si>
  <si>
    <t>Sigma A5955 o Gibco 15240062 o equivalente</t>
  </si>
  <si>
    <t>Antibiótico acido Nalidixico</t>
  </si>
  <si>
    <t xml:space="preserve"> 389-08-2</t>
  </si>
  <si>
    <t>CDH 024889 o Santa Cruz o Sigma  N8878- 5G o equivalente</t>
  </si>
  <si>
    <t xml:space="preserve">Frasco x 5 g
</t>
  </si>
  <si>
    <t xml:space="preserve">Antibiotico polimixina B </t>
  </si>
  <si>
    <t>SIGMA ALDRICH
Ref: P4932-1MU o equivalente al CAS 1405-20-5</t>
  </si>
  <si>
    <t>Frasco x 1MU</t>
  </si>
  <si>
    <t>Antigeno AIID   Inmunodifusion Influenza Aviar</t>
  </si>
  <si>
    <t>NVSL 300 EXP</t>
  </si>
  <si>
    <t>Frasco liofilizado  x 2 ml</t>
  </si>
  <si>
    <t>Antigeno H5NX Influenza Aviar</t>
  </si>
  <si>
    <t>INSTITUTO ZOOPROFILACTICO DE VENEZIA- 2-16</t>
  </si>
  <si>
    <t>Frasco liofilizado  x 1 ml</t>
  </si>
  <si>
    <t>Antigeno H6NX  Influenza Aviar</t>
  </si>
  <si>
    <t>INSTITUTO ZOOPROFILACTICO DE VENEZIA 1-20</t>
  </si>
  <si>
    <t>Antigeno H7NX  Influenza Aviar</t>
  </si>
  <si>
    <t>INSTITUTO ZOOPROFILACTICO DE VENEZIA</t>
  </si>
  <si>
    <t>Antigeno H9NX  Influenza Aviar</t>
  </si>
  <si>
    <t>INSTITUTO ZOOPROFILACTICO DE VENEZIA 1-17</t>
  </si>
  <si>
    <t>Anti-Mouse IgG (whole molecule)−FITC antibody produced in rabbit IgG fraction of antiserum.</t>
  </si>
  <si>
    <t>SIGMA ref. F9137.</t>
  </si>
  <si>
    <t>2 ml</t>
  </si>
  <si>
    <t>Anti-Pig FITC</t>
  </si>
  <si>
    <t>SIGMA F1638</t>
  </si>
  <si>
    <t>Frasco x 2ml</t>
  </si>
  <si>
    <t>Antisuero AIID  Inmunodifusion Influenza Aviar</t>
  </si>
  <si>
    <t>NVSL 305-EXP</t>
  </si>
  <si>
    <t>Frasco liofilizado  x 6 ml</t>
  </si>
  <si>
    <t>Antisuero Factor 5 (O)</t>
  </si>
  <si>
    <t>Difco o equivalente</t>
  </si>
  <si>
    <t>Vial 2 ml o de 3ml</t>
  </si>
  <si>
    <t>Antisuero H6NX  Influenza Aviar</t>
  </si>
  <si>
    <t>Frasco liofilizado  x 1 ml</t>
  </si>
  <si>
    <t>Antisuero Influenza Aviar H5NX</t>
  </si>
  <si>
    <t>Frasco x 1ml</t>
  </si>
  <si>
    <t>Antisuero Influenza Aviar H7NX</t>
  </si>
  <si>
    <t>Antisuero Influenza Aviar H9NX</t>
  </si>
  <si>
    <t>Antisuero para confirmación serológica de E.Coli H antisuero H7</t>
  </si>
  <si>
    <t>BD, Difco o equivalente</t>
  </si>
  <si>
    <t>Vial x 3 ml</t>
  </si>
  <si>
    <t>Antisuero para confirmación serológica de E.Coli O157</t>
  </si>
  <si>
    <t>Antisuero positivo para NewCastle</t>
  </si>
  <si>
    <t>NVSL 433-ADV</t>
  </si>
  <si>
    <t>Frasco x 2 ml</t>
  </si>
  <si>
    <t xml:space="preserve">Antisuero Salmonella  somático  O Grupo  B ( Factor 4) </t>
  </si>
  <si>
    <t xml:space="preserve">Frasco x 3 ml </t>
  </si>
  <si>
    <t>Antisuero Salmonella  somático O  Factor 9</t>
  </si>
  <si>
    <t>SS DIAGNOSTICA 40276</t>
  </si>
  <si>
    <t>Antisuero salmonella (H) factor EN</t>
  </si>
  <si>
    <t>Remel, SSI Diagnóstica o equivalente</t>
  </si>
  <si>
    <t xml:space="preserve">Frasco x2-3ml
</t>
  </si>
  <si>
    <t xml:space="preserve">Antisuero salmonella (H) factor f
</t>
  </si>
  <si>
    <t xml:space="preserve">Antisuero salmonella (H) factor L
</t>
  </si>
  <si>
    <t xml:space="preserve">Antisuero salmonella (H) factor S
</t>
  </si>
  <si>
    <t xml:space="preserve">Antisuero salmonella (H) factor z23
</t>
  </si>
  <si>
    <t xml:space="preserve">Antisuero salmonella (H)complex 1 
</t>
  </si>
  <si>
    <t xml:space="preserve">Antisuero salmonella Poly A-I and Vi 
</t>
  </si>
  <si>
    <t>Antisuero salmonella Spicer Edwars 1</t>
  </si>
  <si>
    <t>frasco x 3 ml</t>
  </si>
  <si>
    <t>Antisuero salmonella Spicer Edwars 2</t>
  </si>
  <si>
    <t xml:space="preserve">Antisuero streptococcus grupo B tipo Ia
</t>
  </si>
  <si>
    <t xml:space="preserve">ImmuLexTM Streptococcus Type Ia. REf. 54982
</t>
  </si>
  <si>
    <t xml:space="preserve">Frasco x3ml
</t>
  </si>
  <si>
    <t xml:space="preserve">Antisuero streptococcus grupo B tipo IB
</t>
  </si>
  <si>
    <t xml:space="preserve">ImmuLexTM Streptococcus Type IB. REf. 54983
</t>
  </si>
  <si>
    <t xml:space="preserve">Antisuero Streptococcus suis tipo 2
</t>
  </si>
  <si>
    <t xml:space="preserve">ImmuLexTM
</t>
  </si>
  <si>
    <t>API  CAMPY con sus respectivos reveladores(NIT1 + NIT2, FB,NIN)</t>
  </si>
  <si>
    <t>MARCA BIOMEREUX 12TEST ref. 20800,70442,70562,70491)</t>
  </si>
  <si>
    <t>12 pruebas</t>
  </si>
  <si>
    <t>API 20 E con reactivos reveladores (James, TDA, VP1,VP2, Solución salina 0,85%)</t>
  </si>
  <si>
    <t xml:space="preserve"> BIOMERIEUX 20100 + 70542  + 70402 +  70572  +  20070</t>
  </si>
  <si>
    <t>Caja x 25 galerías</t>
  </si>
  <si>
    <t>API 20A X 25 pruebas y sus respectivos reveladores(BCP,EHR,XYL)</t>
  </si>
  <si>
    <t>MARCA BIOMEREUX 25 TEST (ref. 20300,70510,70520,70530)</t>
  </si>
  <si>
    <t>25 pruebas</t>
  </si>
  <si>
    <t>API 20NE X 25 pruebas y sus respectivos reveladores(JAMES,NIT1+NIT2,ZN)</t>
  </si>
  <si>
    <t>MARCA BIOMEREUX 25 TEST (ref. 20050,70542,70442,70380)</t>
  </si>
  <si>
    <t>API NH  por 10 pruebas con ssu respectivos reveladores (James,ZYM B )</t>
  </si>
  <si>
    <t>MARCA BIOMEREUX 10 TEST (ref. 10400,70542,,70494,70493 )</t>
  </si>
  <si>
    <t xml:space="preserve">10 pruebas </t>
  </si>
  <si>
    <t>API STREP con reveladores(NIN,VP1,VP2,ZYM A ,ZYM B)</t>
  </si>
  <si>
    <t>MARCA BIOMEREUX 25 TEST (ref. 20600,70491,70422,70494,70493 )</t>
  </si>
  <si>
    <t>Armored RNA Enterovirus x 250 ul</t>
  </si>
  <si>
    <t>Asuragen Ref 42050</t>
  </si>
  <si>
    <t>Vial x 250ul</t>
  </si>
  <si>
    <t xml:space="preserve">Avian antiserum infectious Bronchitis </t>
  </si>
  <si>
    <t xml:space="preserve">Charles River  Código del reactivo 10100442 </t>
  </si>
  <si>
    <t>Frasco x 1.0ml</t>
  </si>
  <si>
    <t xml:space="preserve">Avian antiserum infectious bursa disease </t>
  </si>
  <si>
    <t>Charles River Código del reactivo 10100462</t>
  </si>
  <si>
    <t>Azometina H (Reactivo del Boro) con certificado de análisis y ficha de seguridad</t>
  </si>
  <si>
    <t>Merck 111962 o equivalente</t>
  </si>
  <si>
    <t>Frasco x 10 g</t>
  </si>
  <si>
    <t>Azúcar</t>
  </si>
  <si>
    <t>Nacional</t>
  </si>
  <si>
    <t>Bolsa x 1kg</t>
  </si>
  <si>
    <t>Azul de bromotimol</t>
  </si>
  <si>
    <t>Azul de lactofenol</t>
  </si>
  <si>
    <t>BIOQUIGEN o equivalente</t>
  </si>
  <si>
    <t>Azul de Metileno</t>
  </si>
  <si>
    <t xml:space="preserve">CAS 61-73-4
CAS7220-79-3 </t>
  </si>
  <si>
    <t>C₁₆H₁₈ClN₃S</t>
  </si>
  <si>
    <t>FISHER  CAS7220-79-3 o equivalente</t>
  </si>
  <si>
    <t xml:space="preserve">Frasco x 25 g </t>
  </si>
  <si>
    <t>Azul de metileno Ziehl Neelsen</t>
  </si>
  <si>
    <t>BIOQUIGEN o Biopharchem ref. IN040003, o equivalente</t>
  </si>
  <si>
    <t xml:space="preserve">Azul de Toluidina 
</t>
  </si>
  <si>
    <t xml:space="preserve">92-31-9
</t>
  </si>
  <si>
    <t xml:space="preserve">C15H16ClN3S
</t>
  </si>
  <si>
    <t>Alpha Chemika, Mayer o eqiivalente</t>
  </si>
  <si>
    <t xml:space="preserve">Bacitracina </t>
  </si>
  <si>
    <t>1405-87-4</t>
  </si>
  <si>
    <t>C66H103N17O16S</t>
  </si>
  <si>
    <t>Thomas Scientific-
RPI, Merck, sigma o equivalente</t>
  </si>
  <si>
    <t>Frasco x 5g</t>
  </si>
  <si>
    <t>Bacto peptona</t>
  </si>
  <si>
    <t xml:space="preserve">LIOFILCHEM 611701  o equivalente </t>
  </si>
  <si>
    <t>Bálsamo de Canadá (Reactivo para entomología). Resina espesa derivada del Abeto, con índice de refracción 90% admisible con el vidrio usado en  microscopia para el montaje permanente y observación de estructuras de moscas de la fruta y de insectos en general</t>
  </si>
  <si>
    <t>NACIONAL Biopack. Ref: 130205</t>
  </si>
  <si>
    <t xml:space="preserve">Base de Agar para Aeromonas (RYAN)
</t>
  </si>
  <si>
    <t xml:space="preserve">Oxoid, Difco, Merck, condalab
</t>
  </si>
  <si>
    <t xml:space="preserve">Frasco x 500g
</t>
  </si>
  <si>
    <t>Base para Primers 200nM, método de purificación HPLC</t>
  </si>
  <si>
    <t xml:space="preserve">BIONNER´S - CUSTOM SERVICES  o equivalentes </t>
  </si>
  <si>
    <t>Base</t>
  </si>
  <si>
    <t>Bicarbonato de sodio anhidro 
(SODIO HIDROGENOCARBONATO, PARA ANALISIS, ACS, ISO)</t>
  </si>
  <si>
    <t>NaHCO3</t>
  </si>
  <si>
    <t>Merck o SCHARLAU SO01311000 o SIGMA O equivalente</t>
  </si>
  <si>
    <t>Frasco x 1 Kg</t>
  </si>
  <si>
    <t xml:space="preserve">Biebrich Scarlet
</t>
  </si>
  <si>
    <t>"4196-99-0
"</t>
  </si>
  <si>
    <t xml:space="preserve">C22 H14 N4 Na2 O7 S2
</t>
  </si>
  <si>
    <t xml:space="preserve">spectrum chemical o marcas equivalentes </t>
  </si>
  <si>
    <t>Biftalato de Potasio monobasico ACS reagent, acidimetric standard</t>
  </si>
  <si>
    <t>CAS 877-24-7</t>
  </si>
  <si>
    <t>Sigma Aldrich o equivalente</t>
  </si>
  <si>
    <t>Frasco x 100 g o mayor cantidad</t>
  </si>
  <si>
    <t>Bigdye Terminator Cycle Sequencing ready reaction Kit Versión 3.1</t>
  </si>
  <si>
    <t>Applied Biosystems  4337455</t>
  </si>
  <si>
    <t xml:space="preserve">Unidad   </t>
  </si>
  <si>
    <t>Bondesil C18 bulk sorbent, 40 a 75 μm</t>
  </si>
  <si>
    <t>Agilent Technologies 12213012 o Sharlau o equivalentes</t>
  </si>
  <si>
    <t xml:space="preserve"> Frasco x 100g</t>
  </si>
  <si>
    <t>Bondesil-PSA, 40 a 60 µm</t>
  </si>
  <si>
    <t>SCHARLAU KQ00230100 o Agilent o Waters o equivalente</t>
  </si>
  <si>
    <t>Borohidruro de sodio</t>
  </si>
  <si>
    <t xml:space="preserve">CAS 16940-66-2 </t>
  </si>
  <si>
    <t>Supelco o equivalente</t>
  </si>
  <si>
    <t xml:space="preserve">Bovine Serum Albumin grado Molecular </t>
  </si>
  <si>
    <t>Promega, R396D o equivalente 10mg/ml</t>
  </si>
  <si>
    <t>1,000μl</t>
  </si>
  <si>
    <t xml:space="preserve">Buffer fosfato salino. polvo. pH 7.4 con fecha vencimiento no menor a 2 años con certificado trazables a NIST valorado por norma DIN 19268 </t>
  </si>
  <si>
    <t>SIGMA P3813</t>
  </si>
  <si>
    <t>Caja x 10 sobres</t>
  </si>
  <si>
    <t xml:space="preserve">Buffer pH 10 con fecha vencimiento no menor a 2 años con certificado trazables a NIST valorado por norma DIN 19268 </t>
  </si>
  <si>
    <t>Supelco- Ref: 1.09409 o Merck (referencia 109438) o equivalente</t>
  </si>
  <si>
    <t>Frasco x  1 litro</t>
  </si>
  <si>
    <t xml:space="preserve">Buffer pH 2 con vigencia superior a 2 años con certificado de análisis trazable  NIST valorado por norma DIN 19268 (ácido cítrico/hidróxido sódico/ácido clorhídrico), trazable a SRM de NIST o PTB pH 2.00 (20°C) </t>
  </si>
  <si>
    <t>SCHARLAU 
SO10221000 o Merck (referencia 109433) o equivalente</t>
  </si>
  <si>
    <t>Buffer pH 4 con fecha vencimiento no menor a 2 años con certificado trazables a NIST valorado por norma DIN 19268 (ácido cítrico/sodio hidróxido/ácido clorhídrico), trazable a SRM de NIST y/o PTB pH 4.00 (25°C)</t>
  </si>
  <si>
    <t>SUPELCO 109435, Sharlau o equivalente</t>
  </si>
  <si>
    <t xml:space="preserve">Buffer pH 7 con fecha vencimiento no menor a 2 años con certificado trazables a NIST valorado por norma DIN 19268 (potasio dihidrógeno fosfato/di-sodio hidrogeno fosfato)trazable a SRM de NIST o PTB pH 7.00 (25°C) </t>
  </si>
  <si>
    <t>CDH 812705 o Sharlau o Merck (referencia 109407) o equivalente</t>
  </si>
  <si>
    <t>Buffer TBE solución Tampon 10X (Tris– Borato -EDTA).  Una botella prepara 4 L de solución a 10X o 40 L de solución a 1X.</t>
  </si>
  <si>
    <t>VWR  AVATOR 0478-40L</t>
  </si>
  <si>
    <t>Unidad</t>
  </si>
  <si>
    <t>BUTILHIDROXITOLUENO</t>
  </si>
  <si>
    <t>128-37-0</t>
  </si>
  <si>
    <t>C15H24O</t>
  </si>
  <si>
    <t>Caldo BHI</t>
  </si>
  <si>
    <t>merck o equivalente</t>
  </si>
  <si>
    <t>frasco X 500 g</t>
  </si>
  <si>
    <t xml:space="preserve">Caldo Bolton </t>
  </si>
  <si>
    <t>Merck o equivalentes</t>
  </si>
  <si>
    <t>Caldo de Nitrato</t>
  </si>
  <si>
    <t xml:space="preserve">CONDALAB 1281, o equivalente </t>
  </si>
  <si>
    <t xml:space="preserve">CALDO MUELLER HINTON SENSITITRE </t>
  </si>
  <si>
    <t xml:space="preserve">CAJA X 10 TUBOS
</t>
  </si>
  <si>
    <t>Caldo PPLO</t>
  </si>
  <si>
    <t>BD 255420 o equivalente</t>
  </si>
  <si>
    <t>Caldo Rojo de metilo Vogues Proskauver</t>
  </si>
  <si>
    <t>LIOFILCHEM 610032, Sharlau o equivalente</t>
  </si>
  <si>
    <t>Caldo Tetrationate</t>
  </si>
  <si>
    <t xml:space="preserve">LIOFILCHEM, Scharlau o equivalentes </t>
  </si>
  <si>
    <t>Caldo tioglicolato + extracto de carne. Fecha de vencimiento no inferior a 2 años</t>
  </si>
  <si>
    <t>Merck o Acumedia o BBL o Sharlau o Sigma o equivalente</t>
  </si>
  <si>
    <t xml:space="preserve">Frasco x 500 g </t>
  </si>
  <si>
    <t>Caldo urea</t>
  </si>
  <si>
    <t xml:space="preserve">CONDALAB 1226. o equivalente </t>
  </si>
  <si>
    <t>FRasco x 500 gr</t>
  </si>
  <si>
    <t>Carbón activado para análisis granular</t>
  </si>
  <si>
    <t>MOL LABS R3506</t>
  </si>
  <si>
    <t>Frasco x 250 g</t>
  </si>
  <si>
    <t>Carbon disulfuro grado reactivo</t>
  </si>
  <si>
    <t>PANREAC 161244</t>
  </si>
  <si>
    <t>Carbonato de Calcio (CaCO3) para analisis ACS reagent, ≥99.0%, powder</t>
  </si>
  <si>
    <t>SUPELCO 102066 o equivalente</t>
  </si>
  <si>
    <t>Frasco x 1 Kg o 2 frascos x 500g</t>
  </si>
  <si>
    <t>Carbonato de sodio, Anhydro, granular. Especificaciones ACS.</t>
  </si>
  <si>
    <t>497-19-8</t>
  </si>
  <si>
    <t>Na2CO3</t>
  </si>
  <si>
    <t>Casamino Acids</t>
  </si>
  <si>
    <t>WVR LIFE SCIENCE
Ref: 97063-378 o equivalente</t>
  </si>
  <si>
    <t>Caseína</t>
  </si>
  <si>
    <t>9000-71-9</t>
  </si>
  <si>
    <t>CDH. Ref: 044885 o equivalente</t>
  </si>
  <si>
    <t>Cefotaxime</t>
  </si>
  <si>
    <t>Sigma o equivalente</t>
  </si>
  <si>
    <t>Frasco x 10 gr</t>
  </si>
  <si>
    <t xml:space="preserve">Cepa  Francisella philomiragia
</t>
  </si>
  <si>
    <t xml:space="preserve">ATCC 25015
pase primero </t>
  </si>
  <si>
    <t xml:space="preserve">vial liofilizado , Kwik stik
</t>
  </si>
  <si>
    <t>Cepa  Purpureocillium lilacinum  ATCC 10114 (pase 1 o 2)</t>
  </si>
  <si>
    <t xml:space="preserve">ATCC o  Colección Equivalente </t>
  </si>
  <si>
    <t>Vial Liofilizado/ Criovial / Culti loops / Kwik Stik x 2, o equivalente</t>
  </si>
  <si>
    <t xml:space="preserve">Cepa Aeromonas hydrophila 
</t>
  </si>
  <si>
    <t xml:space="preserve">ATCC 35654; ATCC 49140, pase primero
</t>
  </si>
  <si>
    <t>Cepa Azotobacter croococcum  ATCC 9043 o NCIB 11694</t>
  </si>
  <si>
    <t>Cepa Beauveria  bassiana ATCC 74040 (pase 1 o 2)</t>
  </si>
  <si>
    <t xml:space="preserve">Cepa Brucella abortus
</t>
  </si>
  <si>
    <t>NCTC 10093
primer pase</t>
  </si>
  <si>
    <t>Cepa Clostridium sporogenes (pase 1 o 2)</t>
  </si>
  <si>
    <t>ATCC 19404</t>
  </si>
  <si>
    <t>KWIK STIK x2 Criovial, Vial Liofilizado</t>
  </si>
  <si>
    <t>Cepa de Bacillus subtilis</t>
  </si>
  <si>
    <t>ATCC 6633</t>
  </si>
  <si>
    <t>Cepa E. coli O103:H11 CDC 06-3008 (pase 1 o 2)</t>
  </si>
  <si>
    <t>Microbiologics o Equivalente</t>
  </si>
  <si>
    <t>Cepa E. coli O111:H8 CDC 2010C-3114 (pase 1 o 2)</t>
  </si>
  <si>
    <t>Cepa E. coli O121:H19 CDC 02-3211 (pase 1 o 2)</t>
  </si>
  <si>
    <t>Cepa E. coli O145:NM CDC 99-3311 (pase 1 o 2)</t>
  </si>
  <si>
    <t>Cepa E. coli O157H7 ATCC 35150 (pase 1 o 2)</t>
  </si>
  <si>
    <t>Cepa E. coli O26:H11 CDC 03-3014 (pase 1 o 2)</t>
  </si>
  <si>
    <t>Cepa E. coli O45:H2 CDC 00-3039 (pase 1 o 2)</t>
  </si>
  <si>
    <t>Cepa Flavobacterium psycrophilum</t>
  </si>
  <si>
    <t>ATCC 49418
primer pase</t>
  </si>
  <si>
    <t>KWIK STIK, Criovial, Vial Liofilizado</t>
  </si>
  <si>
    <t>CEPA Kocuria rhizophila AT CC 9341 pase primero</t>
  </si>
  <si>
    <t>ATCC 9341 primer pase</t>
  </si>
  <si>
    <t>KWIK STIK, , Vial Liofilizado</t>
  </si>
  <si>
    <t>Cepa LASOTA Virus Enfermedad de Newcastle </t>
  </si>
  <si>
    <t>NVSL 132-ADV</t>
  </si>
  <si>
    <t>Frasco suspensión líquida x 0.6 ml</t>
  </si>
  <si>
    <t xml:space="preserve">Cepa Melissococcus plutonius
</t>
  </si>
  <si>
    <t>ATCC 35311
primer pase</t>
  </si>
  <si>
    <t xml:space="preserve">Cepa Mycobacterium bovis
</t>
  </si>
  <si>
    <t>ATCC 27290;ATCC 19210
primer o segundo  pase</t>
  </si>
  <si>
    <t xml:space="preserve">vial liofilizado
</t>
  </si>
  <si>
    <t xml:space="preserve">Cepa mycoplasma mycoides subsp. mycoides </t>
  </si>
  <si>
    <t>ATCC primer o segundo  pase</t>
  </si>
  <si>
    <t xml:space="preserve">Cepa Paenibacillus larvae
</t>
  </si>
  <si>
    <t>ATCC 9545
primer o segundo  pase</t>
  </si>
  <si>
    <t>Cepa Ralstonia solanacearum ATCC, primer o segundo pase</t>
  </si>
  <si>
    <t>ATCC BAA-1114</t>
  </si>
  <si>
    <t>Unidad vial</t>
  </si>
  <si>
    <t xml:space="preserve">Cepa Salmonella  Fecha  de vencimiento no inferior  a un año con certificado del proveedor con acreditación con 17034, primer o segundo pase de la colección </t>
  </si>
  <si>
    <t>MICROBIOLOGICS ATCC14028</t>
  </si>
  <si>
    <t>Cepa Salmonella enterica subespecie serovar choleraesuis (pase 1 o 2)</t>
  </si>
  <si>
    <t>KWIK STIK x 2, Criovial, Vial Liofilizado</t>
  </si>
  <si>
    <t>Cepa Staphylococcus aureus  (pase 1 o 2)</t>
  </si>
  <si>
    <t>MICROBIOLOGICS ATCC  6538</t>
  </si>
  <si>
    <t>CEPA Staphylococcus aureus ATCC 9144</t>
  </si>
  <si>
    <t>CUALQUIER MARCA</t>
  </si>
  <si>
    <t>CEPA Staphylococcus epidermidis  ATCC 12228</t>
  </si>
  <si>
    <t>cualquier marca</t>
  </si>
  <si>
    <t>Cepa Tritrichomonas fetus 
(pase 1 o 2)</t>
  </si>
  <si>
    <t xml:space="preserve">ATCC 30924; ATCC 30003
</t>
  </si>
  <si>
    <t>Cepa Virus Bronquitis infecciosa aviar</t>
  </si>
  <si>
    <t>NVSL  112-ADV</t>
  </si>
  <si>
    <t>Cepa Virus Laringotraqueitis infecciosa</t>
  </si>
  <si>
    <t>NSVL 033-ADV</t>
  </si>
  <si>
    <t>Cephalexin hydrate</t>
  </si>
  <si>
    <t>Sigma Aldrich
Ref: C4895-5G</t>
  </si>
  <si>
    <t>Cicloheximida</t>
  </si>
  <si>
    <t>Sigma Aldrich
Ref: C7698-5G</t>
  </si>
  <si>
    <t>Citrato de amonio dibasico grado analitico</t>
  </si>
  <si>
    <t>CAS 3012-65-5</t>
  </si>
  <si>
    <t xml:space="preserve">MERCK (referencia 101154) o equivalente </t>
  </si>
  <si>
    <t>2 a 5 Kg</t>
  </si>
  <si>
    <t>Citrato de sodio (Citrato trisodico)</t>
  </si>
  <si>
    <t>68-04-2</t>
  </si>
  <si>
    <t xml:space="preserve"> C₆H₅Na₃O₇</t>
  </si>
  <si>
    <t>SIGMA S4641 o mercck o sharlau o equivalente</t>
  </si>
  <si>
    <t>Citrato disodico sesquihidratado</t>
  </si>
  <si>
    <t>Frasco x 500g o 1 kg</t>
  </si>
  <si>
    <t>Citrobacter braakii ATCC 51113 (pase 1 o 2)</t>
  </si>
  <si>
    <t>KWIK STIK x2, Criovial, Vial Liofilizado</t>
  </si>
  <si>
    <t>Cloranfenicol</t>
  </si>
  <si>
    <t>56-75-7</t>
  </si>
  <si>
    <t>CDH. Ref: 044204 o equivalente</t>
  </si>
  <si>
    <t>Frasco x 25 g</t>
  </si>
  <si>
    <t>Clorhidrato de hidroxilamina</t>
  </si>
  <si>
    <t>NH2OH · HCl</t>
  </si>
  <si>
    <t>MERK CAT 255580 o equivalente</t>
  </si>
  <si>
    <t>Frasco x 500 g o 2 frascos x 250g</t>
  </si>
  <si>
    <t>Cloroformo 99% Grado Biología Molecular</t>
  </si>
  <si>
    <t xml:space="preserve">CDH 
Ref: 921400, Merck, Sigma, VWR o equivalente </t>
  </si>
  <si>
    <t>Cloroformo grado reactivo</t>
  </si>
  <si>
    <t>67-66-3</t>
  </si>
  <si>
    <t>CHCl3</t>
  </si>
  <si>
    <t>JT BAKER o meck , equivalente</t>
  </si>
  <si>
    <t>Frasco x 4  a 5 litros</t>
  </si>
  <si>
    <t>Clorpirifos deuterado  con certificado de análisis y ficha de seguridad.Fecha  de vencimiento  no  inferior  a 1 año CAS 285138-81-0</t>
  </si>
  <si>
    <t>Sigma Aldrich o Dr Erhenstorfer o equivalente</t>
  </si>
  <si>
    <t>Frasco x 25mg</t>
  </si>
  <si>
    <t>Cloruro de 2,3,5 Trifenil tetrazolio para microbiología</t>
  </si>
  <si>
    <t>SIGMA ALDRICH
Ref: T8877-100G</t>
  </si>
  <si>
    <t>Cloruro de calcio dihidratado PA con certificado de análisis trazable por lote</t>
  </si>
  <si>
    <t>SUPELCO 102382 o merck o sigma o equivalente</t>
  </si>
  <si>
    <t xml:space="preserve">Frasco ≥ 250 g </t>
  </si>
  <si>
    <t>Cloruro de cesio P.A 99.5%</t>
  </si>
  <si>
    <t xml:space="preserve">CAS 7647-17-8 </t>
  </si>
  <si>
    <t>Merck, Supelco o equivalente</t>
  </si>
  <si>
    <t>Cloruro de estaño  dihidratado CAS 10025-69-1</t>
  </si>
  <si>
    <t>10025-69-1</t>
  </si>
  <si>
    <t>PANREAC, Sharlau o equivalente</t>
  </si>
  <si>
    <t>Frasco X 250 g</t>
  </si>
  <si>
    <t>Cloruro de Litio (LiCl) grado biología molecular</t>
  </si>
  <si>
    <t xml:space="preserve">Frasco x 250g </t>
  </si>
  <si>
    <t>Cloruro de potasio (KCl)  con certificado de análisis y ficha de seguridad.</t>
  </si>
  <si>
    <t>7447-40-7</t>
  </si>
  <si>
    <t>KCL</t>
  </si>
  <si>
    <t>Merck</t>
  </si>
  <si>
    <t>Cloruro de Potasio 3M para electrodos, Con certificado de análisis e incertidumbre. Fecha de vencimiento no inferior a 2 años</t>
  </si>
  <si>
    <t>MOL LABS V7316 o equivakente</t>
  </si>
  <si>
    <t>Frasco x 300 mL</t>
  </si>
  <si>
    <t>Cloruro de sodio (NaCl) grado reactivo</t>
  </si>
  <si>
    <t>7647-14-5</t>
  </si>
  <si>
    <t>NaCl</t>
  </si>
  <si>
    <t xml:space="preserve">Merck 106406 </t>
  </si>
  <si>
    <t>Clostridium perfringens ATCC  13124 (pase 1 o 2)</t>
  </si>
  <si>
    <t>Coagulasa plasma de conejo con EDTA, Test de coagulasa para Staphylococcus aureus</t>
  </si>
  <si>
    <t>MILLIPORE 1133060001</t>
  </si>
  <si>
    <t xml:space="preserve">Caja x 6 x 3 ml </t>
  </si>
  <si>
    <t>Colorante fuschina fenicada Ziehl Neelsen</t>
  </si>
  <si>
    <t>BIOQUIGEN, Biopharcem ref. C0040008 o equivalente</t>
  </si>
  <si>
    <t>Colorante violeta de Gram</t>
  </si>
  <si>
    <t xml:space="preserve">BIOQUIGEN, Biopharchem ref. C0040004 o equivalente </t>
  </si>
  <si>
    <t xml:space="preserve">Conjugado - antiguinea pig Ig G whole molecule </t>
  </si>
  <si>
    <t>Sigma A7289</t>
  </si>
  <si>
    <t>Frasco x 1 ml</t>
  </si>
  <si>
    <t>Conjugado Anti-DIG AP (Anti-Digoxigenin antiobody) (21H8)</t>
  </si>
  <si>
    <t xml:space="preserve">Abcam </t>
  </si>
  <si>
    <t>vial 500 microlitros</t>
  </si>
  <si>
    <t>Cristal Violeta</t>
  </si>
  <si>
    <t xml:space="preserve">SCHARLAU. Merck o equivalente </t>
  </si>
  <si>
    <t>Cristales de fenol</t>
  </si>
  <si>
    <t xml:space="preserve">108-95-2
</t>
  </si>
  <si>
    <t xml:space="preserve">J.T. BAKER 2858-01 O Equivalente
</t>
  </si>
  <si>
    <t>CTAB (Bromuro de hexadeciltrimetilamonio o Bromuro de cetiltrimetilamonio)</t>
  </si>
  <si>
    <t>BEANTOWN CHEMICAL
Ref: 224475-100G, VWR o equivalente</t>
  </si>
  <si>
    <t>D- Galactosa</t>
  </si>
  <si>
    <t xml:space="preserve">59-23-4
</t>
  </si>
  <si>
    <t>VWR 0637
 o equivalente</t>
  </si>
  <si>
    <t xml:space="preserve">
desde presentación frasco x 100g hasta frasco x 500g 
</t>
  </si>
  <si>
    <t xml:space="preserve">D- Manitol </t>
  </si>
  <si>
    <t xml:space="preserve">69-65-8
</t>
  </si>
  <si>
    <t xml:space="preserve">
frasco x 100 a 500 g
</t>
  </si>
  <si>
    <t>DAPI (4'6'-DIAMNINO-2-PHENYLINDOLE)</t>
  </si>
  <si>
    <t>Invitrogen</t>
  </si>
  <si>
    <t>Frasco x 10mg</t>
  </si>
  <si>
    <t>Delvotest T. Test de inhibición bacteriana aprobado para la detección de residuos de sustancias antibacterianas en leche</t>
  </si>
  <si>
    <t>DELVOTEST - DSM</t>
  </si>
  <si>
    <t>Caja X 1 KIT</t>
  </si>
  <si>
    <t>Denhardt's Solution (50X)</t>
  </si>
  <si>
    <t>invitrogen  750018</t>
  </si>
  <si>
    <t>DEPC Diethyl pyrocarbonate (DEPC)</t>
  </si>
  <si>
    <t>SIGMA ALDRICH
Ref: 159220-100G o VWR B22753-22</t>
  </si>
  <si>
    <t>Desinfectante bactericida a base de yodo</t>
  </si>
  <si>
    <t xml:space="preserve">Frasco x 3.78  y/o 4 litros </t>
  </si>
  <si>
    <t>Detection Enhancer, for real-time PCR</t>
  </si>
  <si>
    <t>Applied Biosystem A44810</t>
  </si>
  <si>
    <t>Vial</t>
  </si>
  <si>
    <t>LNDV</t>
  </si>
  <si>
    <t>Detergente líquido alcalino libre de fosfatos para lavado de material de laboratorio</t>
  </si>
  <si>
    <t>BIOQUIGEN o merck o equivalente</t>
  </si>
  <si>
    <t>Frasco x 5 litros</t>
  </si>
  <si>
    <t>Detergente líquido neutro para lavado de material de laboratorio</t>
  </si>
  <si>
    <t xml:space="preserve">BIOQUIGEN, o Merck o equivalente </t>
  </si>
  <si>
    <t>Dextran sulfate sodium salt, powder</t>
  </si>
  <si>
    <t>Bioglyco o equivalente</t>
  </si>
  <si>
    <t>Frasco 100g o 2 frascos x 50g</t>
  </si>
  <si>
    <t>Dextrosa monohidratada</t>
  </si>
  <si>
    <t>5996-10-1.</t>
  </si>
  <si>
    <t>C6H12O6·H2O.</t>
  </si>
  <si>
    <t>J.T. BAKER 1910-01
o equivalene</t>
  </si>
  <si>
    <t xml:space="preserve">
frasco x 100g
</t>
  </si>
  <si>
    <t>D-fructosa</t>
  </si>
  <si>
    <t>Panread Applichem ref. 1427281210
o equivalente</t>
  </si>
  <si>
    <t>frasco x 100g o frascos x 500g</t>
  </si>
  <si>
    <t>D-Glucosa (Dextrosa)</t>
  </si>
  <si>
    <t xml:space="preserve">50-99-7 </t>
  </si>
  <si>
    <t>MACRON
Ref: MK491212 o merck ref. 1.04074.0500 o equivalente</t>
  </si>
  <si>
    <t>di-Amonio hidrogenocitrato p.a. ACS</t>
  </si>
  <si>
    <t>Merck (referencia 1011540500) o equivalente</t>
  </si>
  <si>
    <t>Dicromato de potasio reactivo analítico con certificado de análisis. ACS</t>
  </si>
  <si>
    <t xml:space="preserve">MERCK (referencia 104864) o equivalente </t>
  </si>
  <si>
    <t>Frasco x 500 a 1 kg</t>
  </si>
  <si>
    <t xml:space="preserve">Dietilamina </t>
  </si>
  <si>
    <t>CAS 109-89-7</t>
  </si>
  <si>
    <t>MERCK  (REF 8030100500) o Equivalente</t>
  </si>
  <si>
    <t>Frasco ≥ 500 mL</t>
  </si>
  <si>
    <t>DIG RNA Labeling Kit (SP6/T7)</t>
  </si>
  <si>
    <t>Roche o eqiuivalente</t>
  </si>
  <si>
    <t>KIT x 10 reacciones</t>
  </si>
  <si>
    <t>Dihidrogeno Fosfato Disodico</t>
  </si>
  <si>
    <t>7558-79-4</t>
  </si>
  <si>
    <t>Na2HPO4</t>
  </si>
  <si>
    <t xml:space="preserve">JT BAKER  o equivalente </t>
  </si>
  <si>
    <t>Frasco ≥500 g</t>
  </si>
  <si>
    <t>Dimetil sulfoxido: DMSO Grado Biología Molecular</t>
  </si>
  <si>
    <t>67-68-5</t>
  </si>
  <si>
    <t>C₂H₆OS</t>
  </si>
  <si>
    <t>MP BIOMEDICALS C818Z49 o Merck, o equivalente</t>
  </si>
  <si>
    <t>Dimetilformamida</t>
  </si>
  <si>
    <t xml:space="preserve"> 68-12-2</t>
  </si>
  <si>
    <t>JT  BAKER o equivalente</t>
  </si>
  <si>
    <t>4 Litros</t>
  </si>
  <si>
    <t>Dimetilsulfóxido</t>
  </si>
  <si>
    <t>PANREAC 131954, meck o equivalente</t>
  </si>
  <si>
    <t>Dimetilsulfóxido: DMSO grado reactivo, con certificado de análisis. Fecha de vencimiento no inferior a 2 años</t>
  </si>
  <si>
    <t>SIGMA 472301 o equivalente</t>
  </si>
  <si>
    <t>Dimetoato D6, estandar deuterado con certificado de análisis y fecha de vencimiento superior a 6 meses</t>
  </si>
  <si>
    <t xml:space="preserve">Dr Ehrenstorfer o HPC Standars o Sigma o equivalentes </t>
  </si>
  <si>
    <t>Frasco x 10 mg</t>
  </si>
  <si>
    <t>Divosan</t>
  </si>
  <si>
    <t>Diversey</t>
  </si>
  <si>
    <t>Tarro  x 5 lts</t>
  </si>
  <si>
    <t>D-Manitol microbiología ,≥98%</t>
  </si>
  <si>
    <t>Sigma o Merck</t>
  </si>
  <si>
    <t>Desde presentación Frasco x 100g hasta frasco x 500g</t>
  </si>
  <si>
    <t xml:space="preserve">DNA Ladder 1 Kb Plus X 1000 ug </t>
  </si>
  <si>
    <t>Invitrogen
Ref: 10787026</t>
  </si>
  <si>
    <t xml:space="preserve">DNase I (RNase-free) x 2000Und.  </t>
  </si>
  <si>
    <t>NORGEN 25710 o Invitrogen AM2222</t>
  </si>
  <si>
    <t>D-Sacarosa</t>
  </si>
  <si>
    <t>57-50-1.</t>
  </si>
  <si>
    <t>C₁₂H₂₂O₁₁</t>
  </si>
  <si>
    <t>MILLIPORE 107687, merck 1.07687.0250
 o equivalente</t>
  </si>
  <si>
    <t>D-Sorbitol ≥98%</t>
  </si>
  <si>
    <t xml:space="preserve"> 50-70-4</t>
  </si>
  <si>
    <t>Sigma Aldrich
Ref: S1876-100G</t>
  </si>
  <si>
    <t xml:space="preserve">Frasco x 100 g </t>
  </si>
  <si>
    <t>D-Xilosa</t>
  </si>
  <si>
    <t>58-86-6.</t>
  </si>
  <si>
    <t xml:space="preserve"> C5H10O</t>
  </si>
  <si>
    <t>MILLIPORE 108689, meck, sigma o equivalente</t>
  </si>
  <si>
    <t xml:space="preserve">Dynabeads anti-E. coli O157 </t>
  </si>
  <si>
    <t>invitrogen, cualquier marca</t>
  </si>
  <si>
    <t>5 ml</t>
  </si>
  <si>
    <t>EDTA</t>
  </si>
  <si>
    <t>6381-92-6</t>
  </si>
  <si>
    <t>SCHARLAU AC09650100, Merck, Sigma o equivalente</t>
  </si>
  <si>
    <t>Desde presentación Frasco x 100 g hasta frasco x 500g</t>
  </si>
  <si>
    <t>EDTA sal disódica dihidrato</t>
  </si>
  <si>
    <t>JT BAKER o equivalente</t>
  </si>
  <si>
    <t xml:space="preserve">Electrode solution storage-para almacenar o guardar electrodos de pH </t>
  </si>
  <si>
    <t>THERMO</t>
  </si>
  <si>
    <t>Frasco x 100 ml o frasco x 475ml</t>
  </si>
  <si>
    <t>ELISA Para detección de anticuerpos contra proteinas no estructurales del virus de fiebre aftosa para muestras de  suero multiespecie (Bovinos, ovinos, caprinos y porcinos)</t>
  </si>
  <si>
    <t>IDVET</t>
  </si>
  <si>
    <t>Kit x 10 Placas</t>
  </si>
  <si>
    <t>EMJH enriquecimiento</t>
  </si>
  <si>
    <t>Caja x 6 frascos x 100 ml</t>
  </si>
  <si>
    <t>Emulsion Yema de Huevo Con Telurito</t>
  </si>
  <si>
    <t>CONDALAB 5129 o equivalente</t>
  </si>
  <si>
    <t>Frasco X 100 ml</t>
  </si>
  <si>
    <t>Entellan</t>
  </si>
  <si>
    <t>1330-20-7_x000D_</t>
  </si>
  <si>
    <t>SIGMA 107961 o Milllipore 1.00869 o equivalente</t>
  </si>
  <si>
    <t>Enterococcus faecalis ATCC  19433   x 2 sticks</t>
  </si>
  <si>
    <t>Eosina Y</t>
  </si>
  <si>
    <t>17372-87-1</t>
  </si>
  <si>
    <t>C20H6Br4Na2O5</t>
  </si>
  <si>
    <t>SIGMA E4382 o Merck o JT Baker o equivalente</t>
  </si>
  <si>
    <t>Escala de Mac Farland Completa</t>
  </si>
  <si>
    <t>Tubos escala 0,5 a 5</t>
  </si>
  <si>
    <t>Escobillones con medio de transporte Stuart</t>
  </si>
  <si>
    <t xml:space="preserve">CAS 64-17-5
</t>
  </si>
  <si>
    <t xml:space="preserve">CH3-CH2-OH
</t>
  </si>
  <si>
    <t>Paquete x 50 tubos o paquete por 100 tubos</t>
  </si>
  <si>
    <t>Estándar Albendazole 
fecha de vigencia ó con fecha no menor a 2 años</t>
  </si>
  <si>
    <t>54965-21-8</t>
  </si>
  <si>
    <t>USP Ref. 1012553 o equivalente</t>
  </si>
  <si>
    <t>Frasco x 200 mg o 2 frascos x 100mg</t>
  </si>
  <si>
    <t>Dr. Ehrenstorfer 
Ref. DRE-C10065000</t>
  </si>
  <si>
    <t xml:space="preserve">Frasco x 100mg </t>
  </si>
  <si>
    <t>Sigma Aldrich Supelco 
Ref: PHR31281-1G</t>
  </si>
  <si>
    <t>Frasco x 1g</t>
  </si>
  <si>
    <t>Estándar Amitraz
fecha de vigencia ó con fecha no menor a 2 años</t>
  </si>
  <si>
    <t>33089-61-1</t>
  </si>
  <si>
    <t>SULPECO 45323</t>
  </si>
  <si>
    <t>Frasco x 250mg</t>
  </si>
  <si>
    <t>Dr. Ehrenstorfer 
Ref. DRE-C10230000</t>
  </si>
  <si>
    <t>USP o equivalente</t>
  </si>
  <si>
    <t>Frasco ≥ 200 mg</t>
  </si>
  <si>
    <t>Estándar Amprolium  HCl
fecha de vigencia ó con fecha no menor a 2 años</t>
  </si>
  <si>
    <t>137-88-2</t>
  </si>
  <si>
    <t>Estándar Amprolium HCl
fecha de vigencia ó con fecha no menor a 2 años</t>
  </si>
  <si>
    <t>Estandar Azufre pureza &gt;99%
Fecha de vigencia ó con fecha no menor a 2 años</t>
  </si>
  <si>
    <t>7704-34-9</t>
  </si>
  <si>
    <t>Supelco - Referencia: 36576-250MG o equivalente</t>
  </si>
  <si>
    <t>frasco x250 mg</t>
  </si>
  <si>
    <t>Estándar Carbadox</t>
  </si>
  <si>
    <t>6804-07-05</t>
  </si>
  <si>
    <t>Dr. Ehrenstorfer</t>
  </si>
  <si>
    <t>Frasco x 100mg</t>
  </si>
  <si>
    <t>Estándar Ceftiofur Hydrochloride
fecha de vigencia ó con fecha no menor a 2 años</t>
  </si>
  <si>
    <t>103980-44-5</t>
  </si>
  <si>
    <t>Sigma Aldrich Supelco 32422</t>
  </si>
  <si>
    <t>USP
o equivalente</t>
  </si>
  <si>
    <t>Frasco ≥ 100mg</t>
  </si>
  <si>
    <t>Estandar Chlorpyrifos-D10,  con certificado con método de análisis e incertidumbre,  fecha de vencimiento no inferior a 2 años</t>
  </si>
  <si>
    <t>285138-81-0</t>
  </si>
  <si>
    <t>C9 2H10 H Cl3 N O3 P S</t>
  </si>
  <si>
    <t>DRE-C11600100</t>
  </si>
  <si>
    <t>25 mg</t>
  </si>
  <si>
    <t>Estándar de  2-NP-AMOZ trazable. Fecha de vigencia no menor a 2 años</t>
  </si>
  <si>
    <t>183193-59-1</t>
  </si>
  <si>
    <t>Dr Ehrenstorfer</t>
  </si>
  <si>
    <t>Estándar de  2-NP-AOZ trazable. Fecha de vigencia no menor a 2 años</t>
  </si>
  <si>
    <t>19687-73-1</t>
  </si>
  <si>
    <t>Estándar de  2-NP-SCA trazable. Fecha de vigencia no menor a 2 años</t>
  </si>
  <si>
    <t>16004-6</t>
  </si>
  <si>
    <t>C8 H8 N4 O3</t>
  </si>
  <si>
    <t>Dr Ehrenstorfer DRE-C15654520</t>
  </si>
  <si>
    <t>Estándar de  6-Methyl-2-thiouracil trazable. Fecha de vigencia no menor a 2 años</t>
  </si>
  <si>
    <t>56-04-02</t>
  </si>
  <si>
    <t>Frasco x 100 mg</t>
  </si>
  <si>
    <t>Estándar de  Penicilina G potásica,  fecha de vencimiento no inferior a 2 años.</t>
  </si>
  <si>
    <t>113-98-4</t>
  </si>
  <si>
    <t xml:space="preserve">Dr Ehrenstorfer </t>
  </si>
  <si>
    <t>Frasco x 250 mg</t>
  </si>
  <si>
    <t>Estándar de 17-alpha-Methyltestosterone, Trazable ISO 17034, con certificado con método de análisis e incertidumbre,  fecha de vencimiento no inferior a 2 años</t>
  </si>
  <si>
    <t>58-18-4</t>
  </si>
  <si>
    <t>C20 H30 O2</t>
  </si>
  <si>
    <t>Dr. Ehrenstorfer;DRE-C15144000 o equivalente</t>
  </si>
  <si>
    <t>Estándar de 17-beta-Estradiol, Trazable ISO 17034, con certificado con método de análisis e incertidumbre,  fecha de vencimiento no inferior a 2 años</t>
  </si>
  <si>
    <t>50-28-2</t>
  </si>
  <si>
    <t>C18 H24 O2</t>
  </si>
  <si>
    <t>Dr. Ehrenstorfer; DRE-C13213100 o equivalente</t>
  </si>
  <si>
    <t>Estándar de 2-NP-AHD trazable. Fecha de vigencia no menor a 2 años</t>
  </si>
  <si>
    <t>Sigma Aldrich Supelco 33870-10MG-R</t>
  </si>
  <si>
    <t>Estándar de AHD trazable (1-Aminohydantoin hydrochloride), trazable fecha de vencimiento no inferior a 2 años</t>
  </si>
  <si>
    <t>2827-56-7</t>
  </si>
  <si>
    <t>LCG DRE-C10203200</t>
  </si>
  <si>
    <t>Estándar de AOZ trazable, fecha de vencimiento no inferior a 2 años.</t>
  </si>
  <si>
    <t>80-65-9</t>
  </si>
  <si>
    <t>Dr. Ehrenstorfer C10209000</t>
  </si>
  <si>
    <t>Frasco x 50 mg</t>
  </si>
  <si>
    <t>Estándar de Aristolochia HRS, Trazable, con certificado con método de análisis e incertidumbre,  fecha de vencimiento no inferior a 2 años</t>
  </si>
  <si>
    <t>313-67-7</t>
  </si>
  <si>
    <t>C17 H11 N O7</t>
  </si>
  <si>
    <t>LGC-edQMl;  EPY0001323 o equivalente</t>
  </si>
  <si>
    <t>Frasco x 140 mg</t>
  </si>
  <si>
    <t>Estándar de Aristolochic Acid A, Trazable, con certificado con método de análisis e incertidumbre,  fecha de vencimiento no inferior a 2 años</t>
  </si>
  <si>
    <t>313-67-8</t>
  </si>
  <si>
    <t>LGC-TRCl;  TRC-A771300 o equivalente</t>
  </si>
  <si>
    <t>Estándar de Basic Violet 3 D6, Trazable ISO 17034, con certificado con método de análisis e incertidumbre,  fecha de vencimiento no inferior a 2 años</t>
  </si>
  <si>
    <t>1266676-01-0</t>
  </si>
  <si>
    <t>C25 D6 H24 N3 . Cl</t>
  </si>
  <si>
    <t>Dr. Ehrenstorfer; DRE-C10427505 o equivalente</t>
  </si>
  <si>
    <t>Estándar de Basic Violet 3, Trazable ISO 17034, con certificado con método de análisis e incertidumbre,  fecha de vencimiento no inferior a 2 años</t>
  </si>
  <si>
    <t>548-62-9</t>
  </si>
  <si>
    <t>C25 H30 N3 . Cl</t>
  </si>
  <si>
    <t>Dr. Ehrenstorfer; DRE-C10427500 o equivalente</t>
  </si>
  <si>
    <t>Estandar de Chlorpromazine hydrochloride, Trazable ISO 17034, con certificado con método de análisis e incertidumbre,  fecha de vencimiento no inferior a 2 años</t>
  </si>
  <si>
    <t>69-09-0</t>
  </si>
  <si>
    <t>C17 H19 Cl N2 S . Cl H</t>
  </si>
  <si>
    <t>Dr. Ehrenstorfer; DRE-C11575000 o equivalente</t>
  </si>
  <si>
    <t>Estándar de chlortetracycline hydrochloride 99.5% pureza. Trazable. Fecha de vencimiento no inferior a 2 años.</t>
  </si>
  <si>
    <t>64-72-2</t>
  </si>
  <si>
    <t>Dr. Ehrenstorfer CA11509100</t>
  </si>
  <si>
    <t>Estándar de Ciprofloxacina trazable,, fecha de vencimiento no inferior a 2 años</t>
  </si>
  <si>
    <t>93107-08-5</t>
  </si>
  <si>
    <t>Dr Ehrenstorfer C11668500</t>
  </si>
  <si>
    <t>Estándar de Cloranfenicol  trazable, fecha de vencimiento no inferior a 2 años</t>
  </si>
  <si>
    <t>Dr Ehrenstorfer C11120000</t>
  </si>
  <si>
    <t>Estándar de cobalto 1000 mg/L solución certificada con trazabilidad e incertidumbre y fecha de vencimiento superior a 1 año</t>
  </si>
  <si>
    <t>SUPELCO 119785 o equivalente</t>
  </si>
  <si>
    <t>Estándar de Colchicine, Trazable ISO 17034, con certificado con método de análisis e incertidumbre,  fecha de vencimiento no inferior a 2 años</t>
  </si>
  <si>
    <t>64-86-8</t>
  </si>
  <si>
    <t>C22 H25 N O6</t>
  </si>
  <si>
    <t>Dr. Ehrenstorfer; DRE-C11693400 o equivalente</t>
  </si>
  <si>
    <t>Estándar de Dapsone, Trazable ISO 17034, con certificado con método de análisis e incertidumbre,  fecha de vencimiento no inferior a 2 años</t>
  </si>
  <si>
    <t>80-08-0</t>
  </si>
  <si>
    <t>C12 H12 N2 O2 S</t>
  </si>
  <si>
    <t>LGC-Mikromol;  MM1932.00 o equivalente</t>
  </si>
  <si>
    <t>Estándar de dienestrol trazable,fecha de vencimiento no inferior a 2 años</t>
  </si>
  <si>
    <t>84-17-3</t>
  </si>
  <si>
    <t>Dr Ehrenstorfer 
REF: DRE‐C12598000</t>
  </si>
  <si>
    <t>Frasco  x 25 mg</t>
  </si>
  <si>
    <t>Estándar de Dietilestilbestrol trazable, fecha de vencimiento no inferior a 2 años</t>
  </si>
  <si>
    <t>Dr Ehrenstorfer  REF:
DRE‐C12607000 o equivalente</t>
  </si>
  <si>
    <t>Frasco  x 100 mg</t>
  </si>
  <si>
    <t>Estándar de Dimetridazole, Trazable ISO 17034, con certificado con método de análisis e incertidumbre,  fecha de vencimiento no inferior a 2 años</t>
  </si>
  <si>
    <t>551-92-8</t>
  </si>
  <si>
    <t>C5 H7 N3 O2</t>
  </si>
  <si>
    <t>Dr. Ehrenstorfer; DRE-C12772000 o equivalente</t>
  </si>
  <si>
    <t>Estandar de Dimetridazole-2-hydroxy, Trazable ISO 17034, con certificado con método de análisis e incertidumbre,  fecha de vencimiento no inferior a 2 años</t>
  </si>
  <si>
    <t>936-05-0</t>
  </si>
  <si>
    <t>C5 H7 N3 O3</t>
  </si>
  <si>
    <t>Dr. Ehrenstorfer; DRE-C12772050 o equivalente</t>
  </si>
  <si>
    <t>Estándar de Doramectina trazable,  fecha de vencimiento no inferior a 2 años</t>
  </si>
  <si>
    <t>Dr Ehrenstorfer CA13083000</t>
  </si>
  <si>
    <t>ESTANDAR DE ETOXIQUINA</t>
  </si>
  <si>
    <t>91-53-2</t>
  </si>
  <si>
    <t>C14H19NO</t>
  </si>
  <si>
    <t>Frasco  x 250mg</t>
  </si>
  <si>
    <t>Estándar de Fosetyl aluminio con vigencia no menor a 1 año</t>
  </si>
  <si>
    <t>USP o Dr. Ehrenstorfer o
Sigma Aldrich</t>
  </si>
  <si>
    <t>Estándar de fósforo 1000 mg/L trazable a SRM de NIST H3PO4 en H2O , solución  con certificado  fecha de vencimiento no inferior a 2 años</t>
  </si>
  <si>
    <t>SUPELCO  170340</t>
  </si>
  <si>
    <t>Estándar de Glufosinato de amonio con vigencia no menor a 1 año</t>
  </si>
  <si>
    <t>Estándar de Hexestrol trazable, fecha de vencimiento no inferior a 2 años</t>
  </si>
  <si>
    <t>84-16-2</t>
  </si>
  <si>
    <t>Dr Ehrenstorfer
REF: DRE‐14202800</t>
  </si>
  <si>
    <t>Estándar de Iridio ICP 1000 mg/L</t>
  </si>
  <si>
    <t>CAS 7439-88-5</t>
  </si>
  <si>
    <t>Merck, Certipur o equivalente</t>
  </si>
  <si>
    <t>Frasco x 100mL</t>
  </si>
  <si>
    <t>Estandar de Leucocrystal violet D6, Trazable ISO 17034, con certificado con método de análisis e incertidumbre,  fecha de vencimiento no inferior a 2 años</t>
  </si>
  <si>
    <t>1173023-92-1</t>
  </si>
  <si>
    <t>C25 2H6 H25 N3</t>
  </si>
  <si>
    <t>Dr. Ehrenstorfer; DRE-C14629401 o equivalente</t>
  </si>
  <si>
    <t>Estándar de Leucocrystal Violet, Trazable ISO 17034, con certificado con método de análisis e incertidumbre,  fecha de vencimiento no inferior a 2 años</t>
  </si>
  <si>
    <t>603-48-5</t>
  </si>
  <si>
    <t>C25 H31 N3</t>
  </si>
  <si>
    <t>Dr. Ehrenstorfer; DRE-C14629400 o equivalente</t>
  </si>
  <si>
    <t>Estándar de Leucomalachite green, Trazable ISO 17034, con certificado con método de análisis e incertidumbre,  fecha de vencimiento no inferior a 2 años</t>
  </si>
  <si>
    <t>129-73-7</t>
  </si>
  <si>
    <t>C23 H26 N2</t>
  </si>
  <si>
    <t>Dr. Ehrenstorfer; DRE-C14629500 o equivalente</t>
  </si>
  <si>
    <t>Estándar de Malachite green D5 picrate, Trazable ISO 17034, con certificado con método de análisis e incertidumbre,  fecha de vencimiento no inferior a 2 años</t>
  </si>
  <si>
    <t>1258668-21-1</t>
  </si>
  <si>
    <t>C23 2H5 H20 N2 . C6 H2 N3 O7</t>
  </si>
  <si>
    <t>Dr. Ehrenstorfer; DRE-C14680010 o equivalente</t>
  </si>
  <si>
    <t>Estándar de Malachite green oxalate, Trazable ISO 17034, con certificado con método de análisis e incertidumbre,  fecha de vencimiento no inferior a 2 años</t>
  </si>
  <si>
    <t>2437-29-8</t>
  </si>
  <si>
    <t>2 C23 H25 N2 . C2 H2 O4 . 2 C2 H O4</t>
  </si>
  <si>
    <t>Dr. Ehrenstorfer; DRE-CC14680000 o equivalente</t>
  </si>
  <si>
    <t>Estándar de Mancozeb con vigencia no menor a 1 año</t>
  </si>
  <si>
    <t>Estándar de Maneb con vigencia no menor a 1 año</t>
  </si>
  <si>
    <t>Estándar de Methiram con vigencia no menor a 1 año</t>
  </si>
  <si>
    <t>Estándar de Metronidazole, Trazable ISO 17034, con certificado con método de análisis e incertidumbre,  fecha de vencimiento no inferior a 2 años</t>
  </si>
  <si>
    <t>443-48-1</t>
  </si>
  <si>
    <t>C6 H9 N3 O3</t>
  </si>
  <si>
    <t>Dr. Ehrenstorfer; DRE-C15201000 o equivalente</t>
  </si>
  <si>
    <t>Estándar de Metronidazole-hydroxy, Trazable ISO 17034, con certificado con método de análisis e incertidumbre,  fecha de vencimiento no inferior a 2 años</t>
  </si>
  <si>
    <t>4812-40-2</t>
  </si>
  <si>
    <t>C6 H9 N3 O4</t>
  </si>
  <si>
    <t>Dr. Ehrenstorfer; DRE-C15201300 o equivalente</t>
  </si>
  <si>
    <t>Estándar de Propineb con vigencia no menor a 1 año</t>
  </si>
  <si>
    <t>Estándar de Ractopamina HCl trazable, e, fecha de vencimiento no inferior a 2 años</t>
  </si>
  <si>
    <t>90-274-24-1</t>
  </si>
  <si>
    <t>Dr Ehrenstorfer  
DRE-C16805000</t>
  </si>
  <si>
    <t>Estándar de Ronidazole D3, Trazable ISO 17034, con certificado con método de análisis e incertidumbre,  fecha de vencimiento no inferior a 2 años</t>
  </si>
  <si>
    <t>1015855-87-4</t>
  </si>
  <si>
    <t>C6 2H3 H5 N4 O4</t>
  </si>
  <si>
    <t>Dr. Ehrenstorfer; DRE-C16815501 o equivalente</t>
  </si>
  <si>
    <t>Estándar de Ronidazole, Trazable ISO 17034, con certificado con método de análisis e incertidumbre,  fecha de vencimiento no inferior a 2 años</t>
  </si>
  <si>
    <t>7681-76-7</t>
  </si>
  <si>
    <t>C6 H8 N4 O4</t>
  </si>
  <si>
    <t>Dr. Ehrenstorfer; DRE-C16815500 o equivalente</t>
  </si>
  <si>
    <t>Estandar de Taleranol ( Beta-zearalanol) trazable, fecha de vencimiento no inferior a 2 años.</t>
  </si>
  <si>
    <t>42422-68-4</t>
  </si>
  <si>
    <t>LCG Dr Ehrenstorfer DRE-C17947330</t>
  </si>
  <si>
    <t>Frasco  x 5 mg</t>
  </si>
  <si>
    <t>Estándar de Thiamphenicol 100 mg.Trazable, con certificado con método de análisis e incertidumbre,  fecha de vencimiento no inferior a 2 años</t>
  </si>
  <si>
    <t>15318-45-3</t>
  </si>
  <si>
    <t>Dr Ehrenstorfer DRE‐C17457000</t>
  </si>
  <si>
    <t>Estándar de Thiram con vigencia no menor a 1 año</t>
  </si>
  <si>
    <t xml:space="preserve">Estándar de tilosina trazable. Fecha de vencimiento no menor a 2 años. </t>
  </si>
  <si>
    <t>1401-69-0</t>
  </si>
  <si>
    <t>LGC Ref: BP 349 o equivalente</t>
  </si>
  <si>
    <t>Frasco X 50 mg</t>
  </si>
  <si>
    <t>Estándar de Vitamina A trazable, con certificado de método de análisis e incertidumbre, fecha de vencimiento no menor a 2 años ( Retinyl Acetate)</t>
  </si>
  <si>
    <t>127-47-9</t>
  </si>
  <si>
    <t>DR EHRENSTORFER DRE-CA17923820</t>
  </si>
  <si>
    <t>Frasco X 100 mg</t>
  </si>
  <si>
    <t>Estándar de Vitamina E Trazable, con certificado de método de análisis e incertidumbre y con fecha vigencia no menor a 2 años</t>
  </si>
  <si>
    <t>10191-41-0
7695-01-2</t>
  </si>
  <si>
    <t>DR EHRENSTORFER DRE-CA17924319</t>
  </si>
  <si>
    <t xml:space="preserve"> Frasco x 100mg</t>
  </si>
  <si>
    <t>Estándar de Zearalanona trazable, certificado con método de análisis e incertidumbre, fecha de vencimiento no inferior a 2 años</t>
  </si>
  <si>
    <t>5975-78-0</t>
  </si>
  <si>
    <t>Dr Ehrenstorfer DRE‐C17947350</t>
  </si>
  <si>
    <t xml:space="preserve">Frasco x 5 mg </t>
  </si>
  <si>
    <t xml:space="preserve">Estándar de Zeranol alfa- zeranoll) trazable, fecha de vencimiento no inferior a 2 años. </t>
  </si>
  <si>
    <t xml:space="preserve">26538-44-3 </t>
  </si>
  <si>
    <t xml:space="preserve">LCG Dr Ehrenstorfer </t>
  </si>
  <si>
    <t>Frasco x 5 mg</t>
  </si>
  <si>
    <t>Estándar de Ziram con vigencia no menor a 1 año</t>
  </si>
  <si>
    <t>Estándar deTrembolona trazable, con certificado de análisis, fecha de vencimiento no inferior a 1 año.</t>
  </si>
  <si>
    <t>10161-33-8</t>
  </si>
  <si>
    <t>Dr Ehrenstorfer DRE-CA17607700</t>
  </si>
  <si>
    <t>Estándar Dexamethasone Acetate 
fecha de vigencia ó con fecha no menor a 2 años</t>
  </si>
  <si>
    <t>1177-87-3</t>
  </si>
  <si>
    <t>Dr. Ehrenstorfer
Ref: DRE-C12170410</t>
  </si>
  <si>
    <t>Sigma Aldrich Supelco
Ref PHR1527-1G</t>
  </si>
  <si>
    <t>Frasco x 1 g</t>
  </si>
  <si>
    <t>USP
Ref 1176506 o equivalente</t>
  </si>
  <si>
    <t>Estándar Dexamethasone Sodium Phosphate 
fecha de vigencia ó con fecha no menor a 2 años</t>
  </si>
  <si>
    <t>2392-39-4</t>
  </si>
  <si>
    <t>Dr. Ehrenstorfer
Ref: DRE-C12170450</t>
  </si>
  <si>
    <t>Sigma Aldrich Supelco
Ref PHR1768-1G</t>
  </si>
  <si>
    <t>Frasco x  1 g</t>
  </si>
  <si>
    <t>USP
Ref 1177032 o equivalente</t>
  </si>
  <si>
    <t>Frasco x  500mg</t>
  </si>
  <si>
    <t>Estándar Doxycycline hyclate 
Fecha de vigencia o con fecha menor a 2 años.</t>
  </si>
  <si>
    <t>CAS 24390-14-5</t>
  </si>
  <si>
    <t>Dr. Ehrenstorfer
Ref. DRE-C13084280</t>
  </si>
  <si>
    <t>24390-14-5</t>
  </si>
  <si>
    <t>Sigma Aldrich Supelco PHR1145</t>
  </si>
  <si>
    <t>USP
Ref.1226003 o equivalente</t>
  </si>
  <si>
    <t>Frasco ≥200 mg</t>
  </si>
  <si>
    <t>Estándar Enrofloxacina
fecha de vigencia no menor a 2 años</t>
  </si>
  <si>
    <t>93106-60-6</t>
  </si>
  <si>
    <t>Dr. Ehrenstorfer
Ref: DRE-C13170000</t>
  </si>
  <si>
    <t>Sigma Aldrich Supelco
Ref PHR1513-500MG</t>
  </si>
  <si>
    <t>Frasco x  500 mg</t>
  </si>
  <si>
    <t>USP
Ref 1235900</t>
  </si>
  <si>
    <t>Frasco x  200 mg</t>
  </si>
  <si>
    <t xml:space="preserve">Estándar Estanozolol trazable con fecha de vencimiento no inferior a 2 años. </t>
  </si>
  <si>
    <t>10418-03-8</t>
  </si>
  <si>
    <t xml:space="preserve">LGC LGCFOR1285.00 </t>
  </si>
  <si>
    <t>Frasco X 10 mg</t>
  </si>
  <si>
    <t>Estándar Fenthion D6, deuterado con certificado de análisis y fecha de vencimiento superior a 6 meses</t>
  </si>
  <si>
    <t>Dr. Ehrenstorfer REF- DRE-C13580100</t>
  </si>
  <si>
    <t>Estandar Fipronil
Fecha de vigencia ó con fecha no menor a 2 años
N° CAS 120068-37-3</t>
  </si>
  <si>
    <t>CAS 120068-37-3</t>
  </si>
  <si>
    <t>Dr. Ehrenstorfer DRE-C13645000</t>
  </si>
  <si>
    <t>Estandar Fipronil
Fecha de vigencia ó con fecha no menor a 2 años
N° CAS120068-37-3</t>
  </si>
  <si>
    <t>Sigma Aldrich, Supelco 46451</t>
  </si>
  <si>
    <t xml:space="preserve">Estándar Furaltadona </t>
  </si>
  <si>
    <t>139-91-3</t>
  </si>
  <si>
    <t>LGC TRC-B497335</t>
  </si>
  <si>
    <t>Estándar Furazolidona</t>
  </si>
  <si>
    <t>Dr. Ehrenstorfer
Ref: DRE C13970200</t>
  </si>
  <si>
    <t>Frasco X 250 mg</t>
  </si>
  <si>
    <t>Estandar Furosemida
Fecha de vigencia ó con fecha no menor a 2 años
N° CAS 54-31-9</t>
  </si>
  <si>
    <t>CAS 54-31-9</t>
  </si>
  <si>
    <t>Dr. Ehrenstorfer  DRE-C13985000</t>
  </si>
  <si>
    <t>Sigma Aldrich, Supelco PHR1057</t>
  </si>
  <si>
    <t>USP 1287008 o equivalente</t>
  </si>
  <si>
    <t>Estándar Ivermectina trazable.
Fecha de vencimiento no inferior a 2 años.</t>
  </si>
  <si>
    <t>70288-86-7</t>
  </si>
  <si>
    <t>Dr. Ehrenstorfer
Ref: DRE-CA14488000</t>
  </si>
  <si>
    <t>Frasco x  100 mg</t>
  </si>
  <si>
    <t>USP
Ref 1354309 o equivalente</t>
  </si>
  <si>
    <t>Estándar ketamina HCl
Fecha de vigencia ó con fecha no menor a 2 años.</t>
  </si>
  <si>
    <t>1867-66-9</t>
  </si>
  <si>
    <t>Sigma Aldrich Supelco
Ref  K2753-1G o equivalente</t>
  </si>
  <si>
    <t>Frasco x   1g</t>
  </si>
  <si>
    <t>Dr. Ehrenstorfer
Ref: DRE-C14531000</t>
  </si>
  <si>
    <t>USP
Ref 1356009 o equivalente</t>
  </si>
  <si>
    <t>Frasco x250 mg</t>
  </si>
  <si>
    <t>Estándar Mebendazole
Fecha de vigencia ó con fecha no menor a 2 años</t>
  </si>
  <si>
    <t>31431-39-7</t>
  </si>
  <si>
    <t>Dr. Ehrenstorfer
Ref: DRE-C14798000</t>
  </si>
  <si>
    <t>Sigma Aldrich Supelco
Ref PHR2448-300MG</t>
  </si>
  <si>
    <t>Frasco x 300 mg</t>
  </si>
  <si>
    <t>USP
Ref 1375502 o equivalente</t>
  </si>
  <si>
    <t>Estándar Mezcla de Aflatoxin B1, B2, G1, and G2 con fecha de caducidad no menor a un año</t>
  </si>
  <si>
    <t>USP o Dr. Ehrenstorfer DRE-A30000021AL o 
Sigma Aldrich</t>
  </si>
  <si>
    <t>Frasco x 1 mL</t>
  </si>
  <si>
    <t>Estándar Nitrofurantoina</t>
  </si>
  <si>
    <t>USP o Dr. Ehrenstorfer o
Sigma Aldrich (Estándar primario o secundario).</t>
  </si>
  <si>
    <t>La presentación depende del proveedor (Cantidad requerida: 100 mg)</t>
  </si>
  <si>
    <t>Estándar Nitrofurazona</t>
  </si>
  <si>
    <t>Dr. Ehrenstorfer DRE-C15571000</t>
  </si>
  <si>
    <t>Estándar Olaquindox</t>
  </si>
  <si>
    <t>Sigma Aldrich Supelco 33987</t>
  </si>
  <si>
    <t>Estandar Oxytetracycline Hydrochloride. 
Fecha de vigencia ó con fecha no menor a 2 años</t>
  </si>
  <si>
    <t>2058-46-0</t>
  </si>
  <si>
    <t>USP
Ref 1491015 o equivalente</t>
  </si>
  <si>
    <t>Frasco ≥  200 mg</t>
  </si>
  <si>
    <t>Estándar Oxytetracycline Hydrochloride. 
Fecha de vigencia ó con fecha no menor a 2 años</t>
  </si>
  <si>
    <t>Dr. Ehrenstorfer 
Ref DRE-C15820000</t>
  </si>
  <si>
    <t>Sigma Aldrich Supelco
Ref PHR1325-500MG</t>
  </si>
  <si>
    <t>Frasco x 500 mg</t>
  </si>
  <si>
    <t>Estándar Phosphated 5 Riboflavin Sodium
fecha de vigencia ó con fecha no menor a 2 años.</t>
  </si>
  <si>
    <t>6184-17-4</t>
  </si>
  <si>
    <t>Sigma Aldrich Supelco Ref PHR1297-1G</t>
  </si>
  <si>
    <t>130-40-5</t>
  </si>
  <si>
    <t>Dr. Ehrenstorfer 
Ref DRE-C16813610</t>
  </si>
  <si>
    <t>USP
Ref 1535700 o equivalente</t>
  </si>
  <si>
    <t>Estándar Piroxicam
Fecha de vigencia ó con fecha no menor a 2 años</t>
  </si>
  <si>
    <t>36322-90-4</t>
  </si>
  <si>
    <t>Dr. Ehrenstorfer 
Ref  DRE-C16278000</t>
  </si>
  <si>
    <t>Sigma Aldrich Supelco
Ref PHR1588-200MG</t>
  </si>
  <si>
    <t>Frasco x 200 mg</t>
  </si>
  <si>
    <t>USP
Ref 1544508 o equivalente</t>
  </si>
  <si>
    <t>Frasco ≥ 125 mg</t>
  </si>
  <si>
    <t>Estándar Praziquantel
Fecha de vigencia ó con fecha no menor a 2 años</t>
  </si>
  <si>
    <t>55268-74-1</t>
  </si>
  <si>
    <t>Dr. Ehrenstorfer 
Ref  DRE-C16286300</t>
  </si>
  <si>
    <t>Sigma Aldrich Supelco
Ref PHR1391-1G</t>
  </si>
  <si>
    <t>USP
Ref 1554603 o equivalente</t>
  </si>
  <si>
    <t>Estándar Pyridoxine Hydrochloride
Fecha de vigencia ó con fecha no menor a 2 años</t>
  </si>
  <si>
    <t>58-56-0</t>
  </si>
  <si>
    <t>Dr. Ehrenstorfer 
Ref  DRE-C16652000</t>
  </si>
  <si>
    <t>Sigma Aldrich Supelco
Ref PHR1036-500MG</t>
  </si>
  <si>
    <t>USP
Ref 1587001 o equivalente</t>
  </si>
  <si>
    <t>Estándar Retinyl Palmitate (Vitamna A Palmitato)
fecha de vigencia ó con fecha no menor a 2 años</t>
  </si>
  <si>
    <t>79-81-2</t>
  </si>
  <si>
    <t>Sigma Aldrich Supelco
Ref PHR1235-1G</t>
  </si>
  <si>
    <t>Estándar Retinyl Propionate (Vitamina A propionato)
fecha de vigencia ó con fecha no menor a 2 años</t>
  </si>
  <si>
    <t>7069-42-3</t>
  </si>
  <si>
    <t>Sigma Aldrich Supelco
Ref PHR1668-1G</t>
  </si>
  <si>
    <t>TRC (LGC)
Ref TRC-R275550- 500MG</t>
  </si>
  <si>
    <t>Estandar Triadimefon-D4,  con certificado con método de análisis e incertidumbre,  fecha de vencimiento no inferior a 2 años</t>
  </si>
  <si>
    <t>TRC-T767122</t>
  </si>
  <si>
    <t>10 mg</t>
  </si>
  <si>
    <t>Estándar Triclosan
fecha de vigencia ó con fecha no menor a 2 años</t>
  </si>
  <si>
    <t>3380-34-5</t>
  </si>
  <si>
    <t>Dr. Ehrenstorfer 
Ref   DRE-C17803000</t>
  </si>
  <si>
    <t>Sigma Aldrich Supelco
Ref PHR1338-1G</t>
  </si>
  <si>
    <t>USP
Ref 1682206 o equivalente</t>
  </si>
  <si>
    <t>Estandar Trimetoprim
Fecha de vigencia ó con fecha no menor a 2 años
N° CAS 738-70-5</t>
  </si>
  <si>
    <t xml:space="preserve"> CAS 738-70-5</t>
  </si>
  <si>
    <t xml:space="preserve">Dr. Ehrenstorfer DRE-C17875000 </t>
  </si>
  <si>
    <t>Sigma Aldrich, Supelco PHR1056</t>
  </si>
  <si>
    <t xml:space="preserve">Frasco x 1g </t>
  </si>
  <si>
    <t>USP 1692505 o equivalente</t>
  </si>
  <si>
    <t>Frasco ≥ 300 mg</t>
  </si>
  <si>
    <t>Estándar Tylosin Tartrate
Fecha de vigencia ó con fecha no menor a 2 años</t>
  </si>
  <si>
    <t>1405-54-5</t>
  </si>
  <si>
    <t>SUPELCO PHR1508</t>
  </si>
  <si>
    <t>USP</t>
  </si>
  <si>
    <t>Estándarr Atrazine-d5, con vigencia mayor a 12 meses, certificado de análisis y cerfiticado en 17034</t>
  </si>
  <si>
    <t>163165-75-1</t>
  </si>
  <si>
    <t>C8H9D5ClN5</t>
  </si>
  <si>
    <t>MERCK, DR EHRENSTORFER o equivalente</t>
  </si>
  <si>
    <t>Etanol absoluto (anhidro)</t>
  </si>
  <si>
    <t>CAS 64-17-5</t>
  </si>
  <si>
    <t>CH3-CH2-OH</t>
  </si>
  <si>
    <t>JT BAKER o MERCK, SIGMA o PANREAC o equivalente</t>
  </si>
  <si>
    <t>Etanol al 99.5% - 99.8% para biología molecular</t>
  </si>
  <si>
    <t>C₂H₆O</t>
  </si>
  <si>
    <t>PANREAC, o equivalente
Ref: A8075,.1000PE</t>
  </si>
  <si>
    <t>Frasco  x 1 litro</t>
  </si>
  <si>
    <t>Etanol cetona Gram</t>
  </si>
  <si>
    <t>ExtraBond Bulk GCB  GCB (carbón grafitado) 40-60 um, 120 Å</t>
  </si>
  <si>
    <t>7440-44-0</t>
  </si>
  <si>
    <t>Scharlau, Sigma - Merck o equivalente</t>
  </si>
  <si>
    <t>EZ-Vision® Three DNA Dye as Loading Buffer, 6X</t>
  </si>
  <si>
    <t>VWR LIGE SCIENCE - N313</t>
  </si>
  <si>
    <t xml:space="preserve">5 x 1ml </t>
  </si>
  <si>
    <t>FastStart Essential DNA Probes Master</t>
  </si>
  <si>
    <t xml:space="preserve"> ROCHE, Ref. 6402682001</t>
  </si>
  <si>
    <t>Fenol-cloroformo-alcohol isoamilico 25:24:1.</t>
  </si>
  <si>
    <t>Merck, Sigma, JT. Baker o equivalente</t>
  </si>
  <si>
    <t>Frasco x 400 ml</t>
  </si>
  <si>
    <t>Fenolftaleina para análisis indicado ACS</t>
  </si>
  <si>
    <t>Merck 1072330025 o equivalente</t>
  </si>
  <si>
    <t>Frasco x 25 g o superior</t>
  </si>
  <si>
    <t>Ferrocianuro de Potasio</t>
  </si>
  <si>
    <t>13746-66-2</t>
  </si>
  <si>
    <t>C₆FeK₄N₆</t>
  </si>
  <si>
    <t xml:space="preserve">Quimipur / merck, Scharlau O Equivalente </t>
  </si>
  <si>
    <t>Frasco X 25g</t>
  </si>
  <si>
    <t>Fluoruro de amonio ≥ 99,99%</t>
  </si>
  <si>
    <t>12125-01-8</t>
  </si>
  <si>
    <t>NH4F</t>
  </si>
  <si>
    <t>MERK CAT 338869 o equivalente</t>
  </si>
  <si>
    <t>Desde presentación Frasco x 100 g hasta prentación frasco x 250g</t>
  </si>
  <si>
    <t>Formaldehido al 37%</t>
  </si>
  <si>
    <t>CAS 50-00-0</t>
  </si>
  <si>
    <t>HCHO</t>
  </si>
  <si>
    <t xml:space="preserve">Frasco x 4 a 5  litros </t>
  </si>
  <si>
    <t>Formamida deionizada para biología molecular</t>
  </si>
  <si>
    <t>Panreac o equivalente</t>
  </si>
  <si>
    <t>Frasco x 500ml</t>
  </si>
  <si>
    <t>Formiato de amonio grado masas</t>
  </si>
  <si>
    <t>SIGMA ALDRICH 70221-25G-F o equivalente</t>
  </si>
  <si>
    <t>Frasco ≥ 25g</t>
  </si>
  <si>
    <t>Fosfato bibásico de sodio anhidro</t>
  </si>
  <si>
    <t xml:space="preserve">7558-79-4             </t>
  </si>
  <si>
    <t>PANREAC 131679 o Merck Ref: 106586 o equivalente</t>
  </si>
  <si>
    <t>Fosfato de Amonio  o amonio dihidrogeno fosfato grado ACS,ISO,Reag. Ph Eur</t>
  </si>
  <si>
    <t>7722-76-1</t>
  </si>
  <si>
    <t>NH4H2PO4</t>
  </si>
  <si>
    <t xml:space="preserve">SUPELCO 101126 o equiibalente </t>
  </si>
  <si>
    <t>Fosfato de di-sodio 2-hidrato para análisis</t>
  </si>
  <si>
    <t>10028-24-7</t>
  </si>
  <si>
    <t>Na2HPO4.2H2O</t>
  </si>
  <si>
    <t>SCHARLAU
SO3390500 o Merck, JT. Baker o equivalente</t>
  </si>
  <si>
    <t>Fosfato de potasio monobásico para Análisis. ACS</t>
  </si>
  <si>
    <t>CAS 7778-77-0</t>
  </si>
  <si>
    <t xml:space="preserve">MERCK (referencia 104873) o equivalente </t>
  </si>
  <si>
    <t>Frasco x 250 a 1 kg</t>
  </si>
  <si>
    <t>Fosfato de sodio anhidro</t>
  </si>
  <si>
    <t xml:space="preserve">	7601-54-9</t>
  </si>
  <si>
    <t>Na3PO4</t>
  </si>
  <si>
    <t>VWR 212725-1kg o Merck o JT Baker o Sigma o Scharlau o equivalente</t>
  </si>
  <si>
    <t>Frasco x 1kg</t>
  </si>
  <si>
    <t xml:space="preserve">Fosfato de Sodio Monobásico </t>
  </si>
  <si>
    <t xml:space="preserve">10049-21-5
</t>
  </si>
  <si>
    <t xml:space="preserve">NAH2PO4H20
</t>
  </si>
  <si>
    <t>JTBAKER Ref:3818-01
 o equivalente</t>
  </si>
  <si>
    <t xml:space="preserve">Frasco x 500 g
</t>
  </si>
  <si>
    <t>Fosfato dibasico de sodio</t>
  </si>
  <si>
    <t>Na2HPO4 H20</t>
  </si>
  <si>
    <t>Sigma o Merck o JT Baker o equivalente</t>
  </si>
  <si>
    <t>Presentación desde Frasco x 250 gr hasta frasco x 500g</t>
  </si>
  <si>
    <t xml:space="preserve">Fosfato monobásico de potasio &gt;99% para analisis </t>
  </si>
  <si>
    <t>KH2PO4</t>
  </si>
  <si>
    <t>MERCK 
Ref: 1048731000  o equivalente</t>
  </si>
  <si>
    <t xml:space="preserve">Frasco x 1 Kg </t>
  </si>
  <si>
    <t>Fucsina de Gram</t>
  </si>
  <si>
    <t xml:space="preserve">Albor o equivalente
</t>
  </si>
  <si>
    <t>Fucsina de Ziehl Neelsen</t>
  </si>
  <si>
    <t>Fuschina ácida en polvo</t>
  </si>
  <si>
    <t>3244-88-0</t>
  </si>
  <si>
    <t>C₂₀H₁₇N₃Na₂O₉S₃</t>
  </si>
  <si>
    <t>ELECTRON MICROSCOPE SCIENCES
Ref: C993L10 o Fisher o equivalente</t>
  </si>
  <si>
    <t>Fuschina Basica</t>
  </si>
  <si>
    <t>632-99-5</t>
  </si>
  <si>
    <t>C20H19N3HCL</t>
  </si>
  <si>
    <t xml:space="preserve">SCHARLAU o Merck o JT. Baker o sigma o equivalente
</t>
  </si>
  <si>
    <t>GA 3500s, Anode Buffer Container (ABC)</t>
  </si>
  <si>
    <t>Applied Biosystems 4393927</t>
  </si>
  <si>
    <t>Caja 4 Unds</t>
  </si>
  <si>
    <t>GA 3500s, Cathode Buffer Container (CBC)</t>
  </si>
  <si>
    <t>Applied Biosystems 4408256</t>
  </si>
  <si>
    <t>GA 3500s, Conditioning Reagent</t>
  </si>
  <si>
    <t>Applied Biosystems 4393718</t>
  </si>
  <si>
    <t>Bolsa 1 Unds</t>
  </si>
  <si>
    <t>GA 3500s, Performance Optimized Polymer POP7</t>
  </si>
  <si>
    <t>Applied Biosystems 4393708</t>
  </si>
  <si>
    <t>Bolsa 384 mxs</t>
  </si>
  <si>
    <t>Gel antibacterial para manos</t>
  </si>
  <si>
    <t>Microgen o equivalente</t>
  </si>
  <si>
    <t>Gelatina para microbiología (para análisis y bacteriología)</t>
  </si>
  <si>
    <t>9000-70-8</t>
  </si>
  <si>
    <t>VWR LIFE SCIENCE  9764-500G o Merck, Acumedia o BBL o Sharlau o Sigma o JT Baker o equivalente</t>
  </si>
  <si>
    <t>Gelatina sin sabor</t>
  </si>
  <si>
    <t>BOLSA X 500 gr o cualquier presentación siempre y cuando se entregue el gramaje requerido</t>
  </si>
  <si>
    <t>Gentamicina en solución 50 mg/ml</t>
  </si>
  <si>
    <t>SIGMA G1397 o Merck o Gibco o  equivalente</t>
  </si>
  <si>
    <t>Germen de trigo</t>
  </si>
  <si>
    <t>NATURAL LIGHT</t>
  </si>
  <si>
    <t>Bolsa x 500 g</t>
  </si>
  <si>
    <t>Glicerol al 99% puro</t>
  </si>
  <si>
    <t>CAS 56-81-5</t>
  </si>
  <si>
    <t>C₃H₈O₃</t>
  </si>
  <si>
    <t xml:space="preserve">JT BAKER o Merck, Fisher o  Scharlau o equivalente </t>
  </si>
  <si>
    <t>Frasco x 1 litro o 2 frascos x 500 ml</t>
  </si>
  <si>
    <t>Hematoxilina</t>
  </si>
  <si>
    <t>CDH 299775 o marcas  equivalentes</t>
  </si>
  <si>
    <t>Frasco x 25 gramos</t>
  </si>
  <si>
    <t>Hemina 99% Porcina .</t>
  </si>
  <si>
    <t>16009-13-5</t>
  </si>
  <si>
    <t xml:space="preserve">Hemoglonia soluble en polvo </t>
  </si>
  <si>
    <t xml:space="preserve">oxoid ref. L-05, sigma, merck o equivalente
 </t>
  </si>
  <si>
    <t xml:space="preserve">Frasco x 400g
</t>
  </si>
  <si>
    <t xml:space="preserve">Hexane-1-sulfonic acid sodium salt </t>
  </si>
  <si>
    <t xml:space="preserve"> CAS 2832-45-3 ·</t>
  </si>
  <si>
    <t>MERCK  REF.1183050025 o Equivalente</t>
  </si>
  <si>
    <t>Frasaco x 25 g</t>
  </si>
  <si>
    <t>Hexano para análisis de residuos</t>
  </si>
  <si>
    <t>92112-69-1</t>
  </si>
  <si>
    <t>Hidrato cloral-IV</t>
  </si>
  <si>
    <t>SIGMA ALDRICH 
Ref: C8383-1Kg</t>
  </si>
  <si>
    <t>Frasco  x 1 kg</t>
  </si>
  <si>
    <t>Hidrolizado de Lactalbumina</t>
  </si>
  <si>
    <t xml:space="preserve"> oxoid  LP 0048 o equivalente
</t>
  </si>
  <si>
    <t>Hidroquinona (pyrocatechol)</t>
  </si>
  <si>
    <t>123-31-9</t>
  </si>
  <si>
    <t>C₆H₆O₂</t>
  </si>
  <si>
    <t xml:space="preserve">SIGMA ALDRICH  46958 H9003-100G o Merck o Fisher o JT Baker o Scharlau o equivalente 
</t>
  </si>
  <si>
    <t xml:space="preserve">Hidróxido de amonio del 25% con certificado de análisis trazable por lote </t>
  </si>
  <si>
    <t>1336-21-6</t>
  </si>
  <si>
    <t>NH₄OH</t>
  </si>
  <si>
    <t xml:space="preserve">SCHARLAU 
AM02491000 o Merck, JT Baker o equivalente
</t>
  </si>
  <si>
    <t>Frasco x 1 litro o 2 frascos x 500ml</t>
  </si>
  <si>
    <t>Hidróxido de potasio  &gt;85%</t>
  </si>
  <si>
    <t>KOH</t>
  </si>
  <si>
    <t>MACRON - JTBAKER, Sharlau, Merck, Sigma o equivalente</t>
  </si>
  <si>
    <t>Hidróxido de sodio 99% en lentejas</t>
  </si>
  <si>
    <t>CAS 1310-73-2</t>
  </si>
  <si>
    <t>NaOH</t>
  </si>
  <si>
    <t>Merck (referencia 106498) o JT Baker, Sigma o equivalente</t>
  </si>
  <si>
    <t>Frasco x 1 kg</t>
  </si>
  <si>
    <t>Hipoclorito de sodio al 5.25%</t>
  </si>
  <si>
    <t>BioQUIGEN
Ref: IA201002 o equivalente</t>
  </si>
  <si>
    <t>Frasco x 5 L</t>
  </si>
  <si>
    <t>ID Gene™ Influenza H9 Lineage G1-like Duplex IDFLUH9G1-100 ID VET</t>
  </si>
  <si>
    <t>IDVET IDFLUH9G1</t>
  </si>
  <si>
    <t>Kit x 100 pruebas</t>
  </si>
  <si>
    <t>Indicador biológico para esterilización a vapor</t>
  </si>
  <si>
    <t>MERCK -MILLIPORE1.10274, o equivalente</t>
  </si>
  <si>
    <t>Caja x 100 unidades</t>
  </si>
  <si>
    <t>Indol</t>
  </si>
  <si>
    <t>Merck 1092930100 o equivalente</t>
  </si>
  <si>
    <t>Inositol</t>
  </si>
  <si>
    <t>6917-35-7</t>
  </si>
  <si>
    <t>CDH 122405 o Sigma - Merck o equivalente</t>
  </si>
  <si>
    <t>Insecticída contra insectos típicos de granos almacenados y desinsectación de superficies de almacenamiento de granos con ingrediente activo deltametrina</t>
  </si>
  <si>
    <t>67-63-0</t>
  </si>
  <si>
    <t>(CH3)2CHOH</t>
  </si>
  <si>
    <t>Frasco x  5 litros</t>
  </si>
  <si>
    <t>Inulina</t>
  </si>
  <si>
    <t>SIGMA I2255</t>
  </si>
  <si>
    <t>Isooctano PA de residuos (vencimiento mayor 14 meses)</t>
  </si>
  <si>
    <t>Frasco x 2,5 L</t>
  </si>
  <si>
    <t>Isopropanol Grado biología molecular</t>
  </si>
  <si>
    <t xml:space="preserve">67-63-0
</t>
  </si>
  <si>
    <t xml:space="preserve">(CH3)2CHOH
</t>
  </si>
  <si>
    <t xml:space="preserve">SCHARLAU AL03081000 o Sigma o Merck o VWR o equivalente
</t>
  </si>
  <si>
    <t>Frasco x 1 Litro</t>
  </si>
  <si>
    <t>Isopropanol grado espectrometria de masas</t>
  </si>
  <si>
    <t>SUPELCO 102781</t>
  </si>
  <si>
    <t>Frasco x 4 L</t>
  </si>
  <si>
    <t xml:space="preserve">Isopropanol grado HPLC </t>
  </si>
  <si>
    <t>CAS 67-63-0</t>
  </si>
  <si>
    <t>CH3CHOHCH3</t>
  </si>
  <si>
    <t>JTBaker o equivalente</t>
  </si>
  <si>
    <t>Jabón líquido antibacterial para manos</t>
  </si>
  <si>
    <t>Frasco x 3.78 L o frasco x 4 litros</t>
  </si>
  <si>
    <t xml:space="preserve">Jabon líquido, control de espuma  para lavadora  traslucido de color ámbar, con alto poder limpiador  con  tensoactivo aniónico, </t>
  </si>
  <si>
    <t>5 galones o garrafa 20 litros</t>
  </si>
  <si>
    <t>James revelador API 20E</t>
  </si>
  <si>
    <t xml:space="preserve">Biomerieux 70542 </t>
  </si>
  <si>
    <t>Caja x 2 Amp x 5 ml</t>
  </si>
  <si>
    <t>Jugo de verduras V8</t>
  </si>
  <si>
    <t>Campell Soup Company</t>
  </si>
  <si>
    <t>Frasco x 200 ml</t>
  </si>
  <si>
    <t xml:space="preserve">Kit Bactec MGIT 960 suplemento  </t>
  </si>
  <si>
    <t>BD</t>
  </si>
  <si>
    <t>Caja x 100</t>
  </si>
  <si>
    <t>Kit Calibradores Alto, Medio y Bajo para equipo de Hematologia MINDRAY, Ref: BC-2800-VET</t>
  </si>
  <si>
    <t>MINDRAY</t>
  </si>
  <si>
    <t>Kit</t>
  </si>
  <si>
    <t>Kit coloración de Gram</t>
  </si>
  <si>
    <t>BIOQUIGEN CO0300007 o BBL o Fisher o equivalente</t>
  </si>
  <si>
    <t>Kit compuesto por: 
- Buffer solución PH 4,00
- Buffer solución PH 7,00 
- Buffer solución PH 10,00
- Potasio cloruro 3,0 Molar</t>
  </si>
  <si>
    <t>BIOQUIGEN o Merck, sigma,  o equivalente</t>
  </si>
  <si>
    <t>Kit x 4 botellas x 250 ml</t>
  </si>
  <si>
    <t>kit de coloracion Diff Quick</t>
  </si>
  <si>
    <t>Frasco x 500 mL</t>
  </si>
  <si>
    <t>Kit de ELISA de bloqueo para la detección de anticuerpos frente al virus de Influenza Aviar Tipo A</t>
  </si>
  <si>
    <t xml:space="preserve">IDEXX o IDVET </t>
  </si>
  <si>
    <t xml:space="preserve">Kit x 5 placas (entre 460 a 480 muestras)
</t>
  </si>
  <si>
    <t>Kit de Reveal for Ruminant in Feed 8100</t>
  </si>
  <si>
    <t>Reveal</t>
  </si>
  <si>
    <t>kit</t>
  </si>
  <si>
    <t>Kit ELISA Indirecta para la Detección de Anticuerpos frente a la Brucelosis 
Brucelosis LECHE para 460 muestras
Presentación: Kit x 10 placa</t>
  </si>
  <si>
    <t>BIONOTE
EB4301PP o IDEXX o ID VET</t>
  </si>
  <si>
    <t xml:space="preserve">KIT 10 placas </t>
  </si>
  <si>
    <t xml:space="preserve">Kit ELISA Indirecta para la Detección de Anticuerpos Frente a la Brucelosis. Brucelosis SUERO
Presentación: Kit x 10 placas </t>
  </si>
  <si>
    <t>IDVET o   IDEXX o  BIONOTE</t>
  </si>
  <si>
    <t>Kit ELISA Indirecta para la Detección de Anticuerpos frente a la Brucelosis. Suero y Leche
Presentación: Kit x 10 placa</t>
  </si>
  <si>
    <t xml:space="preserve">BIONOTE
EB4301PP </t>
  </si>
  <si>
    <t>Kit Hemacolor</t>
  </si>
  <si>
    <t>SIGMA 1.11674</t>
  </si>
  <si>
    <t>Kit o set</t>
  </si>
  <si>
    <t>Kit Mycoprep 75ML</t>
  </si>
  <si>
    <t>BD 240862</t>
  </si>
  <si>
    <t>Kit para detección de antigenos de la rabia en cultivo y en tejidos cerebrales y submaxilares de animales infectados.</t>
  </si>
  <si>
    <t>Merck Millipore Catálogo: 5100</t>
  </si>
  <si>
    <t xml:space="preserve">Kit Transcripción Reversa MMLV </t>
  </si>
  <si>
    <t xml:space="preserve">Invitrogen Ref: 28025013 </t>
  </si>
  <si>
    <t>L -Ornitina Clorhidrato</t>
  </si>
  <si>
    <t xml:space="preserve">MILLIPORE 1,06906 o Sigma - Merck o equivalente
</t>
  </si>
  <si>
    <t>Lactofenol</t>
  </si>
  <si>
    <t>ALBOR 12401</t>
  </si>
  <si>
    <t>10 x Frasco x 100ml</t>
  </si>
  <si>
    <t>Lactosa monohidrato</t>
  </si>
  <si>
    <t>10039-26-6</t>
  </si>
  <si>
    <t>SIGMA 17814 o equivalente</t>
  </si>
  <si>
    <t>L-Arabinosa</t>
  </si>
  <si>
    <t>87-72-9</t>
  </si>
  <si>
    <t>SIGMA A3256 o equivalente</t>
  </si>
  <si>
    <t>L-arabitol</t>
  </si>
  <si>
    <t>L-Arginina</t>
  </si>
  <si>
    <t>L-Asparagina</t>
  </si>
  <si>
    <t>70-47-3</t>
  </si>
  <si>
    <t>Sigma Aldrich
Ref: A4159 100G o equivalente</t>
  </si>
  <si>
    <t>L-Cisteína</t>
  </si>
  <si>
    <t>Frasco x 500 g o 5 frascos x 100g</t>
  </si>
  <si>
    <t>L-Cisteina hydrochlorade monohidrate</t>
  </si>
  <si>
    <t xml:space="preserve">6/04/7048
</t>
  </si>
  <si>
    <t xml:space="preserve">Sigma, merk  o equivalente </t>
  </si>
  <si>
    <t xml:space="preserve">frasco x 250g o 3 frascos x 100g
</t>
  </si>
  <si>
    <t>Leptospira reference serovar Australis, strain Ballico, rabbit antiserum</t>
  </si>
  <si>
    <t>NVSL - ARA-010</t>
  </si>
  <si>
    <t>Leptospira reference serovar Autumnalis, strain Akiyami A, rabbit antiserum </t>
  </si>
  <si>
    <t>NVSL - ATA-010</t>
  </si>
  <si>
    <t>Leptospira reference serovar Ballum, strain S 102, rabbit antiserum</t>
  </si>
  <si>
    <t>NVSL - BMA-011</t>
  </si>
  <si>
    <t>Leptospira reference serovar Bataviae, strain Van Tienen, rabbit antiserum</t>
  </si>
  <si>
    <t xml:space="preserve">NVSL- ATA - 020 </t>
  </si>
  <si>
    <t>Leptospira reference serovar Bratislava, strain Jez Bratislava, rabbit antiserum</t>
  </si>
  <si>
    <t xml:space="preserve">NVSL - ARA-050 </t>
  </si>
  <si>
    <t>Leptospira reference serovar Copenhageni (Ictero reference), strain M-20, rabbit antiserum </t>
  </si>
  <si>
    <t>NVSL - ICA - 020</t>
  </si>
  <si>
    <t>Leptospira reference serovar Hardjo,  strain Hardjoprajtino, rabbit antiserum </t>
  </si>
  <si>
    <t>NVSL - SJA - 060</t>
  </si>
  <si>
    <t>Leptospira reference serovar Hebdomadis, strain Hebdomadis, rabbit antiserum </t>
  </si>
  <si>
    <t>NVSL - HBA - 010</t>
  </si>
  <si>
    <t>Leptospira reference serovar Pomona, strain Pomona, rabbit antiserum</t>
  </si>
  <si>
    <t>NVSL - POA - 010</t>
  </si>
  <si>
    <t>Leptospira reference serovar Pyrogenes, strain Salinem, rabbit antiserum</t>
  </si>
  <si>
    <t>NVSL - PYA - 010</t>
  </si>
  <si>
    <t>Leptospira reference serovar Sejroe, strain M 84, rabbit antiserum</t>
  </si>
  <si>
    <t>NVSL -SJA - 010</t>
  </si>
  <si>
    <t>Leptospira reference serovar Tarassovi, strain Perepelitsin, rabbit antiserum</t>
  </si>
  <si>
    <t>NVSL - TAA - 010</t>
  </si>
  <si>
    <t>Leptospira reference serovar  Canicola, strain Hond Utrecht IV, rabbit antiserum </t>
  </si>
  <si>
    <t>NVSL - CAA - 010</t>
  </si>
  <si>
    <t>Leptospira reference serovar  Grippotyphosa, strain Andaman, agglutination test rabbit antiserum</t>
  </si>
  <si>
    <t xml:space="preserve">NVSL - GRA - 020 </t>
  </si>
  <si>
    <t>Levadura activa seca</t>
  </si>
  <si>
    <t>kilogramo o 2 x 500g</t>
  </si>
  <si>
    <t>Levadura de cerveza</t>
  </si>
  <si>
    <t>kilogramo</t>
  </si>
  <si>
    <t>L-glutamina</t>
  </si>
  <si>
    <t>56-85-9</t>
  </si>
  <si>
    <t> C₅H₁₀N₂O₃</t>
  </si>
  <si>
    <t>CDH 105395 o Sigma  o equivalente</t>
  </si>
  <si>
    <t>L-Glutamina  para cultivo celular</t>
  </si>
  <si>
    <t>Gibco 35050061 o  equivalente</t>
  </si>
  <si>
    <t xml:space="preserve">Light Green </t>
  </si>
  <si>
    <t>Listeria ivanovii subsp. ivanovii ATCC con certificado de laboratorio acreditado en 17034</t>
  </si>
  <si>
    <t>ATCC 19119 o Microbiologics o Equivalente</t>
  </si>
  <si>
    <t xml:space="preserve">Listeria monocytogenes ATCC con certificado de laboratorio acreditado en 17034 </t>
  </si>
  <si>
    <t>ATCC 19115 o Microbiologics o Equivalente</t>
  </si>
  <si>
    <t>L-Triptófano</t>
  </si>
  <si>
    <t>SCHARLAU TR04000100 o equivalente</t>
  </si>
  <si>
    <t>frasco x 100 g</t>
  </si>
  <si>
    <t>Lúgol Parasitológica </t>
  </si>
  <si>
    <t>Frasco x 500ml </t>
  </si>
  <si>
    <t xml:space="preserve">MagMAX-96 AI/ND Viral RNA Isolation </t>
  </si>
  <si>
    <t>Applied Biosystem. Ref AM1835</t>
  </si>
  <si>
    <t>Kit, 4x96; (384 rxn)</t>
  </si>
  <si>
    <t xml:space="preserve">MagMAX™ CORE Nucleic Acid Purification </t>
  </si>
  <si>
    <t>THERMO Applied Biosystem. A32700</t>
  </si>
  <si>
    <t>Maltosa monohidrato</t>
  </si>
  <si>
    <t>Merck 1.05910.0500 o equivalente</t>
  </si>
  <si>
    <t>Frasco x 100g o frasco x 500g</t>
  </si>
  <si>
    <t>Manosa</t>
  </si>
  <si>
    <t>3458-28-4</t>
  </si>
  <si>
    <t>C₆H₁₂O₆</t>
  </si>
  <si>
    <t>SIGMA M6020 o Merck o VWR o equivalente</t>
  </si>
  <si>
    <t xml:space="preserve">Frasco x 100g </t>
  </si>
  <si>
    <t xml:space="preserve">Material de Referencia Poultry Feed. Con certificado de análisis e incertidumbre. </t>
  </si>
  <si>
    <t>LGC 7173</t>
  </si>
  <si>
    <t>Medio Base EMJH</t>
  </si>
  <si>
    <t>Frasco x 500gr</t>
  </si>
  <si>
    <t>Medio base EMJH para leptospira</t>
  </si>
  <si>
    <t xml:space="preserve">DIFCO BD 279410 o equivalente
</t>
  </si>
  <si>
    <t xml:space="preserve">Frasco x 500 gr
</t>
  </si>
  <si>
    <t>Medio de cultivo DMEM (para las BHK-21 de rutina) polvo</t>
  </si>
  <si>
    <t>Gibco 61100061 o equivalente</t>
  </si>
  <si>
    <t>10 x 1L</t>
  </si>
  <si>
    <t>Medio de cultivo PDA Fecha de vencimiento no inferior a 18 meses</t>
  </si>
  <si>
    <t>CONDALAB
Cat. 1022 o equivalente</t>
  </si>
  <si>
    <t xml:space="preserve">Medio de suspensión para API </t>
  </si>
  <si>
    <t>Biomerieux 20150</t>
  </si>
  <si>
    <t>Caja x ampollas de 5ml</t>
  </si>
  <si>
    <t>Medio Dulbecco´s MEM</t>
  </si>
  <si>
    <t xml:space="preserve">Gibco 12800082 o 1280017 , Sigma </t>
  </si>
  <si>
    <t xml:space="preserve"> 10L o 10 x 1L</t>
  </si>
  <si>
    <t>Medio extracto de carne 
Fecha de vencimiento no inferior 18 meses</t>
  </si>
  <si>
    <t>MERCK - MILLIPORE 103979 o equivalente</t>
  </si>
  <si>
    <t>Medio King B</t>
  </si>
  <si>
    <t>CONDALAB, 
Cat 1532, Scharlau o equivalente</t>
  </si>
  <si>
    <t>Medio MEM en polvo</t>
  </si>
  <si>
    <t>Gibco 41500-034 o Sigma-Aldrich o equivalente</t>
  </si>
  <si>
    <t>10 x 1 litro</t>
  </si>
  <si>
    <t>Medio Motilidad</t>
  </si>
  <si>
    <t>CONDALAB 2116 o Merck o equivalente</t>
  </si>
  <si>
    <t>Frasco 500g</t>
  </si>
  <si>
    <t>Medio RPMI</t>
  </si>
  <si>
    <t xml:space="preserve">GIBCO 11875093, equivalente </t>
  </si>
  <si>
    <t>Medio Simmons Citrato</t>
  </si>
  <si>
    <t>CONDALAB 1014 o Merck o equivalente</t>
  </si>
  <si>
    <t>Medio YDC ( levadura-dextrosa-carbonato)</t>
  </si>
  <si>
    <t>MEM Non-Essential Amino Acids Solution (100X)</t>
  </si>
  <si>
    <t>CORNING 25-025, Sigma o GIBCO</t>
  </si>
  <si>
    <t>Metanol anhidro absoluto</t>
  </si>
  <si>
    <t xml:space="preserve">67-56-1
</t>
  </si>
  <si>
    <t>CH₃OH</t>
  </si>
  <si>
    <t>CDH 582495 o equivalente</t>
  </si>
  <si>
    <t>Frasco x 2,5 Litros</t>
  </si>
  <si>
    <t xml:space="preserve">Metanol grado espectrometría de masas  LC/MS con certificado de análisis y ficha de seguridad </t>
  </si>
  <si>
    <t>JT Baker, Merk, Fisher o Sharlau o equivalente</t>
  </si>
  <si>
    <t>Frasco x 2.5 litros o frascos de 4,0 L</t>
  </si>
  <si>
    <t>Metanol grado reactivo</t>
  </si>
  <si>
    <t xml:space="preserve">CH₃OH
</t>
  </si>
  <si>
    <t xml:space="preserve">Marca JT BAKER Ref: 9070-03-C o Merck Ref: 1060184000 o Equivalente
</t>
  </si>
  <si>
    <t xml:space="preserve">Frasco x 4000 ml
</t>
  </si>
  <si>
    <t xml:space="preserve">Metanol HPLC con certificado de análisis y ficha de seguridad </t>
  </si>
  <si>
    <t xml:space="preserve">METAVANADATO DE AMONIO, grado analitico </t>
  </si>
  <si>
    <t>CAS , 7803-55-6</t>
  </si>
  <si>
    <t>JT BAKER, MERCK o equivalentes</t>
  </si>
  <si>
    <t>Molibdato de amonio tetrahidratado, reactivo analítico</t>
  </si>
  <si>
    <t>CAS 12054-85-2</t>
  </si>
  <si>
    <t>Nicotinamida-adenina-dinucleotido acido libre para fines bioquimicos (NAD)</t>
  </si>
  <si>
    <t xml:space="preserve">53-84-9
</t>
  </si>
  <si>
    <t>Millipore ref. 1.24542 , merck o equivalente</t>
  </si>
  <si>
    <t xml:space="preserve">Frasco x 25g
</t>
  </si>
  <si>
    <t>Nistatina</t>
  </si>
  <si>
    <t>1400-61-9</t>
  </si>
  <si>
    <t>Sigma N6261</t>
  </si>
  <si>
    <t>Frasco x 5MU</t>
  </si>
  <si>
    <t>Nistatina suspensión</t>
  </si>
  <si>
    <t>Sigma N1638</t>
  </si>
  <si>
    <t>Nitrato de Plata</t>
  </si>
  <si>
    <t>7761-88-8</t>
  </si>
  <si>
    <t>AgNO₃</t>
  </si>
  <si>
    <t>JT BAKER o Sigma Aldrich o Merck  o equivalente</t>
  </si>
  <si>
    <t>Nitrato de Potasio (KNO3)</t>
  </si>
  <si>
    <t>PANREAC 131524 o equivalente</t>
  </si>
  <si>
    <t>Nitrato de sodio (NaNO3)</t>
  </si>
  <si>
    <t xml:space="preserve">PANREAC 131702 o equivalente </t>
  </si>
  <si>
    <t>Nitrofurantoina</t>
  </si>
  <si>
    <t xml:space="preserve">67-20-9
</t>
  </si>
  <si>
    <t>Sigma N7878 o equivalente</t>
  </si>
  <si>
    <t xml:space="preserve">Frasco x 10g
</t>
  </si>
  <si>
    <t>Normal specific pathogen free
chicken serum</t>
  </si>
  <si>
    <t>NVSL, Código del reactivo 907-ADV</t>
  </si>
  <si>
    <t>Frasco x 5ml</t>
  </si>
  <si>
    <t>Nuclear Fast Red</t>
  </si>
  <si>
    <t>MERCK / SIGMA</t>
  </si>
  <si>
    <t>O Antiserum Salmonella Poly A-I and VI</t>
  </si>
  <si>
    <t>Difco 222641 o equivalente</t>
  </si>
  <si>
    <t>Frasco x 3 ml</t>
  </si>
  <si>
    <t xml:space="preserve">O Antisuero Salmonella somático Factor 5 </t>
  </si>
  <si>
    <t xml:space="preserve">Oligo (dt) 12-18 PRIMER. Esta listo para usar como un primer en la sintesis de cDNA con transcriptasa reversa. </t>
  </si>
  <si>
    <t xml:space="preserve">Invitrogen Ref 18418012 </t>
  </si>
  <si>
    <t xml:space="preserve">Vial x25ug. </t>
  </si>
  <si>
    <t>O-Phenylene diamine 5 mg</t>
  </si>
  <si>
    <t>Sigma P3804-100</t>
  </si>
  <si>
    <t>Caja x 100 tabletas</t>
  </si>
  <si>
    <t xml:space="preserve">O-Phenylene diaminehydrochloride 10 mg </t>
  </si>
  <si>
    <t>Sigma P8287-100</t>
  </si>
  <si>
    <t>Ovoalbúmina Grado II</t>
  </si>
  <si>
    <t>9006-59-1</t>
  </si>
  <si>
    <t>Sigma  A5253 o Merck</t>
  </si>
  <si>
    <t>Frasco x 500g o  2 frascos x 250g</t>
  </si>
  <si>
    <t>Ovoalbúmina Grado V</t>
  </si>
  <si>
    <t>Sigma  A5503 o Merck</t>
  </si>
  <si>
    <t xml:space="preserve">Oxalato de amonio </t>
  </si>
  <si>
    <t>1113-38-8</t>
  </si>
  <si>
    <t>Merck o JT Baker o Sigma o equivalente</t>
  </si>
  <si>
    <t>Oxido de aluminio neutro</t>
  </si>
  <si>
    <t>1344-28-1</t>
  </si>
  <si>
    <t>Al2O3</t>
  </si>
  <si>
    <t xml:space="preserve">Sigma o merk 1010771000 o equivalente </t>
  </si>
  <si>
    <t>Óxido de lantano (III) &gt;98%</t>
  </si>
  <si>
    <t>Merck o Sigma Aldrich</t>
  </si>
  <si>
    <t>Frasco 1 kg</t>
  </si>
  <si>
    <t>Óxido de Titanio CAS 13463-67-7</t>
  </si>
  <si>
    <t>SCHARLAU 
TI03670500 o equivalente</t>
  </si>
  <si>
    <t>Frasco x 500g o 2 frascos x 250g</t>
  </si>
  <si>
    <t>Parafina</t>
  </si>
  <si>
    <t>8002-74-2</t>
  </si>
  <si>
    <t>CnH2n+2</t>
  </si>
  <si>
    <t>BIOQUIGEN PAF040001 O equivaletnte</t>
  </si>
  <si>
    <t>Frasco o bolsa x 1 Kg</t>
  </si>
  <si>
    <t>Patrones de turbidez de equivalencia McFarland</t>
  </si>
  <si>
    <t>Thermo Scientific</t>
  </si>
  <si>
    <t xml:space="preserve">Set x5 tubos
</t>
  </si>
  <si>
    <t>Penicilina cristalina 1.000.000 U</t>
  </si>
  <si>
    <t>69-57-8</t>
  </si>
  <si>
    <t>C16H17N2NaO4S</t>
  </si>
  <si>
    <t>SIGMA P3032 o equivalente</t>
  </si>
  <si>
    <t>Frasco x 1.000.000 UI</t>
  </si>
  <si>
    <t xml:space="preserve">Penicilina-streptomicina </t>
  </si>
  <si>
    <t xml:space="preserve">R&amp;D SYSTEMS  BIOTECHNE ref B21210 o Gibco 15140122 o equivalente
</t>
  </si>
  <si>
    <t>Peptona de Caseina</t>
  </si>
  <si>
    <t>SCHARLAU 07-489 o equivalente</t>
  </si>
  <si>
    <t>Peróxido de hidrógeno 30%  for analysis</t>
  </si>
  <si>
    <t>7722-84-1</t>
  </si>
  <si>
    <t>H2O2</t>
  </si>
  <si>
    <t xml:space="preserve">Thermo Scientific H325 o  SCHARLAU  o Merck o Sigma Aldrich o equivalente
</t>
  </si>
  <si>
    <t>Phloxine B</t>
  </si>
  <si>
    <t>18472-87-2</t>
  </si>
  <si>
    <t>C20 H2 Br4 Cl4 Na2 O5</t>
  </si>
  <si>
    <t>SIGMA P2759 o Merck o JT Baker</t>
  </si>
  <si>
    <t xml:space="preserve">Pimaricin o Natamicina </t>
  </si>
  <si>
    <t>Merck Millipore o Sigma o equivalente</t>
  </si>
  <si>
    <t>Frasco x 100 mg o 2 frascos x 50mg</t>
  </si>
  <si>
    <t>Piruvato de sodio (C3H3NaO3) para microbiología</t>
  </si>
  <si>
    <t>113-24-6</t>
  </si>
  <si>
    <t>SIGMA P5280-500g o equivalente</t>
  </si>
  <si>
    <t>Platinum Quantitative RT-PCR Thermoscript One step System.</t>
  </si>
  <si>
    <t>Invitrogen Cat 11731-015</t>
  </si>
  <si>
    <t>Unidad </t>
  </si>
  <si>
    <t>Polietilenglicol – PEG 8000 H(OCH2CH2)nOH</t>
  </si>
  <si>
    <t>SIGMA P2139</t>
  </si>
  <si>
    <t>Polipectato de sodio (sal sódica del ácido poligalacturónico)</t>
  </si>
  <si>
    <t>Frasco x 250g o 3 frascos x 100g</t>
  </si>
  <si>
    <t>Polivinilpirrolidona (PVP) 40</t>
  </si>
  <si>
    <t>SIGMA ALDRICH
Ref: PVP40-100G</t>
  </si>
  <si>
    <t>Polvo absorbente para control de derrames de sustancias químicas</t>
  </si>
  <si>
    <t>Frasco x 500g o frasco x 1kg</t>
  </si>
  <si>
    <t>Primers 50nmol (20-25 pares de bases)</t>
  </si>
  <si>
    <t>ROCHE, Ref. 4469496001</t>
  </si>
  <si>
    <t>Primers desalados, desprotegidos, escala 50nM</t>
  </si>
  <si>
    <t>Invitrogen Ref: 10629012</t>
  </si>
  <si>
    <t>Base nitrogenada</t>
  </si>
  <si>
    <t>Proteinase K, lista para usar</t>
  </si>
  <si>
    <t>NORGEN
Ref: 28229 o equivalente</t>
  </si>
  <si>
    <t>5 Viales x 1 mL cu</t>
  </si>
  <si>
    <t>Pseudomonas fluorescens ATCC 49838 (pase 1 o 2)</t>
  </si>
  <si>
    <r>
      <t xml:space="preserve">Pseudomonas syringae </t>
    </r>
    <r>
      <rPr>
        <sz val="10"/>
        <color rgb="FF000000"/>
        <rFont val="Arial Narrow"/>
        <family val="2"/>
      </rPr>
      <t xml:space="preserve">pv. </t>
    </r>
    <r>
      <rPr>
        <i/>
        <sz val="10"/>
        <color rgb="FF000000"/>
        <rFont val="Arial Narrow"/>
        <family val="2"/>
      </rPr>
      <t>syringae</t>
    </r>
    <r>
      <rPr>
        <sz val="10"/>
        <color rgb="FF000000"/>
        <rFont val="Arial Narrow"/>
        <family val="2"/>
      </rPr>
      <t xml:space="preserve"> (pase 1 o 2)</t>
    </r>
  </si>
  <si>
    <t>Cepa ATCC</t>
  </si>
  <si>
    <t xml:space="preserve">Vial </t>
  </si>
  <si>
    <t>Puretaq ready to go PCR beads. Premezcla para optimizar amplificaciones de PCR</t>
  </si>
  <si>
    <t xml:space="preserve">GE HERAKTHCARE 27-9559-01 o Cytiva  27-9559-01 </t>
  </si>
  <si>
    <t>Kit x 96</t>
  </si>
  <si>
    <t>Rammnosa</t>
  </si>
  <si>
    <t xml:space="preserve">10030-85-0 </t>
  </si>
  <si>
    <t>SIGMA W 3763011, Merck o equivalente</t>
  </si>
  <si>
    <t>Random Primers 1.5mM, [~297ug/100ul].</t>
  </si>
  <si>
    <t xml:space="preserve">Invitrogen Ref 48190011 </t>
  </si>
  <si>
    <t>Kit 100 ul</t>
  </si>
  <si>
    <t>Reactivo de kovacs para revelación de indol</t>
  </si>
  <si>
    <t>BIOQUIGEN o Merck 1092930100 o Sigma-Aldrich o equivalente</t>
  </si>
  <si>
    <t>Reactivo Turk</t>
  </si>
  <si>
    <t>ALBOR 14008</t>
  </si>
  <si>
    <t>Frasco  x 500 ml</t>
  </si>
  <si>
    <t>Red Gel  Nucleic Acid Gel Stain.</t>
  </si>
  <si>
    <t>Biotum. 41003</t>
  </si>
  <si>
    <t xml:space="preserve">RNA Later Solution Tissue collection RNA stabilization solution </t>
  </si>
  <si>
    <t>INVITROGEN AMBION AM 7021 o Sigma Aldrich o equivalente</t>
  </si>
  <si>
    <t xml:space="preserve">RNase AWAY en Spray solucion para descontaminar material de laboratorio como mesas y micropipetas de RNAsas. </t>
  </si>
  <si>
    <t>VWR  17810-491 o equivalente</t>
  </si>
  <si>
    <t>Frasco x 475 ml</t>
  </si>
  <si>
    <t>RNase Inhibitor. Proteína recombinante con inhibidor de rnasa neutro, 40U/µl</t>
  </si>
  <si>
    <t>Invitrogen AM 2684</t>
  </si>
  <si>
    <t>AM2684</t>
  </si>
  <si>
    <t xml:space="preserve">RNase OUT.   Es un potente inhibibor de ribonucleasas de tipo pancreático tales como la Rnase A, RNasa B, Rnasa C </t>
  </si>
  <si>
    <t>Invitrogen 
Ref 10777019 o equivalente</t>
  </si>
  <si>
    <t>Kit x 5000 Und</t>
  </si>
  <si>
    <t>RNaseA  (20mg/ml)</t>
  </si>
  <si>
    <t>Invitrogen™ 12091021 o equivalente</t>
  </si>
  <si>
    <t>Frasco x 10-15 mL</t>
  </si>
  <si>
    <t>ROJO DE ALIZARINA</t>
  </si>
  <si>
    <t>130-22-3</t>
  </si>
  <si>
    <t>C14H7NaO7</t>
  </si>
  <si>
    <t>Frasco x25 g</t>
  </si>
  <si>
    <t>Rojo de fenol indicador</t>
  </si>
  <si>
    <t xml:space="preserve">143-74-8
</t>
  </si>
  <si>
    <t>Merck 1.07241.0005 O EQUIVALENTE</t>
  </si>
  <si>
    <t xml:space="preserve">Frasco x 5g
</t>
  </si>
  <si>
    <t>Rojo de metilo</t>
  </si>
  <si>
    <t>493-52-7</t>
  </si>
  <si>
    <t xml:space="preserve"> C₁₅H₁₅N₃O₂</t>
  </si>
  <si>
    <t>LABKEM o  Merck o JT Baker o Sigma o equivalente</t>
  </si>
  <si>
    <t>Safranina</t>
  </si>
  <si>
    <t>MP BIOMEDICA  o equivalente</t>
  </si>
  <si>
    <t>Salmonella enterica subsp. enterica (ex Kauffmann and Edwards) Le Minor and Popoff serovar enteritidis 
(pase 1)</t>
  </si>
  <si>
    <t>LIOFILCHEM ATCC® 13076™  o equivalente</t>
  </si>
  <si>
    <t>Salmonella enterica subsp. enterica (ex Kauffmann and Edwards) Le Minor and Popoff serovar Pullorum
(Pase 1)</t>
  </si>
  <si>
    <t>MICROBIOLOGICS  ATCC 13036</t>
  </si>
  <si>
    <t>Salmonella enterica subsp. enterica (ex Kauffmann and Edwards) Le Minor and Popoff serovar Typhimurium (Pase 1) ATCC® 14028™</t>
  </si>
  <si>
    <t>MICROBIOLOGICS ATCC® 14028™</t>
  </si>
  <si>
    <t>SDS</t>
  </si>
  <si>
    <t>SIGMA ALDRICH
Ref: L5750-500G</t>
  </si>
  <si>
    <t>SENSI-CAL MACFARLAND STD 0.5 POLYM 75.92</t>
  </si>
  <si>
    <t>YE1041</t>
  </si>
  <si>
    <t>UNIDAD</t>
  </si>
  <si>
    <t>Sensidiscos de Amoxycillin 2ug</t>
  </si>
  <si>
    <t>Merck o Acumedia o BBL o Sharlau o Sigma</t>
  </si>
  <si>
    <t>Caja x 5 tubos x 50 discos</t>
  </si>
  <si>
    <t>Sensidiscos de Ampicillin/sulbactam 2:1</t>
  </si>
  <si>
    <t>Sensidiscos de bacitracina 0.04 ug</t>
  </si>
  <si>
    <t>Sensidiscos de Penicilina/novobiocina 10unidades/30 ug</t>
  </si>
  <si>
    <t>Sensidiscos de Sulfametoxasol 15 ug</t>
  </si>
  <si>
    <t>SERVEILLIANCE ENTEROCOCCUS SENSITITRE</t>
  </si>
  <si>
    <t xml:space="preserve">YEUVENC
</t>
  </si>
  <si>
    <t>CAJA X 10 PLACAS</t>
  </si>
  <si>
    <t>Sistema de identificación Api 20E</t>
  </si>
  <si>
    <t>BIOMERIEUX 20100</t>
  </si>
  <si>
    <t>Caja x 25 pbas</t>
  </si>
  <si>
    <t>Slanetz And Bartley Medium x 500 Grs</t>
  </si>
  <si>
    <t>SCHARLAU  o equivalente</t>
  </si>
  <si>
    <t xml:space="preserve">Sodio citrato tribasico dihidratado </t>
  </si>
  <si>
    <t>6132-04-3</t>
  </si>
  <si>
    <t xml:space="preserve"> C₆H₅Na₃O₇ * 2 H₂O </t>
  </si>
  <si>
    <t>Sodio Fosfato Bibasico dodecahidrato Na2HPO4 12H2O</t>
  </si>
  <si>
    <t>Na2HPO4 12H2O</t>
  </si>
  <si>
    <t>Merck 106579</t>
  </si>
  <si>
    <t xml:space="preserve">Solución  de cadmio  Patrón ICP,  trazable a SRM de NIST, Cd(NO₃)₂ en HNO₃ 2-3 % 1000 mg/l Cd </t>
  </si>
  <si>
    <t>CAS 7440-43-9</t>
  </si>
  <si>
    <t xml:space="preserve">MERCK o equivalente </t>
  </si>
  <si>
    <t>Frasco x 100 ml o 125 mL</t>
  </si>
  <si>
    <t>Solución  de Zinc patrón  trazable a SRM de NIST Zn(NO₃)₂ in HNO₃ 2-3% 1000 mg/l Zn</t>
  </si>
  <si>
    <t>CAS 7440-66-6</t>
  </si>
  <si>
    <t xml:space="preserve">Solución de Calcio patrón , trazable a SRM de NIST Ca(NO₃)₂ en HNO₃ 2-3 % 1000 mg/l Ca </t>
  </si>
  <si>
    <t>CAS 10101-68-5</t>
  </si>
  <si>
    <t>Merck  o equivalente</t>
  </si>
  <si>
    <t>Solución de Cobre patrón , referible a SRM de NIST Cu(NO₃)₂ en HNO₃ 2-3% 1000 mg/l Cu</t>
  </si>
  <si>
    <t>CAS 7440-50-8</t>
  </si>
  <si>
    <t>Certipur® o equivalente</t>
  </si>
  <si>
    <t>Solución de Hanks</t>
  </si>
  <si>
    <t>Thermofisher 88284 o equivalente</t>
  </si>
  <si>
    <t>Solución de Magnesio patrón ICP, trazable a SRM de NIST, Mg(NO₃)₂ en HNO₃ 2-3 % 1000 mg/l Mg</t>
  </si>
  <si>
    <t>CAS 7439-95-4</t>
  </si>
  <si>
    <t>Solución Hierro patrón  trazable a SRM de NIST Fe(NO₃)₃ en HNO₃ 2-3 % 1000 mg/l Fe</t>
  </si>
  <si>
    <t>CAS 7439-89-6</t>
  </si>
  <si>
    <t>Frasco x 100 mL</t>
  </si>
  <si>
    <t xml:space="preserve">Solución Manganeso patrón , trazable a SRM de NIST, Mn(NO₃)₂ en HNO₃ 2-3 % 1000 mg/l Mn </t>
  </si>
  <si>
    <t>CAS 7439-96-5</t>
  </si>
  <si>
    <t>MERK, Sharlau, Sigma o equivalente</t>
  </si>
  <si>
    <t>Solución Patrón de Arsénico 1000 mg As/L (%m/v), trazable a SRM de NIST H₃AsO₄ en HNO₃ 0,5 mol/l (2-3%) 1000 mg/l As Certipur®</t>
  </si>
  <si>
    <t>CAS 7440-38-2</t>
  </si>
  <si>
    <t xml:space="preserve">Solución Patrón de Mercurio 1000 mg Hg/L  (%m/v) , trazable a SRM de NIST Hg(NO₃)₂ en HNO₃ 2 mol/l  (2-3%) Certipur® </t>
  </si>
  <si>
    <t>CAS 7697-37-2</t>
  </si>
  <si>
    <t>Solución Plomo Patrón  trazable a SRM de NIST Pb(NO₃)₂ en HNO₃ 2-3 % 1000 mg/l Pb</t>
  </si>
  <si>
    <t>CAS 13138-45-9</t>
  </si>
  <si>
    <t xml:space="preserve">Solución Potasio patrón ICP, trazable a SRM de NIST, KNO₃ en HNO₃ 2-3 % 1000 mg/l K </t>
  </si>
  <si>
    <t>CAS 7732-18-5</t>
  </si>
  <si>
    <t>MERCK o equivalente</t>
  </si>
  <si>
    <t>Sonda Custom TaqMan Probe, diseñada por usted mismo purificacada con HPLC X20,000 pmol (20nm), marcada con 6FAM/ VIC/ TET/ NED como reportero y MGBNFQ como atenuador.</t>
  </si>
  <si>
    <t>Applied Biosystem Ref 4316033 o Bionner</t>
  </si>
  <si>
    <t>Sonda dual de hasta 35 bases en escala de 50nM con BHQ como atenuador</t>
  </si>
  <si>
    <t>Invitrogen o Bionner o marca equivalente</t>
  </si>
  <si>
    <t>Sonda para PCR en tiempo real de rango 15-35pb en escala de 200nM marcación dual , marcaje BHQ</t>
  </si>
  <si>
    <t>BIONNER o Invitrogen o Bionner o Applied Biosystem o equivalente</t>
  </si>
  <si>
    <t xml:space="preserve">Sonda Taqman de Marcaje dual purificada.  Longitud: Hasta 30 bases. Escala de síntesis:  25nmol a 100nmol . Marcada con FAM/ VIC/ TET/ HEX/NED como reportero y TAMRA como atenuador. </t>
  </si>
  <si>
    <t xml:space="preserve">Invitrogen o  Bionner o Applied Biosystem
</t>
  </si>
  <si>
    <t xml:space="preserve">Sondas * 1000 rx </t>
  </si>
  <si>
    <t>ROCHE, Ref. 4469526001</t>
  </si>
  <si>
    <r>
      <t xml:space="preserve">Stick de </t>
    </r>
    <r>
      <rPr>
        <i/>
        <sz val="10"/>
        <color rgb="FF000000"/>
        <rFont val="Arial Narrow"/>
        <family val="2"/>
      </rPr>
      <t>Bacillus pumilus</t>
    </r>
    <r>
      <rPr>
        <sz val="10"/>
        <color rgb="FF000000"/>
        <rFont val="Arial Narrow"/>
        <family val="2"/>
      </rPr>
      <t xml:space="preserve"> derivada ATCC® 
(Pase 1)</t>
    </r>
  </si>
  <si>
    <t>ATCC 700814, LIOFILCHEM , Microbiologics o equivalente</t>
  </si>
  <si>
    <t>Stick de Pseudomonas fluorescens  (Pase 1 o 2) con certificado 17043</t>
  </si>
  <si>
    <t>ATCC 13525, LIOFILCHEM , Microbiologics o equivalente</t>
  </si>
  <si>
    <t xml:space="preserve">Suero  bovino control positivo fuerte  para Brucella abortus  </t>
  </si>
  <si>
    <t>Vial x 2 ml</t>
  </si>
  <si>
    <t>Suero Bovina  de Referencia Negativo para Neospora caninum</t>
  </si>
  <si>
    <t>NVSL o APHA o equivalente</t>
  </si>
  <si>
    <t>Suero bovino adulto esteril</t>
  </si>
  <si>
    <t>SIGMA B9433-500ML o equivalente</t>
  </si>
  <si>
    <t>Suero control negativo de referencia internacional para Brucella abortus</t>
  </si>
  <si>
    <t>NVSL 12N o Laboratorio Referencia OMSA</t>
  </si>
  <si>
    <t>Vial x 2ml</t>
  </si>
  <si>
    <t>Suero de oveja esteril</t>
  </si>
  <si>
    <t>SIGMA S2263-100ML o thermofisher o equivalente</t>
  </si>
  <si>
    <t>5 frascos x100 ml</t>
  </si>
  <si>
    <t xml:space="preserve">Suero de referencia negativo AIID Inmunodifusion Influenza Aviar </t>
  </si>
  <si>
    <t>NVSL -905- ADV AMES</t>
  </si>
  <si>
    <t>Frasco liofilizado  x 0,6 ml</t>
  </si>
  <si>
    <t>Suero de Referencia Negativo para Artritis y Encefalitis Caprina (CAEV)</t>
  </si>
  <si>
    <t xml:space="preserve">Suero de referencia positivo debil AIID Inmunodifusion Influenza Aviar </t>
  </si>
  <si>
    <t>NVSL 903-ADV  AMES</t>
  </si>
  <si>
    <t xml:space="preserve">Suero de referencia positivo fuerte AIID Inmunodifusion Influenza Aviar </t>
  </si>
  <si>
    <t>NVSL  902-ADV-AMES</t>
  </si>
  <si>
    <t>Frasco liofilizado x 0,6 ml</t>
  </si>
  <si>
    <t>Suero de Referencia Positivo para el Virus Parainfuenza Bovina PI3</t>
  </si>
  <si>
    <t>NVSL 475 BDV</t>
  </si>
  <si>
    <t>Suero de Referencia Positivo para Neospora caninum</t>
  </si>
  <si>
    <t>Suero de Referencia Sospechoso para Diarrea Viral Bovina p80 tipo 1</t>
  </si>
  <si>
    <t>Suero de Referencia Sospechoso para Artritis y Encefalitis Caprina (CAEV)</t>
  </si>
  <si>
    <t>NVSL 410-CDV</t>
  </si>
  <si>
    <t>Suero Equino Estéril</t>
  </si>
  <si>
    <t xml:space="preserve">GIBCO 16050122 o marcas equivalentes </t>
  </si>
  <si>
    <t>Suero fetal bovino gamma irradiado</t>
  </si>
  <si>
    <t>SIGMA F3885, GIBCO, Ó HYCLONE</t>
  </si>
  <si>
    <t>Suero Negativo de pollo libre de patogenos especificos </t>
  </si>
  <si>
    <t>NVSL 907-ADV</t>
  </si>
  <si>
    <t>Frasco liofilizado  x 5 ml</t>
  </si>
  <si>
    <t>Suero porcino</t>
  </si>
  <si>
    <t>GIBCO 26250084 o equivalente</t>
  </si>
  <si>
    <t>Sulfato de Amonio</t>
  </si>
  <si>
    <t>Frasco X 1 KG o 2 frascos x 500g</t>
  </si>
  <si>
    <t>Sulfato de cobre pentahidratado 98-102%</t>
  </si>
  <si>
    <t>PANREAC 131270 o equivalente</t>
  </si>
  <si>
    <t>Sulfato de magnesio anhidro</t>
  </si>
  <si>
    <t>JTBaker o VWR 100%, Sharlau o  equivalente.</t>
  </si>
  <si>
    <t>Frasco x 1 kg o 2 frascos x 500 g</t>
  </si>
  <si>
    <t>Sulfato de magnesio heptahidratado (MgSO4.7H2O) &gt; 99%</t>
  </si>
  <si>
    <t xml:space="preserve">JT BAKER 
Ref: JT 2500-1 o equivalente. </t>
  </si>
  <si>
    <t xml:space="preserve">Sulfato de Potasio </t>
  </si>
  <si>
    <t>7778-80-5</t>
  </si>
  <si>
    <t>Frasco x 1 Kg o  2 frascos x 500g</t>
  </si>
  <si>
    <t>Sulfato de sodio anhidro granulado PA con certificado de análisis trazable por lote y descargable mediante el website del fabricante</t>
  </si>
  <si>
    <t>7757-82-6</t>
  </si>
  <si>
    <t>JT BAKER o Merck o equivalente</t>
  </si>
  <si>
    <t>Sulfato Ferroso ACS, ISO</t>
  </si>
  <si>
    <t>Frasco por 500g</t>
  </si>
  <si>
    <t>SuperScript II, en concentración [200Und/μl], Transcriptasa reversa. con una mutación que elimino la actividad de RNAsa H, por lo cual el RNA molde sirve para muchas copias optimizando el rendimiento de la enzima.</t>
  </si>
  <si>
    <t>Invitrogen Ref: 18064071</t>
  </si>
  <si>
    <t xml:space="preserve">4 x 10.000Und son 40.000und 200 rxns Aprox. </t>
  </si>
  <si>
    <t xml:space="preserve">SuperScript™ III One-Step RT-PCR System with Platinum™ Taq High Fidelity DNA Polymerase. </t>
  </si>
  <si>
    <t>Invitrogen Ref: 12574035</t>
  </si>
  <si>
    <t xml:space="preserve">SuperScript™ III RT- First strand syntesis system for RT-PCR </t>
  </si>
  <si>
    <t>Invitrogen Ref: 18080051</t>
  </si>
  <si>
    <t xml:space="preserve">Suplemento Campylobacter de Skirrow x10 Viales
</t>
  </si>
  <si>
    <t xml:space="preserve"> Merck o equivalente</t>
  </si>
  <si>
    <t>caja x 10 viales</t>
  </si>
  <si>
    <t xml:space="preserve">Suplemento EMJH para leptospira
</t>
  </si>
  <si>
    <t>DIFCO BD 279510</t>
  </si>
  <si>
    <t xml:space="preserve">Caja x 6 fcos de 100 ml
</t>
  </si>
  <si>
    <t>SUPLEMENTO SELECTIVO XLT-4 X 100</t>
  </si>
  <si>
    <t xml:space="preserve">SURVEILLIANCE SALMONELLA/E-COLI 
</t>
  </si>
  <si>
    <t xml:space="preserve">EUVSEC3
</t>
  </si>
  <si>
    <t xml:space="preserve">SYBR Green PCR Master Mix. </t>
  </si>
  <si>
    <t>Applied Biosystems Ref 4364344</t>
  </si>
  <si>
    <t>Set x 2 x 5 ml</t>
  </si>
  <si>
    <t xml:space="preserve">SYBR Safe (10.000X), para tinción de ácidos nucleicos en gel. </t>
  </si>
  <si>
    <t xml:space="preserve">Invitrogen Ref S33102 </t>
  </si>
  <si>
    <t>Vial x 400 ul</t>
  </si>
  <si>
    <t>SYBR Safe para tinción de geles de agarosa (10.000X)</t>
  </si>
  <si>
    <t>Tabletas catalizadoras  kjeldahl 3,5g K2SO4, 0,4 g de CuSO4x5H2O</t>
  </si>
  <si>
    <t>Avantor VWR 85529 o Foss o Panreac 177040.1246 o equivalente</t>
  </si>
  <si>
    <t>Frasco x 1000 Tabletas</t>
  </si>
  <si>
    <t xml:space="preserve">TAQ DNA Polimerasa Recombinante, origen Brasil, en concentración 5Und/µl.Incluye un vial de MgCl2 y un vial de Buffer 10X. </t>
  </si>
  <si>
    <t xml:space="preserve">Invitrogen 
Ref 11615010 </t>
  </si>
  <si>
    <t>Kit x 500 Und</t>
  </si>
  <si>
    <t>TARTRATO SODICO POTASICO</t>
  </si>
  <si>
    <t>63-81-59-5</t>
  </si>
  <si>
    <t>KNaC4H4O6·4H2O</t>
  </si>
  <si>
    <t>Frasco ≥ 500g</t>
  </si>
  <si>
    <t>Tert-Butyl methyl ether 98%</t>
  </si>
  <si>
    <t>SCHARLAU
ME05512500 o equivalente</t>
  </si>
  <si>
    <t>Frasco ≥ 2,5 L</t>
  </si>
  <si>
    <t>Test de inmunodifusión en Gel de Agar para la detección de anticuerpos contra el virus de Anemia Infecciosa Equina</t>
  </si>
  <si>
    <t>200 reacciones</t>
  </si>
  <si>
    <t>TETRACLOROETILENO</t>
  </si>
  <si>
    <t>127-18-4</t>
  </si>
  <si>
    <t>C2CL4</t>
  </si>
  <si>
    <t>Frasco ≥ 4,0 L o 2 frascos x 2,5 litros</t>
  </si>
  <si>
    <t>Tetrahidrofurano, estabilizado, grado HPLC</t>
  </si>
  <si>
    <t xml:space="preserve">	109-99-9</t>
  </si>
  <si>
    <t>J.T Baker (Referencia: 15558614) o equivalente</t>
  </si>
  <si>
    <t>Frasco x4L</t>
  </si>
  <si>
    <t>Tetrametilsilano</t>
  </si>
  <si>
    <t>75-76-3</t>
  </si>
  <si>
    <t>C4H12Si</t>
  </si>
  <si>
    <t xml:space="preserve">Timol </t>
  </si>
  <si>
    <t>89-83-8</t>
  </si>
  <si>
    <t>sigma o equivalente</t>
  </si>
  <si>
    <t>Frasco X 25g o frasco x 100g</t>
  </si>
  <si>
    <t>Timsen</t>
  </si>
  <si>
    <t>FLORICULTURA  TIMSEN - UPI</t>
  </si>
  <si>
    <t>Tiosulfato de sodio anhidro grado análisis, con ficha de datos de seguridad, certificado de análisis y de calidad</t>
  </si>
  <si>
    <t>7772-98-7</t>
  </si>
  <si>
    <t>Na2O3S2</t>
  </si>
  <si>
    <t>106512 Supelco o equivalente</t>
  </si>
  <si>
    <t>250 g a 1000 g</t>
  </si>
  <si>
    <t>Tiosulfato de sodio pentahidratado PA con certificado de análisis trazable por lote</t>
  </si>
  <si>
    <t>JT Baker o Merck o equivalente</t>
  </si>
  <si>
    <t xml:space="preserve">Frasco ≥ 500 g </t>
  </si>
  <si>
    <t>Tiras para prueba de oxidasa</t>
  </si>
  <si>
    <t>MERCK MILLIPORE 1,00181</t>
  </si>
  <si>
    <t xml:space="preserve">Frasco x 50 tiras </t>
  </si>
  <si>
    <t xml:space="preserve">Tracklt 100bp DNA Ladder, consiste en la adición de 2 colorantes de corrida, uno que va con la muestra y otro que corre delante de la muestra indicando el momento de mejor visualización. Listo para usar. </t>
  </si>
  <si>
    <t>Invitrogen Ref. 10488058</t>
  </si>
  <si>
    <t>Kit x 100 aplicaciones</t>
  </si>
  <si>
    <t>Trehalosa</t>
  </si>
  <si>
    <t xml:space="preserve">CDH 038063, Merck , sigma o equivalente
</t>
  </si>
  <si>
    <t xml:space="preserve">Trietilamina </t>
  </si>
  <si>
    <t>CAS 121-44-8</t>
  </si>
  <si>
    <t>MERCK  (REF 8083520500) o Equivalente</t>
  </si>
  <si>
    <t>Frasco ≥500 mL</t>
  </si>
  <si>
    <t>Tripsina solución de pancreas porcino</t>
  </si>
  <si>
    <t xml:space="preserve">SIGMA - T4549, Gibco o equivalente </t>
  </si>
  <si>
    <t>frasco x 100 ml</t>
  </si>
  <si>
    <t>Tripsina TPCK 25 µg</t>
  </si>
  <si>
    <t xml:space="preserve"> 9002-07-7</t>
  </si>
  <si>
    <t xml:space="preserve">Sigma T1426-100MG. </t>
  </si>
  <si>
    <t>Tris - HCL (Listo para usar en Polvo)</t>
  </si>
  <si>
    <t>1185-53-1</t>
  </si>
  <si>
    <t>NH2C(CH2OH)3 · HCl</t>
  </si>
  <si>
    <t xml:space="preserve">VWR LIFE SCIENCE  
Ref: 97063-754, Amresco o equivalente
</t>
  </si>
  <si>
    <t xml:space="preserve">Tris base. Grado ACS </t>
  </si>
  <si>
    <t>77-86-1</t>
  </si>
  <si>
    <t>NH2C(CH2OH)3</t>
  </si>
  <si>
    <t>SIGMA ALDRICH 
Ref: T6791-500G o Merck  o equivalente</t>
  </si>
  <si>
    <t>Triton X-100 (1%)</t>
  </si>
  <si>
    <t>SIGMA X100 o thermofisher o equivalente</t>
  </si>
  <si>
    <t>Frasco 10 ml o 2 frascos x 5ml</t>
  </si>
  <si>
    <t>Trizol LS Reagent</t>
  </si>
  <si>
    <t>SIGMA T3934 o Ambion Ref 10296028 o equivalente</t>
  </si>
  <si>
    <t>Frasco x 200mL</t>
  </si>
  <si>
    <t>Trizol Reagent</t>
  </si>
  <si>
    <t xml:space="preserve">SIGMA T9424 o Ambion o Invitrogen 15596018 o equivalente
</t>
  </si>
  <si>
    <t>Trypsin 1:250</t>
  </si>
  <si>
    <t>THOMAS - MP BIOMEDICALS o Gibco 27250-018 o equivalente</t>
  </si>
  <si>
    <t>Tween 20</t>
  </si>
  <si>
    <t>9005-64-5</t>
  </si>
  <si>
    <t>C58H114O26_x000D_</t>
  </si>
  <si>
    <t xml:space="preserve">Sigma P-1379 </t>
  </si>
  <si>
    <t>Tween 80</t>
  </si>
  <si>
    <t>9005-65-6</t>
  </si>
  <si>
    <t xml:space="preserve"> Sigma-AldrichP 1754
</t>
  </si>
  <si>
    <t xml:space="preserve">Frasco x 500 ml </t>
  </si>
  <si>
    <t>UltraPure™ Salmon Sperm DNA Solution</t>
  </si>
  <si>
    <t>thermofisher o equivalente</t>
  </si>
  <si>
    <t>Caja con 5 viales cada uno de1 ml</t>
  </si>
  <si>
    <t>Varsol</t>
  </si>
  <si>
    <t>10388 PROTOKIMICAS (NACIONAL)</t>
  </si>
  <si>
    <t>Frasco x 1.9 litro</t>
  </si>
  <si>
    <t>Vaselina</t>
  </si>
  <si>
    <t>PROTOKIMICA</t>
  </si>
  <si>
    <t>Verde malaquita oxalato</t>
  </si>
  <si>
    <t>SIGMA 32745 o PANREAC APPLICHEM REF. 251761.1606 o equivalente</t>
  </si>
  <si>
    <t>Frasco x 10  g o frasco x 50g</t>
  </si>
  <si>
    <t>Vermiculita grado agrícola</t>
  </si>
  <si>
    <t>Bulto x 30 Kg o 3 bolsas x 12kg</t>
  </si>
  <si>
    <t>Vesicular stomatitis (VS) virus  neutralization (VN) New Jersey positive control serum</t>
  </si>
  <si>
    <t>NVSL 473-VDV</t>
  </si>
  <si>
    <t xml:space="preserve">VIAL 2 ML </t>
  </si>
  <si>
    <t>Vesicular stomatitis (VS) virus neutralization (VN) Indiana positive control serum</t>
  </si>
  <si>
    <t>NVSL 470-VDV</t>
  </si>
  <si>
    <t>Vesicular stomatitis (VS) virus
neutralization (VN) negative control
serum</t>
  </si>
  <si>
    <t>NVSL 480-BDV</t>
  </si>
  <si>
    <t>Vesicular stomatitis (VS) virus, New
Jersey (NJ)</t>
  </si>
  <si>
    <t>NVSL 073-VDV</t>
  </si>
  <si>
    <t>Vial x 0.6 ml</t>
  </si>
  <si>
    <t>Vesicular stomatitis (VS) virus,
Indiana (IN)</t>
  </si>
  <si>
    <t>NVSL 070-VDV</t>
  </si>
  <si>
    <t>Virkons</t>
  </si>
  <si>
    <t>Lanxess o equivalente</t>
  </si>
  <si>
    <t>Tarro x 5 kg</t>
  </si>
  <si>
    <t>Vitamina B1</t>
  </si>
  <si>
    <t>X 250 mg</t>
  </si>
  <si>
    <t>Vitamina K</t>
  </si>
  <si>
    <t>Vitavax 300 o 400</t>
  </si>
  <si>
    <t>ADAMA</t>
  </si>
  <si>
    <t>Bolsa x 1Kg</t>
  </si>
  <si>
    <t>Xylenes (Xilol)</t>
  </si>
  <si>
    <t>CAS 1330-20-7</t>
  </si>
  <si>
    <t>C6H4(CH3)2</t>
  </si>
  <si>
    <t>JT BAKER  o SIGMA o MERCK o PANREAC</t>
  </si>
  <si>
    <t xml:space="preserve">Yeast Torula </t>
  </si>
  <si>
    <t>Yodo con fecha de vencimiento superior a 30 meses</t>
  </si>
  <si>
    <t>SUPELCO 104761 o equivalente</t>
  </si>
  <si>
    <t xml:space="preserve">Yoduro de potasio </t>
  </si>
  <si>
    <t>BIOQUIGEN
Ref: S050311, Sharlau o equivalente</t>
  </si>
  <si>
    <t>Kit ELISA competitiva para Brucella Abortus</t>
  </si>
  <si>
    <t xml:space="preserve">Ellie / svanova
</t>
  </si>
  <si>
    <t>Placa</t>
  </si>
  <si>
    <t>Material de Referencia Bt-11 MAIZE (blank)</t>
  </si>
  <si>
    <t>ERM-BF412ak</t>
  </si>
  <si>
    <t>Frasco  x 1g</t>
  </si>
  <si>
    <t>Material de Referencia Bt-11 MAIZE (level 1 - nominal 100 % GMO)</t>
  </si>
  <si>
    <t>ERM-BF412bk</t>
  </si>
  <si>
    <t>Material de Referencia Bt-11 MAIZE (level 2 - nominal 0.1 % GMO)</t>
  </si>
  <si>
    <t>ERM-BF412ck</t>
  </si>
  <si>
    <t>Material de Referencia Bt-11 MAIZE (level 3 - nominal 1 % GMO)</t>
  </si>
  <si>
    <t>ERM-BF412dk</t>
  </si>
  <si>
    <t>Material de Referencia Bt-11 MAIZE (level 4 -nominal 10 % GMO)</t>
  </si>
  <si>
    <t>ERM-BF412ek</t>
  </si>
  <si>
    <t>Material de Referencia T304-40 COTTON (blank)</t>
  </si>
  <si>
    <t>ERM-BF429a</t>
  </si>
  <si>
    <t>Material de Referencia T304-40 COTTON (level 1 - nominal 1 % GMO)</t>
  </si>
  <si>
    <t>ERM-BF429b</t>
  </si>
  <si>
    <t>Material de Referencia T304-40 COTTON (level 2 - nominal 10 % GMO)</t>
  </si>
  <si>
    <t>ERM-BF429c</t>
  </si>
  <si>
    <t>Material de Referencia GTS 40-3-2 SOYA BEAN (blank)</t>
  </si>
  <si>
    <t>ERM-BF410ap</t>
  </si>
  <si>
    <t>Material de Referencia GTS 40-3-2 SOYA BEAN (level 1 - nominal 0,1 % GMO)</t>
  </si>
  <si>
    <t>ERM-BF410cp</t>
  </si>
  <si>
    <t>Material de Referencia GTS 40-3-2 SOYA BEAN (level 2 - nominal  1% GMO)</t>
  </si>
  <si>
    <t>ERM-BF410dp</t>
  </si>
  <si>
    <t>Material de Referencia GTS 40-3-2 SOYA BEAN (level 3 - nominal 10 % GMO)</t>
  </si>
  <si>
    <t>ERM-BF410ep</t>
  </si>
  <si>
    <t>Material de Referencia GTS 40-3-2 SOYA BEAN (&gt; 98 %)</t>
  </si>
  <si>
    <t>ERM-BF410bp</t>
  </si>
  <si>
    <t>Cepas ATCC Xylella fastidiosa subsp. fastidiosa Wells et al.
35879</t>
  </si>
  <si>
    <t xml:space="preserve">ATCC </t>
  </si>
  <si>
    <t xml:space="preserve">Cepas ATCC Xylella fastidiosa Wells et al.
33107 </t>
  </si>
  <si>
    <t>LEGIONELLA BCYE AGAR BASE ISO X 500GR</t>
  </si>
  <si>
    <t>Conda, Scharlau  o equivalentes</t>
  </si>
  <si>
    <t>Frasco x 500Gr</t>
  </si>
  <si>
    <t>Total</t>
  </si>
  <si>
    <t>Pesupuesto</t>
  </si>
  <si>
    <t>DISTRIBUCIÓN ELEMENTOS</t>
  </si>
  <si>
    <r>
      <rPr>
        <b/>
        <sz val="9"/>
        <color rgb="FF000000"/>
        <rFont val="Arial Narrow"/>
        <family val="2"/>
      </rPr>
      <t xml:space="preserve">Consecutivo oferta economica
(las observaciones fueron realizadas con base en este número de ITEM) 
</t>
    </r>
    <r>
      <rPr>
        <b/>
        <sz val="9"/>
        <color rgb="FFFF0000"/>
        <rFont val="Arial Narrow"/>
        <family val="2"/>
      </rPr>
      <t>Dar respuesta teniendo en cuenta este número</t>
    </r>
  </si>
  <si>
    <t>Ítem</t>
  </si>
  <si>
    <t>Marca y referencia</t>
  </si>
  <si>
    <t>Aguja de disección cabo de madera y aguja en acero inoxidable Calibre 00</t>
  </si>
  <si>
    <t>Enthos o equivalente</t>
  </si>
  <si>
    <t>Paquete x 50</t>
  </si>
  <si>
    <t>Si</t>
  </si>
  <si>
    <t>Aguja de disección Cabo de madera y aguja en acero inoxidable Calibre 01</t>
  </si>
  <si>
    <t>Aguja desechable 16 G x 1½"</t>
  </si>
  <si>
    <t>BD o Vacutest o equivalente</t>
  </si>
  <si>
    <t>Aguja desechable para toma de muestras sanguíneas para tubo al vacío 18 o 20 G x 1½"</t>
  </si>
  <si>
    <t>Aguja desechable para toma de muestras sanguíneas para tubo al vacío 21 G x 1½"</t>
  </si>
  <si>
    <t xml:space="preserve">Caja x 100 </t>
  </si>
  <si>
    <t>Aguja para disección con mango metálico con punta curva</t>
  </si>
  <si>
    <t>No Aplica</t>
  </si>
  <si>
    <t>Aguja para disección con mango metálico con punta recta</t>
  </si>
  <si>
    <t>Alfiler entomológico No. 000 (en acero inoxidable)</t>
  </si>
  <si>
    <t xml:space="preserve">Paquete x 100 </t>
  </si>
  <si>
    <t>Alfiler entomológico No. 1 (en acero inoxidable)</t>
  </si>
  <si>
    <t>Paquete x 100</t>
  </si>
  <si>
    <t>Alfiler entomológico No. 2 (en acero inoxidable)</t>
  </si>
  <si>
    <t>Alfiler entomológico No. 3 (en acero inoxidable)</t>
  </si>
  <si>
    <t>Alfiler entomológico No. 4 (en acero inoxidable)</t>
  </si>
  <si>
    <t xml:space="preserve">Algodón dental </t>
  </si>
  <si>
    <t>Bolsa de 1000 tacos, 50  paquetes /de 20 Unidades</t>
  </si>
  <si>
    <t>Algodón quirúrgico 100% Natural (Con fecha de vencimiento superior a un año)</t>
  </si>
  <si>
    <t xml:space="preserve">500 gr </t>
  </si>
  <si>
    <t>Anillo de vertido azul tapa GL 32 GL 32 en PP autoclavable a 140ºC</t>
  </si>
  <si>
    <t>DURAN o SCHOTT o equivalente</t>
  </si>
  <si>
    <t xml:space="preserve">Unidad </t>
  </si>
  <si>
    <t>Anillo de vertido azul tapa GL 45  en PP autoclavable a 140ºC</t>
  </si>
  <si>
    <t>Anillo plástico para inclusión de parafina</t>
  </si>
  <si>
    <t>Aplicadores plásticos en empaque individual  independiente estériles</t>
  </si>
  <si>
    <t>Aplicadores plásticos sin punta de algodón</t>
  </si>
  <si>
    <t>Bolsa x 100</t>
  </si>
  <si>
    <t>Asa bacteriológica curva en ferroniquel</t>
  </si>
  <si>
    <t>GEE KAY SCIENTIFIC o equivalente</t>
  </si>
  <si>
    <t>Paquete x 10 unidades</t>
  </si>
  <si>
    <t>Asa bacteriológica estéril desechable de 10 µl con siembra en un extremo y aguja en el otro</t>
  </si>
  <si>
    <t>Thermo scientific o equivalente</t>
  </si>
  <si>
    <t xml:space="preserve">Caja x 1000 </t>
  </si>
  <si>
    <t>Asa bacteriológica recta en niquel-cromo</t>
  </si>
  <si>
    <t>Asa bacteriológica redonda en acero inoxidable</t>
  </si>
  <si>
    <t>Asa desechables de 1µl</t>
  </si>
  <si>
    <t>Asa o espatula en forma de L (Drigalski) desechable.</t>
  </si>
  <si>
    <t xml:space="preserve">VWR 76208-748  O EQUIVALENTE </t>
  </si>
  <si>
    <t>Caja x 500</t>
  </si>
  <si>
    <t>Atomizador plástico (PP) con dispersión tipo spray de 250 ml</t>
  </si>
  <si>
    <t>Atomizador plástico (PP) con dispersión tipo Spray de 400 - 500 ml</t>
  </si>
  <si>
    <t>Balde con Escurridor 25 litros Amarillo Dimensiones: 45 a 50 cm x 38 a 42 cm x 41 a 43 cm (Largo x Ancho x Alto)</t>
  </si>
  <si>
    <t>Rubbermaid o equivalente</t>
  </si>
  <si>
    <t>Balón aforado de 10 ml clase A trasparente, con tapon de vidrio.Con certificado de fábrica (calidad y rastreabilidad), borosilicato 3.3 que cumpla con los estándares DIN en ISO 1042 NS 14/23 o 10/19 (tapon de vidrio),  DIN/ISO 3585,</t>
  </si>
  <si>
    <t>Brand o Pyrex o Corning o Kymax o equivalente</t>
  </si>
  <si>
    <t xml:space="preserve">Balon aforado de 200 ml clase B o clase A en vidrio con tapa, normatividad ASTM E-438 o DIN EN ISO 1042 </t>
  </si>
  <si>
    <t>Balón aforado de 25 ml clase A trasparente,fondo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</si>
  <si>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aforado de 50 ml clase A,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</si>
  <si>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volumétrico clase A certificado de lote 200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</si>
  <si>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unidad</t>
  </si>
  <si>
    <t>Balón volumétrico clase A certificado de lote 250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</si>
  <si>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volumetrico clase A de 1000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Con aforo bien marcado con tapón y boca esmerilada.</t>
  </si>
  <si>
    <t>Bandeja de germinación x 200 cavidades</t>
  </si>
  <si>
    <t>Bandeja en acero inoxidable, resistente a ácidos y bases 26 a  30 (largo) x 17  a 20 (ancho) x 5 a 7 cm (profundidad)</t>
  </si>
  <si>
    <t>Bandeja en acero inoxidable, resistente a ácidos y bases 48 a 52 cm (largo) x 30 a 42 cm (ancho) x 12 a 22 cm (profundidad)</t>
  </si>
  <si>
    <t xml:space="preserve">Bandeja en aluminio grueso de 28 a 30 cm x 14 a 16 cm x 7 a 9 cm (LxWxD) </t>
  </si>
  <si>
    <t>Bandeja en polipropileno con tapa ajustable de 28 a 30 cm x 14 a 16 cm  x 7 a 9 cm (LxWxD) resistente a esterilización por autoclave</t>
  </si>
  <si>
    <t>Bandeja Plastica de polipropileno  31 a 33 cm (Largo) x 46 a 48 cm (Ancho)  x 6 a 8 cm (Profundidad)</t>
  </si>
  <si>
    <t>Vaniplast o Equivalente</t>
  </si>
  <si>
    <t>Bandeja profunda 24 a 33 cm x18 a 31 cm x 6 a 7 cm (largo x ancho x profundidad)</t>
  </si>
  <si>
    <t>Cole-Parmer o equivalente</t>
  </si>
  <si>
    <t>Barra agitadora magnética forma cilíndrica con anillo central 20 mm x 6 mm (longitud x diámetro) medidas aproximadas</t>
  </si>
  <si>
    <t>Fischer Scientific o equivalente</t>
  </si>
  <si>
    <t>Barra agitadora magnética forma cilíndrica con anillo central 40 mm x 8mm (longitud x diámetro) medidas aproximadas</t>
  </si>
  <si>
    <t>Barra agitadora magnética forma cilíndrica con anillo central 70-80 mm x 8.5-9 mm (longitud x diámetro) medidas aproximadas</t>
  </si>
  <si>
    <t>Barra magnética para agitación de 1 cm de longitud cubierta de teflon</t>
  </si>
  <si>
    <t>Barra magnética para agitación de 3 cm de longitud cubierta de teflon</t>
  </si>
  <si>
    <t>Batas desechables con cremallera y resorte en puñosTalla M</t>
  </si>
  <si>
    <t>Bidón 60L Metálico (Aro y Tapa)</t>
  </si>
  <si>
    <t xml:space="preserve">Bidon con grifo 20-25 litros En HDPE(para agua destilada)	
</t>
  </si>
  <si>
    <t>KARTELL o NALGENE  o equivalente</t>
  </si>
  <si>
    <t>Bisturí industrial para trabajo pesado con 5 cuchillas de acero SK4</t>
  </si>
  <si>
    <r>
      <t xml:space="preserve">Bolsa autoclavable </t>
    </r>
    <r>
      <rPr>
        <b/>
        <sz val="9"/>
        <rFont val="Arial"/>
        <family val="2"/>
      </rPr>
      <t xml:space="preserve">roja </t>
    </r>
    <r>
      <rPr>
        <sz val="9"/>
        <rFont val="Arial"/>
        <family val="2"/>
      </rPr>
      <t>con logo de riesgo biológico 14 X 19" (36 x 48 cm)</t>
    </r>
  </si>
  <si>
    <t>Fisher 01-828B o VWR o equivalente</t>
  </si>
  <si>
    <t xml:space="preserve">Caja x 200 </t>
  </si>
  <si>
    <r>
      <t xml:space="preserve">Bolsa autoclavable </t>
    </r>
    <r>
      <rPr>
        <b/>
        <sz val="9"/>
        <rFont val="Arial"/>
        <family val="2"/>
      </rPr>
      <t xml:space="preserve">roja </t>
    </r>
    <r>
      <rPr>
        <sz val="9"/>
        <rFont val="Arial"/>
        <family val="2"/>
      </rPr>
      <t>con logo de riesgo biológico 8 x 12" (20x30 cm)</t>
    </r>
  </si>
  <si>
    <t>Fisher 01-828A o VWR o equivalente</t>
  </si>
  <si>
    <r>
      <t xml:space="preserve">Bolsa autoclavable </t>
    </r>
    <r>
      <rPr>
        <b/>
        <sz val="9"/>
        <rFont val="Arial"/>
        <family val="2"/>
      </rPr>
      <t>roja</t>
    </r>
    <r>
      <rPr>
        <sz val="9"/>
        <rFont val="Arial"/>
        <family val="2"/>
      </rPr>
      <t xml:space="preserve"> en polipropileno de  37 a 38 x 48" (94 x 122 cm)</t>
    </r>
  </si>
  <si>
    <t>Fisher 01-828E o VWR o equivalente</t>
  </si>
  <si>
    <r>
      <t xml:space="preserve">Bolsa autoclavable </t>
    </r>
    <r>
      <rPr>
        <b/>
        <sz val="9"/>
        <rFont val="Arial"/>
        <family val="2"/>
      </rPr>
      <t xml:space="preserve">roja </t>
    </r>
    <r>
      <rPr>
        <sz val="9"/>
        <rFont val="Arial"/>
        <family val="2"/>
      </rPr>
      <t>en polipropileno tamaño 19 x 23"-24" (48 x 58-61 cm)</t>
    </r>
  </si>
  <si>
    <t>Fisher 01-814B o VWR 14220-030
o equivalente</t>
  </si>
  <si>
    <t>Bolsa de cierre hermético 30x40cm a 30x45cm</t>
  </si>
  <si>
    <t>ziploc o marca equivalente</t>
  </si>
  <si>
    <t>Bolsa de papel Kraff  500 gramos o 1000g</t>
  </si>
  <si>
    <t>Bolsa estéril para microbiología  2 oz</t>
  </si>
  <si>
    <t>Nasco BO1064WA o equivalente</t>
  </si>
  <si>
    <t>Bolsa estéril para microbiología fondo redondo para stomacher</t>
  </si>
  <si>
    <t>Nasco BO1239WA o equivalente</t>
  </si>
  <si>
    <t>Bolsa estéril para microbiología stand up white write-on strip 12,7 x 30,5 cm; capacidad 27 oz (798 ml)</t>
  </si>
  <si>
    <t>Nasco BO1448WA o equivalente</t>
  </si>
  <si>
    <t>Caja x 250</t>
  </si>
  <si>
    <t>Bolsa estéril para microbiología stand up white write-on strip 15 x 23 cm; capacidad 24 oz (710 ml)</t>
  </si>
  <si>
    <t>Nasco BO1401WA o equivalente</t>
  </si>
  <si>
    <t xml:space="preserve">Caja x 500 </t>
  </si>
  <si>
    <t>Bolsa estéril para microbiología stand up white write-on strip 7.5X18.5 cm; capacidad 4 oz (118 ml)</t>
  </si>
  <si>
    <t>Nasco BO1364WA o equivalente</t>
  </si>
  <si>
    <t>Bolsa estéril para microbiología write-on strip 11,5 X 23 cm; capacidad 18 oz (532 ml)</t>
  </si>
  <si>
    <t>Nasco BO1065WA o equivalente</t>
  </si>
  <si>
    <t>Bolsa estéril para microbiología write-on strip 9.5 x 18 cm; capacidad 7 oz (207 ml), estéril</t>
  </si>
  <si>
    <t>BO1489WA o equivalente</t>
  </si>
  <si>
    <t xml:space="preserve">Caja X 500 </t>
  </si>
  <si>
    <t xml:space="preserve">Bolsa esteril para recolección de sangre con anticoagulante  EDTA 450 a 900 ml  </t>
  </si>
  <si>
    <t xml:space="preserve">BAXTER o MOGTMEDICAL O equivalente </t>
  </si>
  <si>
    <t>Caja x 64</t>
  </si>
  <si>
    <t>Bolsa estéril para stomacher con filtro de 400 ml</t>
  </si>
  <si>
    <t>Whirlpack, Seward o equivalente</t>
  </si>
  <si>
    <t>paquete x 200 bolsas</t>
  </si>
  <si>
    <t>Bolsa plástica con cierre hermético  27 cm x 28 cm</t>
  </si>
  <si>
    <t>Paquete X 50 unidades</t>
  </si>
  <si>
    <t>Bolsa plástica con cierre hermetico  40x25 (alto*ancho) cm</t>
  </si>
  <si>
    <t>Bolsa plástica con cierre hermético 14 cm x 10 cm</t>
  </si>
  <si>
    <t xml:space="preserve">Bolsa x 100 </t>
  </si>
  <si>
    <t>Bolsa plástica con cierre hermético 20 cm x 20-24 cm</t>
  </si>
  <si>
    <t>Bolsa plástica con cierre hermético 40 cm x 40-45 cm</t>
  </si>
  <si>
    <t>Bolsa plástica con cierre hermético 40 cm x 50 cm</t>
  </si>
  <si>
    <t xml:space="preserve">Paquete x 50 </t>
  </si>
  <si>
    <t>Bolsa plástica con cierre hermético 5 cm x 5 cm</t>
  </si>
  <si>
    <t>Bolsa plástica con cierre hermético de 18 x 20 cm o 18x22cm, calibre 2</t>
  </si>
  <si>
    <t>Bolsa plástica con cierre hermetico de 30 cm x 40 cm</t>
  </si>
  <si>
    <t>Paquete x 50 Unidades</t>
  </si>
  <si>
    <t>Bolsa Plástica de 2kg. Fondo cuadrado o base fija.</t>
  </si>
  <si>
    <t>Bolsa roja con logo de riesgo biológico tipo hospitalaria en polipropileno calibre 5 de 20 cm x 30 cm</t>
  </si>
  <si>
    <t>Paquete por 100 unidades</t>
  </si>
  <si>
    <t>Bolsa roja con logo de riesgo biológico tipo hospitalaria en polipropileno calibre 5 de 40 cm x 60 cm</t>
  </si>
  <si>
    <t>Bolsa roja con logo de riesgo biológico tipo hospitalaria en polipropileno calibre 5 de 60 cm x 90-100 cm</t>
  </si>
  <si>
    <t xml:space="preserve">Bolsas para vivero 40 x 40 negra </t>
  </si>
  <si>
    <t>Paquete x 100 Unidades</t>
  </si>
  <si>
    <t>Bombillo EKE halógeno para lámpara de Luz Fría Nikon NI-150 150W, 21V.</t>
  </si>
  <si>
    <t>OSRAM</t>
  </si>
  <si>
    <t>Botellón con espiga redondo para agua en polipropileno o polietileno de alta densidad x 4L o 5L</t>
  </si>
  <si>
    <t>Nalgene 02-963AA o equivalente</t>
  </si>
  <si>
    <t>Botellón en policarbonato dosificador capacidad de 10 litros</t>
  </si>
  <si>
    <t>Brocha diámetro 16 mm Long 11,4 cm</t>
  </si>
  <si>
    <t>VWR 17210-008 o equivalente</t>
  </si>
  <si>
    <t>Brochas de 1''</t>
  </si>
  <si>
    <t>Brochas de 2''</t>
  </si>
  <si>
    <t>Brochas de 3''</t>
  </si>
  <si>
    <t>bulbo para pipeta pasteur de vidrio de 2 ml en silicona o latex.</t>
  </si>
  <si>
    <t>Caja x 50 unidades o mas</t>
  </si>
  <si>
    <t>Bureta digital acoplada a frascos de 25 ml standard, con acoples y certificado de calibración</t>
  </si>
  <si>
    <t>Brand o equivalentes</t>
  </si>
  <si>
    <t>Caja de aluminio (para contenido humedad) 6 cm diámetro * 2 cm alto</t>
  </si>
  <si>
    <t>Caja de Petri  desechable estéril 150 x 22mm a 25 mm</t>
  </si>
  <si>
    <t xml:space="preserve">Thermo Scientific o equivalente </t>
  </si>
  <si>
    <t>Caja de Petri  transparente  en vidrio de 150x30 mm</t>
  </si>
  <si>
    <t>Pyrex o equivalente</t>
  </si>
  <si>
    <t>Caja de Petri desechable estéril 35 x 10  - 35 x 15 mm</t>
  </si>
  <si>
    <t>Costar 3035 o equivalente</t>
  </si>
  <si>
    <t>Caja de Petri desechable estéril 60 x 15 mm</t>
  </si>
  <si>
    <t>Caja de Petri desechable estéril 90 x 15 mm o 100 x 15 mm</t>
  </si>
  <si>
    <t>VWR- 89022-320
o equivalente</t>
  </si>
  <si>
    <t>Caja de Petri en vidrio 100 mm x 15 mm</t>
  </si>
  <si>
    <t>Normax 5058545
 o equivalente</t>
  </si>
  <si>
    <t>Caja x 72</t>
  </si>
  <si>
    <t>Caja de petri vidrio de 4 cm de diámetro, fabricadas en vidrio borosilicato. Grosor del vidrio 1,9 (± 0,2). Dimensiones : 40X12 mm Base 34,5 mm (+ 1,5) X 8,4 mm (+ 1,6) Tapa 33,0 mm (+ 1,0) X 12,0 mm (+ 1,0) 1,2 mm</t>
  </si>
  <si>
    <t>Duran/Pyrex o equivalente</t>
  </si>
  <si>
    <t>Caja entomológica 19 x 11 cm (Cartón blanco, base para alfileres)</t>
  </si>
  <si>
    <t>Caja entomológica 38 x 11 cm (Cartón blanco, base para alfileres)</t>
  </si>
  <si>
    <t>Caja organizadora 3 niveles (3 en 1) 24-28 cm x 14-17 cm x 5-7 cm (Largo x ancho x alto)</t>
  </si>
  <si>
    <t>Caja organizadora de plástico con tapa y cierre hermetico de 45-50 cm x 35-38 cm x 20-23 cm (Largo x ancho x alto)</t>
  </si>
  <si>
    <t>Vaniplast, o Estra o Equivalente</t>
  </si>
  <si>
    <t xml:space="preserve">Caja para bioterio (ratones) ( 26,5 de alto x 20.5 de ancho x 14 de largo aproximadamente) de polipropileno  o policarbonato transparente, jaula de alta calidad para cría de ratones y roedores con tapa tipo rejilla en acero inoxidable </t>
  </si>
  <si>
    <t>Tecniplast o equivalente</t>
  </si>
  <si>
    <t>Caja plástica con tapa con empaque y cierre a presión de 10-12 x 30-32 x 20-22 cm</t>
  </si>
  <si>
    <t>Caja plástica de alta resistencia con las siguientes dimensiones: 59-60 cm de largo x 37-40 cm de ancho x 11-13 cm de alto, color gris.</t>
  </si>
  <si>
    <t>Caja plastica organizadora de 60-65 cm x 45-48 cm x 30-35 cm (Largo x ancho x alto)</t>
  </si>
  <si>
    <t>Estra o equivalente</t>
  </si>
  <si>
    <t>Caja plastica organizadora largo con broche de cierre en par, de 20 L de capacidad,  medidas: 36-41 cm x 29-31 cm x 22-24 cm (largo x ancho x alto)</t>
  </si>
  <si>
    <t>Caja porta láminas para micropreparados, capacidad 50 láminas. Cierre plástico con pestaña a presión.</t>
  </si>
  <si>
    <t>Enthos o Bioequipos o Heathrow Scientific o equivalente</t>
  </si>
  <si>
    <t>Caja porta láminas para micropreparados, en ABS (acrilonitrilo butadieno estireno) o material equivalente, capacidad 100 láminas. Cierre plástico con pestaña a presión.</t>
  </si>
  <si>
    <t xml:space="preserve">Cámara Mac Master para recuento de huevos de nemátodos </t>
  </si>
  <si>
    <t>Cámara Newbauer. Cámara de recuento sin pinzas, fabricada en una sola pieza de vidrio óptico, con 2 cubreobjetos para cámara de recuento, doble retícula con color verde iluminado que facilitan la lectura. Con lámina de cuarzo y estuche plástico. Profundidad: 0.100mm, volumen 1mm 2:0,1 Ml. Bordes redondeados anticorte, textura esmerilada, evita desplazamiento al manipularla.</t>
  </si>
  <si>
    <t>Boeco o equivalente</t>
  </si>
  <si>
    <t xml:space="preserve">Canastilla con manija de 25 x 15 x 15cm (largo x ancho x alto) en acero inoxidable </t>
  </si>
  <si>
    <t xml:space="preserve">VWR 89259-842 o equivalente </t>
  </si>
  <si>
    <t xml:space="preserve">Capsulas de porcelana fondo plano, forma baja con pico, ø 80-100 mm , altura máxima de 35mm
</t>
  </si>
  <si>
    <t xml:space="preserve">	cualquier marca</t>
  </si>
  <si>
    <t>Cargador pilas AA y AAA</t>
  </si>
  <si>
    <t>Carro de carga, de tres posiciones, 4 ruedas, soporta hasta 450 kg, Fabricado en aluminio y acero, puede ser usado como carretilla de 2 ruedas o carro de 4 ruedas de caucho macisas.</t>
  </si>
  <si>
    <t>Carro de Servicio Abierto Tres Estantes (300 Libras) Negro Dimensiones: 103 a 105 x 50 a 52 x 95 a 96 cm</t>
  </si>
  <si>
    <t>Rubbermaid FG409100BLA o equivalente</t>
  </si>
  <si>
    <t>Cartucho de cinta de impresión Catálogo # M61-R431</t>
  </si>
  <si>
    <t xml:space="preserve"> Braddy M61-R4310
</t>
  </si>
  <si>
    <t>Cartucho</t>
  </si>
  <si>
    <t>Casette de inclusión para histología con tapa desmontable</t>
  </si>
  <si>
    <t>Citoplus o BIOPLAS (THOMAS SCIENTIFIC)  6051
 equivalente</t>
  </si>
  <si>
    <t>Cava de icopor 15 litros para envío de muestras
Se deben entregar en las 32 seccionales del ICA de acuerdo a la distribución.</t>
  </si>
  <si>
    <t>Cava de icopor 5 litros para envío de muestras.
Se deben entregar en las 32 seccionales del ICA de acuerdo a la distribución.</t>
  </si>
  <si>
    <t>Cava de icopor de 10 litros para envío de muestras.
Se deben entregar en las 32 seccionales del ICA de acuerdo a la distribución.</t>
  </si>
  <si>
    <t>Cava de icopor de 3 litros para envío de muestras.
Se deben entregar en las 32 seccionales del ICA de acuerdo a la distribución.</t>
  </si>
  <si>
    <t>Cava de icopor de 40 litros para envío de muestras.
Se deben entregar en las 32 seccionales del ICA de acuerdo a la distribución.</t>
  </si>
  <si>
    <t>Cava de icopor de 60 litros para envío de muestras.
Se deben entregar en las 32 seccionales del ICA de acuerdo a la distribución.</t>
  </si>
  <si>
    <t>Cepillo de mango flexible para limpieza de frascos volumétricos de 250 ml</t>
  </si>
  <si>
    <t>Fisher Scientific 03-570A o JUSTMAN BRUSH - THOMAS SCIENTIFIC 610374
o equivalente</t>
  </si>
  <si>
    <t xml:space="preserve">Cepillo multiusos, mango largo, cerda rígida largo 41 +/- 2 cm (mango) x ancho 4,5 +/- 2cm </t>
  </si>
  <si>
    <t>Cepillo para limpieza de botellas con cabeza pivotante, longitud total 40-42 cm</t>
  </si>
  <si>
    <t>Fisher Scientific 06-670-30 o equivalente</t>
  </si>
  <si>
    <t>Cepillo para limpieza de probetas longitud 520 mm ribete de cerda con cabeza de lana 100x40mm, alambre galvanizado con anillo</t>
  </si>
  <si>
    <t>Marienfeld o equivalente</t>
  </si>
  <si>
    <t>Churrusco con mechón extremo largo de 15 cms</t>
  </si>
  <si>
    <t xml:space="preserve">BRIXCO 6804
 o equivaletnte </t>
  </si>
  <si>
    <t>Churrusco con mechón extremo largo de 20 cms</t>
  </si>
  <si>
    <t>BRIXCO 6806
o equivalente</t>
  </si>
  <si>
    <t>Churrusco para lavado material de vidrio 25-30cm</t>
  </si>
  <si>
    <t>Fisherbrand o Cole Palmer 03-565 o  RZ-84550-89 o VWR MILL ROSE 70230-014
o equivalente</t>
  </si>
  <si>
    <t>Churrusco para lavar erlenmeyer cabeza 10 cm, longitud 40 - 41 cm</t>
  </si>
  <si>
    <t>VWR 17155-001, o FISHER 03-571-5
o equivalente</t>
  </si>
  <si>
    <t xml:space="preserve">Paquete x 5 </t>
  </si>
  <si>
    <t>Churrusco para limpiar pipetas de 5mL - 25mL</t>
  </si>
  <si>
    <t>BRIXCO 6825
 o equivalente</t>
  </si>
  <si>
    <t>Churrusco pequeños para lavado de viales de 2 ml de medidas aproximadas de 10 cm de longitud por 1cm de diametro</t>
  </si>
  <si>
    <t>Nacional (ABC LABORATORIOS)
o equivalente</t>
  </si>
  <si>
    <t>Cinta de colores para etiquetar 13mm, resistente al agua, al ácido y al aceite</t>
  </si>
  <si>
    <t>Fisherbrand 15-901R o equivalente</t>
  </si>
  <si>
    <t xml:space="preserve">Caja x 24 </t>
  </si>
  <si>
    <t>Cinta de enmascarar de 10 - 12 mm</t>
  </si>
  <si>
    <t>TESA o equivalente</t>
  </si>
  <si>
    <t>Rollo x 40 M o superior</t>
  </si>
  <si>
    <t>Cinta de enmascarar de 20 - 24 mm</t>
  </si>
  <si>
    <t>Cinta de enmascarar de 48 - 50 mm</t>
  </si>
  <si>
    <t>Cinta indicadora de esterilidad</t>
  </si>
  <si>
    <t>VWR o equivalente</t>
  </si>
  <si>
    <t>Rollo x 50 M o superior</t>
  </si>
  <si>
    <t xml:space="preserve">Cinta tranparente de  12mm x40 
</t>
  </si>
  <si>
    <t>Rollo</t>
  </si>
  <si>
    <t>Cinta transparente  48 - 50 mm</t>
  </si>
  <si>
    <t>Rollo x 200 metros o superior</t>
  </si>
  <si>
    <t>Cinta transparente mágica 12  a 12,7 mm x 32 a  33 m</t>
  </si>
  <si>
    <t xml:space="preserve"> scotch mod,810 o equivalente</t>
  </si>
  <si>
    <t>Clip para cerrar bolsas de stomacher</t>
  </si>
  <si>
    <t>cualquier marca o seward</t>
  </si>
  <si>
    <t>paquete x 80</t>
  </si>
  <si>
    <t>Clips para ajuste de bolsas tipo stomacher</t>
  </si>
  <si>
    <t>Caja por 200 unidades</t>
  </si>
  <si>
    <t>Coladera pequeña de malla plástica
Diámetro de 8-10 cm</t>
  </si>
  <si>
    <t>Colador plástico grande diámetro ≥ 25 cm</t>
  </si>
  <si>
    <t>Colador plástico mediano diámetro aproximado 15 cm</t>
  </si>
  <si>
    <t>Columna SPE Lichrolut RP 18 (40-63 um) 500 mg, 6ml standard PP-tubes.</t>
  </si>
  <si>
    <t>Merck o Supelco REF: 1.19687 o equivalente</t>
  </si>
  <si>
    <t>Caja x 30</t>
  </si>
  <si>
    <t>Contador de células para hematología (Contador mecanico de vuelta)</t>
  </si>
  <si>
    <t>Coolers con tapa para tubos de PCR de 0,2 ml de 96 tubos</t>
  </si>
  <si>
    <t>Brand 781260
 o  equivalente</t>
  </si>
  <si>
    <t>Costotomo Cizallarecto Para Costillas Por entre 22 - 23 Cm, 9 "</t>
  </si>
  <si>
    <t>Criocaja autoclavables en polipropileno o policarbotano para almacenamiento de tubos  entre el rango de 1,2 a  2 ml con capacidad para 81 tubos, resistente a bajas temperatura ≤ - 80°C.</t>
  </si>
  <si>
    <t>VWR, SPL 80081
  o Nalgene o equivalente</t>
  </si>
  <si>
    <t>Criocaja autoclavables en polipropileno o policarbonato  para almacenamiento de tubos de 5 ml con capacidad para 81 tubos, resistente a bajas temperatura ≤ - 80°C.</t>
  </si>
  <si>
    <t>Cualquier marca </t>
  </si>
  <si>
    <t>Criocaja en policarbonato o polipropileno para almacenamiento de tubos 0,5 ml; con marcación alfanúmerica para fácil identificación.</t>
  </si>
  <si>
    <t>Criocaja en policarbonato para almacenamiento de tubos de 0.2 ml. marcación alfanúmerica para fácil identificación.</t>
  </si>
  <si>
    <t>Nalgene  ó BEL-ART / THOMAS SCIENTIFIC 1194Y79
o equivalente</t>
  </si>
  <si>
    <t>Criomarcador punta fina, que escribe sobre cerámica, metal, vidrio, papel y plástico. La tinta resiste lavado, calentamiento, ácidos álcalis suaves y temperaturas -20°- color azul oscuro</t>
  </si>
  <si>
    <t>Criomarcador punta gruesa, que escribe sobre cerámica, metal, vidrio, papel y plástico. La tinta resiste lavado, calentamiento, ácidos álcalis suaves y temperaturas -20°- color azul</t>
  </si>
  <si>
    <t>Criomarcador punta gruesa, que escribe sobre cerámica, metal, vidrio, papel y plástico. La tinta resiste lavado, calentamiento, ácidos álcalis suaves y temperaturas -20°- color negro</t>
  </si>
  <si>
    <t xml:space="preserve">Criomarcador punta ultrafina, que escribe sobre cerámica, metal, vidrio, papel y plástico. La tinta resiste lavado, calentamiento, ácidos álcalis suaves y temperaturas -20°- color negro </t>
  </si>
  <si>
    <t>Criovial 5 ml estéril, tapa rosca en polipropileno base plana. Medidas 12.5 a 13.5 x 90 a 92 mm. Rosca interna, fondo redondo con base, estériles de 12.5 a 13.5 x 90 a 92 mm libres de tóxicos y de pirógenos</t>
  </si>
  <si>
    <t>Fisher o  Corning 430656
 o equivalente</t>
  </si>
  <si>
    <t xml:space="preserve">Caja x 250 </t>
  </si>
  <si>
    <t>CRIOVIAL DE POLIPROPILENO ESTERIL 2.0 ML CON TAPA ROSCA BASE PLANA. Criovial de polipropileno estéril con tapa rosca y base plana, rosca interna 
Resistente a -70°C Graduados y estériles. Con tapa rosca de 12 mm de diámetro y superficie para rotular.</t>
  </si>
  <si>
    <t>Fisher 12-567-501 o equivalente</t>
  </si>
  <si>
    <t>Caja x 1000</t>
  </si>
  <si>
    <t xml:space="preserve">Crioviales criobank, tubos con perlas y tapa rosca de diferentes colores. </t>
  </si>
  <si>
    <t>Criobank o  Protect TS-80-MX o equivalente</t>
  </si>
  <si>
    <t>Caja x 64 viales x 25 perlas o Caja x 100 unidades o Caja x 80 viales x 25 perlas</t>
  </si>
  <si>
    <t>Crisoles en porcelana para ceniza de 30ml</t>
  </si>
  <si>
    <t>Cuarteador en acero inoxidable Dimensiones cuarteador (8x6x3/4) pulgadas, Cantidad de celdas 14 de 3/8 de pulgada cada una, 
Cantidad de bandejas 4 con capacidad de 1000 gr cada una, recogedor y cepillo.</t>
  </si>
  <si>
    <t>Thomas scientific o Humboldt - H3987 o equivalente</t>
  </si>
  <si>
    <t>Cubeta plastica rectangular de laboratorio  528-536 x 630-636 x 138-142 mm (largo x ancho x alto)</t>
  </si>
  <si>
    <t>Cubetas plásticas para 30 huevos</t>
  </si>
  <si>
    <t xml:space="preserve">Cucharas grandes lisa (sopera)  completamente en material autoclavable. Presentar muestra al Laboratorio.    </t>
  </si>
  <si>
    <t>Cuchilla minora con platino para uso con navaja de barbero</t>
  </si>
  <si>
    <t>Carton x 60 Cajas x 5 Unidades</t>
  </si>
  <si>
    <t>Cuchilla para bisturí quirúrgico desechable y estéril No. 11 para mango No. 3</t>
  </si>
  <si>
    <t>Paramount 01002001 o  equivalente</t>
  </si>
  <si>
    <t>Cuchilla para bisturí quirúrgico desechable y estéril No. 15</t>
  </si>
  <si>
    <t>Paramount 01002003 o  equivalente</t>
  </si>
  <si>
    <t>Cuchilla para bisturí quirúrgico desechable y estéril No. 21</t>
  </si>
  <si>
    <t>"PARAMOUNT
Ref: 01002001"o  equivalente</t>
  </si>
  <si>
    <t>Cuchilla para bisturí quirúrgico desechable y estéril No. 22</t>
  </si>
  <si>
    <t>"PARAMOUNT
Ref: 01002001" o  equivalente</t>
  </si>
  <si>
    <t>Cuchilla para bisturí quirúrgico desechable y estéril No. 24</t>
  </si>
  <si>
    <t>"PARAMOUNT
Ref: 01002001"  equivalente</t>
  </si>
  <si>
    <t>Cuchillas desechables para micrótomo High Profile</t>
  </si>
  <si>
    <t>LEICA o  VWR 95057-834 o equivalente</t>
  </si>
  <si>
    <t>Caja x 50</t>
  </si>
  <si>
    <t>Cuchillo para disección cacha blanca en polipropileno en acero inoxidable de 12"</t>
  </si>
  <si>
    <t>"TRAMONTINA
REF: 24608082" o equivalente</t>
  </si>
  <si>
    <t>Cuchillo para disección cacha blanca en polipropileno en acero inoxidable pequeño (130 mm)</t>
  </si>
  <si>
    <t>Tramontina o equivalente</t>
  </si>
  <si>
    <t>Cuchillo para disección con cacha blanca en polipropileno en acero inoxidable de 10"</t>
  </si>
  <si>
    <t>Cuchillos mediano liso  completamente en material autoclavable</t>
  </si>
  <si>
    <t xml:space="preserve">Datalogger de Temperatura Rango de medición: -40 a 70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Con certificado de calibración en tres puntos de temperatura por laboratorio acreditado en ISO 17025:2017 ante el ONAC </t>
  </si>
  <si>
    <t>CEM  o  Extech RHT20 o equivalente</t>
  </si>
  <si>
    <t>Desecador en vidrio 12 litros de con tapa y placa en porcelana 300x365 (230)mm o (230 a 272 mm)</t>
  </si>
  <si>
    <t>Dispensador  de 1-10 ml, volumen variable, graduación de 1 o 2 ml, exactitud ± 0,5%, reproducibilidad ≤ 0,1%;, análogo.</t>
  </si>
  <si>
    <t>Brand 4700 141 o  Microlit o equivalente</t>
  </si>
  <si>
    <t xml:space="preserve">Dispensador  de 5-50 mL, volumen variable, graduación de 1 ml, exactitud ± 0,5%, reproducibilidad ≤ 0,1%; vidrio borosilicato. Cerámica, platino-iridio, ETFE, FEP, PFA, YPP (caperuza de cierre de la canula);  apto para bases, acidos, soluciones acuosas y solventes organicos. </t>
  </si>
  <si>
    <t>Brand 4700 161 o equivalente</t>
  </si>
  <si>
    <t xml:space="preserve">Dynabeads™ MPC™-S (Magnetic Particle Concentrator) Thermo Fischer Scientific </t>
  </si>
  <si>
    <t>Thermo Fischer Scientific</t>
  </si>
  <si>
    <t>Embudo de Polipropileno diametro exterior 45-46 mm</t>
  </si>
  <si>
    <t>BRAND 148215 o equivalente</t>
  </si>
  <si>
    <t>Embudo de polipropileno. Diámetro externo 80-81 mm.</t>
  </si>
  <si>
    <t>Nalgene® o  BRAND 148225 o Iso-Lab, o Brand 1482 25 o equivalente</t>
  </si>
  <si>
    <t>Embudo de vidrio de borosilicato 3.3, con superficies lisas angulo de 60°. Diámetro externo 100 mm</t>
  </si>
  <si>
    <t>Pyrex o Corning, KIMAX 29020-100 o Brand o Duran o equivalente</t>
  </si>
  <si>
    <t>Embudo de vidrio. Diámetro externo entre el rango de 70 y/o 75 mm</t>
  </si>
  <si>
    <t>Pyrex  o Corning o Kimax Ref 28950-75 o Brand, Duran o equivalente</t>
  </si>
  <si>
    <t xml:space="preserve">Erlenmeyer cuello ancho de 250 ml, con tapa de rosca en PP </t>
  </si>
  <si>
    <t>Nalgene® o  Iso-Lab o Brand 93175 o equivalente</t>
  </si>
  <si>
    <t>Erlenmeyer cuello ancho de 300 ml. Diámetro externo cuello 50 mm. Borosilicato 3.3, impresión en cerámica.
DIN12331:1998/ISO3819:1985 e ISO12 600 o DIN ISO 3585 o DIN ISO 24450 o ASTM E1404 tipo I y ASTM E438 Tipo I.</t>
  </si>
  <si>
    <t>Pyrex o Corning o Brand o DURAN 21.216.39 o equivalente</t>
  </si>
  <si>
    <t>Erlenmeyer cuello estrecho con reborde y graduación para 1000 ml en vidrio. Con certificado de fábrica (Calidad y rastreabilidad). Borosilicato 3.3 que cumpla con los estándares DIN en ISO 1773 io DIN ISO 3585, impresión en cerámica que cumpla con la norma ISO 12 600 o ASTM E1404, tipo I y ASTM ASTM E438 Tipo I. Control y garantía de calidad NCA menor o igual a 0,4 y certificación del fabricante que resiste temperaturas hasta de 250°C sin perder la volumetria.</t>
  </si>
  <si>
    <t>Pyrex  o Corning o Brand o DURAN 21.216.39 o equivalente</t>
  </si>
  <si>
    <t>Erlenmeyer cuello estrecho con reborde y graduación para 2000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</si>
  <si>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Pyrex o Corning o Brand o KYMAX 26500-2000 o Duran o equivalente</t>
  </si>
  <si>
    <t>Erlenmeyer cuello estrecho con reborde y graduación para 250 ml en vidrio.Con certificado de fábrica (Calidad y rastreabilidad). Borosilicato 3.3 que cumpla con los estándares DIN en ISO 1773o DIN ISO 3585, impresión en cerámica que cumpla con la norma ISO 12 600  o ASTM E1404, tipo I y ASTM ASTM E438 Tipo . Control y garantía de calidad NCA menor o igual a 0,4 y certificación del fabricante que resiste temperaturas hasta de 250°C sin perder la volumetria.</t>
  </si>
  <si>
    <t>Pyrex o  Corning o Brand o Duran o equivalente</t>
  </si>
  <si>
    <t>Erlenmeyer cuello estrecho con reborde y graduación para 4000-5000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</si>
  <si>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Pyrex o Corning o Brand, Duran o equivalente</t>
  </si>
  <si>
    <t>Erlenmeyer cuello estrecho con reborde y graduación para 500 ml. Con certificado de fábrica (Calidad y rastreabilidad mediante el link del fabricante). Borosilicato 3.3 que cumpla con los estándares DIN en ISO 1773, o DIn ISO 3585  impresión en cerámica que cumpla con la norma DIN 12600 o ASTM E1404, tipo I y ASTM ASTM E438 Tipo I. certificación del fabricante que resiste temperaturas hasta de 250°C sin perder la volumetria. y opcional control y garantía de calidad NCA menor o igual a 0,4.</t>
  </si>
  <si>
    <t>Pyrex o Corning o Brand o Dura o KIMAX 26500-500 o equivalente</t>
  </si>
  <si>
    <t>Erlenmeyer de 1 L para equipo de filtración HPLC</t>
  </si>
  <si>
    <t>Pyrexo o Corning o KIMAX 26500-1000 o Brand o Duran o Brand o equivalente</t>
  </si>
  <si>
    <t>Escalera de tres pasos en tubo plegable pintada en blanco, altura 61 cm, capacidad 100 o superior kilogramos, con protección del paso en caucho.</t>
  </si>
  <si>
    <t>life products inc modelo SA-00802 o equivalente</t>
  </si>
  <si>
    <t>Espátula acanalada, cuchara plana, en acero inoxidable AISI 304. 
Largo total: 190 mm aproximadamente, para extraer sustancias residuales en frascos y botellas</t>
  </si>
  <si>
    <t>Espátula azul autoclavable de polipropileno resistente para diluir ácidos y bases y 210 mm  longitud y 7 mm ancho en la cuchara</t>
  </si>
  <si>
    <t>VWR catologo 231-0103 o Brixco - 7203 o equivalente</t>
  </si>
  <si>
    <t>Bolsa x 300</t>
  </si>
  <si>
    <t>Espátula combinada cuchara-plana 340 170 mm a180 mm</t>
  </si>
  <si>
    <t>Marca boeco(3347) o equivalente</t>
  </si>
  <si>
    <t>Espátula combinada cuchara-plana longitud entre 17 mm hasta 19mm (acanalada-plana en acero inoxidable 18/10 o 304  longitud 185mm)</t>
  </si>
  <si>
    <t>marca boeco(3283) o equivalente</t>
  </si>
  <si>
    <t>Espátula cuchara en acero inoxidable 18/10 210X12mm hoja longitud 25mm y cuchara 12mm</t>
  </si>
  <si>
    <t>BOCHEM 3214 o equivalente</t>
  </si>
  <si>
    <t>Espátula doble cuchara en acero inoxidable de 21 cm aproximadamente</t>
  </si>
  <si>
    <t>Espátula en acero inoxidable de 20 o 25 cms</t>
  </si>
  <si>
    <t>Espátula en acero inoxidable mango plástico, hoja de 10 cm a 12 cm x 2 cm</t>
  </si>
  <si>
    <t>Espátula estéril para pesaje con canal en forma de V de 15,24 cm (6 in), estériles</t>
  </si>
  <si>
    <t>Fischer Scientific o Bel Art 8339N110/369300000 o equivalente</t>
  </si>
  <si>
    <t>Etiqueta térmica 1" 0,375 Serie TLS220</t>
  </si>
  <si>
    <t>Brady PTL -98-499 o equivalente</t>
  </si>
  <si>
    <t>Rollo x 500</t>
  </si>
  <si>
    <t>Etiquetas térmica para identificar viales.  PLT-30-499</t>
  </si>
  <si>
    <t>Brady PLT-30-499 o equivalente</t>
  </si>
  <si>
    <t>Rollo x 250</t>
  </si>
  <si>
    <t>Etiquetas termicas para impresora Zebra GC4201 50 X 20 mm Rollo x 2 etiquetas por fila</t>
  </si>
  <si>
    <t>Zebra o equivalente</t>
  </si>
  <si>
    <t>Filtro de membrana hidrofílica, ≤ 0,22 µm de tamaño de poro, 47 mm de diámetro.</t>
  </si>
  <si>
    <t>Merck o sigma o SARTORIUS 11107447N o CNW o equivalente</t>
  </si>
  <si>
    <t>Filtro para jeringa 0.22 µm estéril (Ø=25mm) PVDF Hidrofílica, empaque individual</t>
  </si>
  <si>
    <t>Merck millipore o WHATMAN (CYTIVA) 9913-2502 o equivalente</t>
  </si>
  <si>
    <t>Merck o sigma o Cytiva 9913-2502 o equivalente</t>
  </si>
  <si>
    <t>Filtro para jeringa 0.45 µm estéril, hidrofílico PVDF, 25 ó 33 mm de diámetro, empaque individual</t>
  </si>
  <si>
    <t>Millipore SLHV033RS o WHATMAN (CYTIVA) 9913-2504  o equivalente</t>
  </si>
  <si>
    <t xml:space="preserve">Filtro para jeringa no estériles  ≤ 0.25 µm y 30 a y/o 33 mm aproximadamente:membrana de PVDF   No esteriles </t>
  </si>
  <si>
    <t>Millipore o Whatman (Cytiva) - 99263002 o equivalente</t>
  </si>
  <si>
    <t>Filtro para pipeteadores automáticos 0,2 uM 3 cm de diametro</t>
  </si>
  <si>
    <t>Millipore BRAND 26530 o equivalente</t>
  </si>
  <si>
    <t>Frasco de vidrio ámbar de 100 ml tapa rosca con graduación, resistente a esterilización con autoclave y anillo de vertido en PP. Vidrio borosilicato 3.3, impresión en cerámica, que cumpla con las normas DIN12331:1998/ISO 3819:1985 e ISO4796-1:2000</t>
  </si>
  <si>
    <t>Pyrex o  Corning o Kymax o Brand o Duran o Schott o DWK Life Sciences 14399-1000 o equivalente</t>
  </si>
  <si>
    <t xml:space="preserve">Frasco de vidrio ambar de 1000 ml tapa rosca con graduación, resistente a esterilización con autoclave y anillo de vertido en PP. </t>
  </si>
  <si>
    <t xml:space="preserve">Pyrex  o DWK Life Sciences 14399-1000 o Corning o Kymax o Brand o Duran o Schott o equivalente </t>
  </si>
  <si>
    <t>Frasco de vidrio ámbar de 25 ml tapa rosca con graduación,  resistente a esterilización con autoclave, preferiblemente con  anillo de vertido en PP o borde de vidrio diseñado para un vertido optimizado. Vidrio borosilicato 3.3, impresión en cerámica, que cumpla con las normas DIN12331:1998/ISO 3819:1985 e ISO4796-1:2000 o USP Tipo I y ASTM E438, Tipo I.</t>
  </si>
  <si>
    <t xml:space="preserve">Pyrex  o Corning o Kymax o Brand o Duran o Schott o equivalente </t>
  </si>
  <si>
    <t>Frasco de vidrio ámbar de 500 ml tapa rosca con graduación, resistente a esterilización con autoclave y anillo de vertido en PP. Vidrio borosilicato 3.3, impresión en cerámica, que cumpla con las normas DIN12331:1998/ISO 3819:1985 y/o ISO4796-1:2000 o USP Tipo I y ASTM E438, Tipo I.</t>
  </si>
  <si>
    <t xml:space="preserve">Pyrex  o KIMAX 14399-500 o Corning o Kymax o Brand o Duran o Schott o equivalente </t>
  </si>
  <si>
    <t>Frasco de vidrio boca ancha con tapa para contacto de alimentos y bebidas de 300 ml </t>
  </si>
  <si>
    <t>Frasco de vidrio boca ancha de 30 ml para liquidos viscosos (Glicerina) con tapa hermetica</t>
  </si>
  <si>
    <t>Frasco de vidrio de 500 ml con tapa rosca de cierre hermético.</t>
  </si>
  <si>
    <t>Caja x 12 Unidades
+ tapas</t>
  </si>
  <si>
    <t>Frasco de vidrio transparente de 100 ml tapa rosca con graduación, resistente a esterilización con autoclave y anillo de vertido en PP. Vidrio borosilicato 3.3, impresión en cerámica, que cumpla con las normas DIN12331:1998/ISO 3819:1985 y/o ISO4796-1:2000  o USP Tipo I y ASTM E438, Tipo I.</t>
  </si>
  <si>
    <t xml:space="preserve">Pyrex o Corning o KIMAX 14395-100 o Brand o Duran o Schott o equivalente </t>
  </si>
  <si>
    <t>Frasco de vidrio transparente de 1000 ml tapa rosca con graduación, resistente a esterilización con autoclave y anillo de vertido en PP. Vidrio borosilicato 3.3, impresión en cerámica, que cumpla con las normas DIN12331:1998/ISO 3819:1985 y/o ISO4796-1:2000 ó USP Tipo I y ASTM E438, Tipo I.</t>
  </si>
  <si>
    <t xml:space="preserve">Pyrex o  Corning o Kimax - 14395-1000 o Brand o Duran o Schott o equivalente </t>
  </si>
  <si>
    <t>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t>
  </si>
  <si>
    <t xml:space="preserve">Pyrex o Corning o  Kimax - 14395-2000 o Brand o Duran o Schott o equivalente </t>
  </si>
  <si>
    <t>Frasco de vidrio transparente de 25 ml tapa rosca con graduación, resistente a esterilización con autoclave y anillo o borde de vertido en PP o vidrio. Vidrio borosilicato 3.3, impresión en cerámica, que cumpla con las normas  ISO4796-1:2000 Retrace Code o USP Tipo I y ASTM E438, Tipo I.</t>
  </si>
  <si>
    <t xml:space="preserve">Pyrex o Corning o Kymax o Brand o Duran o Schott o equivalente </t>
  </si>
  <si>
    <t>Frasco de vidrio transparente de 250 ml tapa rosca con graduación, resistente a esterilización con autoclave y anillo de vertido en PP. Vidrio borosilicato 3.3, impresión en cerámica, que cumpla con las normas DIN12331:1998/ISO 3819:1985 y/o ISO4796-1:2000 o USP Tipo I y ASTM E438, Tipo I.</t>
  </si>
  <si>
    <t xml:space="preserve">Pyrex o Corning o KYMAX 14395-250 o Brand o Duran o Schott o equivalente </t>
  </si>
  <si>
    <t>Frasco de vidrio transparente de 50 ml tapa rosca con graduación, resistente a esterilización con autoclave y anillo de vertido en PP o vidrio. Vidrio borosilicato 3.3, impresión en cerámica, que cumpla con las normas DIN12331:1998/ISO 3819:1985 e ISO4796-1:2000 o USP Tipo I y ASTM E438, Tipo I.</t>
  </si>
  <si>
    <t xml:space="preserve">Frasco de vidrio transparente de 500 ml tapa rosca con graduación, resistente a esterilización con autoclave y anillo de vertido en PP. Vidrio borosilicato 3.3, impresión en cerámica, que cumpla con las normas DIN12331:1998/ISO 3819:1985 e ISO4796-1:2000 y/o DIN 12331:1998/ ISO 3819: 1985 o USP Tipo I y ASTM E438, Tipo I. </t>
  </si>
  <si>
    <t xml:space="preserve">Pyrex o Corning o Kimax - 14395-500 o Brand o Duran o Schott o equivalente </t>
  </si>
  <si>
    <t>Frasco en polipropileno con tapa de cierre hermético para toma de muestra de orina estéril 50 – 60 ml.</t>
  </si>
  <si>
    <t>DELTALAB o FLM MEDICAL GREINER BIO-ONE o equivalente</t>
  </si>
  <si>
    <t>Frasco goteros en vidrio ambar para colorantes de Gram de 30 ml</t>
  </si>
  <si>
    <t>Frasco lavador de cuello ancho de 500 ml de capacidad  de polietileno de baja densidad</t>
  </si>
  <si>
    <t>Nalgene o  THOMAS SCIENTIFIC  9765J31 o equivalente</t>
  </si>
  <si>
    <t>Paquete x 5</t>
  </si>
  <si>
    <t>Frasco lavador de cuello ancho de 500 ml de capacidad (Para pruebas de Elisa)</t>
  </si>
  <si>
    <t>LAB-FORCE o THOMAS SCIENTIFIC o equivalente</t>
  </si>
  <si>
    <t>Frasco lavador de polietileno de bonca ancha de 1000ml para lavado de microplacas de ELISA, 8 posiciones de goteo.</t>
  </si>
  <si>
    <t xml:space="preserve">Fisher o equivalente </t>
  </si>
  <si>
    <t>Frasco para cultivo celular con tapa sin filtro, plug seal,  estéril, cuello inclinado  y no pirogénica de 75 cm²</t>
  </si>
  <si>
    <t>Corning o Costar o Falcon o VWR 10062-862 o equivalente</t>
  </si>
  <si>
    <t>Frasco para cultivo celular con tapa sin filtro, plug seal, estéril, cuello inclinado  y no pirogénica de 25 cm²</t>
  </si>
  <si>
    <t>Corning o Costar o Falcon o SPL 70125 o equivalente</t>
  </si>
  <si>
    <t>Caja x 500 o 600 unidades</t>
  </si>
  <si>
    <t>Frasco para cultivo celular con tapa sin filtro, plug seal, estéril, cuello inclinado y no pirogénica de 150 cm²</t>
  </si>
  <si>
    <t>Corning o Costar o Falcon o equivalente</t>
  </si>
  <si>
    <t>Frasco plastico con tapa rosca boca ancha de 1000 ml</t>
  </si>
  <si>
    <t>Frasco plastico con tapa rosca boca ancha de 2000 ml</t>
  </si>
  <si>
    <t>Frasco plástico de 250 ml en polipropileno, con tapa rosca de cierre hermético.
Diametro 60 ± 5 mm, altura 141 ± 5 mm, diametro del cuello interior 34 ±5 mm Boca de 32 ±5 mm</t>
  </si>
  <si>
    <t>Brand o equivalente</t>
  </si>
  <si>
    <t>Paquete x 10</t>
  </si>
  <si>
    <t>Frasco plástico de 500 ml boca ancha con tapa rosca de cierre hermético para toma de muestras de tejidos en formol</t>
  </si>
  <si>
    <t>DARNEL o equivalente</t>
  </si>
  <si>
    <t>Frasco tipo inyectable claro de  50 ml de capacidad (para agrafe de 20mm)</t>
  </si>
  <si>
    <t>Moulded injection vial 20-2710 crimp clear 50 cc ED2139BA847 o equivalente</t>
  </si>
  <si>
    <t xml:space="preserve">Caja x 84 </t>
  </si>
  <si>
    <t>Frascos IP2 de boca ancha de HDPE Nalgene de 100 mL o 120 mL</t>
  </si>
  <si>
    <t>Thermo Fisher o Cualquier marca</t>
  </si>
  <si>
    <t>Frascos IP2 de boca ancha de HDPE Nalgene de 50 mL o 60 mL</t>
  </si>
  <si>
    <t>Funda para vacutainer</t>
  </si>
  <si>
    <t>Vacutest-169018 o equivalente</t>
  </si>
  <si>
    <t>Gasa tipo hospitalario</t>
  </si>
  <si>
    <t>KRAMER o  nacional o equivalente</t>
  </si>
  <si>
    <t>Rollo x 100 yardas</t>
  </si>
  <si>
    <t xml:space="preserve">Gel refrigerante de 250 a 400gr. Durabilidad 24 horas. </t>
  </si>
  <si>
    <t>Caja x 48</t>
  </si>
  <si>
    <t>Gel refrigerante en pilas de 250gr.</t>
  </si>
  <si>
    <t>Caja x 100 und</t>
  </si>
  <si>
    <t xml:space="preserve">Gotero plástico para colorantes de Gram de un volumen de 120ml. </t>
  </si>
  <si>
    <t>Gradilla Compact PCR Tube Rack para 96 tubos de 0,2 ml.</t>
  </si>
  <si>
    <t>Usa Scientific o Brand -781362 o equivalente</t>
  </si>
  <si>
    <t xml:space="preserve">Paquete x 5 unds.   </t>
  </si>
  <si>
    <t>Gradilla de polipropileno capacidad para mínimo 50 tubos de 15 ml en formato acorde al número de plazas</t>
  </si>
  <si>
    <t xml:space="preserve">Fisherbrand o VWR, o equivalente </t>
  </si>
  <si>
    <t>Gradilla en acero  inoxidable para bolsas tipo stomacher, capacidad 10 bolsas o 14 bolsas</t>
  </si>
  <si>
    <t>Gradilla para 24 tubos de 50 ml, fabricada en polipropileno o policetona en formato 3x8</t>
  </si>
  <si>
    <t>Gradilla para 60 tubos de ensayo de 16 mm de diámetro formato 5x12 color blanco ó azul. Medidas aprox. 110 x 250 x 70</t>
  </si>
  <si>
    <t>POLYLAB 4050-4108-02 o equivalente</t>
  </si>
  <si>
    <t>Gradilla para 72 tubos de 16mm de diametro en polipropileno.</t>
  </si>
  <si>
    <t>Catalogo VWR REF 82024-436 o  THERMO SCIENTIFIC 14-809-134o equivalente</t>
  </si>
  <si>
    <t xml:space="preserve">Gradilla para 80 viales de 1.5 - 2.0 ml en polipropileno, autoclavable </t>
  </si>
  <si>
    <t xml:space="preserve">SPL 61080 o vwr  o  fisher o equivalente </t>
  </si>
  <si>
    <t>Paquete x 20</t>
  </si>
  <si>
    <t>Gradilla para 9 tubos de 50 ml Ø=32 mm. 
Medidas: 110- 114 x 77-110 x 85-88 mm (L x W x H)</t>
  </si>
  <si>
    <t xml:space="preserve">VWR 82024-452 o equivalente </t>
  </si>
  <si>
    <t>Gradilla para 96 tubos de  0.5 ml, 1.7 ml, 2.0 ml. Autoclavable y congelable</t>
  </si>
  <si>
    <t>FISHER 50-189-9865 o equivalente</t>
  </si>
  <si>
    <t xml:space="preserve">Gradilla para tubos falcon de 50 mL </t>
  </si>
  <si>
    <t>Gradilla plástica autoclavable reversible de 96. 
Especificación: 96 pozos, por un lado almacena tubos de PCR 0,2 ml y por otro eppendof de 1,5/2 ml.</t>
  </si>
  <si>
    <t xml:space="preserve">VWR 61602 o equivalente </t>
  </si>
  <si>
    <t>Gradilla plástica para tubos de ensayo de 20 mm. Capacidad 40 tubos</t>
  </si>
  <si>
    <t>Thomas Scientific - 20A00V588  o MFR-77903</t>
  </si>
  <si>
    <t xml:space="preserve">unidad </t>
  </si>
  <si>
    <t xml:space="preserve">Grasa lubricante para micropipetas </t>
  </si>
  <si>
    <t>Eppendorf o equivalente</t>
  </si>
  <si>
    <t>Frasco de 20 Grs</t>
  </si>
  <si>
    <t xml:space="preserve">Guantes desechable en nitrilo, revestimiento completo, borde con ribete, longitud mínima de  260 ó 300 mm,  espesor mínimo 5 milésimas de pulgada. Debe cumplir norma UNE EN ISO 21420-2020,  específicos: UNE EN ISO374-5-2016, y ensayos UNE EN ISO 374-2-2020 (penetración evidencia perforaciones) y la ISO 16604: 2004 (resistencia al paso de patógenos por sangre y protección en contra de los virus, bacterias y hongos) Talla L </t>
  </si>
  <si>
    <t>Dermagrip o equivalente</t>
  </si>
  <si>
    <t>Caja x 100 Unidades</t>
  </si>
  <si>
    <t>Guantes desechable en nitrilo, revestimiento completo, borde con ribete, longitud mínima de  260 a 300 mm,calibre o grosor en la palma mínimo 0, 14 mm . Debe cumplir norma UNE EN ISO 21420-2020,  específicos: UNE EN ISO374-5-2016, y ensayos UNE EN ISO 374-2-2020 (penetración evidencia perforaciones) y la ISO 16604: 2004 (resistencia al paso de patógenos por sangre y protección en contra de los virus, bacteria y hongos) Talla M</t>
  </si>
  <si>
    <t>Guantes desechable en nitrilo, revestimiento completo, borde con ribete, longitud mínima de  260 a 300 mm,calibre o grosor en la palma mínimo 0, 14 mm . Debe cumplir norma UNE EN ISO 21420-2020,  específicos: UNE EN ISO374-5-2016, y ensayos UNE EN ISO 374-2-2020 (penetración evidencia perforaciones) y la ISO 16604: 2004 (resistencia al paso de patógenos por sangre y protección en contra de los virus, bacteria y hongos) Talla S</t>
  </si>
  <si>
    <t>Guantes desechable en nitrilo, revestimiento completo, borde con ribete, longitud mínima de 19 pulgadas, espesor mínimo 22 milésimas de pulgada. Debe cumplir norma UNE EN ISO 21420-2020,  específicos: UNE EN ISO374-5-2016, y ensayos UNE EN ISO 374-2-2020 (penetración evidencia perforaciones) y la ISO 16604: 2004 (resistencia al paso de patógenos por sangre y protección en contra de los virus, bacteria hongos )Talla XS</t>
  </si>
  <si>
    <t>Guantes desechable en nitrilo, revestimiento completo, borde con ribete, longitud mínima de  260 a 300 mm,calibre o grosor en la palma mínimo 0, 14 mm . Debe cumplir norma UNE EN ISO 21420-2020,  específicos: UNE EN ISO374-5-2016, y ensayos UNE EN ISO 374-2-2020 (penetración evidencia perforaciones) y la ISO 16604: 2004 (resistencia al paso de patógenos por sangre y protección en contra de los virus, bacteria y hongos) Talla XL</t>
  </si>
  <si>
    <t>Hachuela en acero inoxidable. Mango ergonómico de polietileno. Hoja ancha de forma rectangular. Tamaño total 16 cm</t>
  </si>
  <si>
    <t>Hisopo estéril de dacrón, rayón o poliéster con palillo plástico</t>
  </si>
  <si>
    <t>Puritan. REF: 10808 - 146  o equivalente</t>
  </si>
  <si>
    <t>Hisopo estéril plastico punta de algodón de 15 cm de longitud, empaque individual</t>
  </si>
  <si>
    <t>Hisopos con medio de transporte AMIES, sin carbono </t>
  </si>
  <si>
    <t>Inserto para vial de cromatografía  300 µL, polypropylene, polymer feet.   Insert size: 5.6 x 30 mm aproximadamente</t>
  </si>
  <si>
    <t>Agilente o equivalente</t>
  </si>
  <si>
    <t>Jarra anaerobiosis de 2,5 litros</t>
  </si>
  <si>
    <t>SCHARLAU  064-AJ0P25 o equivalente</t>
  </si>
  <si>
    <t>Jarra de medición con asa  resistencia química HDPE o PMP Trasparente capacidad 1000 ml  graduada</t>
  </si>
  <si>
    <t>Nalgene o equivalente</t>
  </si>
  <si>
    <t>Jaula de cría, cubo de 45 cm por los cuatro lados. Jaula para cría y observación de insectos, tipo colapsible para facilitar su armado y transporte. Su estructura y fondo están elaborados en aluminio, cuatro de sus caras tienen una red de 300 micras para contener los ejemplares y la cara restante, tiene una manga en algodón para la manipulación del contenido.</t>
  </si>
  <si>
    <t>Jeringa desechable de 1 ml de insulina estéril, dos partes. Libre de pirógenos</t>
  </si>
  <si>
    <t>Vacutest o BD 01003579-03 o equivalente</t>
  </si>
  <si>
    <t>Jeringa desechable de 10 ml sin caucho en el émbolo con aguja de 21 G x 1½ estéril, dos partes, libre de pirógenos</t>
  </si>
  <si>
    <t>BD301001 o equivalente</t>
  </si>
  <si>
    <t>Jeringa desechable de 2 ml con aguja 21G x 1½", sin émbolo de caucho</t>
  </si>
  <si>
    <t>BD 300318 / BD 01003565 o equivalente</t>
  </si>
  <si>
    <t>Jeringa desechable de 3 ml desechable con aguja 21G x 1½  Dos partes. Libre de pirógenos</t>
  </si>
  <si>
    <t>Jeringa desechable de 5 ml con aguja de 21 G x 1½". Estéril. Dos partes. Libre de pirógenos. Con empate Luer Slip</t>
  </si>
  <si>
    <t>BD 01003568-03 o Vacutest o equivalente</t>
  </si>
  <si>
    <t xml:space="preserve">Jeringa desechable de 50 ml </t>
  </si>
  <si>
    <t>BD 309620 o Vacutest o equivalente</t>
  </si>
  <si>
    <t xml:space="preserve">Caja x 80 </t>
  </si>
  <si>
    <t>Jeringas de vidrio de 1 ml de capacidad.</t>
  </si>
  <si>
    <t>Catalogo VWR 80089-544 o equivalente</t>
  </si>
  <si>
    <t>Paquete/ 12 unidades</t>
  </si>
  <si>
    <t>Jeringas desechable de 20 ml</t>
  </si>
  <si>
    <t>BD 300296 - Codigo 01003572 o Vacutest o equivalente</t>
  </si>
  <si>
    <t>Caja x 80</t>
  </si>
  <si>
    <t>Juego de tamices (250 µm, 106 µm, 38 µm)</t>
  </si>
  <si>
    <t>Paquete x 3</t>
  </si>
  <si>
    <t xml:space="preserve">juego de tarros plasticos para cocina con tapa plastica
</t>
  </si>
  <si>
    <t xml:space="preserve">cualquier marca
</t>
  </si>
  <si>
    <t>JUEGO</t>
  </si>
  <si>
    <t>Kit de Necropsia Aviar, conformado por: Organizador  plástico con capacidad para almacenar: 1 mango de bisturí #3, 4 pinzas mosquito rectas, 4 pinzas mosquito curvas, 1 pinza con garra, 1 pinza sin garra, 1 cuchillo pequeño fileteador de pollo, 1 tijeras para despresar pollo, 1 tijeras mayo punta roma rectas, 1 tijeras mayo punta roma curvas, 1 tijeras metzmenbau punta roma recta, 1 tijera lister, 1 piedra para afilar, 1 riñonera en aluminio o acero inoxidable, 1 mechero, 1 canaleta, 2 separadores (10 a 15 cm), 1 tijera corta cables multiproposito de 140 mm +/- 10mm</t>
  </si>
  <si>
    <t>Nacional - Multimarcas o  RIMAX o Hospital o Tramontina o Dimeda</t>
  </si>
  <si>
    <t>Kit de Necropsia Grandes Animales: Organizador plástico con capacidad para almacenar: 2 pinzas con garra de 14,5 cm en acero inoxidable; 2 pinzas sin garra de 14,5 cm en acero inoxidable; 2 tijeras  de mayo 1 recta punta roma y 1 recta punta fina de 14 cm en acero inoxidable; 2 tijeras de mayo curva punta roma de 14 cm en acero inoxidable;  3 cuchillos de necropsia de 30 Cm de largo, mango plástico antideslizante color blanco;  Marco para cegueta en acero inoxidable de 16" a 17,5" y  6 hojas para la misma dimensión de la cegueta, 1 hachuela en mango plastico antideslizante en acero inoxidable</t>
  </si>
  <si>
    <t>Nacional o Multimarcas. RIMAX o Hospital o Tramontina o Dimeda</t>
  </si>
  <si>
    <t>Kit de Necropsia para Porcinos que contenga: Caja plástica para herramientas con capacidad para almacenar los siguientes elementos; dos mangos de bisturí No 4, 1 caja de cuchillas de bisturi No. 21, una pinza con garra, una pinza sin garra, una tijera metzembaun recta punta roma, una tijera metzembaun curva punta roma, 2 pinzas mosquito curvas , 2 pinzas mosquito rectas pequeñas, un cuchillo pequeño, un cuchillo grande, una navaja de campo, una riñonera pequeña con tapa,  un cuchillo de cegueta pequeño,  una piedra de afilar.</t>
  </si>
  <si>
    <t>Kit para control de derrames compuesto por: 2 almohadillas desechables de 25x25 cm para químicos 3 cordón-tubular 3" X 1.20 m para químicos 6 material absorbente particulado para químicos Bolsa x 1 K 1 Guantess nitrilo 13" 1 mascarilla para vapores ácidos, doble cartucho 1 gafas de seguridad 1 cinta de precaución para señalización x 50 metros 4 Bolsa industrial para residuos roja 1 chaleco reflectivo 1 contenedor plástico 45 gal dos ruedas 1 overol desechable para químicos 1 recogedor plástico con escobilla 1 instructivo corto para emergencias</t>
  </si>
  <si>
    <t>Kit para necropsia de peces que contenga: Organizador plástico con capacidad para almacenar los materiales listados a continuación; dos mangos de bisturí No 4; 1 caja de cuchillas para bisturi No. 21; una Pinza con garra (14 a 14,5 cm); una pinza sin garra (14 a 14,5 cm); una tijera metzembaun recta punta roma; una tijera metzembaun curva punta roma; 2 pinzas mosquito curvas;  2 pinzas mosquito rectas pequeñas; un cuchillo pequeño de 18  cm; un cuchillo grande de 30 cm; una navaja de bolsillo con mínimo 5 funciones; una riñonera pequeña con tapa; un cuchillo de cegueta pequeño con mango plástico color blanco;  una piedra de afilar.</t>
  </si>
  <si>
    <t xml:space="preserve">Lámina microscope slide Probe On Plus Precleaned 25 x 75 x1.0 mm. Diapositivas de medida 1 x 3 pulgadas (25 x 75 mm) y 1 mm de espesor </t>
  </si>
  <si>
    <t>Fisher 22-230-900 o  VWR 16004-406 o equivalente</t>
  </si>
  <si>
    <t>Caja x 144</t>
  </si>
  <si>
    <t>Lámina portaobjetos de 75 o 76 mm  x  25 o 26 mm de vidrio liso (no esmerilada Unground edges)</t>
  </si>
  <si>
    <t xml:space="preserve">Caja x 50 </t>
  </si>
  <si>
    <t>Lámina portaobjetos de 75 o 76 mm x 25 o 26 mm  Esmerilada</t>
  </si>
  <si>
    <t>GLASS LAB o equivalente</t>
  </si>
  <si>
    <t>Lámina portaobjetos excavada de una cavidad de 76 x 26 (aprox)</t>
  </si>
  <si>
    <t>Fisher o Brand - 475505 o equivalente</t>
  </si>
  <si>
    <t>Láminilla circular 22 mm</t>
  </si>
  <si>
    <t xml:space="preserve">VWR - 16004-338 o equivalente </t>
  </si>
  <si>
    <t>Laminilla cubre objeto 22 x 22 mm</t>
  </si>
  <si>
    <t xml:space="preserve">Glass Lab o equivalente </t>
  </si>
  <si>
    <t>Laminilla cubre objeto 22 a 24 x 40 a 44 mm</t>
  </si>
  <si>
    <t>Glass Lab o equivalente</t>
  </si>
  <si>
    <t>Laminilla cubre objeto 22 o 24 mm x 60 mm</t>
  </si>
  <si>
    <t>Glass Lab cod: 04402788 o equivalente</t>
  </si>
  <si>
    <t>Laminilla cubre objeto circular 15 mm</t>
  </si>
  <si>
    <t>Caja x 50 o caja x 100</t>
  </si>
  <si>
    <t>Laminillas de Cuarzo para camara de Newbauer</t>
  </si>
  <si>
    <t>OSSALUD o equivalente</t>
  </si>
  <si>
    <t xml:space="preserve">Caja x 10 Unidades   </t>
  </si>
  <si>
    <t>Lapiz marcador de vidrio con punta de diamante, especial para marcaciones finas, con repuestos para trabajo continuo de dos años Longitud total 152 mm (6 ")</t>
  </si>
  <si>
    <t>MUSCO SPORTS LIGHTING  52865-005+ 52865-118 o su equivalente</t>
  </si>
  <si>
    <t>Lector de microchip tipo baston para escaneo de ganado , portatil, con panel lcd, resistente al agua , garantía de un año</t>
  </si>
  <si>
    <t>No específico</t>
  </si>
  <si>
    <t xml:space="preserve">LighyCycler 8- tuve Strips (clear) </t>
  </si>
  <si>
    <t xml:space="preserve"> ROCHE, Ref 6612601001 (white) </t>
  </si>
  <si>
    <t>Lijas de 1000 granos</t>
  </si>
  <si>
    <t xml:space="preserve">Lijas de 400 granos 
</t>
  </si>
  <si>
    <t xml:space="preserve">Lijas de 600 granos
</t>
  </si>
  <si>
    <t xml:space="preserve">Lupa 20X. Lente 21mm cuerpo metálico, cromo </t>
  </si>
  <si>
    <t xml:space="preserve">enthos o equivalente </t>
  </si>
  <si>
    <t>Maceradores en PP para viales de 1.5</t>
  </si>
  <si>
    <t>SSI Plastic o  Fisherbrand 12-141-364  o equivalente</t>
  </si>
  <si>
    <t>Mango para bisturí en acero inoxidable No. 3</t>
  </si>
  <si>
    <t>Hospital o Dimeda o equivalente</t>
  </si>
  <si>
    <t>Mango para bisturí en acero inoxidable No. 4</t>
  </si>
  <si>
    <t>Manguera de Silicona para Bomba de Filtración   de  8mm de diámetro interno y 12-13mm de diámetro externo</t>
  </si>
  <si>
    <t xml:space="preserve">5 Metros </t>
  </si>
  <si>
    <t xml:space="preserve">Marcador Permanente  color negro punta delgada
</t>
  </si>
  <si>
    <t>Sharpie</t>
  </si>
  <si>
    <t>Caja x 12 Unds</t>
  </si>
  <si>
    <t>Martillo en acero inoxidable con pico de 20 cm incluida la cabeza mango antideslizante (Para necropsia)</t>
  </si>
  <si>
    <t>Mechas para mechero de alcohol</t>
  </si>
  <si>
    <t>LABSCIENT  MP – 67 o equivalente</t>
  </si>
  <si>
    <t>Paquete x10 unidades o paquete x 12 unidades</t>
  </si>
  <si>
    <t>Membrana de filtración para remover partículas finas de soluciones orgánicas y acuosas. Filtros de jeringa no estériles de 25 - 33 mm y ≤0,22 um: membrana de PVDF</t>
  </si>
  <si>
    <t>Merck o Millipore o 
Agilent o equivalente</t>
  </si>
  <si>
    <t>Paquete x 100-250 unidades</t>
  </si>
  <si>
    <t>Microespatula en Acero inoxidable, Doble (Espátula -Cuchara) de 150 mm a 170 mm de Longitud x 5 mm de Ancho</t>
  </si>
  <si>
    <t>Boeco (3302) o equivalente</t>
  </si>
  <si>
    <t>Micropipeta de 0.5-1 a 10 µl autoclavable con certificado de calibración y trazabilidad expedida por laboratorio acreditado ante el ONAC</t>
  </si>
  <si>
    <t>Finnpipette o Brand Transferpette 705870 o equivalente</t>
  </si>
  <si>
    <t>Micropipeta de 100-1000 µl  
con certificado de calibración y trazabilidad expedida por laboratorio acreditado ante el ONAC.</t>
  </si>
  <si>
    <t>Transferpette Brand 704180 o Brand Transferpette 705880 o equivalente</t>
  </si>
  <si>
    <t>Micropipeta de 10-100 µl autoclavable 
con certificado de calibración y trazabilidad expedida por laboratorio acreditado ante el ONAC</t>
  </si>
  <si>
    <t>Finnpipette o Brand Transferpette 705874 o equivalente</t>
  </si>
  <si>
    <t>Micropipeta de 0,5-5 ml 
con certificado de calibración y trazabilidad expedida por laboratorio acreditado ante el ONAC</t>
  </si>
  <si>
    <t>Finnpipette Labsystems 4642100 o equivalente</t>
  </si>
  <si>
    <t>Micropipeta de 2- 20 µl  autoclavable 
con certificado de calibración y trazabilidad expedida por laboratorio acreditado ante el ONAC</t>
  </si>
  <si>
    <t>Finnpipette o Brand Transferpette 705872 o equivalente</t>
  </si>
  <si>
    <t>Micropipeta de 5-50 µl
Con certificado de calibración y trazabilidad expedida por laboratorio acreditado ante el ONAC</t>
  </si>
  <si>
    <t>Finnpipette o  BRAND 705873 o Labsystems o equivalente</t>
  </si>
  <si>
    <t>Micropipeta monocanal de 20-200 µl 
Con certificado de calibración y trazabilidad expedida por laboratorio acreditado ante el ONAC</t>
  </si>
  <si>
    <t>Finnpipette o  Labsystem o equivalente</t>
  </si>
  <si>
    <t xml:space="preserve">Micropipeta monocanal electrónica 2-50 µl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
Con certificado de calibración y trazabilidad expedida por laboratorio acreditado ante el ONAC </t>
  </si>
  <si>
    <t>Integra o equivalente</t>
  </si>
  <si>
    <t xml:space="preserve">Micropipeta monocanal electrónica 5-125 µl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
Con certificado de calibración emitido por un laboratorio acreditado ante el ONAC      </t>
  </si>
  <si>
    <t>Micropipeta multicanal 12 canales de 10-100 µl 
Con certificado de calibración y trazabilidad expedida por laboratorio acreditado ante el ONAC</t>
  </si>
  <si>
    <t>Eppendorf, o Neogen o Finnpipette o Brand o equivalente</t>
  </si>
  <si>
    <t>Micropipeta S tipo digital de volumen variable de 1-10 ml, Error imenor o igual a 1%, coeficiente de variación menor o igual a 0,4% y división de ul 0.01 0, con certificado de conformidad según norma DIN 12600
Con certificado de calibración y trazabilidad expedida por laboratorio acreditado ante el ONAC</t>
  </si>
  <si>
    <t>Brand cat 7047 84 o equivalente</t>
  </si>
  <si>
    <t>Microplaca de 96 pozos fondo plano Inmunol 1B , diseñada para absorción de moléculas hidrófobas, transparentes, en plostireno, tratamietno superficial inmulon 1B</t>
  </si>
  <si>
    <t>Thermo Scientific™ 3355 o equivalente</t>
  </si>
  <si>
    <t>Microplaca fondo en V sin tapa, poliestireno, claro; no tratada; no estériles (No son para cultivo celular)</t>
  </si>
  <si>
    <t>Corning o  COSTAR 2897 o BRAND 781601 o Falcon o equivalente</t>
  </si>
  <si>
    <t>Microplaca maxisorp (Certificada)</t>
  </si>
  <si>
    <t>NUNC -THERMO SCIENTIFIC -439454</t>
  </si>
  <si>
    <t>Caja x 60</t>
  </si>
  <si>
    <t>Microplaca negra plana para Fluorescencia Polarizada</t>
  </si>
  <si>
    <t>Costar o brand o BRAND 781608 o thermo  o equivalente</t>
  </si>
  <si>
    <t xml:space="preserve">Microtubos viales de 2 ml color natural, sello hermético
</t>
  </si>
  <si>
    <t xml:space="preserve">Paquete x 1000 
</t>
  </si>
  <si>
    <t>Minuten Entomológico en Acero Inoxidable 0,15mm x 12 mm</t>
  </si>
  <si>
    <t>Cualquier marca o equivalente</t>
  </si>
  <si>
    <t>Mortero 50 - 65 ml  de porcelana  con pistilo autoclavable para el macerado de tejido vegetal, barnizado Ø=80 mm y 41 mm de alto (aprox.)</t>
  </si>
  <si>
    <t>Palillos plásticos</t>
  </si>
  <si>
    <t>Bolsa x 1000</t>
  </si>
  <si>
    <t>Paño absorbente para control de derrames</t>
  </si>
  <si>
    <t>Fisher 74050 o THERMO SCIENTIFIC  -o VERSI-DRY 7310W52 /74050 o equivalente</t>
  </si>
  <si>
    <t>Caja x 4 rollos</t>
  </si>
  <si>
    <t>Paño absorbente para control de derrames. Dimensiones 23"- 28" x 24"-36". Capacidad de absorción 570 ml o superior.</t>
  </si>
  <si>
    <t>Versi dry o VWR 56616-022 o equivalente</t>
  </si>
  <si>
    <t xml:space="preserve">Paquete x 200 </t>
  </si>
  <si>
    <t>Papel aluminio</t>
  </si>
  <si>
    <t>Rollo x 40 m o superior</t>
  </si>
  <si>
    <t>Papel crepado</t>
  </si>
  <si>
    <t>Rollo x 100 metros</t>
  </si>
  <si>
    <t xml:space="preserve">Papel de arroz para limpiar lentes </t>
  </si>
  <si>
    <t>Kimwipes o equivalente</t>
  </si>
  <si>
    <t>Paquete x 12 libros x 50 a 100 hojas o Caja x 500 unidades</t>
  </si>
  <si>
    <t>Papel de filtro grado No. 1 Ø 150 mm cualitativo</t>
  </si>
  <si>
    <t>WHATMAN (CYTIVA) 1001-150 o equivalente</t>
  </si>
  <si>
    <t>Papel de filtro grado No. 1 Ø 185 mm</t>
  </si>
  <si>
    <t>WHATMAN (CYTIVA) 1001-185 o equivalente</t>
  </si>
  <si>
    <t>Papel de filtro grado No. 1 Ø 90 mm</t>
  </si>
  <si>
    <t>Whatman (Cytiva) Ref: 1001-090  o equivalente</t>
  </si>
  <si>
    <t>Papel de filtro grado No. 2 Ø 110 mm</t>
  </si>
  <si>
    <t>Whatman (Cytiva) 1002-110  o equivalente</t>
  </si>
  <si>
    <t>Papel de germinación de semillas No. 38 (10" x 15")</t>
  </si>
  <si>
    <t>Anchor o equivalente</t>
  </si>
  <si>
    <t>Papel de germinación de semillas No. 76 (12" x 18")</t>
  </si>
  <si>
    <t>Papel indicador de pH 6.4 - 8.0</t>
  </si>
  <si>
    <t>Merck, WHATMAN (CYTIVA)-2600-103A o equivalente</t>
  </si>
  <si>
    <t>Rollo o Tira</t>
  </si>
  <si>
    <t xml:space="preserve">Papel Kraft </t>
  </si>
  <si>
    <t>Rollo x 50 - 61 cm de ancho x 200 metros o superior</t>
  </si>
  <si>
    <t>Papel para esterilización sin fuelle indicadores para vapor, gas y formaldehido. 10 cm</t>
  </si>
  <si>
    <t>rollo x 200m</t>
  </si>
  <si>
    <t>Papel para impresora de etiquetas</t>
  </si>
  <si>
    <t>Rollo x250</t>
  </si>
  <si>
    <t>Papel parafilm de 2” x 250 pies (38 m x 100 mm)</t>
  </si>
  <si>
    <t>Rollo x 38 m o superior</t>
  </si>
  <si>
    <t>Perforadora de triángulos base redonda 3x13mm para uso entomológico</t>
  </si>
  <si>
    <t xml:space="preserve">Perlas de vidrio de 4 mm </t>
  </si>
  <si>
    <t xml:space="preserve">LABSCIENT  4901004 o equivalente </t>
  </si>
  <si>
    <t>PILA 3,6 Voltios litio</t>
  </si>
  <si>
    <t>Pincel No. 000</t>
  </si>
  <si>
    <t>Pincel No. 0000</t>
  </si>
  <si>
    <t>Pincel No. 00000</t>
  </si>
  <si>
    <t>Pincel pelo de marta No. 0</t>
  </si>
  <si>
    <t>Pinza de disección con garra en acero inoxidable de 11,5 cm</t>
  </si>
  <si>
    <t>Dimeda o equivalente</t>
  </si>
  <si>
    <t>Pinza de disección con garra en acero inoxidable de 14  a 14,5 cm</t>
  </si>
  <si>
    <t>Dimeda u "HOSPITAL
REF: 03301730" o equivalente</t>
  </si>
  <si>
    <t>Pinza de disección sin garra en acero inoxidable de 14  a 14,5 cm</t>
  </si>
  <si>
    <t>Dimeda u "HOSPITAL
REF: 15-122" o equivalente</t>
  </si>
  <si>
    <t>Pinza de disección sin garra en acero inoxidable de 16-20 cm</t>
  </si>
  <si>
    <t>Pinza de disección sin garra en acero inoxidable recta de 12,1 cm de longitud</t>
  </si>
  <si>
    <t>Pinza de precisión ESD 15 curva</t>
  </si>
  <si>
    <t>Pinza Entomológica punta aguda de acero inoxidable. Pinza punta fina de 12 a 13 cm.</t>
  </si>
  <si>
    <t>Biologika o equivalente</t>
  </si>
  <si>
    <t xml:space="preserve">Pinza entomológica punta fina curva en acero inoxidable </t>
  </si>
  <si>
    <t>Pinza entomológica punta fina para relojería en acero inoxidable No. 00</t>
  </si>
  <si>
    <t>Pinza Entomológica punta roma de acero de 12 cm.</t>
  </si>
  <si>
    <t xml:space="preserve">Pinza entomológica suave de puntas anchas para montaje de alas en acero inoxidable </t>
  </si>
  <si>
    <t>Pinza entomológica suave en acero inoxidable Featherweigh punta redonda</t>
  </si>
  <si>
    <t>Pinzas de presión tipo Mohr</t>
  </si>
  <si>
    <t>Pipeta graduada de vidrio de 10 ml con certificado. Clase A/AS, impresión en cerámica cumpliendo norma ISO 12 600 (opcional) donde se indique: volumen nominal, fabricante, símbolo de Unidad, temperatura de referencia, clase y que cumpla con la norma DIN en ISO 835. Con certificado de fábrica.</t>
  </si>
  <si>
    <t>Pyrex o  Corning o Kymax o Brand o Duran o marca equivalente</t>
  </si>
  <si>
    <t>Pipeta pasteur desechable plastico Pe-Ld de 3 ml</t>
  </si>
  <si>
    <t>Brand Ref 747760 o equivalente</t>
  </si>
  <si>
    <t xml:space="preserve">Pipeta Pasteur en polietileno desechable estéril 3 ml de capacidad, longitud  13,8 -15,2 cm </t>
  </si>
  <si>
    <t xml:space="preserve"> VWR 52947-970
o equivalente</t>
  </si>
  <si>
    <t>Pipeta plástica poliestireno graduada para 10 ml, estériles y en empaque individual</t>
  </si>
  <si>
    <t>Pipeta plástica poliestireno graduada para 25 ml, estériles y en empaque individual</t>
  </si>
  <si>
    <t xml:space="preserve">Pipetas de Pasteur de vidrio de 2 ml de capacidad con altura de 225 a 250 mm, punta capilar extensa y larga </t>
  </si>
  <si>
    <t>BRAND™ 747720 o fisher scientific Ref.:15212699 o equivalente</t>
  </si>
  <si>
    <t>Caja x 250 unidades o más</t>
  </si>
  <si>
    <t>Pipeteador automático para pipetas eléctrico, con sistema de aspiración hasta de 25 ml, con toma universal y adaptador para boca de pipeta de 1, 5, 10 y 20 ml. Incluye filtros incorporados y kit de remplazo. Para Corriente 110V. 115V</t>
  </si>
  <si>
    <t>Pipeteador tipo cremallera de 0-10 ml</t>
  </si>
  <si>
    <t xml:space="preserve">Pistilo de porcelana para mortero </t>
  </si>
  <si>
    <t>Fisher Scientific 12-949-4 o equivalente</t>
  </si>
  <si>
    <t>Placa de vidrio rectangular de 40cm x 25 con cuadricula internas de 3cm x 3cm para Rosa de Bengala </t>
  </si>
  <si>
    <t xml:space="preserve">Plato de poliestireno para pesar reactivos antiestático, desechable, resistente a ácidos, alcoholes y bases, fondo plano, tamaño Longitud 41-45 mm x Anchura 41-45 mm x altura 7-8 mm . Fondo ID 1.4 in. </t>
  </si>
  <si>
    <t>Brand o Equivalente</t>
  </si>
  <si>
    <t xml:space="preserve">Paquete x 500 </t>
  </si>
  <si>
    <t>Plato para pesaje desechable y antiestático 76 a 80 mm  x  102 a 130mm</t>
  </si>
  <si>
    <t>Paquete x 500</t>
  </si>
  <si>
    <t>Portacajas para cajas petri. En acero inoxidable, con canastilla teambién en acero inoxidable, diámetro para cajas petri de 100 mm y capacidad de mínimo 14 cajas</t>
  </si>
  <si>
    <t>Probeta  de vidrio graduada de 100 ml base hexagonal con certificado. Borosilicato 3.3 DIN en ISO 4788, impresión en cerámica, con boca esmerilada y tapón</t>
  </si>
  <si>
    <t>Pyrex  o Corning o Kymax o Brand o Duran  o equivalente</t>
  </si>
  <si>
    <t>Probeta  de vidrio graduada de 250 ml base hexagonal con certificado. Borosilicato 3.3 DIN en ISO 4788, impresión en cerámica, con boca esmerilada y tapón</t>
  </si>
  <si>
    <t xml:space="preserve">Probeta de 1000 ml clase B
</t>
  </si>
  <si>
    <t>Probeta de 100ml  clase B</t>
  </si>
  <si>
    <t>Probeta de 25 ml clase B</t>
  </si>
  <si>
    <t>Probeta de 250 ml clase B</t>
  </si>
  <si>
    <t>Probeta de 50 ml clase B</t>
  </si>
  <si>
    <t>Pyrex o Corning o Kymax o Brand o Duran o Schott o equvalente</t>
  </si>
  <si>
    <t xml:space="preserve">Probeta de vidrio con base hexagonal de Vidrio clase A. de 1000 ml. Borosilicato 3.3 Cumpliendo con la norma DIN en ISO 4788,   Control y garantía de calidad NCA ( o equivalente) menor o igual a 0,4 y certificación del fabricante que resiste temperaturas hasta de 250°C sin perder la volumetria. </t>
  </si>
  <si>
    <t>Probeta de vidrio de 500 ml clase A o B base hexagonal con certificado. Borosilicato 3.3 Cumpliendo con la norma ISO 4788.Control y garantía de calidad NCA (o equivalente) menor o igual a 0,4 y certificación del fabricante que resiste temperaturas hasta de 250°C sin perder la volumetría. Para la clase A se deben cumplir todos los requisitos de individualidad del certificado.</t>
  </si>
  <si>
    <t>Probeta Plástica graduada 10 mL</t>
  </si>
  <si>
    <t>Nalgene o Brixco  o brand  o equivalente</t>
  </si>
  <si>
    <t>Probeta Plástica graduada 100 mL</t>
  </si>
  <si>
    <t>Marca: Nalgene o Brixco o brand  o equivalente</t>
  </si>
  <si>
    <t>Probeta Plástica graduada 1000 mL</t>
  </si>
  <si>
    <t>Probeta Plástica graduada 25 mL</t>
  </si>
  <si>
    <t>Probeta Plástica graduada 250 mL</t>
  </si>
  <si>
    <t>Probeta Plástica graduada 50 mL</t>
  </si>
  <si>
    <t xml:space="preserve">Punta 0,1-10 µl con filtro larga libre de RNAsa, DNAsa y pirógenos. 
Compatible con micropipetas Eppendorf,  Boeco, Brand, Fisherbrand, Finnpipette, </t>
  </si>
  <si>
    <t>Eppendorf 47745-086 o LABCON -o THOMAS SCIENTIFIC 10 51-960-038-9 o Tip One o equivalente</t>
  </si>
  <si>
    <t>Caja x 10 racks x 96</t>
  </si>
  <si>
    <t>Punta 0,1-10 µl resistentes a autoclavado
Compatible con micropipetas Socorex, Eppendorf, Boeco, Fisherbrand, Finnpipette</t>
  </si>
  <si>
    <t>Socorex R3090010R o VWR: 76322-140 o equivalente</t>
  </si>
  <si>
    <t>Punta 0,5-5 ml
Compatible con micropipetas Eppendorf,  Boeco, Brand, Fisherbrand, Finnpipette,</t>
  </si>
  <si>
    <t>Brand 702595 o Axygen T-5000-c o equivalente</t>
  </si>
  <si>
    <t>Bolsa x 200</t>
  </si>
  <si>
    <t>Punta 10 µl sin filtro o con filtro</t>
  </si>
  <si>
    <t>Brand</t>
  </si>
  <si>
    <t>Caja x  racks x 96</t>
  </si>
  <si>
    <t xml:space="preserve">Punta 10 ml Finntip
Compatible con micropipetas Eppendorf,  Boeco, Brand, Fisherbrand, Finnpipette, </t>
  </si>
  <si>
    <t>Fisher Scientific 21-377-146 o Labsystems 9402150 o THERMO SCIENTIFIC  o FINNTIP 53516-020o equivalente</t>
  </si>
  <si>
    <t>Caja x 40 o bolsa x 200</t>
  </si>
  <si>
    <t>Punta 100 µl sin filtro o con filtro</t>
  </si>
  <si>
    <t>Punta 1000 µl sin filtro</t>
  </si>
  <si>
    <t>Punta 10-100 µl sin filtro libre de RNAsa, DNAsa y pirógenos. 
Compatible con micropipetas  Eppendorf, Jencons, Boeco, Brand, Fisherbrand, Finnpipette, NICHIRYO</t>
  </si>
  <si>
    <t>Axygen o brand o"fisher scientific o Axygen 14-222-907
ZT-100R" o equivalente</t>
  </si>
  <si>
    <t>96 Tips/Rack x  10 Racks/Pack</t>
  </si>
  <si>
    <t xml:space="preserve">Punta 1-10 ml para transferpipeta H de longitud 156,5 mm, Ø aproximado 15mm. </t>
  </si>
  <si>
    <t>Brand 702603 o equivalente</t>
  </si>
  <si>
    <t xml:space="preserve">Punta 1 y/o  5 ul -100 µl con filtro de libres de RNasas y Dnasas 
Compatibles con micropipetas Eppendorf,  Boeco, Brand, Fisherbrand, Finnpipette, </t>
  </si>
  <si>
    <t>TipOne o equivalente</t>
  </si>
  <si>
    <t xml:space="preserve">Punta 1-20 µl con filtro, esteriles ,  libre de Dnasa y Rnasa
Compatibles con micropipetas Eppendorf, , Boeco, Brand, Fisherbrand, Finnpipette, </t>
  </si>
  <si>
    <t xml:space="preserve">TipOne o BRAND 732726  o equivalente </t>
  </si>
  <si>
    <t xml:space="preserve">Punta  1 y/o 5 ul a 200 µl, esteriles , con filtro libre de Dnasa y Rnasa
Compatibles con micropipetas Eppendorf, , Boeco, Brand, Fisherbrand, Finnpipette, </t>
  </si>
  <si>
    <t>TipOne o "Brand
Ref: 732612" o equivalente</t>
  </si>
  <si>
    <t>Punta 200 µl trasparente, incolora
compatibles con micropipetas de las marcas (Socorex , axygen, capp bravo) resistentes a autoclavado</t>
  </si>
  <si>
    <t xml:space="preserve">Socorex o Axygen o Cap Bravo o LABCON  (THOMAS SCIENTIFIC) 7740C96 o equivalentes </t>
  </si>
  <si>
    <t>Punta 250 µl universal trasparente, incolora autoclavables finntip 
Compatibles con micropipetas Eppendorf, Jencons, Boeco, Brand, Fisherbrand, Finnpipette, NICHIRYO</t>
  </si>
  <si>
    <t>Finnitip 9400-230 o Fisher 21-377-45 o equivalente</t>
  </si>
  <si>
    <t>Punta 250 µl Universal trasparente, incolora o amarilla
Compatibles con micropipetas Eppendorf, Jencons, Boeco, Brand, Fisherbrand, Finnpipette, NICHIRYO</t>
  </si>
  <si>
    <t>Thermo Fisher  o Scientifico   Finnitip 9400-260 o equivalente</t>
  </si>
  <si>
    <t xml:space="preserve">Punta 1 y/o 5 ul a  300 µl color transparente, incolora o amarilla
Compatibles con micropipetas Eppendorf, Boeco, Brand, Fisherbrand, Finnpipette, </t>
  </si>
  <si>
    <t>Labsystems 9401260 o BRAND 732010 o equivalente</t>
  </si>
  <si>
    <t>Punta 300 µl con filtro Finntip
Compatibles con micropipetas Eppendorf, Jencons, Boeco, Brand, Fisherbrand, Finnpipette, NICHIRYO</t>
  </si>
  <si>
    <t>Labsystems 94052350 o equivalente</t>
  </si>
  <si>
    <t xml:space="preserve">Punta 50 ó 100 µl  a 1000 µl con filtro libres de RNAsa, DNAsa y pirógenos. 
Compatibles con micropipetas Eppendorf, Jencons, Boeco, Brand, Fisherbrand, Finnpipette, NICHIRYO </t>
  </si>
  <si>
    <t xml:space="preserve">TipOne o equivalente  Brand Ref: 732734 </t>
  </si>
  <si>
    <t>Punta 50-1000 µl libre de Dnasas y Rnasas
Compatibles con micropipetas Eppendorf, Jencons, Boeco, Brand, Fisherbrand, Finnpipette, NICHIRYO</t>
  </si>
  <si>
    <t>Brand 7320 12  o equivalente</t>
  </si>
  <si>
    <t>Punta de 100-1000 uL
Compatible con micropipetas Eppendorf, Jencons, Boeco, Brand, Fisherbrand, Finnpipette, NICHIRYO</t>
  </si>
  <si>
    <t>Bolsa x1000</t>
  </si>
  <si>
    <t>Puntas para pipetas no esteriles 0,1 - 20 µl, PP, incoloras</t>
  </si>
  <si>
    <t>BRAND o Thermo o equivalente</t>
  </si>
  <si>
    <t>Bolsa x 1000 unidades</t>
  </si>
  <si>
    <t xml:space="preserve">Rack para almacenamiento de puntas de 5 ml Tip box, con plataforma vacía </t>
  </si>
  <si>
    <t>Brand Ref 7026 05 o equivalente</t>
  </si>
  <si>
    <t>Rastrillo  bacteriologico autoclavable  vidrio, para sembrar bacterias en medio de cultivo.</t>
  </si>
  <si>
    <t xml:space="preserve"> </t>
  </si>
  <si>
    <t>Recipiente familiar  No. 3</t>
  </si>
  <si>
    <t>Unidad x 1,8 L</t>
  </si>
  <si>
    <t>Recipiente familiar  No. 4</t>
  </si>
  <si>
    <t>Unidad x 4 L</t>
  </si>
  <si>
    <t>Recuperador con punta imantada para varilla de agitación  eje flexible 43,2cm</t>
  </si>
  <si>
    <t xml:space="preserve">GEEKAY o equivalente </t>
  </si>
  <si>
    <t>Reservorio para reactivos capacidad de 50ml autoclavable</t>
  </si>
  <si>
    <t>VISTALAB THOMAS SCIENTIFIC 3054-1007 o equivalente</t>
  </si>
  <si>
    <t xml:space="preserve">Paquete x 10 </t>
  </si>
  <si>
    <t>Respiradores quirúrgicos N95 , cinco capas, eficiencia de filtración de aire igual o mayor al  95%., certificación en el cumplimiento del estándar NIOSH, registro IMVIMA (equivalene norma europea FFP3 EN 149: 2001 + A1: 2009)</t>
  </si>
  <si>
    <t xml:space="preserve">3M o Nitta. </t>
  </si>
  <si>
    <t>Caja x 10 Unds</t>
  </si>
  <si>
    <t>Rollo de papel para esterilizacion sin fuelle indicadores para vapor, gas y formaleido</t>
  </si>
  <si>
    <t>5 cm * 200m</t>
  </si>
  <si>
    <t xml:space="preserve">10 cm *200 m </t>
  </si>
  <si>
    <t>Silica gel indicador</t>
  </si>
  <si>
    <t xml:space="preserve">CARLO ERBA 453317 o equivalente </t>
  </si>
  <si>
    <t>Sobre Entomológico dimensiones 8 x 15 cm.</t>
  </si>
  <si>
    <t>Paquete x 50 und</t>
  </si>
  <si>
    <t>Soporte de mesa para 6 micropipetas  transferpette S o digital tipo carrusel</t>
  </si>
  <si>
    <t>Brand 704805 o equivalente</t>
  </si>
  <si>
    <t>Soporte lineal para 4 micropipetas o superior</t>
  </si>
  <si>
    <t>Brand o "Boeco
Ref: 04404614" o equivalente</t>
  </si>
  <si>
    <t>Soporte organizador de implementos de aseo en aluminio o polipropileno para fijar en pared con tornillos con tres soportes o sostenedores que se auto-ajusten a diversos diámetros de mangos. Puede incluir 1 o 2 ganchos adicionales.</t>
  </si>
  <si>
    <t>Soporte universal de laboratorio con varilla 50-60 cm</t>
  </si>
  <si>
    <t xml:space="preserve">Tamiz malla No. 30 (600 µm) con marco de acero inoxidable de 8 pulgadas de diámetro por 2 Pulgadas de altura con malla de acero inoxidable que cumple con la norma ASTM E11. </t>
  </si>
  <si>
    <t>Pinzuar o equivalente</t>
  </si>
  <si>
    <t xml:space="preserve">Tamiz malla No. 325 (45 µm) con marco de acero inoxidable de 8 pulgadas de diámetro por 2 Pulgadas de altura con malla de acero inoxidable que cumple con la norma ASTM E11. </t>
  </si>
  <si>
    <t>Tamiz malla No. 35 (500 μm)  con marco de acero inoxidable de 8 pulgadas de diametro por 2 pulgadas de altura con malla de acero inoxidable que cumple con la norma ASTM E11.</t>
  </si>
  <si>
    <t xml:space="preserve">Tamiz malla No. 60 (250 μm) con marco de acero inoxidable de 8 pulgadas de diámetro por 2 Pulgadas de altura con malla de acero inoxidable que cumple con la norma ASTM E11. </t>
  </si>
  <si>
    <t>Tamiz No  100 (150 μm) con marco de acero inoxidable de 8 pulgadas de diámetro por 2 Pulgadas de altura con malla de acero inoxidable que cumple con la norma ASTM E11.</t>
  </si>
  <si>
    <t>Tamiz No 400 (38 μm) con marco de acero inoxidable de 8 pulgadas de diámetro por 2 Pulgadas de altura con malla de acero inoxidable que cumple con la norma ASTM E11.</t>
  </si>
  <si>
    <t>Tanque de almacenamiento de Nitrogeno  capacidad para 30 a 41 lt</t>
  </si>
  <si>
    <t>Tapa agrafe farmacéutico para frasco inyectable de 20mm de 50 ml de capacidad</t>
  </si>
  <si>
    <t>Tapa azul GL 32 en PP autoclavable a 140ºC</t>
  </si>
  <si>
    <t>DURAN: 292391907 o SCHOTT o equivalente</t>
  </si>
  <si>
    <t>Tapa azul GL 45 en PP autoclavable a 140ºC</t>
  </si>
  <si>
    <t>DURAN o BOECO 1452 o SCHOTT o equivalente</t>
  </si>
  <si>
    <t>Tapa para vial con septa preperforada 9mm JGF ROY CAP T/S SLIT</t>
  </si>
  <si>
    <t xml:space="preserve">Bolsa  x 100 tapas </t>
  </si>
  <si>
    <t>Tapones de inyección de caucho de butilo de color gris de 20 MM (para agrafe)</t>
  </si>
  <si>
    <t xml:space="preserve">Paquete x 1000 </t>
  </si>
  <si>
    <t>Tenedor grande liso  completamente en material autoclavable</t>
  </si>
  <si>
    <t>Termohigrómetro  para máximas y mínimas con rango de temperatura entre 0 y 50 grados centígrados y humedad relativa menor a 95% con sonda
Con certificado de calibración emitido por un laboratorio certificado por el ONAC.</t>
  </si>
  <si>
    <t>Minipa MT 241 o  Fisherbrand 14-649-84 - TraceableGO ™ TemperatureData o equivalente</t>
  </si>
  <si>
    <t>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
Con certificado de calibración emitido por un laboratorio certificado por el ONAC.</t>
  </si>
  <si>
    <t xml:space="preserve">Extech
Modelo RHT20 o equivalente </t>
  </si>
  <si>
    <t>Termometro digital con sensor externo para ultracongelador
Con certificado de calibración emitido por un laboratorio acreditado por ONAC.</t>
  </si>
  <si>
    <t>Fisher Scientific 15-081-108 o equivalente</t>
  </si>
  <si>
    <t>Termómetro digital con sensor interno y externo in/out, con alarma, calibrado por laboratorio acreditado ante ONAC. Ajuste de alarma para temperaturas altas/bajas al aire libre Memoria de temperatura para Max/Min, que puede ser reseteada en cualquier momento Display que muestra la temperatura interior o exterior Cambio entre °C y °F Pantalla digital grande y claro Sensor exterior a prueba de agua Fijación magnética Cinta mágica velcro Especificaciones: Rango: -5°C ~ 50 C/ 14°F ~ 122°F (Indoor) -50°C ~ 70°C/-58°F ~ 158°F (outdoor) Precisión: ± 1°C / ± 1.8° F  Resolución: 0,1°C Tiempo de respuesta: 10 Segundos Longitud del sensor outdoor: 3 m Tamaño: 60-100 x 60-100 x 10-20 mm. Se entrega certificado de calibración NIST expedido por la fábrica y certificado de vericación. Garantía: Un año por defectos de fabricación.
Con certificado de calibración emitido por un laboratorio acreditado por ONAC.</t>
  </si>
  <si>
    <t>CONTROL COMPANY thermo Scientific 9338E70 (4126) o equivalente</t>
  </si>
  <si>
    <t>Termómetro digital con sensor para inmersión tipo PT100
Resolución: 0,1 °C
Rango de medición: -10 °C a 50 °C
Diámetro: 5 mm
Longitud de la sonda: 50 mm
Con 3 juegos de baterías
Con certificado de calibración emitido por un laboratorio acreditado por ONAC.</t>
  </si>
  <si>
    <t>Tijera de 13 - 15  cm en acero inoxidable punta recta</t>
  </si>
  <si>
    <t>Dimera  REF: 0816014  o equivalente</t>
  </si>
  <si>
    <t>Tijera de 13 - 15 cm en acero inoxidable punta curva</t>
  </si>
  <si>
    <t>Dimeda o Hospital REF: M-018-161 o equivalente</t>
  </si>
  <si>
    <t>Tijera de disección micro tijera tipo pinza 7.5 o 12,5 cm  punta recta</t>
  </si>
  <si>
    <t xml:space="preserve">HOSPITAL o Dimera o equivalente </t>
  </si>
  <si>
    <t>Tijera de mayo recta en acero inoxidable 15 -16 cm</t>
  </si>
  <si>
    <t>Tijera iris para microcirugía en acero inoxidable de 11 cm de longitud, con punta extradelgada y hoja inferior aserrada</t>
  </si>
  <si>
    <t>Westcott o VWR 76457-350 o equivalente</t>
  </si>
  <si>
    <t>Tijeras para necropsia de aves</t>
  </si>
  <si>
    <t>Avinstrumentosmentos o equivalente</t>
  </si>
  <si>
    <t>Timer digital 4 canales</t>
  </si>
  <si>
    <t>vwr Ref: 89203-042 o equivalente</t>
  </si>
  <si>
    <t>Tinta para impresora de etqiuetas</t>
  </si>
  <si>
    <t>NA</t>
  </si>
  <si>
    <t>Tira indicadora de pH 0-14</t>
  </si>
  <si>
    <t>Merck o  WHATMAN (CYTIVA) 2613-991 o equivalente</t>
  </si>
  <si>
    <t>Caja x 100 tests
(tiras)</t>
  </si>
  <si>
    <t>Tiras indicadoras de pH: Rango 6,5-10,0 ±0,2</t>
  </si>
  <si>
    <t xml:space="preserve">Merck o equivalente
</t>
  </si>
  <si>
    <t xml:space="preserve">Caja x 100 tests
</t>
  </si>
  <si>
    <t xml:space="preserve">Toalla absorbente multiusos reutilizable, presentación en rollo por mínimo 58 toallas  </t>
  </si>
  <si>
    <t>Scott o familia o equivalente</t>
  </si>
  <si>
    <t>Toalla de manos doblada en Z Natural Triple hoja</t>
  </si>
  <si>
    <t>Familia 73547 o equivalente</t>
  </si>
  <si>
    <t>Caja x 24 paquetes</t>
  </si>
  <si>
    <t>Tubo cónico de 0,5ml  en polipropileno grado médico, libre de RNasas y DNasas, esterilizables. Resistentes fuerza centrífuga hasta x 30000g o superior autoclavables, libres de pirógenos, resistentes a temperaturas de -80 hasta 121 °C</t>
  </si>
  <si>
    <t>Eppendorf o"FisherBrand
Ref: 05-408-120"o equivalente</t>
  </si>
  <si>
    <t>Bolsa x 500</t>
  </si>
  <si>
    <t xml:space="preserve">Tubo cónico de 1,5 ml en polipropileno grado médico, libre de RNasas y DNasas, estériles o no estériles. Resistentes fuerza centrífuga hasta x  30000g o superior, autoclavables, libres de pirógenos, resistentes a temperaturas de -80 hasta 121 °C </t>
  </si>
  <si>
    <t>Fisher 05-408-129 o "vwr
Ref: 20170-038"o Axygen o equivalente</t>
  </si>
  <si>
    <t>Tubo de centrífuga de 15 ml en polipropileno, estéril, tapa rosca, fondo cónico, velocidad de centrífugación 12000 RPM, autoclavable (sin la tapa), rango de temperatura de -40 a +80ºC, con graduación impresa.</t>
  </si>
  <si>
    <t>Falcon 352095 Fisher 11889640 o VWR  REF: 89039-664 o
Corning o equivalente</t>
  </si>
  <si>
    <t>Tubo de centrífuga de 50 ml en polipropileno con tapa y sello de tapón, fondo cónico, estéril, graduado, velocidad de centrífugación 12000 RPM, autoclavable (sin la tapa), rango de temperatura de -40 a +80º C, con graduación impresa.</t>
  </si>
  <si>
    <t>Corning 430290 o equivalente</t>
  </si>
  <si>
    <t>Tubo de microdilución de 1.1 ml</t>
  </si>
  <si>
    <t>THERMO SCIENTIFIC  PI15086 o equivalente</t>
  </si>
  <si>
    <t>Bolsa x 960</t>
  </si>
  <si>
    <t xml:space="preserve">Tubo de vidrio refractario tapa rosca 16x150 mm capacidad 20 ml </t>
  </si>
  <si>
    <t>DWK LIFE SCIENCES  73750 - 16150 o equivalente</t>
  </si>
  <si>
    <t>Tubo de vidrio tapa rosca 13x100 mm</t>
  </si>
  <si>
    <t>Pyrex Plus, Sigma o equivalente</t>
  </si>
  <si>
    <t>Tubo de vidrio tapa rosca x 10 ml</t>
  </si>
  <si>
    <t>Pyrex o Cole Parmer, Brand PZ-06324-60, BRAND  ™ 11393 FISHER 10742512 o equivalente</t>
  </si>
  <si>
    <t>Tubo microhematocrito sin heparina</t>
  </si>
  <si>
    <t>Marienfeld o BRAND 749321 o equivalente</t>
  </si>
  <si>
    <t>Frasco x 100</t>
  </si>
  <si>
    <t>Tubo para muestra de sangre SSTTM Suero con Gel Separador 8.5 ml. con fecha de vencimiento minimo de un año a partir de la fecha de entrega.</t>
  </si>
  <si>
    <t>Vacutest o equivalente</t>
  </si>
  <si>
    <t xml:space="preserve">Tubo para PCR 0.2 ml con tapa plana libres de Dnasas y RNAsas </t>
  </si>
  <si>
    <t>Thermo Scientific o VWR o "Brand
Ref: 781203", Axygen o equivalente</t>
  </si>
  <si>
    <t>Tubo para toma de sangre al vacío tapón lila. Plástico, tapón hemogard de 9.0 ml. Aditivo siliconizado, con fecha de vencimiento minimo de un año a partir de la fecha de entrega.</t>
  </si>
  <si>
    <t>Vacutest Kima 11030 o equivalente</t>
  </si>
  <si>
    <t xml:space="preserve">Tubo tipo Vacutainer tapa roja ( sin anticoagulante) con activador de coagulo, recubrimiento interior de silicona y tapon lubricado con silicona  de 6 a 9ml </t>
  </si>
  <si>
    <t xml:space="preserve">BD Vacutainer o Vacuette o equivalente </t>
  </si>
  <si>
    <t>Bandeja X 100</t>
  </si>
  <si>
    <t>Tubos cónico de 2 ml, tapa plana de borde largo, libres de Rnasas, Dnasa y pirógenos, color Natural, Ultra Transparentes, rótulo esmerilado, graduados,</t>
  </si>
  <si>
    <t>Eppendorf, o VWR REF:20170-170 o equivalente</t>
  </si>
  <si>
    <t xml:space="preserve">Tubos conicos de 15ml </t>
  </si>
  <si>
    <t>MP BIOMEDICALS  116930000, no puede ser equivalente</t>
  </si>
  <si>
    <t>Bolsa x 50</t>
  </si>
  <si>
    <t>Tubos de ensayo de vidrio de 20 ml de capacidad con rosca y tapa</t>
  </si>
  <si>
    <t>Corning™ 99447-20 código de producto 11313865 o equivalente</t>
  </si>
  <si>
    <t>Caja x 500 unidades</t>
  </si>
  <si>
    <t xml:space="preserve">Tubos tipo eppendorf 600 ul en polipropileno grado médico, libre de RNasas y DNasas, estériles. Resistentes fuerza centrífuga hasta x  30000g autoclavables, libres de pirógenos, resistentes a temperaturas de -80 hasta 121 °C </t>
  </si>
  <si>
    <t xml:space="preserve">"Bioplast VWR
Ref: 21150-468" o equivalente </t>
  </si>
  <si>
    <t>Vara para retirar varillas magnéticas, con núcleo magnético completamente encapsulado en PTFE. 
Longitud 300 - 350 mm. Ø: 8 mm</t>
  </si>
  <si>
    <t>Brand 137720 o equivalente</t>
  </si>
  <si>
    <t>Vaso de precipitado de 5000 ml vidrio forma baja con escala Boro silicato 3.3</t>
  </si>
  <si>
    <t xml:space="preserve">Schott o Pirex o glassco o "Normax
Ref: 2110673N" o equivalente </t>
  </si>
  <si>
    <t>Vaso de precipitado de 5ml</t>
  </si>
  <si>
    <t>Schott o duran o equivalente</t>
  </si>
  <si>
    <t xml:space="preserve">Vaso de precipitado de forma baja, vidrio claro de 100 ml. Borosilicato 3.3, impresión en cerámica, que cumpla con las normas DIN 12331/ISO3819  o DIN ISO 3585 e ISO 12 600 o ASTM E960, requisitos Tipo I y USP Tipo I y ASTM E438, Tipo I. </t>
  </si>
  <si>
    <t>Pyrex o Corning o Kymax o Brand o Duran o Brand o equivalente</t>
  </si>
  <si>
    <t>Vaso de precipitado de forma baja, vidrio claro de 50 ml. Borosilicato 3.3, impresión en cerámica, que cumpla con las normas DIN12331/ISO3819 o DIN ISO 3585 e ISO12 600 o ASTM E960, requisitos Tipo I y USP Tipo I y ASTM E438, Tipo I.</t>
  </si>
  <si>
    <t>Vaso de precipitado de forma baja, vidrio claro de 600 ml. Borosilicato 3.3, impresión en cerámica, que cumpla con las normas DIN12331/ISO3819 e ISO12 600 o ASTM E960, requisitos Tipo I y USP Tipo I y ASTM E438, Tipo I.</t>
  </si>
  <si>
    <t xml:space="preserve">Vaso de precipitado en polipropileno de 250 ml </t>
  </si>
  <si>
    <t>Paquete x 6</t>
  </si>
  <si>
    <t>Vaso de precipitado en polipropileno de 400 ml</t>
  </si>
  <si>
    <t>Vaso de precipitado en polipropileno de 5000 ml Rigido traslucido o traslucido trasparente con escala</t>
  </si>
  <si>
    <t>kartell o corning o vitlab o nalgene o equivalente</t>
  </si>
  <si>
    <t>Vaso de precipitado en polipropileno de 600 ml</t>
  </si>
  <si>
    <t xml:space="preserve">Paquete x 4 </t>
  </si>
  <si>
    <t>Vaso de precipitado en vidrio claro de 1000 ml, en borosilicato 3.3, forma alta con graduación y pico. 
Diámetro x Altura 95 x 180 mm, impresión en cerámica, DIN12331/ISO3819 e ISO12 600 o ASTM E960, requisitos Tipo I y USP Tipo I y ASTM E438, Tipo I.</t>
  </si>
  <si>
    <t>Pyrex o Corning o Kymax o Brand o Duran, Brand o equivalente</t>
  </si>
  <si>
    <t>Vaso de precipitado en vidrio claro de 2000 ml. Borosilicato 3.3, impresión en cerámica, DIN12331/ISO3819 e ISO12 600 o ASTM E960, requisitos Tipo I y USP Tipo I y ASTM E438, Tipo I.</t>
  </si>
  <si>
    <t>Vaso de precipitado en vidrio claro de 4000 o 5000 ml. Borosilicato 3.3, impresión en cerámica</t>
  </si>
  <si>
    <t>Vaso de precipitado vidrio claro de 10 ml. Borosilicato 3.3, impresión en cerámica, que cumpla con las normas DIN12331/ISO3819 e ISO12 600 o ASTM E960, requisitos Tipo I y USP Tipo I y ASTM E438, Tipo I.</t>
  </si>
  <si>
    <t>Vaso de precipitado vidrio claro de 25 ml. Borosilicato 3.3, impresión en cerámica, que cumpla con las normas DIN12331/ISO3819 e ISO12 600 o ASTM E960, requisitos Tipo I y USP Tipo I y ASTM E438, Tipo I.</t>
  </si>
  <si>
    <t>Vaso de precipitado vidrio claro de 250 ml. Borosilicato 3.3, impresión en cerámica, que cumpla con las normas DIN12331/ISO3819 e ISO12 600 o ASTM E960, requisitos Tipo I y USP Tipo I y ASTM E438, Tipo I.
 Reforzado Heavy Duty Forma Baja</t>
  </si>
  <si>
    <t>Vaso de precipitado vidrio claro de 500 ml. Borosilicato 3.3, impresión en cerámica, con pico que cumpla con las normas Reforzado Heavy Duty Forma Baja</t>
  </si>
  <si>
    <t xml:space="preserve">Vial ámbar de 2 ml con tapa y septa, volumen de llenado 1,7 diámetro de la tapa rosca de 9mm </t>
  </si>
  <si>
    <t>Vial ámbar de 20 a 25 ml, tapa rosca solida con tapón plástico</t>
  </si>
  <si>
    <t>Referencia 1225MLTR o equivalente</t>
  </si>
  <si>
    <t>Caja x 50
o hasta caja x 144</t>
  </si>
  <si>
    <t>Vial ámbar de 4ml, Tapa rosca solida con tapón plástico</t>
  </si>
  <si>
    <t xml:space="preserve">Caja x 100
</t>
  </si>
  <si>
    <t>Vial ámbar de 40 ml o 50 mL, tapa rosca  solida con tapón plástico</t>
  </si>
  <si>
    <t>Caja x 50 a 200</t>
  </si>
  <si>
    <t>Vial ámbar de vidrio  de 2.0 ml con tapa y septa, con zona de escritura, díametro de la tapa rosca 9mm</t>
  </si>
  <si>
    <t>Caja x 100 a 200 o superior</t>
  </si>
  <si>
    <t>Vial de color ámbar para cromatografía 2 ml con tapa y septa</t>
  </si>
  <si>
    <t>Caja x 100 viales</t>
  </si>
  <si>
    <t xml:space="preserve">Vial de cromatografia en vidrio claro. Con tapa tipo rosca, de volumen de 2 ml, certificado para LCMS,  con Septum con hendidura y PTFE/silicone. </t>
  </si>
  <si>
    <t>REF:60000C68CV de WATERS o equivalente</t>
  </si>
  <si>
    <t>Caja x 100/Unidades</t>
  </si>
  <si>
    <t xml:space="preserve">Vial de cromatografia en vidrio claro. Con tapa tipo rosca, de volumen de 2 ml, tipo USP o con certificado para LCMS,  con Septum con hendidura y PTFE/silicone. </t>
  </si>
  <si>
    <t>REF: 5182-0553 de Agilent Technologies o equivalente</t>
  </si>
  <si>
    <t>Vial para cromatografía de 2 mL de volumen, con inserto incluido de 250-300 µl, con tapa rosca de 9 mm 0 12 mm de diámetro.</t>
  </si>
  <si>
    <t>Waters o equivalente</t>
  </si>
  <si>
    <t>Paquete por 100</t>
  </si>
  <si>
    <t>Vial transparentes, 2 ml, 12 x 32 mm, 9 mm thd finish; con tapa 9 mm</t>
  </si>
  <si>
    <t>Vial de cuello de rosca de vidrio transparente certificado por LCGC de 12 x 32 mm, con tapa y septo de PTFE/silicona precortado, volumen de 2 ml.</t>
  </si>
  <si>
    <t>Waters  186000307C o equivalente</t>
  </si>
  <si>
    <t>Caja X100 unidades</t>
  </si>
  <si>
    <t>Vidrio Reloj 50-60 mm de diámetro</t>
  </si>
  <si>
    <t>Vinipel</t>
  </si>
  <si>
    <t>Rollo x 300 m</t>
  </si>
  <si>
    <t>ETIQUETA DE SEGURIDAD  ADHESIVA,   POLIESTER,   GRAMAJE 50 MICRAS , 3X10 CM CON LOGO ICA, NUMERADA, CON TRANSFERENCIA TOTAL , TIPO VOID</t>
  </si>
  <si>
    <t>CAJA TIPO ARCHIVO X200 CALIBRE 720 TROQUELADA 40 cm * 21 cm * 26 cm</t>
  </si>
  <si>
    <t>Presupuesto</t>
  </si>
  <si>
    <t>Suma de Valor Total SAD</t>
  </si>
  <si>
    <t>Suma de Valor Total RED LDF</t>
  </si>
  <si>
    <t>Suma de Valor total RED LDV</t>
  </si>
  <si>
    <t>Suma de  Valor Total LANIP</t>
  </si>
  <si>
    <t>1.   CASA CIENTIFICA BLANCO Y CIA SAS</t>
  </si>
  <si>
    <t xml:space="preserve">11.  INNOVACIÓN TECNOLOGICA SAS    </t>
  </si>
  <si>
    <t xml:space="preserve">12. AM ASESORIA Y MANTENIMIENTO LTDA   </t>
  </si>
  <si>
    <t>7. Avantika Colombia S.A.S</t>
  </si>
  <si>
    <t xml:space="preserve">8. KHYMÓS S.A.S </t>
  </si>
  <si>
    <t>9. EQUIPOS Y LABORATORIO DE COLOMBIA SAS</t>
  </si>
  <si>
    <t>Desierto</t>
  </si>
  <si>
    <t>ÍTEM</t>
  </si>
  <si>
    <t xml:space="preserve">Equipo </t>
  </si>
  <si>
    <t>Marca adjudicada</t>
  </si>
  <si>
    <t>Referencia adjudicada</t>
  </si>
  <si>
    <t>Cantidad Total</t>
  </si>
  <si>
    <t>Adjudicado 2023+ IPC</t>
  </si>
  <si>
    <t>Valor Total SAD</t>
  </si>
  <si>
    <t>Cant. RED LDF</t>
  </si>
  <si>
    <t>Valor Total RED LDF</t>
  </si>
  <si>
    <t>Cant.  LDF&amp;MR</t>
  </si>
  <si>
    <t>Cant. LANIA</t>
  </si>
  <si>
    <t>Cant.  RED LASE</t>
  </si>
  <si>
    <t>Cant.  LDV</t>
  </si>
  <si>
    <t>Valor total RED LDV</t>
  </si>
  <si>
    <t>Cant. LNDV</t>
  </si>
  <si>
    <t>Total  LANIP</t>
  </si>
  <si>
    <t xml:space="preserve"> Valor Total LANIP</t>
  </si>
  <si>
    <t>TOTAL  GGCA</t>
  </si>
  <si>
    <t>Valor Total GGCA</t>
  </si>
  <si>
    <t>TOTAL  SPA</t>
  </si>
  <si>
    <t>LDF Barranquilla</t>
  </si>
  <si>
    <t>LDF Bello</t>
  </si>
  <si>
    <t>LDF Bucaramanga</t>
  </si>
  <si>
    <t>LDF Carepa</t>
  </si>
  <si>
    <t>LDF Cereté</t>
  </si>
  <si>
    <t>LDF Cúcuta</t>
  </si>
  <si>
    <t>LDF Ibagué</t>
  </si>
  <si>
    <t>LDF Manizales</t>
  </si>
  <si>
    <t>LDF Palmira</t>
  </si>
  <si>
    <t>LDF Pasto</t>
  </si>
  <si>
    <t>LDF Sogamoso</t>
  </si>
  <si>
    <t>LDF Villavicencio</t>
  </si>
  <si>
    <t xml:space="preserve">LDF Zona Bananera </t>
  </si>
  <si>
    <t>LAMA</t>
  </si>
  <si>
    <t>LANIA</t>
  </si>
  <si>
    <t>LNDF</t>
  </si>
  <si>
    <t>LNDF REF</t>
  </si>
  <si>
    <t>LCV</t>
  </si>
  <si>
    <t>LOGM</t>
  </si>
  <si>
    <t>LNTC</t>
  </si>
  <si>
    <t>LASE Bucaramanga</t>
  </si>
  <si>
    <t>LASE Ibagué</t>
  </si>
  <si>
    <t>LASE Palmira</t>
  </si>
  <si>
    <t>LASE Valledupar</t>
  </si>
  <si>
    <t>LASE Villavicencio</t>
  </si>
  <si>
    <t>LANASE</t>
  </si>
  <si>
    <t>LDV - Aguachica</t>
  </si>
  <si>
    <t>LDV - Arauca</t>
  </si>
  <si>
    <t>LDV - Barrancabermeja</t>
  </si>
  <si>
    <t>LDV - Cartagena</t>
  </si>
  <si>
    <t>LDV - Cereté</t>
  </si>
  <si>
    <t>LDV - Cúcuta</t>
  </si>
  <si>
    <t>LDV - El Banco</t>
  </si>
  <si>
    <t>LDV - Florencia</t>
  </si>
  <si>
    <t>LDV - Fundación</t>
  </si>
  <si>
    <t>LDV - La Dorada</t>
  </si>
  <si>
    <t>LDV - Manizales</t>
  </si>
  <si>
    <t>LDV - Palmira</t>
  </si>
  <si>
    <t>LDV - Pasto</t>
  </si>
  <si>
    <t>LDV - Popayán</t>
  </si>
  <si>
    <t>LDV - Sincelejo</t>
  </si>
  <si>
    <t>LDV - Sogamoso</t>
  </si>
  <si>
    <t>LDV - Tuluá</t>
  </si>
  <si>
    <t>LDV - Valledupar</t>
  </si>
  <si>
    <t>LDV - Villavicencio</t>
  </si>
  <si>
    <t>LDV - Yopal</t>
  </si>
  <si>
    <t>LDV- Armernia</t>
  </si>
  <si>
    <t>LDV Barranquilla</t>
  </si>
  <si>
    <t>LDV Bello</t>
  </si>
  <si>
    <t>LDV Ibagué</t>
  </si>
  <si>
    <t>LDV Neiva</t>
  </si>
  <si>
    <t>LDV Palmira</t>
  </si>
  <si>
    <t xml:space="preserve">LNDV </t>
  </si>
  <si>
    <t>LNDV UND REF</t>
  </si>
  <si>
    <t>LANIP</t>
  </si>
  <si>
    <t>LASIM</t>
  </si>
  <si>
    <t>SOPORTE</t>
  </si>
  <si>
    <t>SPA</t>
  </si>
  <si>
    <t>Agitador de placas</t>
  </si>
  <si>
    <t>Agitador orbital con incubación Shaker</t>
  </si>
  <si>
    <t>Agitador Vortex</t>
  </si>
  <si>
    <t>VELP</t>
  </si>
  <si>
    <t>TX4</t>
  </si>
  <si>
    <t>Autoclave de mesa de 80-85 litros</t>
  </si>
  <si>
    <t xml:space="preserve">TUTTNAUER </t>
  </si>
  <si>
    <t>3870EL-D</t>
  </si>
  <si>
    <t xml:space="preserve">Autoclave semiautomático de 45 L </t>
  </si>
  <si>
    <t xml:space="preserve">Bactoincinerador </t>
  </si>
  <si>
    <t>Balanza Analítica de 220 gr</t>
  </si>
  <si>
    <t>RADWAG</t>
  </si>
  <si>
    <t>AS 220.X2 PLUS</t>
  </si>
  <si>
    <t>Balanza Analítica de 5 cifras</t>
  </si>
  <si>
    <t>Balanza de plato externo</t>
  </si>
  <si>
    <t>Balanza de precisión de 2000gr</t>
  </si>
  <si>
    <t>PS 2100.X2.M</t>
  </si>
  <si>
    <t>Balanza de precisión Resolución 0,01 de 1000g</t>
  </si>
  <si>
    <t>Balanza de precisión Resolución 0,01 hasta 20g</t>
  </si>
  <si>
    <t>Baño de calibración refrigerado / calentado</t>
  </si>
  <si>
    <t>POLYSIENCE</t>
  </si>
  <si>
    <t>AP15RCAL-A11B 15L</t>
  </si>
  <si>
    <t>Baño para tratamiento hidrotermico</t>
  </si>
  <si>
    <t>Baño serológico</t>
  </si>
  <si>
    <t>THERMO SCIENTIFIC</t>
  </si>
  <si>
    <t>TSGP20</t>
  </si>
  <si>
    <t>Baño serológico seco o Bloque Seco</t>
  </si>
  <si>
    <t>Baño termostatado con ultrasonido</t>
  </si>
  <si>
    <t>Bomba automatizada para dispensar medios de cultivos</t>
  </si>
  <si>
    <t>Bomba de vacío</t>
  </si>
  <si>
    <t>ROCKER</t>
  </si>
  <si>
    <t>ROCKER-400</t>
  </si>
  <si>
    <t xml:space="preserve">Cabina De Bioseguridad clase II tipo A2 </t>
  </si>
  <si>
    <t>Cabina de extracción</t>
  </si>
  <si>
    <t>LABCONCO</t>
  </si>
  <si>
    <t>XSTREAM</t>
  </si>
  <si>
    <t>Cabina de PCR</t>
  </si>
  <si>
    <t>Cámara climatica Calibración de termohigrómetros</t>
  </si>
  <si>
    <t>Cámara compatible con estereo-microscopio NIKON</t>
  </si>
  <si>
    <t>Cámara de exposición UV</t>
  </si>
  <si>
    <t>Camara de Fumigación</t>
  </si>
  <si>
    <t>Centrifuga de mesa no refrigerada</t>
  </si>
  <si>
    <t>Thermo Scientific- Sorvall</t>
  </si>
  <si>
    <t>75009240
75003181 075003655+ 75003656+ 75003682</t>
  </si>
  <si>
    <t>Centrífuga de mesa no refrigerada</t>
  </si>
  <si>
    <t xml:space="preserve">Centrífuga de mesa refrigerada </t>
  </si>
  <si>
    <t>75009381 +   75003652 +   75003694  +  75005808</t>
  </si>
  <si>
    <t xml:space="preserve">Centrífuga de mesa refrigerada (nivel 3) 
Rotores para tubos de 50 y de 10 </t>
  </si>
  <si>
    <t>Centrífuga de mesa refrigerada molecular</t>
  </si>
  <si>
    <t xml:space="preserve">Centrífuga de mesa refrigerada para placas </t>
  </si>
  <si>
    <t>Centrifuga de piso refrigerada</t>
  </si>
  <si>
    <t>Centrífuga de placas</t>
  </si>
  <si>
    <t>VWR</t>
  </si>
  <si>
    <t>89184-608
89184-608+89184-612</t>
  </si>
  <si>
    <t>Conductivimetro pórtatil</t>
  </si>
  <si>
    <t xml:space="preserve">Congelador de alto rendimiento para laboratorio </t>
  </si>
  <si>
    <t xml:space="preserve">PHCBI </t>
  </si>
  <si>
    <t xml:space="preserve">MDF-U731-PA </t>
  </si>
  <si>
    <t>Contador de colonias digital con luz LED</t>
  </si>
  <si>
    <t xml:space="preserve">Cromatografo GC-MS/MS </t>
  </si>
  <si>
    <t xml:space="preserve">Cromatografo LC-MS/MS </t>
  </si>
  <si>
    <t>Cromotografo líquido  con detector DAD de alta resolución</t>
  </si>
  <si>
    <t>Cromotografo líquido UPLC</t>
  </si>
  <si>
    <t>Cuantificador de ácidos nucléicos y proteinas por espectofotometría</t>
  </si>
  <si>
    <t>THERMO-SCIENTIFIC NANODROP</t>
  </si>
  <si>
    <t>912A1099</t>
  </si>
  <si>
    <t>Cuarto congelador de -20°C</t>
  </si>
  <si>
    <t>Cuarto congelador de -30°C</t>
  </si>
  <si>
    <t>Cuarto de Germinación</t>
  </si>
  <si>
    <t xml:space="preserve">TEMPING </t>
  </si>
  <si>
    <t>SM-AC 20A45</t>
  </si>
  <si>
    <t>Cuarto frío</t>
  </si>
  <si>
    <t>Datalogger inalámbricos para validación de autoclaves con 4 sensores de temperatura y uno de presión</t>
  </si>
  <si>
    <t xml:space="preserve">MAGDETECH </t>
  </si>
  <si>
    <t>AVS140-6</t>
  </si>
  <si>
    <t xml:space="preserve">Densimetro con automuestrador </t>
  </si>
  <si>
    <t>Descascarador de arroz</t>
  </si>
  <si>
    <t>Dispensador de parafina para histotecnia con 5 litros de capacidad</t>
  </si>
  <si>
    <t xml:space="preserve">Enfriador de agua para fisicoquimicos </t>
  </si>
  <si>
    <t>Equipo automatizado para detección de patogenos con inmunoensayo</t>
  </si>
  <si>
    <t>Equipo automatizado para determinación de ID/AST</t>
  </si>
  <si>
    <t>Equipo automatizado para recuento de indicadores de calidad para alimentos</t>
  </si>
  <si>
    <t xml:space="preserve">Equipo de dilución automatizado </t>
  </si>
  <si>
    <t xml:space="preserve">Equipo de Filtración al vacio con bomba </t>
  </si>
  <si>
    <t>Equipo de Rayos X para semillas</t>
  </si>
  <si>
    <t xml:space="preserve">Equipo serotipificacion de salmonella </t>
  </si>
  <si>
    <t>Espectrofotómetro de emisión con plasma acoplado inductivamente ICP-OES</t>
  </si>
  <si>
    <t>Agilent</t>
  </si>
  <si>
    <t>Agilent 5800</t>
  </si>
  <si>
    <t>Espectrofotometro UV</t>
  </si>
  <si>
    <t>Estación de trabajo protectora</t>
  </si>
  <si>
    <t>3930001 + KIT</t>
  </si>
  <si>
    <t>Estereo-microscopio</t>
  </si>
  <si>
    <t>Evaporador de Nitrogeno</t>
  </si>
  <si>
    <t xml:space="preserve">THERMO SCIENTIFIC  </t>
  </si>
  <si>
    <t xml:space="preserve"> TS-18826  + TS-18817 </t>
  </si>
  <si>
    <t>Firbetec</t>
  </si>
  <si>
    <t>Fitotrón</t>
  </si>
  <si>
    <t>Germinador</t>
  </si>
  <si>
    <t>Homogeneizador de tejidos</t>
  </si>
  <si>
    <t>Spex Sample Prep</t>
  </si>
  <si>
    <t>Geno Grinder 2010</t>
  </si>
  <si>
    <t>Horno de secado</t>
  </si>
  <si>
    <t>MEMMERT</t>
  </si>
  <si>
    <t>UN160</t>
  </si>
  <si>
    <t>Incubadora  de Convección dual</t>
  </si>
  <si>
    <t>Incubadora  de Convección natural</t>
  </si>
  <si>
    <t>BINDER</t>
  </si>
  <si>
    <t>9010-0326</t>
  </si>
  <si>
    <t>Lavador automático de Microplacas de ELISA</t>
  </si>
  <si>
    <t>Agilent Biotek</t>
  </si>
  <si>
    <t>50 TS</t>
  </si>
  <si>
    <t>Lector de Mircoplacas de ELISA con incubación</t>
  </si>
  <si>
    <t xml:space="preserve">BIOTEK </t>
  </si>
  <si>
    <t xml:space="preserve"> 800TSI </t>
  </si>
  <si>
    <t>Lector Híbrido multimodal con módulo de dispensado dual</t>
  </si>
  <si>
    <t xml:space="preserve"> SH1F </t>
  </si>
  <si>
    <t xml:space="preserve">Liofilizador </t>
  </si>
  <si>
    <t>Medidor de CO2</t>
  </si>
  <si>
    <t>Medidor de Gases (fosfina)</t>
  </si>
  <si>
    <t xml:space="preserve">Microcentrífuga no refrigerada </t>
  </si>
  <si>
    <t>Microscopio de contraste de fases con cámara especializada</t>
  </si>
  <si>
    <t>Microscopio de contraste de fases con técnica IC y cámara especializada</t>
  </si>
  <si>
    <t>Microscopio invertido de contraste fases</t>
  </si>
  <si>
    <t>Microtomo electrónico motorizado</t>
  </si>
  <si>
    <t>Patrón de masa Clase E2</t>
  </si>
  <si>
    <t>Patrón de masa Clase F1</t>
  </si>
  <si>
    <t>Placa de Imanes para Kits de aislamiento de ARN basado en perlas magneticas</t>
  </si>
  <si>
    <t>INVITROGEN</t>
  </si>
  <si>
    <t>AM10027</t>
  </si>
  <si>
    <t>Plancha de calentamiento con agitación magnética</t>
  </si>
  <si>
    <t>REF F20510551</t>
  </si>
  <si>
    <t>Plancha de Calentamiento de cuatro puestos</t>
  </si>
  <si>
    <t>VELP SCIENTIFICA</t>
  </si>
  <si>
    <t>AM4 DIGITAL PRO SA20500425</t>
  </si>
  <si>
    <t>Potenciómetro</t>
  </si>
  <si>
    <t>ORION STARA2119</t>
  </si>
  <si>
    <t>Procesador de alimentos de alta capacidad</t>
  </si>
  <si>
    <t xml:space="preserve">Refrigerador para laboratorio de alto rendimiento </t>
  </si>
  <si>
    <t>TSX2305GY</t>
  </si>
  <si>
    <t xml:space="preserve">Secuenciador de ADN en formato llave USB </t>
  </si>
  <si>
    <t>Sensor de temperatura tipo bala</t>
  </si>
  <si>
    <t>Sistema de cromatografía líquida HPLC- DAD con detector de fluorescencia</t>
  </si>
  <si>
    <t>Vanquish Flex</t>
  </si>
  <si>
    <t>Sistema de documentación de geles</t>
  </si>
  <si>
    <t>BIO-RAD</t>
  </si>
  <si>
    <t xml:space="preserve">Sistema de electroforesis con fuente de poder de dos cámaras independientes 
</t>
  </si>
  <si>
    <t>170SUB-GT</t>
  </si>
  <si>
    <t>Sistema de extracción</t>
  </si>
  <si>
    <t xml:space="preserve">Sistema de purificación para agua tipo 1 </t>
  </si>
  <si>
    <t>ZRQSVP300 + SPR00SIA1 + MPGL04GK2 + PRETRATAM + SMPMILLIQ + SIEQUIPOTIPOI + CABLEPODER + CT01 + 155109-43 + CT05</t>
  </si>
  <si>
    <t>Sistema de purificación para agua tipo 1 con tanque de almacenamiento de 100 litros</t>
  </si>
  <si>
    <t>Sistema de secuenciación de genoma completo</t>
  </si>
  <si>
    <t>Sistema Digestor Microondas con dos rotores</t>
  </si>
  <si>
    <t>Milestone</t>
  </si>
  <si>
    <t>ETHOS UP</t>
  </si>
  <si>
    <t xml:space="preserve">Subdestilador de ácidos para ICP </t>
  </si>
  <si>
    <t>duoPUR Quartz Acid Purification System</t>
  </si>
  <si>
    <t>Tamizadora</t>
  </si>
  <si>
    <t>Tamizadora digital</t>
  </si>
  <si>
    <t>ORTO ALRESA</t>
  </si>
  <si>
    <t>OASS203 TA 006</t>
  </si>
  <si>
    <t>Termociclador de PCR en tiempo Real</t>
  </si>
  <si>
    <t>Termociclador digital</t>
  </si>
  <si>
    <t>Termociclador PCR de punto final con bloques múltiples</t>
  </si>
  <si>
    <t>Termohigrobarometro patrón</t>
  </si>
  <si>
    <t>Termohigrometro datalogger</t>
  </si>
  <si>
    <t xml:space="preserve">Termohigrometro patrón </t>
  </si>
  <si>
    <t>Termomixer</t>
  </si>
  <si>
    <t>Ultracongelador de - 80°C</t>
  </si>
  <si>
    <t>MDF-DU702VHA-PA + SDR-624P + MDF-7ID4-PW</t>
  </si>
  <si>
    <t>A partir de esta linea agregar nuevos ítem</t>
  </si>
  <si>
    <t>Presentación desde frasco x 100 ml hasta presentación frasco x 500 ml</t>
  </si>
  <si>
    <t>Presentación desde Frasco x 50g hasta frasco x 250g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</si>
</sst>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_(&quot;$&quot;* \(#,##0.00\);_(&quot;$&quot;* &quot;-&quot;??_);_(@_)"/>
    <numFmt numFmtId="166" formatCode="_-&quot;$&quot;* #,##0_-;\-&quot;$&quot;* #,##0_-;_-&quot;$&quot;* &quot;-&quot;_-;_-@_-"/>
    <numFmt numFmtId="167" formatCode="_-&quot;$&quot;* #,##0.00_-;\-&quot;$&quot;* #,##0.00_-;_-&quot;$&quot;* &quot;-&quot;??_-;_-@_-"/>
    <numFmt numFmtId="168" formatCode="[$-409]General"/>
    <numFmt numFmtId="169" formatCode="_ &quot;$&quot;\ * #,##0.00_ ;_ &quot;$&quot;\ * \-#,##0.00_ ;_ &quot;$&quot;\ * &quot;-&quot;??_ ;_ @_ "/>
    <numFmt numFmtId="170" formatCode="_-* #,##0_-;\-* #,##0_-;_-* &quot;-&quot;??_-;_-@_-"/>
    <numFmt numFmtId="171" formatCode="_-* #,##0\ _€_-;\-* #,##0\ _€_-;_-* &quot;-&quot;??\ _€_-;_-@_-"/>
    <numFmt numFmtId="172" formatCode="_-[$$-240A]\ * #,##0.00_-;\-[$$-240A]\ * #,##0.00_-;_-[$$-240A]\ * &quot;-&quot;??_-;_-@_-"/>
    <numFmt numFmtId="173" formatCode="0.0"/>
    <numFmt numFmtId="174" formatCode="_-[$$-409]* #,##0.00_ ;_-[$$-409]* \-#,##0.00\ ;_-[$$-409]* &quot;-&quot;??_ ;_-@_ "/>
  </numFmts>
  <fonts count="48" x14ac:knownFonts="1">
    <font>
      <sz val="11"/>
      <color theme="1"/>
      <name val="Calibri"/>
      <family val="2"/>
      <scheme val="minor"/>
    </font>
    <font>
      <sz val="10"/>
      <color theme="1"/>
      <name val="Arial"/>
      <family val="2"/>
    </font>
    <font>
      <sz val="11"/>
      <color theme="1"/>
      <name val="Calibri"/>
      <family val="2"/>
      <scheme val="minor"/>
    </font>
    <font>
      <sz val="10"/>
      <color rgb="FF000000"/>
      <name val="Times New Roman"/>
      <family val="1"/>
    </font>
    <font>
      <sz val="11"/>
      <color rgb="FF000000"/>
      <name val="Calibri"/>
      <family val="2"/>
    </font>
    <font>
      <sz val="10"/>
      <color theme="1"/>
      <name val="Arial"/>
      <family val="2"/>
    </font>
    <font>
      <sz val="10"/>
      <name val="Arial"/>
      <family val="2"/>
    </font>
    <font>
      <u/>
      <sz val="11"/>
      <color theme="10"/>
      <name val="Calibri"/>
      <family val="2"/>
      <scheme val="minor"/>
    </font>
    <font>
      <sz val="10"/>
      <color indexed="8"/>
      <name val="Arial"/>
      <family val="2"/>
    </font>
    <font>
      <u/>
      <sz val="7.5"/>
      <color indexed="12"/>
      <name val="Arial"/>
      <family val="2"/>
    </font>
    <font>
      <u/>
      <sz val="10"/>
      <color indexed="12"/>
      <name val="Arial"/>
      <family val="2"/>
    </font>
    <font>
      <sz val="11"/>
      <name val="Bookman Old Style"/>
      <family val="1"/>
    </font>
    <font>
      <u/>
      <sz val="10"/>
      <color theme="10"/>
      <name val="Arial"/>
      <family val="2"/>
    </font>
    <font>
      <sz val="11"/>
      <color rgb="FF000000"/>
      <name val="Calibri"/>
      <family val="2"/>
      <charset val="204"/>
    </font>
    <font>
      <sz val="10"/>
      <name val="Arial"/>
      <family val="2"/>
    </font>
    <font>
      <sz val="8"/>
      <color rgb="FF000000"/>
      <name val="Arial"/>
      <family val="2"/>
    </font>
    <font>
      <sz val="9"/>
      <color rgb="FF000000"/>
      <name val="Arial"/>
      <family val="2"/>
    </font>
    <font>
      <sz val="9"/>
      <color theme="1"/>
      <name val="Arial"/>
      <family val="2"/>
    </font>
    <font>
      <b/>
      <sz val="16"/>
      <color theme="1"/>
      <name val="Arial"/>
      <family val="2"/>
    </font>
    <font>
      <b/>
      <sz val="9"/>
      <name val="Arial"/>
      <family val="2"/>
    </font>
    <font>
      <b/>
      <sz val="8"/>
      <name val="Arial"/>
      <family val="2"/>
    </font>
    <font>
      <sz val="11"/>
      <name val="Arial"/>
      <family val="2"/>
    </font>
    <font>
      <sz val="9"/>
      <name val="Arial"/>
      <family val="2"/>
    </font>
    <font>
      <b/>
      <sz val="9"/>
      <color theme="1"/>
      <name val="Arial"/>
      <family val="2"/>
    </font>
    <font>
      <sz val="9"/>
      <color rgb="FF444444"/>
      <name val="Arial"/>
      <family val="2"/>
    </font>
    <font>
      <b/>
      <sz val="11"/>
      <color rgb="FFFF0000"/>
      <name val="Arial"/>
      <family val="2"/>
    </font>
    <font>
      <sz val="10"/>
      <color rgb="FF000000"/>
      <name val="Arial Narrow"/>
      <family val="2"/>
    </font>
    <font>
      <b/>
      <sz val="10"/>
      <color theme="1"/>
      <name val="Arial Narrow"/>
      <family val="2"/>
    </font>
    <font>
      <sz val="10"/>
      <color theme="1"/>
      <name val="Arial Narrow"/>
      <family val="2"/>
    </font>
    <font>
      <b/>
      <sz val="10"/>
      <name val="Arial Narrow"/>
      <family val="2"/>
    </font>
    <font>
      <sz val="10"/>
      <name val="Arial Narrow"/>
      <family val="2"/>
    </font>
    <font>
      <sz val="8"/>
      <name val="Calibri"/>
      <family val="2"/>
      <scheme val="minor"/>
    </font>
    <font>
      <b/>
      <sz val="10"/>
      <color rgb="FF000000"/>
      <name val="Arial Narrow"/>
      <family val="2"/>
    </font>
    <font>
      <b/>
      <sz val="9"/>
      <color rgb="FF000000"/>
      <name val="Arial"/>
      <family val="2"/>
    </font>
    <font>
      <b/>
      <sz val="10"/>
      <color rgb="FFFF0000"/>
      <name val="Arial Narrow"/>
      <family val="2"/>
    </font>
    <font>
      <sz val="8"/>
      <color theme="1"/>
      <name val="Arial"/>
      <family val="2"/>
    </font>
    <font>
      <b/>
      <sz val="10"/>
      <color theme="1"/>
      <name val="Arial"/>
      <family val="2"/>
    </font>
    <font>
      <b/>
      <sz val="9"/>
      <color rgb="FF000000"/>
      <name val="Arial Narrow"/>
      <family val="2"/>
    </font>
    <font>
      <b/>
      <sz val="9"/>
      <color rgb="FFFF0000"/>
      <name val="Arial Narrow"/>
      <family val="2"/>
    </font>
    <font>
      <b/>
      <sz val="9"/>
      <color theme="1"/>
      <name val="Arial Narrow"/>
      <family val="2"/>
    </font>
    <font>
      <u/>
      <sz val="10"/>
      <color rgb="FF000000"/>
      <name val="Arial Narrow"/>
      <family val="2"/>
    </font>
    <font>
      <vertAlign val="subscript"/>
      <sz val="10"/>
      <color rgb="FF000000"/>
      <name val="Arial Narrow"/>
      <family val="2"/>
    </font>
    <font>
      <sz val="10"/>
      <color rgb="FF2B2B2B"/>
      <name val="Arial Narrow"/>
      <family val="2"/>
    </font>
    <font>
      <u/>
      <sz val="10"/>
      <color theme="10"/>
      <name val="Arial Narrow"/>
      <family val="2"/>
    </font>
    <font>
      <sz val="10"/>
      <color rgb="FF53565A"/>
      <name val="Arial Narrow"/>
      <family val="2"/>
    </font>
    <font>
      <i/>
      <sz val="10"/>
      <color rgb="FF000000"/>
      <name val="Arial Narrow"/>
      <family val="2"/>
    </font>
    <font>
      <i/>
      <sz val="10"/>
      <name val="Arial Narrow"/>
      <family val="2"/>
    </font>
    <font>
      <u/>
      <sz val="10"/>
      <color theme="1"/>
      <name val="Arial Narrow"/>
      <family val="2"/>
    </font>
  </fonts>
  <fills count="16">
    <fill>
      <patternFill patternType="none"/>
    </fill>
    <fill>
      <patternFill patternType="gray125"/>
    </fill>
    <fill>
      <patternFill patternType="solid">
        <fgColor indexed="31"/>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FFF2CC"/>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92D05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rgb="FF000000"/>
      </bottom>
      <diagonal/>
    </border>
    <border>
      <left/>
      <right style="thin">
        <color indexed="64"/>
      </right>
      <top style="thin">
        <color indexed="64"/>
      </top>
      <bottom/>
      <diagonal/>
    </border>
    <border>
      <left style="thin">
        <color rgb="FF000000"/>
      </left>
      <right style="thin">
        <color rgb="FF000000"/>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rgb="FF000000"/>
      </right>
      <top style="thin">
        <color rgb="FF000000"/>
      </top>
      <bottom/>
      <diagonal/>
    </border>
    <border>
      <left/>
      <right style="thin">
        <color indexed="64"/>
      </right>
      <top style="thin">
        <color indexed="64"/>
      </top>
      <bottom style="thin">
        <color rgb="FF000000"/>
      </bottom>
      <diagonal/>
    </border>
  </borders>
  <cellStyleXfs count="146">
    <xf numFmtId="0" fontId="0" fillId="0" borderId="0"/>
    <xf numFmtId="0" fontId="3" fillId="0" borderId="0"/>
    <xf numFmtId="168" fontId="4" fillId="0" borderId="0" applyBorder="0" applyProtection="0"/>
    <xf numFmtId="0" fontId="2" fillId="0" borderId="0"/>
    <xf numFmtId="168" fontId="3" fillId="0" borderId="0" applyBorder="0" applyProtection="0"/>
    <xf numFmtId="0" fontId="6" fillId="0" borderId="0"/>
    <xf numFmtId="41" fontId="6" fillId="0" borderId="0" applyFont="0" applyFill="0" applyBorder="0" applyAlignment="0" applyProtection="0"/>
    <xf numFmtId="166" fontId="6" fillId="0" borderId="0" applyFont="0" applyFill="0" applyBorder="0" applyAlignment="0" applyProtection="0"/>
    <xf numFmtId="41" fontId="5"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0" fontId="12" fillId="0" borderId="0" applyNumberFormat="0" applyFill="0" applyBorder="0" applyAlignment="0" applyProtection="0">
      <alignment vertical="top"/>
      <protection locked="0"/>
    </xf>
    <xf numFmtId="0" fontId="7" fillId="0" borderId="0" applyNumberFormat="0" applyFill="0" applyBorder="0" applyAlignment="0" applyProtection="0"/>
    <xf numFmtId="0" fontId="12" fillId="0" borderId="0" applyNumberFormat="0" applyFill="0" applyBorder="0" applyAlignment="0" applyProtection="0"/>
    <xf numFmtId="0" fontId="9"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2" fillId="0" borderId="0" applyNumberFormat="0"/>
    <xf numFmtId="43" fontId="2" fillId="0" borderId="0" applyFont="0" applyFill="0" applyBorder="0" applyAlignment="0" applyProtection="0"/>
    <xf numFmtId="43" fontId="2" fillId="0" borderId="0" applyFont="0" applyFill="0" applyBorder="0" applyAlignment="0" applyProtection="0"/>
    <xf numFmtId="169" fontId="6" fillId="0" borderId="0" applyFont="0" applyFill="0" applyBorder="0" applyAlignment="0" applyProtection="0"/>
    <xf numFmtId="167" fontId="6" fillId="0" borderId="0" applyFont="0" applyFill="0" applyBorder="0" applyAlignment="0" applyProtection="0"/>
    <xf numFmtId="0" fontId="11" fillId="0" borderId="0"/>
    <xf numFmtId="0" fontId="8" fillId="0" borderId="0">
      <alignment vertical="top"/>
    </xf>
    <xf numFmtId="0" fontId="8" fillId="0" borderId="0"/>
    <xf numFmtId="0" fontId="6" fillId="0" borderId="0"/>
    <xf numFmtId="0" fontId="6" fillId="0" borderId="0"/>
    <xf numFmtId="0" fontId="8" fillId="0" borderId="0">
      <alignment vertical="top"/>
    </xf>
    <xf numFmtId="0" fontId="2" fillId="0" borderId="0"/>
    <xf numFmtId="0" fontId="13" fillId="0" borderId="0"/>
    <xf numFmtId="0" fontId="6" fillId="0" borderId="0"/>
    <xf numFmtId="0" fontId="2" fillId="0" borderId="0"/>
    <xf numFmtId="0" fontId="6" fillId="0" borderId="0"/>
    <xf numFmtId="0" fontId="6" fillId="0" borderId="0" applyNumberFormat="0" applyFont="0" applyFill="0" applyBorder="0" applyAlignment="0" applyProtection="0"/>
    <xf numFmtId="0" fontId="2"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6" fillId="2" borderId="4" applyNumberFormat="0" applyProtection="0">
      <alignment horizontal="left" vertical="center"/>
    </xf>
    <xf numFmtId="0" fontId="6" fillId="0" borderId="0"/>
    <xf numFmtId="41" fontId="6" fillId="0" borderId="0" applyFont="0" applyFill="0" applyBorder="0" applyAlignment="0" applyProtection="0"/>
    <xf numFmtId="166" fontId="6" fillId="0" borderId="0" applyFont="0" applyFill="0" applyBorder="0" applyAlignment="0" applyProtection="0"/>
    <xf numFmtId="41"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1" fontId="6" fillId="0" borderId="0" applyFont="0" applyFill="0" applyBorder="0" applyAlignment="0" applyProtection="0"/>
    <xf numFmtId="166" fontId="6" fillId="0" borderId="0" applyFont="0" applyFill="0" applyBorder="0" applyAlignment="0" applyProtection="0"/>
    <xf numFmtId="41"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0" fillId="0" borderId="0" applyNumberFormat="0" applyFill="0" applyBorder="0" applyAlignment="0" applyProtection="0">
      <alignment vertical="top"/>
      <protection locked="0"/>
    </xf>
    <xf numFmtId="0" fontId="14" fillId="0" borderId="0"/>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0" fontId="6" fillId="0" borderId="0"/>
    <xf numFmtId="0" fontId="6" fillId="0" borderId="0"/>
    <xf numFmtId="44" fontId="1" fillId="0" borderId="0" applyFont="0" applyFill="0" applyBorder="0" applyAlignment="0" applyProtection="0"/>
    <xf numFmtId="167"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0" fontId="7" fillId="0" borderId="0" applyNumberForma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6" fillId="0" borderId="0"/>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cellStyleXfs>
  <cellXfs count="438">
    <xf numFmtId="0" fontId="0" fillId="0" borderId="0" xfId="0"/>
    <xf numFmtId="0" fontId="16" fillId="0" borderId="1" xfId="0" applyFont="1" applyBorder="1" applyAlignment="1">
      <alignment vertical="center" wrapText="1"/>
    </xf>
    <xf numFmtId="0" fontId="0" fillId="0" borderId="0" xfId="0" pivotButton="1"/>
    <xf numFmtId="0" fontId="0" fillId="0" borderId="0" xfId="0" applyAlignment="1">
      <alignment horizontal="left"/>
    </xf>
    <xf numFmtId="44" fontId="0" fillId="0" borderId="0" xfId="0" applyNumberFormat="1"/>
    <xf numFmtId="44" fontId="0" fillId="0" borderId="0" xfId="0" applyNumberFormat="1" applyAlignment="1">
      <alignment wrapText="1"/>
    </xf>
    <xf numFmtId="0" fontId="0" fillId="0" borderId="0" xfId="0" pivotButton="1" applyAlignment="1">
      <alignment horizontal="center" vertical="center"/>
    </xf>
    <xf numFmtId="44" fontId="0" fillId="0" borderId="0" xfId="0" applyNumberFormat="1" applyAlignment="1">
      <alignment horizontal="center" vertical="center" wrapText="1"/>
    </xf>
    <xf numFmtId="0" fontId="0" fillId="0" borderId="0" xfId="0" pivotButton="1" applyAlignment="1">
      <alignment wrapText="1"/>
    </xf>
    <xf numFmtId="0" fontId="0" fillId="0" borderId="0" xfId="0" applyAlignment="1">
      <alignment wrapText="1"/>
    </xf>
    <xf numFmtId="0" fontId="17" fillId="0" borderId="0" xfId="0" applyFont="1"/>
    <xf numFmtId="0" fontId="17" fillId="0" borderId="0" xfId="0" applyFont="1" applyAlignment="1">
      <alignment horizontal="left" vertical="center"/>
    </xf>
    <xf numFmtId="42" fontId="17" fillId="0" borderId="0" xfId="95" applyFont="1" applyAlignment="1">
      <alignment horizontal="center" vertical="center"/>
    </xf>
    <xf numFmtId="170" fontId="17" fillId="0" borderId="0" xfId="96" applyNumberFormat="1" applyFont="1"/>
    <xf numFmtId="0" fontId="18" fillId="3" borderId="0" xfId="0" applyFont="1" applyFill="1"/>
    <xf numFmtId="0" fontId="17" fillId="0" borderId="1" xfId="0" applyFont="1" applyBorder="1"/>
    <xf numFmtId="0" fontId="19" fillId="6" borderId="21" xfId="0" applyFont="1" applyFill="1" applyBorder="1" applyAlignment="1">
      <alignment horizontal="center" vertical="center"/>
    </xf>
    <xf numFmtId="0" fontId="19" fillId="6" borderId="15" xfId="0" applyFont="1" applyFill="1" applyBorder="1" applyAlignment="1">
      <alignment horizontal="center" vertical="center"/>
    </xf>
    <xf numFmtId="0" fontId="19" fillId="6" borderId="15" xfId="0" applyFont="1" applyFill="1" applyBorder="1" applyAlignment="1">
      <alignment horizontal="center" vertical="center" wrapText="1"/>
    </xf>
    <xf numFmtId="0" fontId="20" fillId="11" borderId="1" xfId="1" applyFont="1" applyFill="1" applyBorder="1" applyAlignment="1">
      <alignment horizontal="left" vertical="center" wrapText="1"/>
    </xf>
    <xf numFmtId="42" fontId="19" fillId="7" borderId="15" xfId="95" applyFont="1" applyFill="1" applyBorder="1" applyAlignment="1">
      <alignment horizontal="center" vertical="center" wrapText="1"/>
    </xf>
    <xf numFmtId="170" fontId="19" fillId="7" borderId="15" xfId="96" applyNumberFormat="1" applyFont="1" applyFill="1" applyBorder="1" applyAlignment="1">
      <alignment horizontal="center" vertical="center" wrapText="1"/>
    </xf>
    <xf numFmtId="42" fontId="19" fillId="7" borderId="16" xfId="95" applyFont="1" applyFill="1" applyBorder="1" applyAlignment="1">
      <alignment horizontal="center" vertical="center" wrapText="1"/>
    </xf>
    <xf numFmtId="0" fontId="19" fillId="11" borderId="21" xfId="0" applyFont="1" applyFill="1" applyBorder="1" applyAlignment="1">
      <alignment horizontal="center" vertical="center" textRotation="90" wrapText="1"/>
    </xf>
    <xf numFmtId="0" fontId="19" fillId="11" borderId="15" xfId="0" applyFont="1" applyFill="1" applyBorder="1" applyAlignment="1">
      <alignment horizontal="center" vertical="center" textRotation="90" wrapText="1"/>
    </xf>
    <xf numFmtId="0" fontId="19" fillId="6" borderId="15" xfId="0" applyFont="1" applyFill="1" applyBorder="1" applyAlignment="1">
      <alignment horizontal="center" vertical="center" textRotation="90" wrapText="1"/>
    </xf>
    <xf numFmtId="0" fontId="19" fillId="12" borderId="15" xfId="0" applyFont="1" applyFill="1" applyBorder="1" applyAlignment="1">
      <alignment horizontal="center" vertical="center" textRotation="90" wrapText="1"/>
    </xf>
    <xf numFmtId="0" fontId="19" fillId="10" borderId="15" xfId="0" applyFont="1" applyFill="1" applyBorder="1" applyAlignment="1">
      <alignment horizontal="center" vertical="center" textRotation="90" wrapText="1"/>
    </xf>
    <xf numFmtId="0" fontId="19" fillId="12" borderId="20" xfId="0" applyFont="1" applyFill="1" applyBorder="1" applyAlignment="1">
      <alignment horizontal="center" vertical="center" textRotation="90" wrapText="1"/>
    </xf>
    <xf numFmtId="0" fontId="19" fillId="13" borderId="1" xfId="0" applyFont="1" applyFill="1" applyBorder="1" applyAlignment="1">
      <alignment horizontal="center" vertical="center" textRotation="90" wrapText="1"/>
    </xf>
    <xf numFmtId="0" fontId="19" fillId="6" borderId="2" xfId="0" applyFont="1" applyFill="1" applyBorder="1" applyAlignment="1">
      <alignment horizontal="center" vertical="center" textRotation="90" wrapText="1"/>
    </xf>
    <xf numFmtId="0" fontId="17" fillId="0" borderId="5" xfId="0" applyFont="1" applyBorder="1" applyAlignment="1">
      <alignment horizontal="center" vertical="center"/>
    </xf>
    <xf numFmtId="0" fontId="21" fillId="0" borderId="1" xfId="0" applyFont="1" applyBorder="1" applyAlignment="1">
      <alignment wrapText="1"/>
    </xf>
    <xf numFmtId="0" fontId="22" fillId="0" borderId="11" xfId="0" applyFont="1" applyBorder="1" applyAlignment="1">
      <alignment wrapText="1"/>
    </xf>
    <xf numFmtId="1" fontId="16" fillId="0" borderId="1" xfId="0" applyNumberFormat="1" applyFont="1" applyBorder="1" applyAlignment="1">
      <alignment horizontal="center" vertical="center" wrapText="1"/>
    </xf>
    <xf numFmtId="170" fontId="23" fillId="0" borderId="2" xfId="96" applyNumberFormat="1" applyFont="1" applyFill="1" applyBorder="1" applyAlignment="1">
      <alignment horizontal="center" vertical="center" wrapText="1"/>
    </xf>
    <xf numFmtId="0" fontId="17" fillId="0" borderId="1" xfId="0" applyFont="1" applyBorder="1" applyAlignment="1">
      <alignment horizontal="left" vertical="center" wrapText="1"/>
    </xf>
    <xf numFmtId="170" fontId="19" fillId="8" borderId="1" xfId="96" applyNumberFormat="1" applyFont="1" applyFill="1" applyBorder="1" applyAlignment="1">
      <alignment vertical="center" wrapText="1"/>
    </xf>
    <xf numFmtId="171" fontId="17" fillId="0" borderId="1" xfId="95" applyNumberFormat="1" applyFont="1" applyBorder="1" applyAlignment="1">
      <alignment horizontal="center" vertical="center"/>
    </xf>
    <xf numFmtId="1" fontId="17" fillId="0" borderId="1" xfId="95" applyNumberFormat="1" applyFont="1" applyFill="1" applyBorder="1" applyAlignment="1">
      <alignment horizontal="center" vertical="center"/>
    </xf>
    <xf numFmtId="171" fontId="17" fillId="0" borderId="1" xfId="0" applyNumberFormat="1" applyFont="1" applyBorder="1"/>
    <xf numFmtId="1" fontId="17" fillId="0" borderId="1" xfId="0" applyNumberFormat="1" applyFont="1" applyBorder="1" applyAlignment="1">
      <alignment horizontal="center" vertical="center"/>
    </xf>
    <xf numFmtId="170" fontId="17" fillId="0" borderId="1" xfId="96" applyNumberFormat="1" applyFont="1" applyBorder="1"/>
    <xf numFmtId="1" fontId="17" fillId="0" borderId="1" xfId="0" applyNumberFormat="1" applyFont="1" applyBorder="1" applyAlignment="1">
      <alignment horizontal="center"/>
    </xf>
    <xf numFmtId="1" fontId="23" fillId="0" borderId="1" xfId="95" applyNumberFormat="1" applyFont="1" applyFill="1" applyBorder="1" applyAlignment="1">
      <alignment horizontal="center" vertical="center" wrapText="1"/>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7" fillId="0" borderId="2" xfId="0" applyFont="1" applyBorder="1"/>
    <xf numFmtId="0" fontId="22" fillId="0" borderId="1" xfId="0" applyFont="1" applyBorder="1" applyAlignment="1">
      <alignment wrapText="1"/>
    </xf>
    <xf numFmtId="0" fontId="16" fillId="0" borderId="1" xfId="0" applyFont="1" applyBorder="1" applyAlignment="1">
      <alignment horizontal="left" vertical="center" wrapText="1"/>
    </xf>
    <xf numFmtId="1" fontId="17" fillId="4" borderId="1" xfId="0" applyNumberFormat="1" applyFont="1" applyFill="1" applyBorder="1" applyAlignment="1">
      <alignment horizontal="center" vertical="center"/>
    </xf>
    <xf numFmtId="0" fontId="21" fillId="0" borderId="1" xfId="0" applyFont="1" applyBorder="1" applyAlignment="1">
      <alignment horizontal="left" vertical="center" wrapText="1"/>
    </xf>
    <xf numFmtId="0" fontId="21" fillId="0" borderId="1" xfId="0" applyFont="1" applyBorder="1" applyAlignment="1">
      <alignment vertical="center" wrapText="1"/>
    </xf>
    <xf numFmtId="0" fontId="16" fillId="9" borderId="1" xfId="0" applyFont="1" applyFill="1" applyBorder="1" applyAlignment="1">
      <alignment horizontal="left" vertical="center" wrapText="1"/>
    </xf>
    <xf numFmtId="0" fontId="16" fillId="0" borderId="0" xfId="0" applyFont="1" applyAlignment="1">
      <alignment horizontal="left" vertical="center" wrapText="1"/>
    </xf>
    <xf numFmtId="0" fontId="17" fillId="5" borderId="1" xfId="0" applyFont="1" applyFill="1" applyBorder="1" applyAlignment="1">
      <alignment horizontal="center" vertical="center"/>
    </xf>
    <xf numFmtId="0" fontId="15" fillId="0" borderId="1" xfId="0" applyFont="1" applyBorder="1" applyAlignment="1">
      <alignment vertical="center" wrapText="1"/>
    </xf>
    <xf numFmtId="0" fontId="22" fillId="0" borderId="1" xfId="0" applyFont="1" applyBorder="1" applyAlignment="1">
      <alignment vertical="center" wrapText="1"/>
    </xf>
    <xf numFmtId="0" fontId="17" fillId="0" borderId="1" xfId="0" applyFont="1" applyBorder="1" applyAlignment="1">
      <alignment wrapText="1"/>
    </xf>
    <xf numFmtId="0" fontId="17" fillId="0" borderId="2" xfId="0" applyFont="1" applyBorder="1" applyAlignment="1">
      <alignment wrapText="1"/>
    </xf>
    <xf numFmtId="0" fontId="17" fillId="0" borderId="0" xfId="0" applyFont="1" applyAlignment="1">
      <alignment wrapText="1"/>
    </xf>
    <xf numFmtId="0" fontId="22" fillId="0" borderId="1" xfId="0" applyFont="1" applyBorder="1" applyAlignment="1">
      <alignment horizontal="left" vertical="center" wrapText="1"/>
    </xf>
    <xf numFmtId="0" fontId="22" fillId="0" borderId="1" xfId="0" applyFont="1" applyBorder="1" applyAlignment="1">
      <alignment horizontal="center" vertical="center"/>
    </xf>
    <xf numFmtId="170" fontId="17" fillId="0" borderId="1" xfId="96" applyNumberFormat="1" applyFont="1" applyFill="1" applyBorder="1"/>
    <xf numFmtId="0" fontId="15" fillId="0" borderId="1" xfId="0" applyFont="1" applyBorder="1" applyAlignment="1">
      <alignment horizontal="left" vertical="center" wrapText="1"/>
    </xf>
    <xf numFmtId="171" fontId="17" fillId="0" borderId="1" xfId="0" applyNumberFormat="1" applyFont="1" applyBorder="1" applyAlignment="1">
      <alignment vertical="center"/>
    </xf>
    <xf numFmtId="0" fontId="16" fillId="0" borderId="5"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3" fillId="0" borderId="1" xfId="0" applyFont="1" applyBorder="1" applyAlignment="1">
      <alignment horizontal="center" vertical="center"/>
    </xf>
    <xf numFmtId="0" fontId="22" fillId="0" borderId="17" xfId="0" applyFont="1" applyBorder="1" applyAlignment="1">
      <alignment wrapText="1"/>
    </xf>
    <xf numFmtId="0" fontId="16" fillId="0" borderId="1" xfId="0" applyFont="1" applyBorder="1" applyAlignment="1">
      <alignment wrapText="1"/>
    </xf>
    <xf numFmtId="0" fontId="22" fillId="0" borderId="5" xfId="0" applyFont="1" applyBorder="1" applyAlignment="1">
      <alignment horizontal="center" vertical="center"/>
    </xf>
    <xf numFmtId="0" fontId="15" fillId="9" borderId="1" xfId="0" applyFont="1" applyFill="1" applyBorder="1" applyAlignment="1">
      <alignment horizontal="left" vertical="center" wrapText="1"/>
    </xf>
    <xf numFmtId="0" fontId="24" fillId="0" borderId="1" xfId="0" applyFont="1" applyBorder="1" applyAlignment="1">
      <alignment horizontal="center" vertical="center" wrapText="1"/>
    </xf>
    <xf numFmtId="0" fontId="25" fillId="0" borderId="1" xfId="0" applyFont="1" applyBorder="1" applyAlignment="1">
      <alignment wrapText="1"/>
    </xf>
    <xf numFmtId="0" fontId="17" fillId="0" borderId="18" xfId="0" applyFont="1" applyBorder="1" applyAlignment="1">
      <alignment horizontal="center" vertical="center"/>
    </xf>
    <xf numFmtId="0" fontId="22" fillId="0" borderId="3" xfId="0" applyFont="1" applyBorder="1" applyAlignment="1">
      <alignment wrapText="1"/>
    </xf>
    <xf numFmtId="1" fontId="16" fillId="0" borderId="3" xfId="0" applyNumberFormat="1" applyFont="1" applyBorder="1" applyAlignment="1">
      <alignment horizontal="center" vertical="center" wrapText="1"/>
    </xf>
    <xf numFmtId="0" fontId="17" fillId="0" borderId="3" xfId="0" applyFont="1" applyBorder="1" applyAlignment="1">
      <alignment horizontal="left" vertical="center" wrapText="1"/>
    </xf>
    <xf numFmtId="170" fontId="19" fillId="8" borderId="3" xfId="96" applyNumberFormat="1" applyFont="1" applyFill="1" applyBorder="1" applyAlignment="1">
      <alignment vertical="center" wrapText="1"/>
    </xf>
    <xf numFmtId="171" fontId="17" fillId="0" borderId="3" xfId="95" applyNumberFormat="1" applyFont="1" applyBorder="1" applyAlignment="1">
      <alignment horizontal="center" vertical="center"/>
    </xf>
    <xf numFmtId="1" fontId="17" fillId="0" borderId="3" xfId="95" applyNumberFormat="1" applyFont="1" applyFill="1" applyBorder="1" applyAlignment="1">
      <alignment horizontal="center" vertical="center"/>
    </xf>
    <xf numFmtId="171" fontId="17" fillId="0" borderId="3" xfId="0" applyNumberFormat="1" applyFont="1" applyBorder="1"/>
    <xf numFmtId="1" fontId="17" fillId="0" borderId="3" xfId="0" applyNumberFormat="1" applyFont="1" applyBorder="1" applyAlignment="1">
      <alignment horizontal="center" vertical="center"/>
    </xf>
    <xf numFmtId="170" fontId="17" fillId="0" borderId="3" xfId="96" applyNumberFormat="1" applyFont="1" applyBorder="1"/>
    <xf numFmtId="1" fontId="17" fillId="0" borderId="3" xfId="0" applyNumberFormat="1" applyFont="1" applyBorder="1" applyAlignment="1">
      <alignment horizontal="center"/>
    </xf>
    <xf numFmtId="1" fontId="23" fillId="0" borderId="3" xfId="95" applyNumberFormat="1" applyFont="1" applyFill="1" applyBorder="1" applyAlignment="1">
      <alignment horizontal="center" vertical="center" wrapText="1"/>
    </xf>
    <xf numFmtId="170" fontId="23" fillId="0" borderId="9" xfId="96" applyNumberFormat="1" applyFont="1" applyFill="1" applyBorder="1" applyAlignment="1">
      <alignment horizontal="center" vertical="center" wrapText="1"/>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xf numFmtId="0" fontId="17" fillId="0" borderId="9" xfId="0" applyFont="1" applyBorder="1"/>
    <xf numFmtId="0" fontId="17" fillId="0" borderId="14" xfId="0" applyFont="1" applyBorder="1" applyAlignment="1">
      <alignment horizontal="center" vertical="center"/>
    </xf>
    <xf numFmtId="0" fontId="22" fillId="0" borderId="12" xfId="0" applyFont="1" applyBorder="1" applyAlignment="1">
      <alignment wrapText="1"/>
    </xf>
    <xf numFmtId="0" fontId="16" fillId="0" borderId="12" xfId="0" applyFont="1" applyBorder="1" applyAlignment="1">
      <alignment horizontal="center" vertical="center" wrapText="1"/>
    </xf>
    <xf numFmtId="0" fontId="23" fillId="0" borderId="22" xfId="0" applyFont="1" applyBorder="1" applyAlignment="1">
      <alignment horizontal="center" vertical="center" wrapText="1"/>
    </xf>
    <xf numFmtId="0" fontId="17" fillId="0" borderId="12" xfId="0" applyFont="1" applyBorder="1" applyAlignment="1">
      <alignment horizontal="left" vertical="center" wrapText="1"/>
    </xf>
    <xf numFmtId="170" fontId="19" fillId="8" borderId="12" xfId="0" applyNumberFormat="1" applyFont="1" applyFill="1" applyBorder="1" applyAlignment="1">
      <alignment vertical="center" wrapText="1"/>
    </xf>
    <xf numFmtId="171" fontId="17" fillId="0" borderId="12" xfId="0" applyNumberFormat="1" applyFont="1" applyBorder="1" applyAlignment="1">
      <alignment horizontal="center" vertical="center"/>
    </xf>
    <xf numFmtId="1" fontId="17" fillId="0" borderId="12" xfId="0" applyNumberFormat="1" applyFont="1" applyBorder="1" applyAlignment="1">
      <alignment horizontal="center" vertical="center"/>
    </xf>
    <xf numFmtId="171" fontId="17" fillId="0" borderId="12" xfId="0" applyNumberFormat="1" applyFont="1" applyBorder="1"/>
    <xf numFmtId="170" fontId="17" fillId="0" borderId="12" xfId="0" applyNumberFormat="1" applyFont="1" applyBorder="1"/>
    <xf numFmtId="1" fontId="17" fillId="0" borderId="12" xfId="0" applyNumberFormat="1" applyFont="1" applyBorder="1" applyAlignment="1">
      <alignment horizontal="center"/>
    </xf>
    <xf numFmtId="1" fontId="23" fillId="0" borderId="12" xfId="0" applyNumberFormat="1" applyFont="1" applyBorder="1" applyAlignment="1">
      <alignment horizontal="center" vertical="center" wrapText="1"/>
    </xf>
    <xf numFmtId="170" fontId="23" fillId="0" borderId="22" xfId="0" applyNumberFormat="1" applyFont="1" applyBorder="1" applyAlignment="1">
      <alignment horizontal="center" vertical="center" wrapText="1"/>
    </xf>
    <xf numFmtId="44" fontId="17" fillId="0" borderId="0" xfId="145" applyNumberFormat="1" applyFont="1"/>
    <xf numFmtId="171" fontId="17" fillId="0" borderId="0" xfId="0" applyNumberFormat="1" applyFont="1"/>
    <xf numFmtId="16" fontId="17" fillId="0" borderId="0" xfId="0" applyNumberFormat="1" applyFont="1"/>
    <xf numFmtId="2" fontId="17" fillId="0" borderId="0" xfId="0" applyNumberFormat="1" applyFont="1"/>
    <xf numFmtId="0" fontId="19" fillId="6" borderId="20" xfId="0" applyFont="1" applyFill="1" applyBorder="1" applyAlignment="1">
      <alignment horizontal="center" vertical="center" textRotation="90" wrapText="1"/>
    </xf>
    <xf numFmtId="172" fontId="0" fillId="0" borderId="0" xfId="0" applyNumberFormat="1"/>
    <xf numFmtId="0" fontId="28" fillId="0" borderId="0" xfId="0" applyFont="1" applyAlignment="1">
      <alignment vertical="center" wrapText="1"/>
    </xf>
    <xf numFmtId="0" fontId="29" fillId="3" borderId="1" xfId="1" applyFont="1" applyFill="1" applyBorder="1" applyAlignment="1">
      <alignment horizontal="center" vertical="center" wrapText="1"/>
    </xf>
    <xf numFmtId="49" fontId="29" fillId="3" borderId="1" xfId="1" applyNumberFormat="1" applyFont="1" applyFill="1" applyBorder="1" applyAlignment="1">
      <alignment horizontal="center" vertical="center" wrapText="1"/>
    </xf>
    <xf numFmtId="49" fontId="30" fillId="0" borderId="0" xfId="0" applyNumberFormat="1" applyFont="1" applyAlignment="1">
      <alignment horizontal="left" vertical="center" wrapText="1"/>
    </xf>
    <xf numFmtId="0" fontId="30" fillId="0" borderId="0" xfId="0" applyFont="1" applyAlignment="1">
      <alignment horizontal="left" vertical="center" wrapText="1"/>
    </xf>
    <xf numFmtId="0" fontId="26" fillId="0" borderId="0" xfId="0" applyFont="1"/>
    <xf numFmtId="0" fontId="26" fillId="0" borderId="7" xfId="0" applyFont="1" applyBorder="1"/>
    <xf numFmtId="44" fontId="28" fillId="0" borderId="0" xfId="145" applyNumberFormat="1" applyFont="1" applyAlignment="1">
      <alignment vertical="center" wrapText="1"/>
    </xf>
    <xf numFmtId="0" fontId="19" fillId="3" borderId="1" xfId="1" applyFont="1" applyFill="1" applyBorder="1" applyAlignment="1" applyProtection="1">
      <alignment horizontal="left" vertical="center" wrapText="1"/>
      <protection locked="0"/>
    </xf>
    <xf numFmtId="0" fontId="22" fillId="0" borderId="12" xfId="0" applyFont="1" applyBorder="1" applyAlignment="1" applyProtection="1">
      <alignment horizontal="left" vertical="center" wrapText="1"/>
      <protection locked="0"/>
    </xf>
    <xf numFmtId="0" fontId="17" fillId="0" borderId="0" xfId="0" applyFont="1" applyAlignment="1">
      <alignment vertical="center"/>
    </xf>
    <xf numFmtId="0" fontId="16" fillId="0" borderId="0" xfId="0" applyFont="1" applyAlignment="1">
      <alignment horizontal="left"/>
    </xf>
    <xf numFmtId="0" fontId="16" fillId="0" borderId="0" xfId="0" applyFont="1"/>
    <xf numFmtId="0" fontId="17" fillId="0" borderId="0" xfId="0" applyFont="1" applyAlignment="1">
      <alignment horizontal="left" vertical="center" wrapText="1"/>
    </xf>
    <xf numFmtId="0" fontId="17" fillId="0" borderId="0" xfId="0" applyFont="1" applyAlignment="1">
      <alignment horizontal="center" vertical="center"/>
    </xf>
    <xf numFmtId="0" fontId="27" fillId="3" borderId="0" xfId="0" applyFont="1" applyFill="1" applyAlignment="1">
      <alignment horizontal="center" vertical="center" wrapText="1"/>
    </xf>
    <xf numFmtId="1" fontId="28" fillId="0" borderId="0" xfId="0" applyNumberFormat="1" applyFont="1" applyAlignment="1">
      <alignment horizontal="center" vertical="center" wrapText="1"/>
    </xf>
    <xf numFmtId="1" fontId="28" fillId="0" borderId="0" xfId="145" applyNumberFormat="1" applyFont="1" applyAlignment="1">
      <alignment horizontal="center" vertical="center" wrapText="1"/>
    </xf>
    <xf numFmtId="1" fontId="17" fillId="0" borderId="0" xfId="0" applyNumberFormat="1" applyFont="1" applyAlignment="1">
      <alignment horizontal="center" vertical="center"/>
    </xf>
    <xf numFmtId="0" fontId="19" fillId="3" borderId="25" xfId="1" applyFont="1" applyFill="1" applyBorder="1" applyAlignment="1" applyProtection="1">
      <alignment horizontal="left" vertical="center" wrapText="1"/>
      <protection locked="0"/>
    </xf>
    <xf numFmtId="44" fontId="19" fillId="3" borderId="1" xfId="145" applyNumberFormat="1" applyFont="1" applyFill="1" applyBorder="1" applyAlignment="1" applyProtection="1">
      <alignment horizontal="left" vertical="center" wrapText="1"/>
      <protection locked="0"/>
    </xf>
    <xf numFmtId="1" fontId="33" fillId="3" borderId="1" xfId="1" applyNumberFormat="1" applyFont="1" applyFill="1" applyBorder="1" applyAlignment="1" applyProtection="1">
      <alignment horizontal="center" vertical="center" wrapText="1"/>
      <protection locked="0"/>
    </xf>
    <xf numFmtId="44" fontId="19" fillId="3" borderId="1" xfId="145" applyNumberFormat="1" applyFont="1" applyFill="1" applyBorder="1" applyAlignment="1" applyProtection="1">
      <alignment horizontal="center" vertical="center" wrapText="1"/>
      <protection locked="0"/>
    </xf>
    <xf numFmtId="1" fontId="19" fillId="3" borderId="1" xfId="1" applyNumberFormat="1" applyFont="1" applyFill="1" applyBorder="1" applyAlignment="1" applyProtection="1">
      <alignment horizontal="center" vertical="center" wrapText="1"/>
      <protection locked="0"/>
    </xf>
    <xf numFmtId="1" fontId="19" fillId="3" borderId="1" xfId="145" applyNumberFormat="1" applyFont="1" applyFill="1" applyBorder="1" applyAlignment="1" applyProtection="1">
      <alignment horizontal="center" vertical="center" wrapText="1"/>
      <protection locked="0"/>
    </xf>
    <xf numFmtId="3" fontId="19" fillId="3" borderId="1" xfId="1" applyNumberFormat="1" applyFont="1" applyFill="1" applyBorder="1" applyAlignment="1" applyProtection="1">
      <alignment horizontal="center" vertical="center" wrapText="1"/>
      <protection locked="0"/>
    </xf>
    <xf numFmtId="173" fontId="17" fillId="0" borderId="0" xfId="0" applyNumberFormat="1" applyFont="1" applyAlignment="1">
      <alignment vertical="center"/>
    </xf>
    <xf numFmtId="0" fontId="29" fillId="3" borderId="10" xfId="1" applyFont="1" applyFill="1" applyBorder="1" applyAlignment="1">
      <alignment horizontal="left" vertical="center" wrapText="1"/>
    </xf>
    <xf numFmtId="1" fontId="32" fillId="3" borderId="10" xfId="1" applyNumberFormat="1" applyFont="1" applyFill="1" applyBorder="1" applyAlignment="1">
      <alignment horizontal="center" vertical="center" wrapText="1"/>
    </xf>
    <xf numFmtId="44" fontId="29" fillId="3" borderId="10" xfId="145" applyNumberFormat="1" applyFont="1" applyFill="1" applyBorder="1" applyAlignment="1">
      <alignment horizontal="center" vertical="center" wrapText="1"/>
    </xf>
    <xf numFmtId="0" fontId="28" fillId="0" borderId="0" xfId="0" applyFont="1" applyAlignment="1">
      <alignment horizontal="center" vertical="center" wrapText="1"/>
    </xf>
    <xf numFmtId="0" fontId="28" fillId="0" borderId="0" xfId="0" applyFont="1" applyAlignment="1">
      <alignment horizontal="right" vertical="center" wrapText="1"/>
    </xf>
    <xf numFmtId="8" fontId="28" fillId="0" borderId="10" xfId="145" applyNumberFormat="1" applyFont="1" applyBorder="1" applyAlignment="1">
      <alignment horizontal="right" vertical="center" wrapText="1"/>
    </xf>
    <xf numFmtId="44" fontId="28" fillId="0" borderId="10" xfId="145" applyNumberFormat="1" applyFont="1" applyBorder="1" applyAlignment="1">
      <alignment horizontal="right" vertical="center" wrapText="1"/>
    </xf>
    <xf numFmtId="8" fontId="28" fillId="0" borderId="10" xfId="0" applyNumberFormat="1" applyFont="1" applyBorder="1" applyAlignment="1">
      <alignment horizontal="right" vertical="center" wrapText="1"/>
    </xf>
    <xf numFmtId="44" fontId="28" fillId="0" borderId="10" xfId="0" applyNumberFormat="1" applyFont="1" applyBorder="1" applyAlignment="1">
      <alignment horizontal="right" vertical="center" wrapText="1"/>
    </xf>
    <xf numFmtId="0" fontId="28" fillId="0" borderId="10" xfId="0" applyFont="1" applyBorder="1" applyAlignment="1">
      <alignment vertical="center" wrapText="1"/>
    </xf>
    <xf numFmtId="8" fontId="26" fillId="0" borderId="10" xfId="0" applyNumberFormat="1" applyFont="1" applyBorder="1" applyAlignment="1">
      <alignment horizontal="right"/>
    </xf>
    <xf numFmtId="44" fontId="26" fillId="0" borderId="10" xfId="0" applyNumberFormat="1" applyFont="1" applyBorder="1" applyAlignment="1">
      <alignment horizontal="right"/>
    </xf>
    <xf numFmtId="44" fontId="17" fillId="0" borderId="10" xfId="145" applyNumberFormat="1" applyFont="1" applyBorder="1"/>
    <xf numFmtId="174" fontId="23" fillId="0" borderId="10" xfId="145" applyNumberFormat="1" applyFont="1" applyBorder="1" applyAlignment="1">
      <alignment horizontal="right"/>
    </xf>
    <xf numFmtId="174" fontId="17" fillId="0" borderId="10" xfId="145" applyNumberFormat="1" applyFont="1" applyBorder="1" applyAlignment="1">
      <alignment horizontal="right"/>
    </xf>
    <xf numFmtId="0" fontId="28" fillId="14" borderId="0" xfId="0" applyFont="1" applyFill="1" applyAlignment="1">
      <alignment vertical="center" wrapText="1"/>
    </xf>
    <xf numFmtId="44" fontId="17" fillId="0" borderId="0" xfId="145" applyNumberFormat="1" applyFont="1" applyAlignment="1">
      <alignment horizontal="center" vertical="center"/>
    </xf>
    <xf numFmtId="1" fontId="19" fillId="10" borderId="1" xfId="1" applyNumberFormat="1" applyFont="1" applyFill="1" applyBorder="1" applyAlignment="1" applyProtection="1">
      <alignment horizontal="center" vertical="center" wrapText="1"/>
      <protection locked="0"/>
    </xf>
    <xf numFmtId="44" fontId="19" fillId="10" borderId="1" xfId="145" applyNumberFormat="1" applyFont="1" applyFill="1" applyBorder="1" applyAlignment="1" applyProtection="1">
      <alignment horizontal="center" vertical="center" wrapText="1"/>
      <protection locked="0"/>
    </xf>
    <xf numFmtId="44" fontId="17" fillId="0" borderId="10" xfId="145" applyNumberFormat="1" applyFont="1" applyBorder="1" applyAlignment="1">
      <alignment horizontal="center" vertical="center"/>
    </xf>
    <xf numFmtId="44" fontId="17" fillId="0" borderId="1" xfId="145" applyNumberFormat="1" applyFont="1" applyFill="1" applyBorder="1" applyProtection="1">
      <protection locked="0"/>
    </xf>
    <xf numFmtId="44" fontId="30" fillId="0" borderId="10" xfId="145" applyNumberFormat="1" applyFont="1" applyFill="1" applyBorder="1" applyAlignment="1">
      <alignment horizontal="center" vertical="center" wrapText="1"/>
    </xf>
    <xf numFmtId="44" fontId="17" fillId="0" borderId="0" xfId="145" applyNumberFormat="1" applyFont="1" applyAlignment="1">
      <alignment vertical="center"/>
    </xf>
    <xf numFmtId="0" fontId="23" fillId="6" borderId="25" xfId="0" applyFont="1" applyFill="1" applyBorder="1" applyAlignment="1">
      <alignment vertical="center"/>
    </xf>
    <xf numFmtId="44" fontId="17" fillId="0" borderId="10" xfId="145" applyNumberFormat="1" applyFont="1" applyBorder="1" applyAlignment="1">
      <alignment vertical="center"/>
    </xf>
    <xf numFmtId="174" fontId="17" fillId="0" borderId="10" xfId="145" applyNumberFormat="1" applyFont="1" applyBorder="1" applyAlignment="1">
      <alignment vertical="center"/>
    </xf>
    <xf numFmtId="8" fontId="26" fillId="0" borderId="0" xfId="0" applyNumberFormat="1" applyFont="1"/>
    <xf numFmtId="0" fontId="17" fillId="0" borderId="1" xfId="0" applyFont="1" applyBorder="1" applyAlignment="1" applyProtection="1">
      <alignment horizontal="center" vertical="center"/>
      <protection locked="0"/>
    </xf>
    <xf numFmtId="44" fontId="23" fillId="0" borderId="10" xfId="145" applyNumberFormat="1" applyFont="1" applyBorder="1" applyAlignment="1">
      <alignment horizontal="right" vertical="center"/>
    </xf>
    <xf numFmtId="0" fontId="23" fillId="0" borderId="0" xfId="0" applyFont="1" applyAlignment="1">
      <alignment horizontal="right" vertical="center"/>
    </xf>
    <xf numFmtId="44" fontId="23" fillId="0" borderId="10" xfId="145" applyNumberFormat="1" applyFont="1" applyBorder="1" applyAlignment="1">
      <alignment horizontal="right"/>
    </xf>
    <xf numFmtId="8" fontId="23" fillId="0" borderId="10" xfId="145" applyNumberFormat="1" applyFont="1" applyBorder="1" applyAlignment="1">
      <alignment horizontal="right" vertical="center"/>
    </xf>
    <xf numFmtId="0" fontId="23" fillId="0" borderId="0" xfId="0" applyFont="1" applyAlignment="1">
      <alignment horizontal="right"/>
    </xf>
    <xf numFmtId="8" fontId="23" fillId="0" borderId="10" xfId="145" applyNumberFormat="1" applyFont="1" applyBorder="1" applyAlignment="1">
      <alignment horizontal="right"/>
    </xf>
    <xf numFmtId="174" fontId="23" fillId="0" borderId="10" xfId="145" applyNumberFormat="1" applyFont="1" applyBorder="1" applyAlignment="1">
      <alignment horizontal="right" vertical="center"/>
    </xf>
    <xf numFmtId="173" fontId="23" fillId="0" borderId="0" xfId="0" applyNumberFormat="1" applyFont="1" applyAlignment="1">
      <alignment horizontal="right" vertical="center"/>
    </xf>
    <xf numFmtId="1" fontId="23" fillId="0" borderId="0" xfId="0" applyNumberFormat="1" applyFont="1" applyAlignment="1">
      <alignment horizontal="right" vertical="center"/>
    </xf>
    <xf numFmtId="0" fontId="22" fillId="0" borderId="19" xfId="0" applyFont="1" applyBorder="1" applyAlignment="1" applyProtection="1">
      <alignment horizontal="center" vertical="center"/>
      <protection locked="0"/>
    </xf>
    <xf numFmtId="0" fontId="22" fillId="0" borderId="19" xfId="0" applyFont="1" applyBorder="1" applyAlignment="1" applyProtection="1">
      <alignment horizontal="left" vertical="center" wrapText="1"/>
      <protection locked="0"/>
    </xf>
    <xf numFmtId="0" fontId="22" fillId="0" borderId="19" xfId="0" applyFont="1" applyBorder="1" applyAlignment="1" applyProtection="1">
      <alignment horizontal="left" vertical="center"/>
      <protection locked="0"/>
    </xf>
    <xf numFmtId="43" fontId="23" fillId="0" borderId="2" xfId="0" applyNumberFormat="1" applyFont="1" applyBorder="1" applyAlignment="1" applyProtection="1">
      <alignment vertical="center"/>
      <protection locked="0"/>
    </xf>
    <xf numFmtId="43" fontId="23" fillId="0" borderId="10" xfId="0" applyNumberFormat="1" applyFont="1" applyBorder="1" applyAlignment="1" applyProtection="1">
      <alignment horizontal="center" vertical="center"/>
      <protection locked="0"/>
    </xf>
    <xf numFmtId="43" fontId="23" fillId="0" borderId="8" xfId="0" applyNumberFormat="1" applyFont="1" applyBorder="1" applyAlignment="1" applyProtection="1">
      <alignment horizontal="center" vertical="center"/>
      <protection locked="0"/>
    </xf>
    <xf numFmtId="44" fontId="23" fillId="0" borderId="10" xfId="0" applyNumberFormat="1" applyFont="1" applyBorder="1" applyAlignment="1" applyProtection="1">
      <alignment horizontal="center" vertical="center"/>
      <protection locked="0"/>
    </xf>
    <xf numFmtId="43" fontId="23" fillId="0" borderId="8" xfId="0" applyNumberFormat="1" applyFont="1" applyBorder="1" applyProtection="1">
      <protection locked="0"/>
    </xf>
    <xf numFmtId="44" fontId="23" fillId="0" borderId="10" xfId="0" applyNumberFormat="1" applyFont="1" applyBorder="1" applyProtection="1">
      <protection locked="0"/>
    </xf>
    <xf numFmtId="174" fontId="23" fillId="0" borderId="10" xfId="0" applyNumberFormat="1" applyFont="1" applyBorder="1" applyAlignment="1" applyProtection="1">
      <alignment horizontal="right"/>
      <protection locked="0"/>
    </xf>
    <xf numFmtId="174" fontId="23" fillId="0" borderId="10" xfId="0" applyNumberFormat="1" applyFont="1" applyBorder="1" applyAlignment="1" applyProtection="1">
      <alignment vertical="center"/>
      <protection locked="0"/>
    </xf>
    <xf numFmtId="173" fontId="23" fillId="0" borderId="8" xfId="0" applyNumberFormat="1" applyFont="1" applyBorder="1" applyAlignment="1" applyProtection="1">
      <alignment vertical="center"/>
      <protection locked="0"/>
    </xf>
    <xf numFmtId="43" fontId="23" fillId="0" borderId="8" xfId="0" applyNumberFormat="1" applyFont="1" applyBorder="1" applyAlignment="1" applyProtection="1">
      <alignment vertical="center"/>
      <protection locked="0"/>
    </xf>
    <xf numFmtId="43" fontId="17" fillId="0" borderId="0" xfId="0" applyNumberFormat="1" applyFont="1" applyAlignment="1" applyProtection="1">
      <alignment horizontal="center" vertical="center"/>
      <protection locked="0"/>
    </xf>
    <xf numFmtId="0" fontId="22" fillId="0" borderId="1" xfId="0" applyFont="1" applyBorder="1" applyAlignment="1" applyProtection="1">
      <alignment horizontal="center" vertical="center"/>
      <protection locked="0"/>
    </xf>
    <xf numFmtId="0" fontId="16" fillId="0" borderId="25" xfId="0" applyFont="1" applyBorder="1" applyAlignment="1" applyProtection="1">
      <alignment horizontal="left" vertical="center" wrapText="1"/>
      <protection locked="0"/>
    </xf>
    <xf numFmtId="0" fontId="22" fillId="0" borderId="1" xfId="0" applyFont="1" applyBorder="1" applyAlignment="1" applyProtection="1">
      <alignment horizontal="left" vertical="center"/>
      <protection locked="0"/>
    </xf>
    <xf numFmtId="1" fontId="22" fillId="0" borderId="1" xfId="0" applyNumberFormat="1" applyFont="1" applyBorder="1" applyAlignment="1" applyProtection="1">
      <alignment horizontal="center" vertical="center"/>
      <protection locked="0"/>
    </xf>
    <xf numFmtId="44" fontId="17" fillId="0" borderId="1" xfId="145" applyNumberFormat="1" applyFont="1" applyFill="1" applyBorder="1" applyAlignment="1" applyProtection="1">
      <alignment vertical="center"/>
      <protection locked="0"/>
    </xf>
    <xf numFmtId="44" fontId="17" fillId="0" borderId="1" xfId="145" applyNumberFormat="1" applyFont="1" applyFill="1" applyBorder="1" applyAlignment="1" applyProtection="1">
      <alignment horizontal="center" vertical="center"/>
      <protection locked="0"/>
    </xf>
    <xf numFmtId="1" fontId="17" fillId="0" borderId="1" xfId="0" applyNumberFormat="1" applyFont="1" applyBorder="1" applyAlignment="1" applyProtection="1">
      <alignment horizontal="center" vertical="center"/>
      <protection locked="0"/>
    </xf>
    <xf numFmtId="173" fontId="17" fillId="0" borderId="1" xfId="0" applyNumberFormat="1" applyFont="1" applyBorder="1" applyAlignment="1" applyProtection="1">
      <alignment horizontal="center" vertical="center"/>
      <protection locked="0"/>
    </xf>
    <xf numFmtId="0" fontId="22"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22" fillId="0" borderId="25" xfId="0" applyFont="1" applyBorder="1" applyAlignment="1" applyProtection="1">
      <alignment horizontal="left" vertical="center" wrapText="1"/>
      <protection locked="0"/>
    </xf>
    <xf numFmtId="0" fontId="16" fillId="0" borderId="2" xfId="0" applyFont="1" applyBorder="1" applyAlignment="1" applyProtection="1">
      <alignment horizontal="left" vertical="center" wrapText="1"/>
      <protection locked="0"/>
    </xf>
    <xf numFmtId="0" fontId="16" fillId="0" borderId="1" xfId="0" applyFont="1" applyBorder="1" applyAlignment="1" applyProtection="1">
      <alignment horizontal="left" vertical="center"/>
      <protection locked="0"/>
    </xf>
    <xf numFmtId="0" fontId="16" fillId="0" borderId="0" xfId="0" applyFont="1" applyAlignment="1" applyProtection="1">
      <alignment horizontal="left" vertical="center" wrapText="1"/>
      <protection locked="0"/>
    </xf>
    <xf numFmtId="0" fontId="22" fillId="0" borderId="2" xfId="0" applyFont="1" applyBorder="1" applyAlignment="1" applyProtection="1">
      <alignment horizontal="left" vertical="center" wrapText="1"/>
      <protection locked="0"/>
    </xf>
    <xf numFmtId="0" fontId="22" fillId="0" borderId="0" xfId="0" applyFont="1" applyAlignment="1" applyProtection="1">
      <alignment horizontal="left" vertical="center" wrapText="1"/>
      <protection locked="0"/>
    </xf>
    <xf numFmtId="0" fontId="22" fillId="0" borderId="24" xfId="0" applyFont="1" applyBorder="1" applyAlignment="1" applyProtection="1">
      <alignment horizontal="left" vertical="center" wrapText="1"/>
      <protection locked="0"/>
    </xf>
    <xf numFmtId="0" fontId="22" fillId="0" borderId="9" xfId="0" applyFont="1" applyBorder="1" applyAlignment="1" applyProtection="1">
      <alignment horizontal="left" vertical="center" wrapText="1"/>
      <protection locked="0"/>
    </xf>
    <xf numFmtId="0" fontId="22" fillId="0" borderId="23" xfId="0" applyFont="1" applyBorder="1" applyAlignment="1" applyProtection="1">
      <alignment horizontal="left" vertical="center" wrapText="1"/>
      <protection locked="0"/>
    </xf>
    <xf numFmtId="0" fontId="16" fillId="0" borderId="24" xfId="0" applyFont="1" applyBorder="1" applyAlignment="1" applyProtection="1">
      <alignment horizontal="left" vertical="center" wrapText="1"/>
      <protection locked="0"/>
    </xf>
    <xf numFmtId="0" fontId="22" fillId="0" borderId="1" xfId="1" applyFont="1" applyBorder="1" applyAlignment="1" applyProtection="1">
      <alignment horizontal="left" vertical="center"/>
      <protection locked="0"/>
    </xf>
    <xf numFmtId="0" fontId="22" fillId="0" borderId="0" xfId="3" applyFont="1" applyAlignment="1" applyProtection="1">
      <alignment horizontal="left" vertical="center" wrapText="1"/>
      <protection locked="0"/>
    </xf>
    <xf numFmtId="0" fontId="22" fillId="0" borderId="2" xfId="3" applyFont="1" applyBorder="1" applyAlignment="1" applyProtection="1">
      <alignment horizontal="left" vertical="center" wrapText="1"/>
      <protection locked="0"/>
    </xf>
    <xf numFmtId="0" fontId="22" fillId="0" borderId="7" xfId="0" applyFont="1" applyBorder="1" applyAlignment="1" applyProtection="1">
      <alignment horizontal="left" vertical="center" wrapText="1"/>
      <protection locked="0"/>
    </xf>
    <xf numFmtId="0" fontId="22" fillId="0" borderId="8" xfId="0" applyFont="1" applyBorder="1" applyAlignment="1" applyProtection="1">
      <alignment horizontal="left" vertical="center" wrapText="1"/>
      <protection locked="0"/>
    </xf>
    <xf numFmtId="0" fontId="16" fillId="0" borderId="9"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7" fillId="0" borderId="8" xfId="0" applyFont="1" applyBorder="1" applyAlignment="1" applyProtection="1">
      <alignment horizontal="left" vertical="center" wrapText="1"/>
      <protection locked="0"/>
    </xf>
    <xf numFmtId="0" fontId="17" fillId="0" borderId="1" xfId="0" applyFont="1" applyBorder="1" applyAlignment="1" applyProtection="1">
      <alignment horizontal="left" vertical="center"/>
      <protection locked="0"/>
    </xf>
    <xf numFmtId="0" fontId="22" fillId="0" borderId="1" xfId="3" applyFont="1" applyBorder="1" applyAlignment="1" applyProtection="1">
      <alignment horizontal="left" vertical="center"/>
      <protection locked="0"/>
    </xf>
    <xf numFmtId="0" fontId="24" fillId="0" borderId="7" xfId="0" applyFont="1" applyBorder="1" applyAlignment="1" applyProtection="1">
      <alignment horizontal="left" vertical="center" wrapText="1"/>
      <protection locked="0"/>
    </xf>
    <xf numFmtId="0" fontId="24" fillId="0" borderId="1" xfId="0" applyFont="1" applyBorder="1" applyAlignment="1" applyProtection="1">
      <alignment horizontal="left" vertical="center"/>
      <protection locked="0"/>
    </xf>
    <xf numFmtId="0" fontId="16" fillId="0" borderId="23" xfId="0" applyFont="1" applyBorder="1" applyAlignment="1" applyProtection="1">
      <alignment horizontal="left" vertical="center" wrapText="1"/>
      <protection locked="0"/>
    </xf>
    <xf numFmtId="173" fontId="23" fillId="0" borderId="1" xfId="0" applyNumberFormat="1" applyFont="1" applyBorder="1" applyAlignment="1" applyProtection="1">
      <alignment horizontal="center" vertical="center"/>
      <protection locked="0"/>
    </xf>
    <xf numFmtId="168" fontId="22" fillId="0" borderId="2" xfId="2" applyFont="1" applyBorder="1" applyAlignment="1" applyProtection="1">
      <alignment horizontal="left" vertical="center" wrapText="1"/>
      <protection locked="0"/>
    </xf>
    <xf numFmtId="168" fontId="22" fillId="0" borderId="1" xfId="2" applyFont="1" applyBorder="1" applyAlignment="1" applyProtection="1">
      <alignment horizontal="left" vertical="center"/>
      <protection locked="0"/>
    </xf>
    <xf numFmtId="0" fontId="24" fillId="0" borderId="25" xfId="0" applyFont="1" applyBorder="1" applyAlignment="1" applyProtection="1">
      <alignment horizontal="left" vertical="center" wrapText="1"/>
      <protection locked="0"/>
    </xf>
    <xf numFmtId="0" fontId="17" fillId="0" borderId="23" xfId="0" applyFont="1" applyBorder="1" applyAlignment="1" applyProtection="1">
      <alignment horizontal="left" vertical="center" wrapText="1"/>
      <protection locked="0"/>
    </xf>
    <xf numFmtId="0" fontId="22" fillId="0" borderId="0" xfId="0" applyFont="1" applyAlignment="1" applyProtection="1">
      <alignment vertical="center" wrapText="1"/>
      <protection locked="0"/>
    </xf>
    <xf numFmtId="0" fontId="35" fillId="0" borderId="1" xfId="0" applyFont="1" applyBorder="1" applyAlignment="1" applyProtection="1">
      <alignment horizontal="center" vertical="center"/>
      <protection locked="0"/>
    </xf>
    <xf numFmtId="1" fontId="22" fillId="0" borderId="1" xfId="0" applyNumberFormat="1" applyFont="1" applyBorder="1" applyAlignment="1" applyProtection="1">
      <alignment horizontal="left" vertical="center" wrapText="1"/>
      <protection locked="0"/>
    </xf>
    <xf numFmtId="0" fontId="17" fillId="0" borderId="2"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49" fontId="22" fillId="0" borderId="1" xfId="1" applyNumberFormat="1" applyFont="1" applyBorder="1" applyAlignment="1" applyProtection="1">
      <alignment horizontal="left" vertical="center"/>
      <protection locked="0"/>
    </xf>
    <xf numFmtId="0" fontId="22" fillId="0" borderId="13" xfId="0" applyFont="1" applyBorder="1" applyAlignment="1" applyProtection="1">
      <alignment horizontal="left" vertical="center" wrapText="1"/>
      <protection locked="0"/>
    </xf>
    <xf numFmtId="44" fontId="17" fillId="0" borderId="3" xfId="145" applyNumberFormat="1" applyFont="1" applyFill="1" applyBorder="1" applyAlignment="1" applyProtection="1">
      <alignment vertical="center"/>
      <protection locked="0"/>
    </xf>
    <xf numFmtId="44" fontId="17" fillId="0" borderId="3" xfId="145" applyNumberFormat="1" applyFont="1" applyFill="1" applyBorder="1" applyProtection="1">
      <protection locked="0"/>
    </xf>
    <xf numFmtId="44" fontId="17" fillId="0" borderId="3" xfId="145" applyNumberFormat="1" applyFont="1" applyFill="1" applyBorder="1" applyAlignment="1" applyProtection="1">
      <alignment horizontal="center" vertical="center"/>
      <protection locked="0"/>
    </xf>
    <xf numFmtId="0" fontId="30" fillId="0" borderId="10" xfId="0" applyFont="1" applyBorder="1" applyAlignment="1">
      <alignment horizontal="center" vertical="center" wrapText="1"/>
    </xf>
    <xf numFmtId="174" fontId="30" fillId="0" borderId="10" xfId="145" applyNumberFormat="1" applyFont="1" applyFill="1" applyBorder="1" applyAlignment="1">
      <alignment horizontal="center" vertical="center" wrapText="1"/>
    </xf>
    <xf numFmtId="1" fontId="34" fillId="0" borderId="10" xfId="0" applyNumberFormat="1" applyFont="1" applyBorder="1" applyAlignment="1">
      <alignment horizontal="center" vertical="center" wrapText="1"/>
    </xf>
    <xf numFmtId="49" fontId="30" fillId="0" borderId="3" xfId="0" applyNumberFormat="1" applyFont="1" applyBorder="1" applyAlignment="1">
      <alignment horizontal="left" vertical="center" wrapText="1"/>
    </xf>
    <xf numFmtId="1" fontId="30" fillId="0" borderId="3" xfId="0" applyNumberFormat="1" applyFont="1" applyBorder="1" applyAlignment="1">
      <alignment horizontal="left" vertical="center" wrapText="1"/>
    </xf>
    <xf numFmtId="49" fontId="30" fillId="0" borderId="1" xfId="0" applyNumberFormat="1" applyFont="1" applyBorder="1" applyAlignment="1">
      <alignment horizontal="left" vertical="center" wrapText="1"/>
    </xf>
    <xf numFmtId="1" fontId="30" fillId="0" borderId="1" xfId="0" applyNumberFormat="1" applyFont="1" applyBorder="1" applyAlignment="1">
      <alignment horizontal="left" vertical="center" wrapText="1"/>
    </xf>
    <xf numFmtId="43" fontId="26" fillId="0" borderId="0" xfId="0" applyNumberFormat="1" applyFont="1"/>
    <xf numFmtId="1" fontId="29" fillId="4" borderId="10" xfId="1" applyNumberFormat="1" applyFont="1" applyFill="1" applyBorder="1" applyAlignment="1">
      <alignment horizontal="center" vertical="center" wrapText="1"/>
    </xf>
    <xf numFmtId="44" fontId="29" fillId="4" borderId="10" xfId="145" applyNumberFormat="1" applyFont="1" applyFill="1" applyBorder="1" applyAlignment="1">
      <alignment horizontal="center" vertical="center" wrapText="1"/>
    </xf>
    <xf numFmtId="1" fontId="29" fillId="3" borderId="10" xfId="145" applyNumberFormat="1" applyFont="1" applyFill="1" applyBorder="1" applyAlignment="1">
      <alignment horizontal="center" vertical="center" wrapText="1"/>
    </xf>
    <xf numFmtId="3" fontId="29" fillId="3" borderId="10" xfId="1" applyNumberFormat="1" applyFont="1" applyFill="1" applyBorder="1" applyAlignment="1">
      <alignment horizontal="center" vertical="center" wrapText="1"/>
    </xf>
    <xf numFmtId="3" fontId="29" fillId="3" borderId="10" xfId="1" applyNumberFormat="1" applyFont="1" applyFill="1" applyBorder="1" applyAlignment="1" applyProtection="1">
      <alignment horizontal="center" vertical="center" wrapText="1"/>
      <protection locked="0"/>
    </xf>
    <xf numFmtId="44" fontId="29" fillId="3" borderId="10" xfId="145" applyNumberFormat="1" applyFont="1" applyFill="1" applyBorder="1" applyAlignment="1" applyProtection="1">
      <alignment horizontal="center" vertical="center" wrapText="1"/>
      <protection locked="0"/>
    </xf>
    <xf numFmtId="1" fontId="29" fillId="3" borderId="10" xfId="1" applyNumberFormat="1" applyFont="1" applyFill="1" applyBorder="1" applyAlignment="1" applyProtection="1">
      <alignment horizontal="center" vertical="center" wrapText="1"/>
      <protection locked="0"/>
    </xf>
    <xf numFmtId="1" fontId="28" fillId="0" borderId="10" xfId="0" applyNumberFormat="1" applyFont="1" applyBorder="1" applyAlignment="1">
      <alignment horizontal="center" vertical="center" wrapText="1"/>
    </xf>
    <xf numFmtId="44" fontId="28" fillId="0" borderId="10" xfId="145" applyNumberFormat="1" applyFont="1" applyFill="1" applyBorder="1" applyAlignment="1">
      <alignment vertical="center" wrapText="1"/>
    </xf>
    <xf numFmtId="0" fontId="26" fillId="0" borderId="10" xfId="0" applyFont="1" applyBorder="1" applyAlignment="1">
      <alignment horizontal="center" vertical="center" wrapText="1"/>
    </xf>
    <xf numFmtId="1" fontId="28" fillId="0" borderId="10" xfId="145" applyNumberFormat="1" applyFont="1" applyFill="1" applyBorder="1" applyAlignment="1">
      <alignment horizontal="center" vertical="center" wrapText="1"/>
    </xf>
    <xf numFmtId="1" fontId="27" fillId="0" borderId="10" xfId="0" applyNumberFormat="1" applyFont="1" applyBorder="1" applyAlignment="1">
      <alignment horizontal="center" vertical="center" wrapText="1"/>
    </xf>
    <xf numFmtId="174" fontId="26" fillId="0" borderId="10" xfId="0" applyNumberFormat="1" applyFont="1" applyBorder="1"/>
    <xf numFmtId="3" fontId="30" fillId="0" borderId="0" xfId="0" applyNumberFormat="1" applyFont="1" applyAlignment="1">
      <alignment horizontal="center" vertical="center" wrapText="1"/>
    </xf>
    <xf numFmtId="44" fontId="30" fillId="0" borderId="0" xfId="0" applyNumberFormat="1" applyFont="1" applyAlignment="1">
      <alignment horizontal="center" vertical="center" wrapText="1"/>
    </xf>
    <xf numFmtId="44" fontId="30" fillId="0" borderId="6" xfId="0" applyNumberFormat="1" applyFont="1" applyBorder="1" applyAlignment="1">
      <alignment horizontal="right" vertical="center" wrapText="1"/>
    </xf>
    <xf numFmtId="1" fontId="28" fillId="0" borderId="0" xfId="0" applyNumberFormat="1" applyFont="1" applyAlignment="1">
      <alignment horizontal="center"/>
    </xf>
    <xf numFmtId="44" fontId="28" fillId="0" borderId="6" xfId="0" applyNumberFormat="1" applyFont="1" applyBorder="1" applyAlignment="1">
      <alignment horizontal="right"/>
    </xf>
    <xf numFmtId="1" fontId="28" fillId="0" borderId="0" xfId="0" applyNumberFormat="1" applyFont="1" applyAlignment="1">
      <alignment horizontal="center" vertical="center"/>
    </xf>
    <xf numFmtId="0" fontId="28" fillId="0" borderId="0" xfId="0" applyFont="1"/>
    <xf numFmtId="44" fontId="28" fillId="0" borderId="6" xfId="0" applyNumberFormat="1" applyFont="1" applyBorder="1"/>
    <xf numFmtId="0" fontId="28" fillId="0" borderId="0" xfId="0" applyFont="1" applyAlignment="1">
      <alignment horizontal="right"/>
    </xf>
    <xf numFmtId="0" fontId="32" fillId="6" borderId="2" xfId="0" applyFont="1" applyFill="1" applyBorder="1"/>
    <xf numFmtId="0" fontId="16" fillId="0" borderId="11" xfId="0" applyFont="1" applyBorder="1" applyAlignment="1">
      <alignment horizontal="center" vertical="center"/>
    </xf>
    <xf numFmtId="0" fontId="19" fillId="3" borderId="27" xfId="1" applyFont="1" applyFill="1" applyBorder="1" applyAlignment="1" applyProtection="1">
      <alignment horizontal="center" vertical="center" wrapText="1"/>
      <protection locked="0"/>
    </xf>
    <xf numFmtId="0" fontId="22" fillId="0" borderId="27"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16" fillId="0" borderId="5" xfId="0" applyFont="1" applyBorder="1" applyAlignment="1" applyProtection="1">
      <alignment horizontal="left" vertical="center" wrapText="1"/>
      <protection locked="0"/>
    </xf>
    <xf numFmtId="0" fontId="22" fillId="0" borderId="18" xfId="0" applyFont="1" applyBorder="1" applyAlignment="1" applyProtection="1">
      <alignment horizontal="left" vertical="center" wrapText="1"/>
      <protection locked="0"/>
    </xf>
    <xf numFmtId="0" fontId="22" fillId="0" borderId="13" xfId="0" applyFont="1" applyBorder="1" applyAlignment="1" applyProtection="1">
      <alignment vertical="center" wrapText="1"/>
      <protection locked="0"/>
    </xf>
    <xf numFmtId="0" fontId="22" fillId="0" borderId="5" xfId="0" applyFont="1" applyBorder="1" applyAlignment="1" applyProtection="1">
      <alignment vertical="center" wrapText="1"/>
      <protection locked="0"/>
    </xf>
    <xf numFmtId="0" fontId="22" fillId="0" borderId="8" xfId="0" applyFont="1" applyBorder="1" applyAlignment="1" applyProtection="1">
      <alignment vertical="center" wrapText="1"/>
      <protection locked="0"/>
    </xf>
    <xf numFmtId="0" fontId="16" fillId="0" borderId="5" xfId="0" applyFont="1" applyBorder="1" applyAlignment="1" applyProtection="1">
      <alignment vertical="center" wrapText="1"/>
      <protection locked="0"/>
    </xf>
    <xf numFmtId="0" fontId="22" fillId="0" borderId="5" xfId="0" applyFont="1" applyBorder="1" applyAlignment="1" applyProtection="1">
      <alignment horizontal="left" vertical="center"/>
      <protection locked="0"/>
    </xf>
    <xf numFmtId="0" fontId="22" fillId="0" borderId="28" xfId="0" applyFont="1" applyBorder="1" applyAlignment="1" applyProtection="1">
      <alignment vertical="center" wrapText="1"/>
      <protection locked="0"/>
    </xf>
    <xf numFmtId="0" fontId="16" fillId="0" borderId="13" xfId="0" applyFont="1" applyBorder="1" applyAlignment="1" applyProtection="1">
      <alignment horizontal="left" vertical="center" wrapText="1"/>
      <protection locked="0"/>
    </xf>
    <xf numFmtId="0" fontId="22" fillId="0" borderId="14" xfId="0" applyFont="1" applyBorder="1" applyAlignment="1" applyProtection="1">
      <alignment horizontal="left" vertical="center" wrapText="1"/>
      <protection locked="0"/>
    </xf>
    <xf numFmtId="0" fontId="22" fillId="0" borderId="28" xfId="0" applyFont="1" applyBorder="1" applyAlignment="1" applyProtection="1">
      <alignment horizontal="left" vertical="center" wrapText="1"/>
      <protection locked="0"/>
    </xf>
    <xf numFmtId="0" fontId="17" fillId="0" borderId="5" xfId="0" applyFont="1" applyBorder="1" applyAlignment="1" applyProtection="1">
      <alignment vertical="center" wrapText="1"/>
      <protection locked="0"/>
    </xf>
    <xf numFmtId="168" fontId="22" fillId="0" borderId="5" xfId="2" applyFont="1" applyBorder="1" applyAlignment="1" applyProtection="1">
      <alignment horizontal="left" vertical="center" wrapText="1"/>
      <protection locked="0"/>
    </xf>
    <xf numFmtId="0" fontId="16" fillId="0" borderId="27" xfId="0" applyFont="1" applyBorder="1" applyAlignment="1" applyProtection="1">
      <alignment horizontal="left" vertical="center" wrapText="1"/>
      <protection locked="0"/>
    </xf>
    <xf numFmtId="0" fontId="17" fillId="0" borderId="13" xfId="0" applyFont="1" applyBorder="1" applyAlignment="1" applyProtection="1">
      <alignment vertical="center" wrapText="1"/>
      <protection locked="0"/>
    </xf>
    <xf numFmtId="0" fontId="16" fillId="0" borderId="5" xfId="0" applyFont="1" applyBorder="1" applyAlignment="1" applyProtection="1">
      <alignment vertical="center"/>
      <protection locked="0"/>
    </xf>
    <xf numFmtId="0" fontId="22" fillId="0" borderId="29" xfId="0" applyFont="1" applyBorder="1" applyAlignment="1" applyProtection="1">
      <alignment vertical="center" wrapText="1"/>
      <protection locked="0"/>
    </xf>
    <xf numFmtId="0" fontId="17" fillId="0" borderId="27" xfId="0" applyFont="1" applyBorder="1" applyAlignment="1" applyProtection="1">
      <alignment vertical="center" wrapText="1"/>
      <protection locked="0"/>
    </xf>
    <xf numFmtId="0" fontId="28" fillId="0" borderId="1" xfId="0" applyFont="1" applyBorder="1" applyAlignment="1">
      <alignment horizontal="center" vertical="center" wrapText="1"/>
    </xf>
    <xf numFmtId="0" fontId="19" fillId="3" borderId="1" xfId="1" applyFont="1" applyFill="1" applyBorder="1" applyAlignment="1" applyProtection="1">
      <alignment horizontal="center" vertical="center" wrapText="1"/>
      <protection locked="0"/>
    </xf>
    <xf numFmtId="0" fontId="28" fillId="0" borderId="1" xfId="0" applyFont="1" applyBorder="1" applyAlignment="1">
      <alignment vertical="center" wrapText="1"/>
    </xf>
    <xf numFmtId="0" fontId="19" fillId="12" borderId="5" xfId="1" applyFont="1" applyFill="1" applyBorder="1" applyAlignment="1" applyProtection="1">
      <alignment horizontal="center" vertical="center" wrapText="1"/>
      <protection locked="0"/>
    </xf>
    <xf numFmtId="0" fontId="28" fillId="12" borderId="1" xfId="0" applyFont="1" applyFill="1" applyBorder="1" applyAlignment="1">
      <alignment vertical="center" wrapText="1"/>
    </xf>
    <xf numFmtId="0" fontId="28" fillId="12" borderId="1" xfId="0" applyFont="1" applyFill="1" applyBorder="1" applyAlignment="1">
      <alignment horizontal="center" vertical="center" wrapText="1"/>
    </xf>
    <xf numFmtId="0" fontId="36" fillId="0" borderId="1" xfId="0" applyFont="1" applyBorder="1" applyAlignment="1">
      <alignment horizontal="center" vertical="center"/>
    </xf>
    <xf numFmtId="0" fontId="22" fillId="15" borderId="5" xfId="0" applyFont="1" applyFill="1" applyBorder="1" applyAlignment="1" applyProtection="1">
      <alignment horizontal="left" vertical="center" wrapText="1"/>
      <protection locked="0"/>
    </xf>
    <xf numFmtId="0" fontId="16" fillId="15" borderId="0" xfId="0" applyFont="1" applyFill="1" applyAlignment="1" applyProtection="1">
      <alignment horizontal="left" vertical="center" wrapText="1"/>
      <protection locked="0"/>
    </xf>
    <xf numFmtId="0" fontId="39" fillId="10" borderId="1" xfId="0" applyFont="1" applyFill="1" applyBorder="1" applyAlignment="1">
      <alignment horizontal="center" vertical="center" wrapText="1"/>
    </xf>
    <xf numFmtId="0" fontId="16" fillId="15" borderId="1" xfId="0" applyFont="1" applyFill="1" applyBorder="1" applyAlignment="1" applyProtection="1">
      <alignment horizontal="left" vertical="center"/>
      <protection locked="0"/>
    </xf>
    <xf numFmtId="0" fontId="22" fillId="15" borderId="13" xfId="0" applyFont="1" applyFill="1" applyBorder="1" applyAlignment="1" applyProtection="1">
      <alignment horizontal="left" vertical="center" wrapText="1"/>
      <protection locked="0"/>
    </xf>
    <xf numFmtId="0" fontId="16" fillId="15" borderId="24" xfId="0" applyFont="1" applyFill="1" applyBorder="1" applyAlignment="1" applyProtection="1">
      <alignment horizontal="left" vertical="center" wrapText="1"/>
      <protection locked="0"/>
    </xf>
    <xf numFmtId="0" fontId="16" fillId="15" borderId="5" xfId="0" applyFont="1" applyFill="1" applyBorder="1" applyAlignment="1" applyProtection="1">
      <alignment horizontal="left" vertical="center" wrapText="1"/>
      <protection locked="0"/>
    </xf>
    <xf numFmtId="0" fontId="22" fillId="15" borderId="1" xfId="0" applyFont="1" applyFill="1" applyBorder="1" applyAlignment="1" applyProtection="1">
      <alignment horizontal="left" vertical="center"/>
      <protection locked="0"/>
    </xf>
    <xf numFmtId="0" fontId="16" fillId="15" borderId="2" xfId="0" applyFont="1" applyFill="1" applyBorder="1" applyAlignment="1" applyProtection="1">
      <alignment horizontal="left" vertical="center" wrapText="1"/>
      <protection locked="0"/>
    </xf>
    <xf numFmtId="0" fontId="22" fillId="15" borderId="27" xfId="0" applyFont="1" applyFill="1" applyBorder="1" applyAlignment="1" applyProtection="1">
      <alignment horizontal="left" vertical="center" wrapText="1"/>
      <protection locked="0"/>
    </xf>
    <xf numFmtId="0" fontId="22" fillId="15" borderId="28" xfId="0" applyFont="1" applyFill="1" applyBorder="1" applyAlignment="1" applyProtection="1">
      <alignment horizontal="left" vertical="center" wrapText="1"/>
      <protection locked="0"/>
    </xf>
    <xf numFmtId="0" fontId="28" fillId="15" borderId="10" xfId="0" applyFont="1" applyFill="1" applyBorder="1" applyAlignment="1">
      <alignment vertical="center" wrapText="1"/>
    </xf>
    <xf numFmtId="0" fontId="16" fillId="15" borderId="5" xfId="0" applyFont="1" applyFill="1" applyBorder="1" applyAlignment="1" applyProtection="1">
      <alignment vertical="center" wrapText="1"/>
      <protection locked="0"/>
    </xf>
    <xf numFmtId="0" fontId="22" fillId="15" borderId="13" xfId="0" applyFont="1" applyFill="1" applyBorder="1" applyAlignment="1" applyProtection="1">
      <alignment vertical="center" wrapText="1"/>
      <protection locked="0"/>
    </xf>
    <xf numFmtId="0" fontId="22" fillId="15" borderId="5" xfId="0" applyFont="1" applyFill="1" applyBorder="1" applyAlignment="1" applyProtection="1">
      <alignment vertical="center" wrapText="1"/>
      <protection locked="0"/>
    </xf>
    <xf numFmtId="1" fontId="22" fillId="0" borderId="12" xfId="0" applyNumberFormat="1" applyFont="1" applyBorder="1" applyAlignment="1" applyProtection="1">
      <alignment horizontal="center" vertical="center"/>
      <protection locked="0"/>
    </xf>
    <xf numFmtId="0" fontId="22" fillId="15" borderId="2" xfId="0" applyFont="1" applyFill="1" applyBorder="1" applyAlignment="1" applyProtection="1">
      <alignment horizontal="left" vertical="center" wrapText="1"/>
      <protection locked="0"/>
    </xf>
    <xf numFmtId="49" fontId="40" fillId="0" borderId="1" xfId="21" applyNumberFormat="1" applyFont="1" applyFill="1" applyBorder="1" applyAlignment="1">
      <alignment vertical="center" wrapText="1"/>
    </xf>
    <xf numFmtId="0" fontId="26" fillId="0" borderId="1" xfId="0" applyFont="1" applyBorder="1" applyAlignment="1">
      <alignment vertical="center"/>
    </xf>
    <xf numFmtId="49" fontId="26" fillId="0" borderId="1" xfId="0" applyNumberFormat="1" applyFont="1" applyBorder="1" applyAlignment="1">
      <alignment vertical="center"/>
    </xf>
    <xf numFmtId="0" fontId="40" fillId="0" borderId="1" xfId="21" applyFont="1" applyFill="1" applyBorder="1" applyAlignment="1">
      <alignment vertical="center"/>
    </xf>
    <xf numFmtId="0" fontId="26" fillId="0" borderId="1" xfId="1" applyFont="1" applyBorder="1" applyAlignment="1">
      <alignment vertical="center" wrapText="1"/>
    </xf>
    <xf numFmtId="0" fontId="26" fillId="0" borderId="1" xfId="0" applyFont="1" applyBorder="1" applyAlignment="1">
      <alignment vertical="center" wrapText="1"/>
    </xf>
    <xf numFmtId="0" fontId="27" fillId="10" borderId="1" xfId="0" applyFont="1" applyFill="1" applyBorder="1" applyAlignment="1">
      <alignment horizontal="center" vertical="center" wrapText="1"/>
    </xf>
    <xf numFmtId="1" fontId="29" fillId="3" borderId="1" xfId="1" applyNumberFormat="1" applyFont="1" applyFill="1" applyBorder="1" applyAlignment="1">
      <alignment horizontal="center" vertical="center" wrapText="1"/>
    </xf>
    <xf numFmtId="0" fontId="29" fillId="3" borderId="2" xfId="1" applyFont="1" applyFill="1" applyBorder="1" applyAlignment="1">
      <alignment horizontal="left" vertical="center"/>
    </xf>
    <xf numFmtId="0" fontId="27" fillId="0" borderId="1" xfId="0" applyFont="1" applyBorder="1" applyAlignment="1">
      <alignment horizontal="center" vertical="center" wrapText="1"/>
    </xf>
    <xf numFmtId="0" fontId="30" fillId="0" borderId="1" xfId="1" applyFont="1" applyBorder="1" applyAlignment="1">
      <alignment horizontal="center" vertical="center" wrapText="1"/>
    </xf>
    <xf numFmtId="0" fontId="30" fillId="0" borderId="1" xfId="0" applyFont="1" applyBorder="1" applyAlignment="1">
      <alignment horizontal="left" vertical="center" wrapText="1"/>
    </xf>
    <xf numFmtId="0" fontId="30" fillId="0" borderId="2" xfId="0" applyFont="1" applyBorder="1" applyAlignment="1">
      <alignment horizontal="left" vertical="center" wrapText="1"/>
    </xf>
    <xf numFmtId="0" fontId="30" fillId="0" borderId="10" xfId="0" applyFont="1" applyBorder="1" applyAlignment="1">
      <alignment horizontal="left" vertical="center" wrapText="1"/>
    </xf>
    <xf numFmtId="0" fontId="30" fillId="15" borderId="2" xfId="0" applyFont="1" applyFill="1" applyBorder="1" applyAlignment="1">
      <alignment horizontal="left" vertical="center" wrapText="1"/>
    </xf>
    <xf numFmtId="0" fontId="30" fillId="0" borderId="1" xfId="1" applyFont="1" applyBorder="1" applyAlignment="1">
      <alignment horizontal="left" vertical="center" wrapText="1"/>
    </xf>
    <xf numFmtId="49" fontId="30" fillId="0" borderId="1" xfId="1" applyNumberFormat="1" applyFont="1" applyBorder="1" applyAlignment="1">
      <alignment horizontal="left" vertical="center" wrapText="1"/>
    </xf>
    <xf numFmtId="0" fontId="30" fillId="0" borderId="2" xfId="1" applyFont="1" applyBorder="1" applyAlignment="1">
      <alignment horizontal="left" vertical="center" wrapText="1"/>
    </xf>
    <xf numFmtId="0" fontId="30" fillId="0" borderId="10" xfId="1" applyFont="1" applyBorder="1" applyAlignment="1">
      <alignment horizontal="left" vertical="center" wrapText="1"/>
    </xf>
    <xf numFmtId="1" fontId="30" fillId="0" borderId="2" xfId="0" applyNumberFormat="1" applyFont="1" applyBorder="1" applyAlignment="1">
      <alignment horizontal="left" vertical="center"/>
    </xf>
    <xf numFmtId="1" fontId="30" fillId="0" borderId="10" xfId="0" applyNumberFormat="1" applyFont="1" applyBorder="1" applyAlignment="1">
      <alignment horizontal="left" vertical="center" wrapText="1"/>
    </xf>
    <xf numFmtId="0" fontId="30" fillId="14" borderId="10" xfId="0" applyFont="1" applyFill="1" applyBorder="1" applyAlignment="1">
      <alignment horizontal="left" vertical="center" wrapText="1"/>
    </xf>
    <xf numFmtId="49" fontId="30" fillId="0" borderId="1" xfId="0" applyNumberFormat="1" applyFont="1" applyBorder="1" applyAlignment="1">
      <alignment vertical="center" wrapText="1"/>
    </xf>
    <xf numFmtId="0" fontId="30" fillId="0" borderId="1" xfId="0" applyFont="1" applyBorder="1" applyAlignment="1">
      <alignment vertical="center" wrapText="1"/>
    </xf>
    <xf numFmtId="0" fontId="30" fillId="0" borderId="10" xfId="0" applyFont="1" applyBorder="1" applyAlignment="1">
      <alignment horizontal="left" vertical="center"/>
    </xf>
    <xf numFmtId="0" fontId="30" fillId="15" borderId="10" xfId="0" applyFont="1" applyFill="1" applyBorder="1" applyAlignment="1">
      <alignment horizontal="left" vertical="center" wrapText="1"/>
    </xf>
    <xf numFmtId="0" fontId="26" fillId="15" borderId="2" xfId="0" applyFont="1" applyFill="1" applyBorder="1" applyAlignment="1">
      <alignment horizontal="left" vertical="center" wrapText="1"/>
    </xf>
    <xf numFmtId="0" fontId="30" fillId="15" borderId="1" xfId="1" applyFont="1" applyFill="1" applyBorder="1" applyAlignment="1">
      <alignment horizontal="left" vertical="center" wrapText="1"/>
    </xf>
    <xf numFmtId="0" fontId="30" fillId="15" borderId="2" xfId="1" applyFont="1" applyFill="1" applyBorder="1" applyAlignment="1">
      <alignment horizontal="left" vertical="center" wrapText="1"/>
    </xf>
    <xf numFmtId="0" fontId="30" fillId="15" borderId="1" xfId="0" applyFont="1" applyFill="1" applyBorder="1" applyAlignment="1">
      <alignment horizontal="left" vertical="center" wrapText="1"/>
    </xf>
    <xf numFmtId="1" fontId="30" fillId="0" borderId="2" xfId="0" applyNumberFormat="1" applyFont="1" applyBorder="1" applyAlignment="1">
      <alignment horizontal="left" vertical="center" wrapText="1"/>
    </xf>
    <xf numFmtId="0" fontId="30" fillId="0" borderId="10" xfId="0" applyFont="1" applyBorder="1" applyAlignment="1">
      <alignment vertical="center" wrapText="1"/>
    </xf>
    <xf numFmtId="0" fontId="26" fillId="0" borderId="2" xfId="0" applyFont="1" applyBorder="1" applyAlignment="1">
      <alignment horizontal="left" vertical="center" wrapText="1"/>
    </xf>
    <xf numFmtId="1" fontId="30" fillId="15" borderId="2" xfId="0" applyNumberFormat="1" applyFont="1" applyFill="1" applyBorder="1" applyAlignment="1">
      <alignment horizontal="left" vertical="center" wrapText="1"/>
    </xf>
    <xf numFmtId="49" fontId="26" fillId="0" borderId="1" xfId="0" applyNumberFormat="1" applyFont="1" applyBorder="1" applyAlignment="1">
      <alignment vertical="center" wrapText="1"/>
    </xf>
    <xf numFmtId="49" fontId="26" fillId="0" borderId="1" xfId="1" applyNumberFormat="1" applyFont="1" applyBorder="1" applyAlignment="1">
      <alignment vertical="center" wrapText="1"/>
    </xf>
    <xf numFmtId="0" fontId="30" fillId="15" borderId="10" xfId="1" applyFont="1" applyFill="1" applyBorder="1" applyAlignment="1">
      <alignment horizontal="left" vertical="center" wrapText="1"/>
    </xf>
    <xf numFmtId="1" fontId="30" fillId="15" borderId="10" xfId="0" applyNumberFormat="1" applyFont="1" applyFill="1" applyBorder="1" applyAlignment="1">
      <alignment horizontal="left" vertical="center" wrapText="1"/>
    </xf>
    <xf numFmtId="49" fontId="34" fillId="0" borderId="1" xfId="0" applyNumberFormat="1" applyFont="1" applyBorder="1" applyAlignment="1">
      <alignment horizontal="left" vertical="center" wrapText="1"/>
    </xf>
    <xf numFmtId="49" fontId="26" fillId="15" borderId="1" xfId="0" applyNumberFormat="1" applyFont="1" applyFill="1" applyBorder="1" applyAlignment="1">
      <alignment horizontal="left" vertical="center" wrapText="1"/>
    </xf>
    <xf numFmtId="0" fontId="26" fillId="15" borderId="1" xfId="0" applyFont="1" applyFill="1" applyBorder="1" applyAlignment="1">
      <alignment horizontal="left" vertical="center" wrapText="1"/>
    </xf>
    <xf numFmtId="49" fontId="26" fillId="0" borderId="1" xfId="0" applyNumberFormat="1" applyFont="1" applyBorder="1" applyAlignment="1">
      <alignment horizontal="left" vertical="center" wrapText="1"/>
    </xf>
    <xf numFmtId="0" fontId="26" fillId="0" borderId="1" xfId="0" applyFont="1" applyBorder="1" applyAlignment="1">
      <alignment horizontal="left" vertical="center" wrapText="1"/>
    </xf>
    <xf numFmtId="1" fontId="30" fillId="15" borderId="1" xfId="0" applyNumberFormat="1" applyFont="1" applyFill="1" applyBorder="1" applyAlignment="1">
      <alignment horizontal="left" vertical="center" wrapText="1"/>
    </xf>
    <xf numFmtId="43" fontId="30" fillId="0" borderId="2" xfId="0" applyNumberFormat="1" applyFont="1" applyBorder="1" applyAlignment="1">
      <alignment horizontal="left" vertical="center" wrapText="1"/>
    </xf>
    <xf numFmtId="49" fontId="30" fillId="15" borderId="1" xfId="1" applyNumberFormat="1" applyFont="1" applyFill="1" applyBorder="1" applyAlignment="1">
      <alignment horizontal="left" vertical="center" wrapText="1"/>
    </xf>
    <xf numFmtId="0" fontId="30" fillId="15" borderId="10" xfId="0" applyFont="1" applyFill="1" applyBorder="1" applyAlignment="1">
      <alignment vertical="center" wrapText="1"/>
    </xf>
    <xf numFmtId="0" fontId="26" fillId="0" borderId="10" xfId="0" applyFont="1" applyBorder="1" applyAlignment="1">
      <alignment horizontal="left" vertical="center" wrapText="1"/>
    </xf>
    <xf numFmtId="0" fontId="30" fillId="15" borderId="10" xfId="0" applyFont="1" applyFill="1" applyBorder="1" applyAlignment="1">
      <alignment horizontal="left" vertical="center"/>
    </xf>
    <xf numFmtId="0" fontId="28" fillId="15" borderId="1" xfId="1" applyFont="1" applyFill="1" applyBorder="1" applyAlignment="1">
      <alignment horizontal="left" vertical="center" wrapText="1"/>
    </xf>
    <xf numFmtId="0" fontId="30" fillId="0" borderId="10" xfId="0" applyFont="1" applyBorder="1" applyAlignment="1">
      <alignment vertical="center"/>
    </xf>
    <xf numFmtId="0" fontId="42" fillId="15" borderId="0" xfId="0" applyFont="1" applyFill="1"/>
    <xf numFmtId="0" fontId="26" fillId="0" borderId="1" xfId="1" applyFont="1" applyBorder="1" applyAlignment="1">
      <alignment horizontal="left" vertical="center" wrapText="1"/>
    </xf>
    <xf numFmtId="49" fontId="26" fillId="0" borderId="1" xfId="1" applyNumberFormat="1" applyFont="1" applyBorder="1" applyAlignment="1">
      <alignment horizontal="left" vertical="center" wrapText="1"/>
    </xf>
    <xf numFmtId="0" fontId="30" fillId="15" borderId="10" xfId="0" applyFont="1" applyFill="1" applyBorder="1" applyAlignment="1">
      <alignment vertical="center"/>
    </xf>
    <xf numFmtId="49" fontId="26" fillId="15" borderId="1" xfId="1" applyNumberFormat="1" applyFont="1" applyFill="1" applyBorder="1" applyAlignment="1">
      <alignment horizontal="left" vertical="center" wrapText="1"/>
    </xf>
    <xf numFmtId="0" fontId="30" fillId="0" borderId="2" xfId="1" applyFont="1" applyBorder="1" applyAlignment="1">
      <alignment horizontal="left" vertical="center"/>
    </xf>
    <xf numFmtId="0" fontId="30" fillId="0" borderId="2" xfId="0" applyFont="1" applyBorder="1" applyAlignment="1">
      <alignment horizontal="left" wrapText="1"/>
    </xf>
    <xf numFmtId="0" fontId="43" fillId="0" borderId="0" xfId="97" applyFont="1"/>
    <xf numFmtId="0" fontId="26" fillId="5" borderId="0" xfId="0" applyFont="1" applyFill="1" applyAlignment="1">
      <alignment wrapText="1"/>
    </xf>
    <xf numFmtId="0" fontId="30" fillId="0" borderId="1" xfId="0" applyFont="1" applyBorder="1" applyAlignment="1">
      <alignment horizontal="left" vertical="center"/>
    </xf>
    <xf numFmtId="0" fontId="30" fillId="0" borderId="2" xfId="0" applyFont="1" applyBorder="1" applyAlignment="1">
      <alignment horizontal="left" vertical="center"/>
    </xf>
    <xf numFmtId="0" fontId="44" fillId="0" borderId="0" xfId="0" applyFont="1"/>
    <xf numFmtId="0" fontId="45" fillId="15" borderId="1" xfId="1" applyFont="1" applyFill="1" applyBorder="1" applyAlignment="1">
      <alignment horizontal="left" vertical="center" wrapText="1"/>
    </xf>
    <xf numFmtId="49" fontId="46" fillId="0" borderId="1" xfId="1" applyNumberFormat="1" applyFont="1" applyBorder="1" applyAlignment="1">
      <alignment horizontal="left" vertical="center" wrapText="1"/>
    </xf>
    <xf numFmtId="0" fontId="46" fillId="0" borderId="1" xfId="1" applyFont="1" applyBorder="1" applyAlignment="1">
      <alignment horizontal="left" vertical="center" wrapText="1"/>
    </xf>
    <xf numFmtId="0" fontId="28" fillId="0" borderId="1" xfId="0" applyFont="1" applyBorder="1" applyAlignment="1">
      <alignment horizontal="left" vertical="center"/>
    </xf>
    <xf numFmtId="0" fontId="30" fillId="0" borderId="2" xfId="0" applyFont="1" applyBorder="1" applyAlignment="1">
      <alignment horizontal="left"/>
    </xf>
    <xf numFmtId="0" fontId="43" fillId="15" borderId="0" xfId="97" applyFont="1" applyFill="1"/>
    <xf numFmtId="1" fontId="26" fillId="0" borderId="1" xfId="0" applyNumberFormat="1" applyFont="1" applyBorder="1" applyAlignment="1">
      <alignment vertical="center" wrapText="1"/>
    </xf>
    <xf numFmtId="49" fontId="26" fillId="0" borderId="1" xfId="0" applyNumberFormat="1" applyFont="1" applyBorder="1" applyAlignment="1">
      <alignment horizontal="center" vertical="center" wrapText="1"/>
    </xf>
    <xf numFmtId="1" fontId="26" fillId="0" borderId="1" xfId="0" applyNumberFormat="1" applyFont="1" applyBorder="1" applyAlignment="1">
      <alignment horizontal="center" vertical="center" wrapText="1"/>
    </xf>
    <xf numFmtId="0" fontId="47" fillId="15" borderId="0" xfId="97" applyFont="1" applyFill="1" applyAlignment="1">
      <alignment wrapText="1"/>
    </xf>
    <xf numFmtId="0" fontId="43" fillId="0" borderId="0" xfId="97" applyFont="1" applyAlignment="1">
      <alignment wrapText="1"/>
    </xf>
    <xf numFmtId="0" fontId="30" fillId="0" borderId="10" xfId="1" applyFont="1" applyBorder="1" applyAlignment="1">
      <alignment horizontal="justify" vertical="center" wrapText="1"/>
    </xf>
    <xf numFmtId="0" fontId="28" fillId="0" borderId="2" xfId="0" applyFont="1" applyBorder="1" applyAlignment="1">
      <alignment vertical="center"/>
    </xf>
    <xf numFmtId="0" fontId="28" fillId="15" borderId="10" xfId="0" applyFont="1" applyFill="1" applyBorder="1" applyAlignment="1">
      <alignment horizontal="center" vertical="center" wrapText="1"/>
    </xf>
    <xf numFmtId="0" fontId="30" fillId="0" borderId="1" xfId="0" applyFont="1" applyBorder="1" applyAlignment="1">
      <alignment wrapText="1"/>
    </xf>
    <xf numFmtId="0" fontId="30" fillId="0" borderId="2" xfId="0" applyFont="1" applyBorder="1"/>
    <xf numFmtId="0" fontId="30" fillId="0" borderId="10" xfId="0" applyFont="1" applyBorder="1" applyAlignment="1">
      <alignment wrapText="1"/>
    </xf>
    <xf numFmtId="0" fontId="30" fillId="15" borderId="2" xfId="0" applyFont="1" applyFill="1" applyBorder="1" applyAlignment="1">
      <alignment wrapText="1"/>
    </xf>
    <xf numFmtId="0" fontId="30" fillId="0" borderId="0" xfId="0" applyFont="1" applyAlignment="1">
      <alignment horizontal="center" vertical="center" wrapText="1"/>
    </xf>
    <xf numFmtId="0" fontId="30" fillId="0" borderId="0" xfId="0" applyFont="1" applyAlignment="1">
      <alignment horizontal="left" vertical="center"/>
    </xf>
    <xf numFmtId="0" fontId="30" fillId="0" borderId="0" xfId="0" applyFont="1" applyAlignment="1">
      <alignment vertical="center" wrapText="1"/>
    </xf>
    <xf numFmtId="0" fontId="26" fillId="0" borderId="7" xfId="0" applyFont="1" applyBorder="1" applyAlignment="1">
      <alignment horizontal="left"/>
    </xf>
    <xf numFmtId="0" fontId="26" fillId="0" borderId="0" xfId="0" applyFont="1" applyAlignment="1">
      <alignment horizontal="left"/>
    </xf>
    <xf numFmtId="0" fontId="26" fillId="0" borderId="0" xfId="0" applyFont="1" applyAlignment="1">
      <alignment horizontal="left" vertical="center"/>
    </xf>
    <xf numFmtId="0" fontId="26" fillId="15" borderId="0" xfId="0" applyFont="1" applyFill="1" applyAlignment="1">
      <alignment wrapText="1"/>
    </xf>
    <xf numFmtId="1" fontId="30" fillId="15" borderId="2" xfId="0" applyNumberFormat="1" applyFont="1" applyFill="1" applyBorder="1" applyAlignment="1">
      <alignment horizontal="left" vertical="center"/>
    </xf>
    <xf numFmtId="0" fontId="26" fillId="15" borderId="0" xfId="0" applyFont="1" applyFill="1" applyAlignment="1">
      <alignment vertical="center"/>
    </xf>
    <xf numFmtId="0" fontId="28" fillId="4" borderId="10" xfId="0" applyFont="1" applyFill="1" applyBorder="1" applyAlignment="1">
      <alignment vertical="center" wrapText="1"/>
    </xf>
    <xf numFmtId="0" fontId="22" fillId="15" borderId="1" xfId="0" applyFont="1" applyFill="1" applyBorder="1" applyAlignment="1" applyProtection="1">
      <alignment horizontal="left" vertical="center" wrapText="1"/>
      <protection locked="0"/>
    </xf>
    <xf numFmtId="0" fontId="30" fillId="4" borderId="10" xfId="1" applyFont="1" applyFill="1" applyBorder="1" applyAlignment="1">
      <alignment horizontal="left" vertical="center" wrapText="1"/>
    </xf>
    <xf numFmtId="1" fontId="30" fillId="4" borderId="2" xfId="0" applyNumberFormat="1" applyFont="1" applyFill="1" applyBorder="1" applyAlignment="1">
      <alignment horizontal="left" vertical="center" wrapText="1"/>
    </xf>
    <xf numFmtId="0" fontId="30" fillId="4" borderId="10" xfId="0" applyFont="1" applyFill="1" applyBorder="1" applyAlignment="1">
      <alignment horizontal="left" vertical="center" wrapText="1"/>
    </xf>
    <xf numFmtId="0" fontId="22" fillId="4" borderId="5" xfId="0" applyFont="1" applyFill="1" applyBorder="1" applyAlignment="1" applyProtection="1">
      <alignment vertical="center" wrapText="1"/>
      <protection locked="0"/>
    </xf>
    <xf numFmtId="0" fontId="22" fillId="4" borderId="5" xfId="0" applyFont="1" applyFill="1" applyBorder="1" applyAlignment="1" applyProtection="1">
      <alignment horizontal="left" vertical="center" wrapText="1"/>
      <protection locked="0"/>
    </xf>
    <xf numFmtId="0" fontId="22" fillId="4" borderId="1" xfId="0" applyFont="1" applyFill="1" applyBorder="1" applyAlignment="1" applyProtection="1">
      <alignment horizontal="left" vertical="center" wrapText="1"/>
      <protection locked="0"/>
    </xf>
    <xf numFmtId="1" fontId="30" fillId="4" borderId="1" xfId="0" applyNumberFormat="1" applyFont="1" applyFill="1" applyBorder="1" applyAlignment="1">
      <alignment horizontal="left" vertical="center" wrapText="1"/>
    </xf>
    <xf numFmtId="0" fontId="22" fillId="4" borderId="13" xfId="0" applyFont="1" applyFill="1" applyBorder="1" applyAlignment="1" applyProtection="1">
      <alignment horizontal="left" vertical="center" wrapText="1"/>
      <protection locked="0"/>
    </xf>
    <xf numFmtId="1" fontId="30" fillId="4" borderId="10" xfId="0" applyNumberFormat="1" applyFont="1" applyFill="1" applyBorder="1" applyAlignment="1">
      <alignment horizontal="left" vertical="center" wrapText="1"/>
    </xf>
    <xf numFmtId="0" fontId="30" fillId="4" borderId="2" xfId="0" applyFont="1" applyFill="1" applyBorder="1" applyAlignment="1">
      <alignment horizontal="left" vertical="center" wrapText="1"/>
    </xf>
    <xf numFmtId="0" fontId="30" fillId="4" borderId="10" xfId="0" applyFont="1" applyFill="1" applyBorder="1" applyAlignment="1">
      <alignment vertical="center" wrapText="1"/>
    </xf>
    <xf numFmtId="0" fontId="26" fillId="4" borderId="2" xfId="0" applyFont="1" applyFill="1" applyBorder="1" applyAlignment="1">
      <alignment horizontal="left" vertical="center" wrapText="1"/>
    </xf>
    <xf numFmtId="0" fontId="30" fillId="4" borderId="10" xfId="0" applyFont="1" applyFill="1" applyBorder="1" applyAlignment="1">
      <alignment horizontal="left" vertical="center"/>
    </xf>
    <xf numFmtId="0" fontId="30" fillId="4" borderId="2" xfId="1" applyFont="1" applyFill="1" applyBorder="1" applyAlignment="1">
      <alignment horizontal="left" vertical="center" wrapText="1"/>
    </xf>
    <xf numFmtId="0" fontId="30" fillId="4" borderId="1" xfId="0" applyFont="1" applyFill="1" applyBorder="1" applyAlignment="1">
      <alignment horizontal="left" vertical="center" wrapText="1"/>
    </xf>
    <xf numFmtId="0" fontId="26" fillId="4" borderId="10" xfId="0" applyFont="1" applyFill="1" applyBorder="1" applyAlignment="1">
      <alignment horizontal="left" vertical="center" wrapText="1"/>
    </xf>
    <xf numFmtId="0" fontId="16" fillId="4" borderId="5" xfId="0" applyFont="1" applyFill="1" applyBorder="1" applyAlignment="1" applyProtection="1">
      <alignment horizontal="left" vertical="center" wrapText="1"/>
      <protection locked="0"/>
    </xf>
    <xf numFmtId="0" fontId="22" fillId="4" borderId="27" xfId="0" applyFont="1" applyFill="1" applyBorder="1" applyAlignment="1" applyProtection="1">
      <alignment horizontal="left" vertical="center" wrapText="1"/>
      <protection locked="0"/>
    </xf>
    <xf numFmtId="0" fontId="16" fillId="4" borderId="1" xfId="0" applyFont="1" applyFill="1" applyBorder="1" applyAlignment="1" applyProtection="1">
      <alignment horizontal="left" vertical="center"/>
      <protection locked="0"/>
    </xf>
    <xf numFmtId="0" fontId="16" fillId="15" borderId="1" xfId="0" applyFont="1" applyFill="1" applyBorder="1" applyAlignment="1" applyProtection="1">
      <alignment horizontal="left" vertical="center" wrapText="1"/>
      <protection locked="0"/>
    </xf>
    <xf numFmtId="0" fontId="26" fillId="0" borderId="0" xfId="0" applyFont="1" applyAlignment="1">
      <alignment horizontal="right" vertical="top"/>
    </xf>
    <xf numFmtId="0" fontId="26" fillId="0" borderId="0" xfId="0" applyFont="1" applyAlignment="1">
      <alignment horizontal="right"/>
    </xf>
    <xf numFmtId="0" fontId="27" fillId="3" borderId="9" xfId="0" applyFont="1" applyFill="1" applyBorder="1" applyAlignment="1">
      <alignment horizontal="center" vertical="center" wrapText="1"/>
    </xf>
    <xf numFmtId="0" fontId="27" fillId="3" borderId="26" xfId="0" applyFont="1" applyFill="1" applyBorder="1" applyAlignment="1">
      <alignment horizontal="center" vertical="top" wrapText="1"/>
    </xf>
    <xf numFmtId="0" fontId="27" fillId="3" borderId="26" xfId="0" applyFont="1" applyFill="1" applyBorder="1" applyAlignment="1">
      <alignment horizontal="center" vertical="center" wrapText="1"/>
    </xf>
    <xf numFmtId="0" fontId="27" fillId="3" borderId="18" xfId="0" applyFont="1" applyFill="1" applyBorder="1" applyAlignment="1">
      <alignment horizontal="center" vertical="center" wrapText="1"/>
    </xf>
    <xf numFmtId="0" fontId="16" fillId="0" borderId="0" xfId="0" applyFont="1" applyAlignment="1">
      <alignment horizontal="right"/>
    </xf>
    <xf numFmtId="0" fontId="23" fillId="3" borderId="9"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23" fillId="3" borderId="26" xfId="0" applyFont="1" applyFill="1" applyBorder="1" applyAlignment="1">
      <alignment horizontal="center" vertical="center" wrapText="1"/>
    </xf>
  </cellXfs>
  <cellStyles count="146">
    <cellStyle name="Comma 2" xfId="10" xr:uid="{00000000-0005-0000-0000-000000000000}"/>
    <cellStyle name="Comma 2 2" xfId="11" xr:uid="{00000000-0005-0000-0000-000001000000}"/>
    <cellStyle name="Comma 2 2 2" xfId="74" xr:uid="{00000000-0005-0000-0000-000002000000}"/>
    <cellStyle name="Comma 2 2 2 2" xfId="120" xr:uid="{00000000-0005-0000-0000-000003000000}"/>
    <cellStyle name="Comma 2 2 3" xfId="102" xr:uid="{00000000-0005-0000-0000-000004000000}"/>
    <cellStyle name="Comma 2 3" xfId="73" xr:uid="{00000000-0005-0000-0000-000005000000}"/>
    <cellStyle name="Comma 2 3 2" xfId="119" xr:uid="{00000000-0005-0000-0000-000006000000}"/>
    <cellStyle name="Comma 2 4" xfId="101" xr:uid="{00000000-0005-0000-0000-000007000000}"/>
    <cellStyle name="Comma 3" xfId="12" xr:uid="{00000000-0005-0000-0000-000008000000}"/>
    <cellStyle name="Comma 3 2" xfId="13" xr:uid="{00000000-0005-0000-0000-000009000000}"/>
    <cellStyle name="Comma 3 2 2" xfId="76" xr:uid="{00000000-0005-0000-0000-00000A000000}"/>
    <cellStyle name="Comma 3 2 2 2" xfId="122" xr:uid="{00000000-0005-0000-0000-00000B000000}"/>
    <cellStyle name="Comma 3 2 3" xfId="104" xr:uid="{00000000-0005-0000-0000-00000C000000}"/>
    <cellStyle name="Comma 3 3" xfId="75" xr:uid="{00000000-0005-0000-0000-00000D000000}"/>
    <cellStyle name="Comma 3 3 2" xfId="121" xr:uid="{00000000-0005-0000-0000-00000E000000}"/>
    <cellStyle name="Comma 3 4" xfId="103" xr:uid="{00000000-0005-0000-0000-00000F000000}"/>
    <cellStyle name="Comma 4" xfId="14" xr:uid="{00000000-0005-0000-0000-000010000000}"/>
    <cellStyle name="Comma 4 2" xfId="15" xr:uid="{00000000-0005-0000-0000-000011000000}"/>
    <cellStyle name="Comma 4 2 2" xfId="78" xr:uid="{00000000-0005-0000-0000-000012000000}"/>
    <cellStyle name="Comma 4 2 2 2" xfId="124" xr:uid="{00000000-0005-0000-0000-000013000000}"/>
    <cellStyle name="Comma 4 2 3" xfId="106" xr:uid="{00000000-0005-0000-0000-000014000000}"/>
    <cellStyle name="Comma 4 3" xfId="77" xr:uid="{00000000-0005-0000-0000-000015000000}"/>
    <cellStyle name="Comma 4 3 2" xfId="123" xr:uid="{00000000-0005-0000-0000-000016000000}"/>
    <cellStyle name="Comma 4 4" xfId="105" xr:uid="{00000000-0005-0000-0000-000017000000}"/>
    <cellStyle name="Comma 5" xfId="16" xr:uid="{00000000-0005-0000-0000-000018000000}"/>
    <cellStyle name="Comma 5 2" xfId="17" xr:uid="{00000000-0005-0000-0000-000019000000}"/>
    <cellStyle name="Comma 5 2 2" xfId="80" xr:uid="{00000000-0005-0000-0000-00001A000000}"/>
    <cellStyle name="Comma 5 2 2 2" xfId="126" xr:uid="{00000000-0005-0000-0000-00001B000000}"/>
    <cellStyle name="Comma 5 2 3" xfId="108" xr:uid="{00000000-0005-0000-0000-00001C000000}"/>
    <cellStyle name="Comma 5 3" xfId="79" xr:uid="{00000000-0005-0000-0000-00001D000000}"/>
    <cellStyle name="Comma 5 3 2" xfId="125" xr:uid="{00000000-0005-0000-0000-00001E000000}"/>
    <cellStyle name="Comma 5 4" xfId="107" xr:uid="{00000000-0005-0000-0000-00001F000000}"/>
    <cellStyle name="Comma 6" xfId="18" xr:uid="{00000000-0005-0000-0000-000020000000}"/>
    <cellStyle name="Comma 6 2" xfId="81" xr:uid="{00000000-0005-0000-0000-000021000000}"/>
    <cellStyle name="Comma 6 2 2" xfId="127" xr:uid="{00000000-0005-0000-0000-000022000000}"/>
    <cellStyle name="Comma 6 3" xfId="109" xr:uid="{00000000-0005-0000-0000-000023000000}"/>
    <cellStyle name="Currency" xfId="145" xr:uid="{00000000-0005-0000-0000-000024000000}"/>
    <cellStyle name="Currency 2" xfId="19" xr:uid="{00000000-0005-0000-0000-000025000000}"/>
    <cellStyle name="Currency 2 2" xfId="82" xr:uid="{00000000-0005-0000-0000-000026000000}"/>
    <cellStyle name="Currency 2 2 2" xfId="128" xr:uid="{00000000-0005-0000-0000-000027000000}"/>
    <cellStyle name="Currency 3" xfId="93" xr:uid="{00000000-0005-0000-0000-000028000000}"/>
    <cellStyle name="Currency 3 2" xfId="136" xr:uid="{00000000-0005-0000-0000-000029000000}"/>
    <cellStyle name="Currency 4" xfId="139" xr:uid="{00000000-0005-0000-0000-00002A000000}"/>
    <cellStyle name="Excel Built-in Normal" xfId="2" xr:uid="{00000000-0005-0000-0000-00002B000000}"/>
    <cellStyle name="Hipervínculo 2" xfId="21" xr:uid="{00000000-0005-0000-0000-00002C000000}"/>
    <cellStyle name="Hipervínculo 2 2" xfId="85" xr:uid="{00000000-0005-0000-0000-00002D000000}"/>
    <cellStyle name="Hipervínculo 3" xfId="22" xr:uid="{00000000-0005-0000-0000-00002E000000}"/>
    <cellStyle name="Hipervínculo 4" xfId="23" xr:uid="{00000000-0005-0000-0000-00002F000000}"/>
    <cellStyle name="Hipervínculo 5" xfId="20" xr:uid="{00000000-0005-0000-0000-000030000000}"/>
    <cellStyle name="Hyperlink" xfId="97" xr:uid="{00000000-0005-0000-0000-000031000000}"/>
    <cellStyle name="Hyperlink 2" xfId="24" xr:uid="{00000000-0005-0000-0000-000032000000}"/>
    <cellStyle name="MDSNormal" xfId="25" xr:uid="{00000000-0005-0000-0000-000033000000}"/>
    <cellStyle name="Millares" xfId="96" builtinId="3"/>
    <cellStyle name="Millares [0] 2" xfId="6" xr:uid="{00000000-0005-0000-0000-000035000000}"/>
    <cellStyle name="Millares [0] 2 2" xfId="51" xr:uid="{00000000-0005-0000-0000-000036000000}"/>
    <cellStyle name="Millares [0] 2 2 2" xfId="87" xr:uid="{00000000-0005-0000-0000-000037000000}"/>
    <cellStyle name="Millares [0] 2 2 2 2" xfId="132" xr:uid="{00000000-0005-0000-0000-000038000000}"/>
    <cellStyle name="Millares [0] 2 2 3" xfId="112" xr:uid="{00000000-0005-0000-0000-000039000000}"/>
    <cellStyle name="Millares [0] 2 3" xfId="59" xr:uid="{00000000-0005-0000-0000-00003A000000}"/>
    <cellStyle name="Millares [0] 2 3 2" xfId="89" xr:uid="{00000000-0005-0000-0000-00003B000000}"/>
    <cellStyle name="Millares [0] 2 3 2 2" xfId="134" xr:uid="{00000000-0005-0000-0000-00003C000000}"/>
    <cellStyle name="Millares [0] 2 3 3" xfId="114" xr:uid="{00000000-0005-0000-0000-00003D000000}"/>
    <cellStyle name="Millares [0] 2 4" xfId="70" xr:uid="{00000000-0005-0000-0000-00003E000000}"/>
    <cellStyle name="Millares [0] 2 4 2" xfId="116" xr:uid="{00000000-0005-0000-0000-00003F000000}"/>
    <cellStyle name="Millares [0] 2 5" xfId="98" xr:uid="{00000000-0005-0000-0000-000040000000}"/>
    <cellStyle name="Millares [0] 4" xfId="8" xr:uid="{00000000-0005-0000-0000-000041000000}"/>
    <cellStyle name="Millares [0] 4 2" xfId="9" xr:uid="{00000000-0005-0000-0000-000042000000}"/>
    <cellStyle name="Millares [0] 4 2 2" xfId="72" xr:uid="{00000000-0005-0000-0000-000043000000}"/>
    <cellStyle name="Millares [0] 4 2 2 2" xfId="118" xr:uid="{00000000-0005-0000-0000-000044000000}"/>
    <cellStyle name="Millares [0] 4 2 3" xfId="100" xr:uid="{00000000-0005-0000-0000-000045000000}"/>
    <cellStyle name="Millares [0] 4 3" xfId="53" xr:uid="{00000000-0005-0000-0000-000046000000}"/>
    <cellStyle name="Millares [0] 4 3 2" xfId="88" xr:uid="{00000000-0005-0000-0000-000047000000}"/>
    <cellStyle name="Millares [0] 4 3 2 2" xfId="133" xr:uid="{00000000-0005-0000-0000-000048000000}"/>
    <cellStyle name="Millares [0] 4 3 3" xfId="113" xr:uid="{00000000-0005-0000-0000-000049000000}"/>
    <cellStyle name="Millares [0] 4 4" xfId="61" xr:uid="{00000000-0005-0000-0000-00004A000000}"/>
    <cellStyle name="Millares [0] 4 4 2" xfId="90" xr:uid="{00000000-0005-0000-0000-00004B000000}"/>
    <cellStyle name="Millares [0] 4 4 2 2" xfId="135" xr:uid="{00000000-0005-0000-0000-00004C000000}"/>
    <cellStyle name="Millares [0] 4 4 3" xfId="115" xr:uid="{00000000-0005-0000-0000-00004D000000}"/>
    <cellStyle name="Millares [0] 4 5" xfId="71" xr:uid="{00000000-0005-0000-0000-00004E000000}"/>
    <cellStyle name="Millares [0] 4 5 2" xfId="117" xr:uid="{00000000-0005-0000-0000-00004F000000}"/>
    <cellStyle name="Millares [0] 4 6" xfId="99" xr:uid="{00000000-0005-0000-0000-000050000000}"/>
    <cellStyle name="Millares 2" xfId="26" xr:uid="{00000000-0005-0000-0000-000051000000}"/>
    <cellStyle name="Millares 2 2" xfId="27" xr:uid="{00000000-0005-0000-0000-000052000000}"/>
    <cellStyle name="Millares 2 2 2" xfId="84" xr:uid="{00000000-0005-0000-0000-000053000000}"/>
    <cellStyle name="Millares 2 2 2 2" xfId="130" xr:uid="{00000000-0005-0000-0000-000054000000}"/>
    <cellStyle name="Millares 2 2 3" xfId="111" xr:uid="{00000000-0005-0000-0000-000055000000}"/>
    <cellStyle name="Millares 2 3" xfId="83" xr:uid="{00000000-0005-0000-0000-000056000000}"/>
    <cellStyle name="Millares 2 3 2" xfId="129" xr:uid="{00000000-0005-0000-0000-000057000000}"/>
    <cellStyle name="Millares 2 4" xfId="110" xr:uid="{00000000-0005-0000-0000-000058000000}"/>
    <cellStyle name="Millares 3" xfId="138" xr:uid="{00000000-0005-0000-0000-000059000000}"/>
    <cellStyle name="Moneda [0]" xfId="95" builtinId="7"/>
    <cellStyle name="Moneda [0] 2" xfId="7" xr:uid="{00000000-0005-0000-0000-00005C000000}"/>
    <cellStyle name="Moneda [0] 2 2" xfId="52" xr:uid="{00000000-0005-0000-0000-00005D000000}"/>
    <cellStyle name="Moneda [0] 2 3" xfId="60" xr:uid="{00000000-0005-0000-0000-00005E000000}"/>
    <cellStyle name="Moneda [0] 3" xfId="137" xr:uid="{00000000-0005-0000-0000-00005F000000}"/>
    <cellStyle name="Moneda 10" xfId="66" xr:uid="{00000000-0005-0000-0000-000060000000}"/>
    <cellStyle name="Moneda 11" xfId="67" xr:uid="{00000000-0005-0000-0000-000061000000}"/>
    <cellStyle name="Moneda 12" xfId="68" xr:uid="{00000000-0005-0000-0000-000062000000}"/>
    <cellStyle name="Moneda 13" xfId="69" xr:uid="{00000000-0005-0000-0000-000063000000}"/>
    <cellStyle name="Moneda 14" xfId="58" xr:uid="{00000000-0005-0000-0000-000064000000}"/>
    <cellStyle name="Moneda 15" xfId="56" xr:uid="{00000000-0005-0000-0000-000065000000}"/>
    <cellStyle name="Moneda 16" xfId="94" xr:uid="{00000000-0005-0000-0000-000066000000}"/>
    <cellStyle name="Moneda 17" xfId="140" xr:uid="{00000000-0005-0000-0000-000067000000}"/>
    <cellStyle name="Moneda 18" xfId="141" xr:uid="{00000000-0005-0000-0000-000068000000}"/>
    <cellStyle name="Moneda 19" xfId="142" xr:uid="{00000000-0005-0000-0000-000069000000}"/>
    <cellStyle name="Moneda 2" xfId="28" xr:uid="{00000000-0005-0000-0000-00006A000000}"/>
    <cellStyle name="Moneda 2 2" xfId="29" xr:uid="{00000000-0005-0000-0000-00006B000000}"/>
    <cellStyle name="Moneda 20" xfId="143" xr:uid="{00000000-0005-0000-0000-00006C000000}"/>
    <cellStyle name="Moneda 21" xfId="144" xr:uid="{00000000-0005-0000-0000-00006D000000}"/>
    <cellStyle name="Moneda 3" xfId="55" xr:uid="{00000000-0005-0000-0000-00006E000000}"/>
    <cellStyle name="Moneda 4" xfId="57" xr:uid="{00000000-0005-0000-0000-00006F000000}"/>
    <cellStyle name="Moneda 5" xfId="54" xr:uid="{00000000-0005-0000-0000-000070000000}"/>
    <cellStyle name="Moneda 6" xfId="62" xr:uid="{00000000-0005-0000-0000-000071000000}"/>
    <cellStyle name="Moneda 7" xfId="63" xr:uid="{00000000-0005-0000-0000-000072000000}"/>
    <cellStyle name="Moneda 8" xfId="64" xr:uid="{00000000-0005-0000-0000-000073000000}"/>
    <cellStyle name="Moneda 9" xfId="65" xr:uid="{00000000-0005-0000-0000-000074000000}"/>
    <cellStyle name="Normal" xfId="0" builtinId="0"/>
    <cellStyle name="Normal 2" xfId="5" xr:uid="{00000000-0005-0000-0000-000076000000}"/>
    <cellStyle name="Normal 2 11" xfId="30" xr:uid="{00000000-0005-0000-0000-000077000000}"/>
    <cellStyle name="Normal 2 2" xfId="31" xr:uid="{00000000-0005-0000-0000-000078000000}"/>
    <cellStyle name="Normal 2 2 2" xfId="32" xr:uid="{00000000-0005-0000-0000-000079000000}"/>
    <cellStyle name="Normal 2 2 2 2" xfId="92" xr:uid="{00000000-0005-0000-0000-00007A000000}"/>
    <cellStyle name="Normal 2 2 3" xfId="33" xr:uid="{00000000-0005-0000-0000-00007B000000}"/>
    <cellStyle name="Normal 2 3" xfId="34" xr:uid="{00000000-0005-0000-0000-00007C000000}"/>
    <cellStyle name="Normal 2 4" xfId="35" xr:uid="{00000000-0005-0000-0000-00007D000000}"/>
    <cellStyle name="Normal 2 5" xfId="36" xr:uid="{00000000-0005-0000-0000-00007E000000}"/>
    <cellStyle name="Normal 2 6" xfId="37" xr:uid="{00000000-0005-0000-0000-00007F000000}"/>
    <cellStyle name="Normal 3" xfId="1" xr:uid="{00000000-0005-0000-0000-000080000000}"/>
    <cellStyle name="Normal 3 2" xfId="39" xr:uid="{00000000-0005-0000-0000-000081000000}"/>
    <cellStyle name="Normal 3 2 2" xfId="91" xr:uid="{00000000-0005-0000-0000-000082000000}"/>
    <cellStyle name="Normal 3 3" xfId="4" xr:uid="{00000000-0005-0000-0000-000083000000}"/>
    <cellStyle name="Normal 3 4" xfId="38" xr:uid="{00000000-0005-0000-0000-000084000000}"/>
    <cellStyle name="Normal 4" xfId="3" xr:uid="{00000000-0005-0000-0000-000085000000}"/>
    <cellStyle name="Normal 4 2" xfId="40" xr:uid="{00000000-0005-0000-0000-000086000000}"/>
    <cellStyle name="Normal 5" xfId="41" xr:uid="{00000000-0005-0000-0000-000087000000}"/>
    <cellStyle name="Normal 5 2" xfId="42" xr:uid="{00000000-0005-0000-0000-000088000000}"/>
    <cellStyle name="Normal 6" xfId="43" xr:uid="{00000000-0005-0000-0000-000089000000}"/>
    <cellStyle name="Normal 7" xfId="44" xr:uid="{00000000-0005-0000-0000-00008A000000}"/>
    <cellStyle name="Normal 8" xfId="86" xr:uid="{00000000-0005-0000-0000-00008B000000}"/>
    <cellStyle name="Normal 8 2" xfId="131" xr:uid="{00000000-0005-0000-0000-00008C000000}"/>
    <cellStyle name="Percent 2" xfId="45" xr:uid="{00000000-0005-0000-0000-00008D000000}"/>
    <cellStyle name="Porcentaje 2" xfId="47" xr:uid="{00000000-0005-0000-0000-00008E000000}"/>
    <cellStyle name="Porcentaje 3" xfId="48" xr:uid="{00000000-0005-0000-0000-00008F000000}"/>
    <cellStyle name="Porcentaje 4" xfId="46" xr:uid="{00000000-0005-0000-0000-000090000000}"/>
    <cellStyle name="SAPBEXstdItem" xfId="49" xr:uid="{00000000-0005-0000-0000-000091000000}"/>
    <cellStyle name="Style 1" xfId="50" xr:uid="{00000000-0005-0000-0000-000092000000}"/>
  </cellStyles>
  <dxfs count="325">
    <dxf>
      <font>
        <b val="0"/>
        <i val="0"/>
        <strike val="0"/>
        <condense val="0"/>
        <extend val="0"/>
        <outline val="0"/>
        <shadow val="0"/>
        <u val="none"/>
        <vertAlign val="baseline"/>
        <sz val="10"/>
        <color theme="1"/>
        <name val="Arial Narrow"/>
        <family val="2"/>
        <scheme val="none"/>
      </font>
    </dxf>
    <dxf>
      <font>
        <b val="0"/>
        <i val="0"/>
        <strike val="0"/>
        <condense val="0"/>
        <extend val="0"/>
        <outline val="0"/>
        <shadow val="0"/>
        <u val="none"/>
        <vertAlign val="baseline"/>
        <sz val="10"/>
        <color theme="1"/>
        <name val="Arial Narrow"/>
        <family val="2"/>
        <scheme val="none"/>
      </font>
    </dxf>
    <dxf>
      <font>
        <b val="0"/>
        <i val="0"/>
        <strike val="0"/>
        <condense val="0"/>
        <extend val="0"/>
        <outline val="0"/>
        <shadow val="0"/>
        <u val="none"/>
        <vertAlign val="baseline"/>
        <sz val="10"/>
        <color theme="1"/>
        <name val="Arial Narrow"/>
        <family val="2"/>
        <scheme val="none"/>
      </font>
      <numFmt numFmtId="34" formatCode="_-&quot;$&quot;\ * #,##0.00_-;\-&quot;$&quot;\ * #,##0.00_-;_-&quot;$&quot;\ * &quot;-&quot;??_-;_-@_-"/>
      <alignment horizontal="right" vertical="bottom"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theme="1"/>
        <name val="Arial Narrow"/>
        <family val="2"/>
        <scheme val="none"/>
      </font>
    </dxf>
    <dxf>
      <font>
        <b val="0"/>
        <i val="0"/>
        <strike val="0"/>
        <condense val="0"/>
        <extend val="0"/>
        <outline val="0"/>
        <shadow val="0"/>
        <u val="none"/>
        <vertAlign val="baseline"/>
        <sz val="10"/>
        <color theme="1"/>
        <name val="Arial Narrow"/>
        <family val="2"/>
        <scheme val="none"/>
      </font>
      <numFmt numFmtId="34" formatCode="_-&quot;$&quot;\ * #,##0.00_-;\-&quot;$&quot;\ * #,##0.00_-;_-&quot;$&quot;\ * &quot;-&quot;??_-;_-@_-"/>
      <alignment horizontal="right" vertical="bottom"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theme="1"/>
        <name val="Arial Narrow"/>
        <family val="2"/>
        <scheme val="none"/>
      </font>
    </dxf>
    <dxf>
      <font>
        <b val="0"/>
        <i val="0"/>
        <strike val="0"/>
        <condense val="0"/>
        <extend val="0"/>
        <outline val="0"/>
        <shadow val="0"/>
        <u val="none"/>
        <vertAlign val="baseline"/>
        <sz val="10"/>
        <color theme="1"/>
        <name val="Arial Narrow"/>
        <family val="2"/>
        <scheme val="none"/>
      </font>
      <numFmt numFmtId="34" formatCode="_-&quot;$&quot;\ * #,##0.00_-;\-&quot;$&quot;\ * #,##0.00_-;_-&quot;$&quot;\ * &quot;-&quot;??_-;_-@_-"/>
      <alignment horizontal="right" vertical="bottom"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theme="1"/>
        <name val="Arial Narrow"/>
        <family val="2"/>
        <scheme val="none"/>
      </font>
    </dxf>
    <dxf>
      <font>
        <b val="0"/>
        <i val="0"/>
        <strike val="0"/>
        <condense val="0"/>
        <extend val="0"/>
        <outline val="0"/>
        <shadow val="0"/>
        <u val="none"/>
        <vertAlign val="baseline"/>
        <sz val="10"/>
        <color theme="1"/>
        <name val="Arial Narrow"/>
        <family val="2"/>
        <scheme val="none"/>
      </font>
      <numFmt numFmtId="34" formatCode="_-&quot;$&quot;\ * #,##0.00_-;\-&quot;$&quot;\ * #,##0.00_-;_-&quot;$&quot;\ * &quot;-&quot;??_-;_-@_-"/>
      <alignment horizontal="right" vertical="bottom"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theme="1"/>
        <name val="Arial Narrow"/>
        <family val="2"/>
        <scheme val="none"/>
      </font>
      <alignment horizontal="right" vertical="bottom" textRotation="0" wrapText="0" indent="0" justifyLastLine="0" shrinkToFit="0" readingOrder="0"/>
    </dxf>
    <dxf>
      <font>
        <b val="0"/>
        <i val="0"/>
        <strike val="0"/>
        <condense val="0"/>
        <extend val="0"/>
        <outline val="0"/>
        <shadow val="0"/>
        <u val="none"/>
        <vertAlign val="baseline"/>
        <sz val="10"/>
        <color theme="1"/>
        <name val="Arial Narrow"/>
        <family val="2"/>
        <scheme val="none"/>
      </font>
      <numFmt numFmtId="34" formatCode="_-&quot;$&quot;\ * #,##0.00_-;\-&quot;$&quot;\ * #,##0.00_-;_-&quot;$&quot;\ * &quot;-&quot;??_-;_-@_-"/>
      <alignment horizontal="right" vertical="bottom"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theme="1"/>
        <name val="Arial Narrow"/>
        <family val="2"/>
        <scheme val="none"/>
      </font>
    </dxf>
    <dxf>
      <font>
        <b val="0"/>
        <i val="0"/>
        <strike val="0"/>
        <condense val="0"/>
        <extend val="0"/>
        <outline val="0"/>
        <shadow val="0"/>
        <u val="none"/>
        <vertAlign val="baseline"/>
        <sz val="10"/>
        <color theme="1"/>
        <name val="Arial Narrow"/>
        <family val="2"/>
        <scheme val="none"/>
      </font>
      <numFmt numFmtId="34" formatCode="_-&quot;$&quot;\ * #,##0.00_-;\-&quot;$&quot;\ * #,##0.00_-;_-&quot;$&quot;\ * &quot;-&quot;??_-;_-@_-"/>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theme="1"/>
        <name val="Arial Narrow"/>
        <family val="2"/>
        <scheme val="none"/>
      </font>
    </dxf>
    <dxf>
      <font>
        <b val="0"/>
        <i val="0"/>
        <strike val="0"/>
        <condense val="0"/>
        <extend val="0"/>
        <outline val="0"/>
        <shadow val="0"/>
        <u val="none"/>
        <vertAlign val="baseline"/>
        <sz val="10"/>
        <color theme="1"/>
        <name val="Arial Narrow"/>
        <family val="2"/>
        <scheme val="none"/>
      </font>
      <numFmt numFmtId="34" formatCode="_-&quot;$&quot;\ * #,##0.00_-;\-&quot;$&quot;\ * #,##0.00_-;_-&quot;$&quot;\ * &quot;-&quot;??_-;_-@_-"/>
      <alignment horizontal="right" vertical="bottom"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alignment horizontal="center" vertical="bottom" textRotation="0" wrapText="0" indent="0" justifyLastLine="0" shrinkToFit="0" readingOrder="0"/>
    </dxf>
    <dxf>
      <font>
        <b val="0"/>
        <i val="0"/>
        <strike val="0"/>
        <condense val="0"/>
        <extend val="0"/>
        <outline val="0"/>
        <shadow val="0"/>
        <u val="none"/>
        <vertAlign val="baseline"/>
        <sz val="10"/>
        <color theme="1"/>
        <name val="Arial Narrow"/>
        <family val="2"/>
        <scheme val="none"/>
      </font>
      <numFmt numFmtId="34" formatCode="_-&quot;$&quot;\ * #,##0.00_-;\-&quot;$&quot;\ * #,##0.00_-;_-&quot;$&quot;\ * &quot;-&quot;??_-;_-@_-"/>
      <alignment horizontal="right" vertical="bottom"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family val="2"/>
        <scheme val="none"/>
      </font>
      <numFmt numFmtId="34" formatCode="_-&quot;$&quot;\ * #,##0.00_-;\-&quot;$&quot;\ * #,##0.00_-;_-&quot;$&quot;\ * &quot;-&quot;??_-;_-@_-"/>
      <alignment horizontal="right" vertical="bottom" textRotation="0" wrapText="0"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alignment horizontal="center" vertical="bottom" textRotation="0" wrapText="0" indent="0" justifyLastLine="0" shrinkToFit="0" readingOrder="0"/>
    </dxf>
    <dxf>
      <font>
        <b val="0"/>
        <i val="0"/>
        <strike val="0"/>
        <condense val="0"/>
        <extend val="0"/>
        <outline val="0"/>
        <shadow val="0"/>
        <u val="none"/>
        <vertAlign val="baseline"/>
        <sz val="10"/>
        <color auto="1"/>
        <name val="Arial Narrow"/>
        <family val="2"/>
        <scheme val="none"/>
      </font>
      <numFmt numFmtId="34" formatCode="_-&quot;$&quot;\ * #,##0.00_-;\-&quot;$&quot;\ * #,##0.00_-;_-&quot;$&quot;\ * &quot;-&quot;??_-;_-@_-"/>
      <alignment horizontal="right" vertical="center" textRotation="0" wrapText="1" indent="0" justifyLastLine="0" shrinkToFit="0" readingOrder="0"/>
      <border diagonalUp="0" diagonalDown="0" outline="0">
        <left style="thin">
          <color rgb="FF000000"/>
        </left>
        <right style="thin">
          <color rgb="FF000000"/>
        </right>
        <top/>
        <bottom style="thin">
          <color rgb="FF000000"/>
        </bottom>
      </border>
    </dxf>
    <dxf>
      <font>
        <b val="0"/>
        <i val="0"/>
        <strike val="0"/>
        <condense val="0"/>
        <extend val="0"/>
        <outline val="0"/>
        <shadow val="0"/>
        <u val="none"/>
        <vertAlign val="baseline"/>
        <sz val="10"/>
        <color auto="1"/>
        <name val="Arial Narrow"/>
        <family val="2"/>
        <scheme val="none"/>
      </font>
      <numFmt numFmtId="34" formatCode="_-&quot;$&quot;\ * #,##0.00_-;\-&quot;$&quot;\ * #,##0.00_-;_-&quot;$&quot;\ * &quot;-&quot;??_-;_-@_-"/>
      <alignment horizontal="center" vertical="center" textRotation="0" wrapText="1" indent="0" justifyLastLine="0" shrinkToFit="0" readingOrder="0"/>
    </dxf>
    <dxf>
      <font>
        <b val="0"/>
        <i val="0"/>
        <strike val="0"/>
        <condense val="0"/>
        <extend val="0"/>
        <outline val="0"/>
        <shadow val="0"/>
        <u val="none"/>
        <vertAlign val="baseline"/>
        <sz val="10"/>
        <color auto="1"/>
        <name val="Arial Narrow"/>
        <family val="2"/>
        <scheme val="none"/>
      </font>
      <numFmt numFmtId="3" formatCode="#,##0"/>
      <alignment horizontal="center" vertical="center" textRotation="0" wrapText="1" indent="0" justifyLastLine="0" shrinkToFit="0" readingOrder="0"/>
    </dxf>
    <dxf>
      <font>
        <b val="0"/>
        <i val="0"/>
        <strike val="0"/>
        <condense val="0"/>
        <extend val="0"/>
        <outline val="0"/>
        <shadow val="0"/>
        <u val="none"/>
        <vertAlign val="baseline"/>
        <sz val="10"/>
        <color auto="1"/>
        <name val="Arial Narrow"/>
        <family val="2"/>
        <scheme val="none"/>
      </font>
      <alignment horizontal="left" vertical="center" textRotation="0" wrapText="1" indent="0" justifyLastLine="0" shrinkToFit="0" readingOrder="0"/>
    </dxf>
    <dxf>
      <font>
        <b val="0"/>
        <i val="0"/>
        <strike val="0"/>
        <condense val="0"/>
        <extend val="0"/>
        <outline val="0"/>
        <shadow val="0"/>
        <u val="none"/>
        <vertAlign val="baseline"/>
        <sz val="10"/>
        <color auto="1"/>
        <name val="Arial Narrow"/>
        <family val="2"/>
        <scheme val="none"/>
      </font>
      <alignment horizontal="left" vertical="center" textRotation="0" wrapText="0" indent="0" justifyLastLine="0" shrinkToFit="0" readingOrder="0"/>
    </dxf>
    <dxf>
      <font>
        <b val="0"/>
        <i val="0"/>
        <strike val="0"/>
        <condense val="0"/>
        <extend val="0"/>
        <outline val="0"/>
        <shadow val="0"/>
        <u val="none"/>
        <vertAlign val="baseline"/>
        <sz val="10"/>
        <color auto="1"/>
        <name val="Arial Narrow"/>
        <family val="2"/>
        <scheme val="none"/>
      </font>
      <alignment horizontal="left" vertical="center" textRotation="0" wrapText="1" indent="0" justifyLastLine="0" shrinkToFit="0" readingOrder="0"/>
    </dxf>
    <dxf>
      <font>
        <b val="0"/>
        <i val="0"/>
        <strike val="0"/>
        <condense val="0"/>
        <extend val="0"/>
        <outline val="0"/>
        <shadow val="0"/>
        <u val="none"/>
        <vertAlign val="baseline"/>
        <sz val="10"/>
        <color auto="1"/>
        <name val="Arial Narrow"/>
        <family val="2"/>
        <scheme val="none"/>
      </font>
      <numFmt numFmtId="30" formatCode="@"/>
      <alignment horizontal="left" vertical="center" textRotation="0" wrapText="1" indent="0" justifyLastLine="0" shrinkToFit="0" readingOrder="0"/>
    </dxf>
    <dxf>
      <font>
        <b val="0"/>
        <i val="0"/>
        <strike val="0"/>
        <condense val="0"/>
        <extend val="0"/>
        <outline val="0"/>
        <shadow val="0"/>
        <u val="none"/>
        <vertAlign val="baseline"/>
        <sz val="10"/>
        <color auto="1"/>
        <name val="Arial Narrow"/>
        <family val="2"/>
        <scheme val="none"/>
      </font>
      <alignment horizontal="left" vertical="center" textRotation="0" wrapText="1" indent="0" justifyLastLine="0" shrinkToFit="0" readingOrder="0"/>
    </dxf>
    <dxf>
      <font>
        <b val="0"/>
        <i val="0"/>
        <strike val="0"/>
        <condense val="0"/>
        <extend val="0"/>
        <outline val="0"/>
        <shadow val="0"/>
        <u val="none"/>
        <vertAlign val="baseline"/>
        <sz val="10"/>
        <color auto="1"/>
        <name val="Arial Narrow"/>
        <family val="2"/>
        <scheme val="none"/>
      </font>
      <alignment horizontal="center" vertical="center" textRotation="0" wrapText="1" indent="0" justifyLastLine="0" shrinkToFit="0" readingOrder="0"/>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val="0"/>
        <i val="0"/>
        <strike val="0"/>
        <condense val="0"/>
        <extend val="0"/>
        <outline val="0"/>
        <shadow val="0"/>
        <u val="none"/>
        <vertAlign val="baseline"/>
        <sz val="9"/>
        <color theme="1"/>
        <name val="Arial"/>
        <scheme val="none"/>
      </font>
      <border diagonalUp="0" diagonalDown="0" outline="0">
        <left style="thin">
          <color indexed="64"/>
        </left>
        <right/>
        <top style="thin">
          <color indexed="64"/>
        </top>
        <bottom/>
      </border>
    </dxf>
    <dxf>
      <font>
        <b val="0"/>
        <i val="0"/>
        <strike val="0"/>
        <condense val="0"/>
        <extend val="0"/>
        <outline val="0"/>
        <shadow val="0"/>
        <u val="none"/>
        <vertAlign val="baseline"/>
        <sz val="9"/>
        <color theme="1"/>
        <name val="Arial"/>
        <scheme val="none"/>
      </font>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scheme val="none"/>
      </font>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font>
        <strike val="0"/>
        <outline val="0"/>
        <shadow val="0"/>
        <u val="none"/>
        <vertAlign val="baseline"/>
        <name val="Arial"/>
        <scheme val="none"/>
      </font>
    </dxf>
    <dxf>
      <border outline="0">
        <left style="thin">
          <color indexed="64"/>
        </left>
        <right style="thin">
          <color indexed="64"/>
        </right>
        <bottom style="thin">
          <color indexed="64"/>
        </bottom>
      </border>
    </dxf>
    <dxf>
      <font>
        <strike val="0"/>
        <outline val="0"/>
        <shadow val="0"/>
        <u val="none"/>
        <vertAlign val="baseline"/>
        <name val="Arial"/>
        <scheme val="none"/>
      </font>
    </dxf>
    <dxf>
      <border outline="0">
        <bottom style="thin">
          <color indexed="64"/>
        </bottom>
      </border>
    </dxf>
    <dxf>
      <font>
        <b/>
        <i val="0"/>
        <strike val="0"/>
        <condense val="0"/>
        <extend val="0"/>
        <outline val="0"/>
        <shadow val="0"/>
        <u val="none"/>
        <vertAlign val="baseline"/>
        <sz val="9"/>
        <color auto="1"/>
        <name val="Arial"/>
        <scheme val="none"/>
      </font>
      <fill>
        <patternFill patternType="solid">
          <fgColor indexed="64"/>
          <bgColor theme="9" tint="0.59999389629810485"/>
        </patternFill>
      </fill>
      <alignment horizontal="center" vertical="center" textRotation="90" wrapText="1" indent="0" justifyLastLine="0" shrinkToFit="0" readingOrder="0"/>
    </dxf>
    <dxf>
      <font>
        <b/>
        <i val="0"/>
        <strike val="0"/>
        <condense val="0"/>
        <extend val="0"/>
        <outline val="0"/>
        <shadow val="0"/>
        <u val="none"/>
        <vertAlign val="baseline"/>
        <sz val="9"/>
        <color theme="1"/>
        <name val="Arial"/>
        <scheme val="none"/>
      </font>
      <numFmt numFmtId="170"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i val="0"/>
        <strike val="0"/>
        <condense val="0"/>
        <extend val="0"/>
        <outline val="0"/>
        <shadow val="0"/>
        <u val="none"/>
        <vertAlign val="baseline"/>
        <sz val="9"/>
        <color theme="1"/>
        <name val="Arial"/>
        <scheme val="none"/>
      </font>
      <numFmt numFmtId="170"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1" formatCode="_-* #,##0\ _€_-;\-* #,##0\ _€_-;_-* &quot;-&quot;??\ _€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1" formatCode="_-* #,##0\ _€_-;\-* #,##0\ _€_-;_-* &quot;-&quot;??\ _€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0" formatCode="_-* #,##0_-;\-* #,##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1" formatCode="_-* #,##0\ _€_-;\-* #,##0\ _€_-;_-* &quot;-&quot;??\ _€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1" formatCode="_-* #,##0\ _€_-;\-* #,##0\ _€_-;_-* &quot;-&quot;??\ _€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1" formatCode="_-* #,##0\ _€_-;\-* #,##0\ _€_-;_-* &quot;-&quot;??\ _€_-;_-@_-"/>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1" formatCode="_-* #,##0\ _€_-;\-* #,##0\ _€_-;_-* &quot;-&quot;??\ _€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71" formatCode="_-* #,##0\ _€_-;\-* #,##0\ _€_-;_-* &quot;-&quot;??\ _€_-;_-@_-"/>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71" formatCode="_-* #,##0\ _€_-;\-* #,##0\ _€_-;_-* &quot;-&quot;??\ _€_-;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Arial"/>
        <scheme val="none"/>
      </font>
      <numFmt numFmtId="170" formatCode="_-* #,##0_-;\-* #,##0_-;_-* &quot;-&quot;??_-;_-@_-"/>
      <fill>
        <patternFill patternType="solid">
          <fgColor indexed="64"/>
          <bgColor rgb="FFFFF2CC"/>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9"/>
        <color auto="1"/>
        <name val="Arial"/>
        <scheme val="none"/>
      </font>
      <numFmt numFmtId="170" formatCode="_-* #,##0_-;\-* #,##0_-;_-* &quot;-&quot;??_-;_-@_-"/>
      <fill>
        <patternFill patternType="solid">
          <fgColor indexed="64"/>
          <bgColor rgb="FFFFF2CC"/>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theme="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i val="0"/>
        <strike val="0"/>
        <condense val="0"/>
        <extend val="0"/>
        <outline val="0"/>
        <shadow val="0"/>
        <u val="none"/>
        <vertAlign val="baseline"/>
        <sz val="9"/>
        <color theme="1"/>
        <name val="Arial"/>
        <scheme val="none"/>
      </font>
      <numFmt numFmtId="170" formatCode="_-* #,##0_-;\-* #,##0_-;_-* &quot;-&quot;??_-;_-@_-"/>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rgb="FF000000"/>
        <name val="Arial"/>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name val="Arial"/>
        <scheme val="none"/>
      </font>
    </dxf>
    <dxf>
      <border outline="0">
        <left style="medium">
          <color indexed="64"/>
        </left>
        <bottom style="thin">
          <color indexed="64"/>
        </bottom>
      </border>
    </dxf>
    <dxf>
      <font>
        <strike val="0"/>
        <outline val="0"/>
        <shadow val="0"/>
        <u val="none"/>
        <vertAlign val="baseline"/>
        <name val="Arial"/>
        <scheme val="none"/>
      </font>
    </dxf>
    <dxf>
      <border outline="0">
        <bottom style="thin">
          <color indexed="64"/>
        </bottom>
      </border>
    </dxf>
    <dxf>
      <font>
        <b/>
        <i val="0"/>
        <strike val="0"/>
        <condense val="0"/>
        <extend val="0"/>
        <outline val="0"/>
        <shadow val="0"/>
        <u val="none"/>
        <vertAlign val="baseline"/>
        <sz val="9"/>
        <color theme="1"/>
        <name val="Arial"/>
        <scheme val="none"/>
      </font>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34" formatCode="_-&quot;$&quot;\ * #,##0.00_-;\-&quot;$&quot;\ * #,##0.00_-;_-&quot;$&quot;\ * &quot;-&quot;??_-;_-@_-"/>
    </dxf>
    <dxf>
      <alignment wrapText="1" readingOrder="0"/>
    </dxf>
    <dxf>
      <font>
        <b val="0"/>
        <i val="0"/>
        <strike val="0"/>
        <condense val="0"/>
        <extend val="0"/>
        <outline val="0"/>
        <shadow val="0"/>
        <u val="none"/>
        <vertAlign val="baseline"/>
        <sz val="9"/>
        <color theme="1"/>
        <name val="Arial"/>
        <family val="2"/>
        <scheme val="none"/>
      </font>
      <numFmt numFmtId="35" formatCode="_-* #,##0.00_-;\-* #,##0.00_-;_-* &quot;-&quot;??_-;_-@_-"/>
      <alignment horizontal="center" vertical="center" textRotation="0" wrapText="0" indent="0" justifyLastLine="0" shrinkToFit="0" readingOrder="0"/>
      <protection locked="0" hidden="0"/>
    </dxf>
    <dxf>
      <font>
        <strike val="0"/>
        <outline val="0"/>
        <shadow val="0"/>
        <u val="none"/>
        <vertAlign val="baseline"/>
        <sz val="9"/>
        <name val="Arial"/>
        <scheme val="none"/>
      </font>
      <numFmt numFmtId="0" formatCode="General"/>
      <fill>
        <patternFill patternType="none">
          <fgColor indexed="64"/>
          <bgColor auto="1"/>
        </patternFill>
      </fill>
      <alignment horizontal="center" vertical="center"/>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174" formatCode="_-[$$-409]* #,##0.00_ ;_-[$$-409]* \-#,##0.00\ ;_-[$$-409]* &quot;-&quot;??_ ;_-@_ "/>
      <alignment horizontal="general"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alignment horizontal="general" vertical="center" textRotation="0" wrapText="0" indent="0" justifyLastLine="0" shrinkToFit="0" readingOrder="0"/>
      <border diagonalUp="0" diagonalDown="0" outline="0">
        <left/>
        <right/>
        <top style="thin">
          <color indexed="64"/>
        </top>
        <bottom style="thin">
          <color indexed="64"/>
        </bottom>
      </border>
      <protection locked="0" hidden="0"/>
    </dxf>
    <dxf>
      <font>
        <strike val="0"/>
        <outline val="0"/>
        <shadow val="0"/>
        <u val="none"/>
        <vertAlign val="baseline"/>
        <sz val="9"/>
        <name val="Arial"/>
        <scheme val="none"/>
      </font>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174" formatCode="_-[$$-409]* #,##0.00_ ;_-[$$-409]* \-#,##0.00\ ;_-[$$-409]* &quot;-&quot;??_ ;_-@_ "/>
      <alignment horizontal="general"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alignment horizontal="center" vertical="center" textRotation="0" wrapText="0" indent="0" justifyLastLine="0" shrinkToFit="0" readingOrder="0"/>
      <border diagonalUp="0" diagonalDown="0" outline="0">
        <left/>
        <right/>
        <top style="thin">
          <color indexed="64"/>
        </top>
        <bottom style="thin">
          <color indexed="64"/>
        </bottom>
      </border>
      <protection locked="0" hidden="0"/>
    </dxf>
    <dxf>
      <font>
        <strike val="0"/>
        <outline val="0"/>
        <shadow val="0"/>
        <u val="none"/>
        <vertAlign val="baseline"/>
        <sz val="9"/>
        <name val="Arial"/>
        <scheme val="none"/>
      </font>
      <numFmt numFmtId="1" formatCode="0"/>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174" formatCode="_-[$$-409]* #,##0.00_ ;_-[$$-409]* \-#,##0.00\ ;_-[$$-409]* &quot;-&quot;??_ ;_-@_ "/>
      <alignment horizontal="general"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alignment horizontal="center" vertical="center" textRotation="0" wrapText="0" indent="0" justifyLastLine="0" shrinkToFit="0" readingOrder="0"/>
      <border diagonalUp="0" diagonalDown="0" outline="0">
        <left/>
        <right/>
        <top style="thin">
          <color indexed="64"/>
        </top>
        <bottom style="thin">
          <color indexed="64"/>
        </bottom>
      </border>
      <protection locked="0" hidden="0"/>
    </dxf>
    <dxf>
      <font>
        <strike val="0"/>
        <outline val="0"/>
        <shadow val="0"/>
        <u val="none"/>
        <vertAlign val="baseline"/>
        <sz val="9"/>
        <name val="Arial"/>
        <scheme val="none"/>
      </font>
      <numFmt numFmtId="0" formatCode="General"/>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174" formatCode="_-[$$-409]* #,##0.00_ ;_-[$$-409]* \-#,##0.00\ ;_-[$$-409]* &quot;-&quot;??_ ;_-@_ "/>
      <alignment horizontal="general"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173" formatCode="0.0"/>
      <alignment horizontal="general" vertical="center" textRotation="0" wrapText="0" indent="0" justifyLastLine="0" shrinkToFit="0" readingOrder="0"/>
      <border diagonalUp="0" diagonalDown="0" outline="0">
        <left/>
        <right/>
        <top style="thin">
          <color indexed="64"/>
        </top>
        <bottom style="thin">
          <color indexed="64"/>
        </bottom>
      </border>
      <protection locked="0" hidden="0"/>
    </dxf>
    <dxf>
      <font>
        <strike val="0"/>
        <outline val="0"/>
        <shadow val="0"/>
        <u val="none"/>
        <vertAlign val="baseline"/>
        <sz val="9"/>
        <name val="Arial"/>
        <scheme val="none"/>
      </font>
      <numFmt numFmtId="173" formatCode="0.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174" formatCode="_-[$$-409]* #,##0.00_ ;_-[$$-409]* \-#,##0.00\ ;_-[$$-409]* &quot;-&quot;??_ ;_-@_ "/>
      <alignment horizontal="general"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alignment horizontal="center" vertical="center" textRotation="0" wrapText="0" indent="0" justifyLastLine="0" shrinkToFit="0" readingOrder="0"/>
      <border diagonalUp="0" diagonalDown="0" outline="0">
        <left/>
        <right/>
        <top style="thin">
          <color indexed="64"/>
        </top>
        <bottom style="thin">
          <color indexed="64"/>
        </bottom>
      </border>
      <protection locked="0" hidden="0"/>
    </dxf>
    <dxf>
      <font>
        <strike val="0"/>
        <outline val="0"/>
        <shadow val="0"/>
        <u val="none"/>
        <vertAlign val="baseline"/>
        <sz val="9"/>
        <name val="Arial"/>
        <scheme val="none"/>
      </font>
      <numFmt numFmtId="0" formatCode="General"/>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174" formatCode="_-[$$-409]* #,##0.00_ ;_-[$$-409]* \-#,##0.00\ ;_-[$$-409]* &quot;-&quot;??_ ;_-@_ "/>
      <alignment horizontal="right" vertical="bottom"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border diagonalUp="0" diagonalDown="0" outline="0">
        <left/>
        <right/>
        <top style="thin">
          <color indexed="64"/>
        </top>
        <bottom style="thin">
          <color indexed="64"/>
        </bottom>
      </border>
      <protection locked="0" hidden="0"/>
    </dxf>
    <dxf>
      <font>
        <strike val="0"/>
        <outline val="0"/>
        <shadow val="0"/>
        <u val="none"/>
        <vertAlign val="baseline"/>
        <sz val="9"/>
        <name val="Arial"/>
        <scheme val="none"/>
      </font>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4" formatCode="_-&quot;$&quot;\ * #,##0.00_-;\-&quot;$&quot;\ * #,##0.00_-;_-&quot;$&quot;\ * &quot;-&quot;??_-;_-@_-"/>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border diagonalUp="0" diagonalDown="0" outline="0">
        <left/>
        <right/>
        <top style="thin">
          <color indexed="64"/>
        </top>
        <bottom style="thin">
          <color indexed="64"/>
        </bottom>
      </border>
      <protection locked="0" hidden="0"/>
    </dxf>
    <dxf>
      <font>
        <strike val="0"/>
        <outline val="0"/>
        <shadow val="0"/>
        <u val="none"/>
        <vertAlign val="baseline"/>
        <sz val="9"/>
        <name val="Arial"/>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4" formatCode="_-&quot;$&quot;\ * #,##0.00_-;\-&quot;$&quot;\ * #,##0.00_-;_-&quot;$&quot;\ * &quot;-&quot;??_-;_-@_-"/>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alignment horizontal="center" vertical="center"/>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alignment horizontal="center" vertical="center" textRotation="0" wrapText="0" indent="0" justifyLastLine="0" shrinkToFit="0" readingOrder="0"/>
      <border diagonalUp="0" diagonalDown="0" outline="0">
        <left/>
        <right/>
        <top style="thin">
          <color indexed="64"/>
        </top>
        <bottom style="thin">
          <color indexed="64"/>
        </bottom>
      </border>
      <protection locked="0" hidden="0"/>
    </dxf>
    <dxf>
      <fill>
        <patternFill patternType="none">
          <fgColor indexed="64"/>
          <bgColor auto="1"/>
        </patternFill>
      </fill>
      <alignment horizontal="center" vertical="center"/>
    </dxf>
    <dxf>
      <font>
        <b/>
        <i val="0"/>
        <strike val="0"/>
        <condense val="0"/>
        <extend val="0"/>
        <outline val="0"/>
        <shadow val="0"/>
        <u val="none"/>
        <vertAlign val="baseline"/>
        <sz val="9"/>
        <color theme="1"/>
        <name val="Arial"/>
        <family val="2"/>
        <scheme val="none"/>
      </font>
      <numFmt numFmtId="35" formatCode="_-* #,##0.00_-;\-* #,##0.00_-;_-* &quot;-&quot;??_-;_-@_-"/>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alignment horizontal="center" vertical="center" textRotation="0" wrapText="0" indent="0" justifyLastLine="0" shrinkToFit="0" readingOrder="0"/>
      <border diagonalUp="0" diagonalDown="0" outline="0">
        <left/>
        <right/>
        <top style="thin">
          <color indexed="64"/>
        </top>
        <bottom style="thin">
          <color indexed="64"/>
        </bottom>
      </border>
      <protection locked="0" hidden="0"/>
    </dxf>
    <dxf>
      <font>
        <strike val="0"/>
        <outline val="0"/>
        <shadow val="0"/>
        <u val="none"/>
        <vertAlign val="baseline"/>
        <sz val="9"/>
        <name val="Arial"/>
        <scheme val="none"/>
      </font>
      <numFmt numFmtId="0" formatCode="General"/>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strike val="0"/>
        <outline val="0"/>
        <shadow val="0"/>
        <u val="none"/>
        <vertAlign val="baseline"/>
        <sz val="9"/>
        <name val="Arial"/>
        <scheme val="none"/>
      </font>
      <fill>
        <patternFill patternType="none">
          <fgColor indexed="64"/>
          <bgColor auto="1"/>
        </patternFill>
      </fill>
      <alignment vertical="center"/>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9"/>
        <color theme="1"/>
        <name val="Arial"/>
        <family val="2"/>
        <scheme val="none"/>
      </font>
      <numFmt numFmtId="35" formatCode="_-* #,##0.00_-;\-* #,##0.00_-;_-* &quot;-&quot;??_-;_-@_-"/>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strike val="0"/>
        <outline val="0"/>
        <shadow val="0"/>
        <u val="none"/>
        <vertAlign val="baseline"/>
        <sz val="9"/>
        <name val="Arial"/>
        <scheme val="none"/>
      </font>
      <fill>
        <patternFill patternType="none">
          <fgColor indexed="64"/>
          <bgColor auto="1"/>
        </patternFill>
      </fill>
      <alignment vertical="center"/>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auto="1"/>
        <name val="Arial"/>
        <family val="2"/>
        <scheme val="none"/>
      </font>
      <numFmt numFmtId="1" formatCode="0"/>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9"/>
        <color auto="1"/>
        <name val="Arial"/>
        <scheme val="none"/>
      </font>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auto="1"/>
        <name val="Arial"/>
        <family val="2"/>
        <scheme val="none"/>
      </font>
      <alignment horizontal="left" vertical="center" textRotation="0" wrapText="0" indent="0" justifyLastLine="0" shrinkToFit="0" readingOrder="0"/>
      <border diagonalUp="0" diagonalDown="0" outline="0">
        <left style="thin">
          <color rgb="FF000000"/>
        </left>
        <right style="thin">
          <color rgb="FF000000"/>
        </right>
        <top/>
        <bottom/>
      </border>
      <protection locked="0" hidden="0"/>
    </dxf>
    <dxf>
      <font>
        <b val="0"/>
        <i val="0"/>
        <strike val="0"/>
        <condense val="0"/>
        <extend val="0"/>
        <outline val="0"/>
        <shadow val="0"/>
        <u val="none"/>
        <vertAlign val="baseline"/>
        <sz val="9"/>
        <color auto="1"/>
        <name val="Arial"/>
        <scheme val="none"/>
      </font>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9"/>
        <color auto="1"/>
        <name val="Arial"/>
        <scheme val="none"/>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auto="1"/>
        <name val="Arial"/>
        <family val="2"/>
        <scheme val="none"/>
      </font>
      <alignment horizontal="left" vertical="center" textRotation="0" wrapText="1" indent="0" justifyLastLine="0" shrinkToFit="0" readingOrder="0"/>
      <border diagonalUp="0" diagonalDown="0" outline="0">
        <left style="thin">
          <color rgb="FF000000"/>
        </left>
        <right style="thin">
          <color rgb="FF000000"/>
        </right>
        <top/>
        <bottom/>
      </border>
      <protection locked="0" hidden="0"/>
    </dxf>
    <dxf>
      <font>
        <b val="0"/>
        <i val="0"/>
        <strike val="0"/>
        <condense val="0"/>
        <extend val="0"/>
        <outline val="0"/>
        <shadow val="0"/>
        <u val="none"/>
        <vertAlign val="baseline"/>
        <sz val="9"/>
        <color auto="1"/>
        <name val="Arial"/>
        <scheme val="none"/>
      </font>
      <fill>
        <patternFill patternType="none">
          <fgColor indexed="64"/>
          <bgColor auto="1"/>
        </patternFill>
      </fill>
      <alignment horizontal="left"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protection locked="0" hidden="0"/>
    </dxf>
    <dxf>
      <font>
        <b val="0"/>
        <i val="0"/>
        <strike val="0"/>
        <condense val="0"/>
        <extend val="0"/>
        <outline val="0"/>
        <shadow val="0"/>
        <u val="none"/>
        <vertAlign val="baseline"/>
        <sz val="9"/>
        <color auto="1"/>
        <name val="Arial"/>
        <family val="2"/>
        <scheme val="none"/>
      </font>
      <alignment horizontal="center" vertical="center" textRotation="0" wrapText="0" indent="0" justifyLastLine="0" shrinkToFit="0" readingOrder="0"/>
      <border diagonalUp="0" diagonalDown="0" outline="0">
        <left style="thin">
          <color rgb="FF000000"/>
        </left>
        <right style="thin">
          <color rgb="FF000000"/>
        </right>
        <top/>
        <bottom/>
      </border>
      <protection locked="0" hidden="0"/>
    </dxf>
    <dxf>
      <font>
        <b val="0"/>
        <i val="0"/>
        <strike val="0"/>
        <condense val="0"/>
        <extend val="0"/>
        <outline val="0"/>
        <shadow val="0"/>
        <u val="none"/>
        <vertAlign val="baseline"/>
        <sz val="9"/>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9"/>
        <name val="Arial"/>
        <scheme val="none"/>
      </font>
      <protection locked="0" hidden="0"/>
    </dxf>
    <dxf>
      <border outline="0">
        <top style="thin">
          <color indexed="64"/>
        </top>
      </border>
    </dxf>
    <dxf>
      <font>
        <strike val="0"/>
        <outline val="0"/>
        <shadow val="0"/>
        <u val="none"/>
        <vertAlign val="baseline"/>
        <sz val="9"/>
        <name val="Arial"/>
        <scheme val="none"/>
      </font>
      <fill>
        <patternFill patternType="none">
          <fgColor indexed="64"/>
          <bgColor auto="1"/>
        </patternFill>
      </fill>
      <protection locked="0" hidden="0"/>
    </dxf>
    <dxf>
      <font>
        <strike val="0"/>
        <outline val="0"/>
        <shadow val="0"/>
        <u val="none"/>
        <vertAlign val="baseline"/>
        <sz val="9"/>
        <name val="Arial"/>
        <scheme val="none"/>
      </font>
      <fill>
        <patternFill patternType="solid">
          <fgColor indexed="64"/>
          <bgColor theme="9" tint="0.79998168889431442"/>
        </patternFill>
      </fill>
      <protection locked="0" hidden="0"/>
    </dxf>
    <dxf>
      <font>
        <b val="0"/>
        <i val="0"/>
        <strike val="0"/>
        <condense val="0"/>
        <extend val="0"/>
        <outline val="0"/>
        <shadow val="0"/>
        <u val="none"/>
        <vertAlign val="baseline"/>
        <sz val="10"/>
        <color theme="1"/>
        <name val="Arial Narrow"/>
        <family val="2"/>
        <scheme val="none"/>
      </font>
      <numFmt numFmtId="0" formatCode="General"/>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numFmt numFmtId="0" formatCode="General"/>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fill>
        <patternFill patternType="none">
          <fgColor indexed="64"/>
          <bgColor auto="1"/>
        </patternFill>
      </fill>
      <alignment horizontal="center"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fill>
        <patternFill patternType="none">
          <fgColor indexed="64"/>
          <bgColor auto="1"/>
        </patternFill>
      </fill>
      <alignment horizontal="center"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fill>
        <patternFill patternType="none">
          <fgColor indexed="64"/>
          <bgColor auto="1"/>
        </patternFill>
      </fill>
      <alignment horizontal="center"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fill>
        <patternFill patternType="none">
          <fgColor indexed="64"/>
          <bgColor auto="1"/>
        </patternFill>
      </fill>
      <alignment horizontal="center"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fill>
        <patternFill patternType="none">
          <fgColor indexed="64"/>
          <bgColor auto="1"/>
        </patternFill>
      </fill>
      <alignment horizontal="center"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numFmt numFmtId="0" formatCode="General"/>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fill>
        <patternFill patternType="none">
          <fgColor indexed="64"/>
          <bgColor auto="1"/>
        </patternFill>
      </fill>
      <alignment horizontal="center"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strike val="0"/>
        <outline val="0"/>
        <shadow val="0"/>
        <sz val="10"/>
        <name val="Arial Narrow"/>
        <family val="2"/>
        <scheme val="none"/>
      </font>
      <fill>
        <patternFill patternType="none">
          <fgColor indexed="64"/>
          <bgColor auto="1"/>
        </patternFill>
      </fill>
      <alignment horizontal="center" vertical="center"/>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theme="1"/>
        <name val="Arial Narrow"/>
        <family val="2"/>
        <scheme val="none"/>
      </font>
      <numFmt numFmtId="1" formatCode="0"/>
      <fill>
        <patternFill patternType="none">
          <fgColor indexed="64"/>
          <bgColor auto="1"/>
        </patternFill>
      </fill>
      <alignment horizontal="center"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auto="1"/>
        <name val="Arial Narrow"/>
        <family val="2"/>
        <scheme val="none"/>
      </font>
      <fill>
        <patternFill patternType="none">
          <fgColor indexed="64"/>
          <bgColor auto="1"/>
        </patternFill>
      </fill>
      <alignment horizontal="center"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auto="1"/>
        <name val="Arial Narrow"/>
        <family val="2"/>
        <scheme val="none"/>
      </font>
      <fill>
        <patternFill patternType="none">
          <fgColor indexed="64"/>
          <bgColor auto="1"/>
        </patternFill>
      </fill>
      <alignment horizontal="center" vertical="center" textRotation="0" wrapText="1" indent="0" justifyLastLine="0" shrinkToFit="0" readingOrder="0"/>
      <border outline="0">
        <left style="thin">
          <color rgb="FF000000"/>
        </left>
        <right style="thin">
          <color rgb="FF000000"/>
        </right>
        <top style="thin">
          <color rgb="FF000000"/>
        </top>
        <bottom style="thin">
          <color rgb="FF000000"/>
        </bottom>
      </border>
    </dxf>
    <dxf>
      <font>
        <strike val="0"/>
        <outline val="0"/>
        <shadow val="0"/>
        <sz val="10"/>
        <name val="Arial Narrow"/>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auto="1"/>
        <name val="Arial Narrow"/>
        <family val="2"/>
        <scheme val="none"/>
      </font>
      <numFmt numFmtId="1" formatCode="0"/>
      <fill>
        <patternFill patternType="none">
          <fgColor indexed="64"/>
          <bgColor auto="1"/>
        </patternFill>
      </fill>
      <alignment horizontal="left"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auto="1"/>
        <name val="Arial Narrow"/>
        <family val="2"/>
        <scheme val="none"/>
      </font>
      <numFmt numFmtId="1" formatCode="0"/>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family val="2"/>
        <scheme val="none"/>
      </font>
      <numFmt numFmtId="1" formatCode="0"/>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family val="2"/>
        <scheme val="none"/>
      </font>
      <numFmt numFmtId="30" formatCode="@"/>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family val="2"/>
        <scheme val="none"/>
      </font>
      <numFmt numFmtId="1" formatCode="0"/>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sz val="10"/>
        <name val="Arial Narrow"/>
        <family val="2"/>
        <scheme val="none"/>
      </font>
    </dxf>
    <dxf>
      <font>
        <b val="0"/>
        <i val="0"/>
        <strike val="0"/>
        <condense val="0"/>
        <extend val="0"/>
        <outline val="0"/>
        <shadow val="0"/>
        <u val="none"/>
        <vertAlign val="baseline"/>
        <sz val="10"/>
        <color theme="1"/>
        <name val="Arial Narrow"/>
        <family val="2"/>
        <scheme val="none"/>
      </font>
      <fill>
        <patternFill patternType="none">
          <fgColor indexed="64"/>
          <bgColor auto="1"/>
        </patternFill>
      </fill>
      <alignment horizontal="general" vertical="center" textRotation="0" wrapText="1" indent="0" justifyLastLine="0" shrinkToFit="0" readingOrder="0"/>
    </dxf>
    <dxf>
      <font>
        <strike val="0"/>
        <outline val="0"/>
        <shadow val="0"/>
        <sz val="10"/>
        <name val="Arial Narrow"/>
        <family val="2"/>
        <scheme val="none"/>
      </font>
      <fill>
        <patternFill patternType="solid">
          <fgColor indexed="64"/>
          <bgColor theme="9" tint="0.79998168889431442"/>
        </patternFill>
      </fill>
      <border diagonalUp="0" diagonalDown="0" outline="0">
        <left style="thin">
          <color indexed="64"/>
        </left>
        <right style="thin">
          <color indexed="64"/>
        </right>
        <top/>
        <bottom/>
      </border>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wrapText="1" readingOrder="0"/>
    </dxf>
    <dxf>
      <alignment wrapText="1" readingOrder="0"/>
    </dxf>
    <dxf>
      <numFmt numFmtId="34" formatCode="_-&quot;$&quot;\ * #,##0.00_-;\-&quot;$&quot;\ * #,##0.00_-;_-&quot;$&quot;\ * &quot;-&quot;??_-;_-@_-"/>
    </dxf>
    <dxf>
      <numFmt numFmtId="34" formatCode="_-&quot;$&quot;\ * #,##0.00_-;\-&quot;$&quot;\ * #,##0.00_-;_-&quot;$&quot;\ * &quot;-&quot;??_-;_-@_-"/>
    </dxf>
    <dxf>
      <numFmt numFmtId="172" formatCode="_-[$$-240A]\ * #,##0.00_-;\-[$$-240A]\ * #,##0.00_-;_-[$$-240A]\ * &quot;-&quot;??_-;_-@_-"/>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numFmt numFmtId="34" formatCode="_-&quot;$&quot;\ * #,##0.00_-;\-&quot;$&quot;\ * #,##0.00_-;_-&quot;$&quot;\ * &quot;-&quot;??_-;_-@_-"/>
    </dxf>
  </dxfs>
  <tableStyles count="0" defaultTableStyle="TableStyleMedium2" defaultPivotStyle="PivotStyleLight16"/>
  <colors>
    <mruColors>
      <color rgb="FFF772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2.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3.xml"/><Relationship Id="rId14" Type="http://schemas.openxmlformats.org/officeDocument/2006/relationships/calcChain" Target="calcChain.xml"/></Relationships>
</file>

<file path=xl/documenttasks/documenttask1.xml><?xml version="1.0" encoding="utf-8"?>
<Tasks xmlns="http://schemas.microsoft.com/office/tasks/2019/documenttasks">
  <Task id="{EC3CBC06-76CC-4662-8D32-249116953644}">
    <Anchor>
      <Comment id="{5293FA2D-45D5-433C-B7CE-B2FC4B217CED}"/>
    </Anchor>
    <History>
      <Event time="2024-03-11T22:20:47.32" id="{4225D721-BC60-43B8-AF57-E5038F9F1F07}">
        <Attribution userId="S::daniel.romero@ica.gov.co::a22db85f-6c50-44f5-90d7-9a0856514db7" userName="Daniel David Romero Jara" userProvider="AD"/>
        <Anchor>
          <Comment id="{5293FA2D-45D5-433C-B7CE-B2FC4B217CED}"/>
        </Anchor>
        <Create/>
      </Event>
      <Event time="2024-03-11T22:20:47.32" id="{60D56B13-6130-4F4E-815E-0DA365A32C65}">
        <Attribution userId="S::daniel.romero@ica.gov.co::a22db85f-6c50-44f5-90d7-9a0856514db7" userName="Daniel David Romero Jara" userProvider="AD"/>
        <Anchor>
          <Comment id="{5293FA2D-45D5-433C-B7CE-B2FC4B217CED}"/>
        </Anchor>
        <Assign userId="S::cristian.garcia@ica.gov.co::7d3627f5-47a6-4f09-ab53-0c84a91977e6" userName="Cristian Giovany García Muñoz" userProvider="AD"/>
      </Event>
      <Event time="2024-03-11T22:20:47.32" id="{BD70BE9F-0D29-4B43-BD42-965F9218F17B}">
        <Attribution userId="S::daniel.romero@ica.gov.co::a22db85f-6c50-44f5-90d7-9a0856514db7" userName="Daniel David Romero Jara" userProvider="AD"/>
        <Anchor>
          <Comment id="{5293FA2D-45D5-433C-B7CE-B2FC4B217CED}"/>
        </Anchor>
        <SetTitle title="@Cristian Giovany García Muñoz este ítem esta repetido con el siguiente? es la misma referencia"/>
      </Event>
    </History>
  </Task>
  <Task id="{8CCF7BD4-A9B0-4D65-9730-86C85C5F013E}">
    <Anchor>
      <Comment id="{6DCD36E6-476B-4A5E-A938-4B848DACA523}"/>
    </Anchor>
    <History>
      <Event time="2024-03-11T15:38:54.53" id="{B340812A-B2E8-493D-847C-41AD23839088}">
        <Attribution userId="S::daniel.romero@ica.gov.co::a22db85f-6c50-44f5-90d7-9a0856514db7" userName="Daniel David Romero Jara" userProvider="AD"/>
        <Anchor>
          <Comment id="{6DCD36E6-476B-4A5E-A938-4B848DACA523}"/>
        </Anchor>
        <Create/>
      </Event>
      <Event time="2024-03-11T15:38:54.53" id="{BE087884-4A70-49BD-9236-20C0A7385F57}">
        <Attribution userId="S::daniel.romero@ica.gov.co::a22db85f-6c50-44f5-90d7-9a0856514db7" userName="Daniel David Romero Jara" userProvider="AD"/>
        <Anchor>
          <Comment id="{6DCD36E6-476B-4A5E-A938-4B848DACA523}"/>
        </Anchor>
        <Assign userId="S::ana.patino@ica.gov.co::fae46092-a2d3-47ef-b8b9-d87889a0db91" userName="Ana Eugenia Patiño Suaza" userProvider="AD"/>
      </Event>
      <Event time="2024-03-11T15:38:54.53" id="{A36EE5D3-BAEF-4970-83EB-3B04F0B1457B}">
        <Attribution userId="S::daniel.romero@ica.gov.co::a22db85f-6c50-44f5-90d7-9a0856514db7" userName="Daniel David Romero Jara" userProvider="AD"/>
        <Anchor>
          <Comment id="{6DCD36E6-476B-4A5E-A938-4B848DACA523}"/>
        </Anchor>
        <SetTitle title="@Ana Eugenia Patiño Suaza Hay dos números de CAS cual es el correcto"/>
      </Event>
    </History>
  </Task>
  <Task id="{D79110E5-E658-4D25-A6E2-C976D173C205}">
    <Anchor>
      <Comment id="{F25C772C-47A4-44F9-87C2-266D1311FCFF}"/>
    </Anchor>
    <History>
      <Event time="2024-03-11T20:11:11.61" id="{AAB2EB63-1D8A-455A-9874-E0AEE065FAD9}">
        <Attribution userId="S::daniel.romero@ica.gov.co::a22db85f-6c50-44f5-90d7-9a0856514db7" userName="Daniel David Romero Jara" userProvider="AD"/>
        <Anchor>
          <Comment id="{F25C772C-47A4-44F9-87C2-266D1311FCFF}"/>
        </Anchor>
        <Create/>
      </Event>
      <Event time="2024-03-11T20:11:11.61" id="{DA7E4705-35FB-408E-8639-C2CDAE68436C}">
        <Attribution userId="S::daniel.romero@ica.gov.co::a22db85f-6c50-44f5-90d7-9a0856514db7" userName="Daniel David Romero Jara" userProvider="AD"/>
        <Anchor>
          <Comment id="{F25C772C-47A4-44F9-87C2-266D1311FCFF}"/>
        </Anchor>
        <Assign userId="S::ana.patino@ica.gov.co::fae46092-a2d3-47ef-b8b9-d87889a0db91" userName="Ana Eugenia Patiño Suaza" userProvider="AD"/>
      </Event>
      <Event time="2024-03-11T20:11:11.61" id="{06953D96-C70D-4982-AFF4-5A2FABE39F8E}">
        <Attribution userId="S::daniel.romero@ica.gov.co::a22db85f-6c50-44f5-90d7-9a0856514db7" userName="Daniel David Romero Jara" userProvider="AD"/>
        <Anchor>
          <Comment id="{F25C772C-47A4-44F9-87C2-266D1311FCFF}"/>
        </Anchor>
        <SetTitle title="@Ana Eugenia Patiño Suaza la marca de referencia propuesta cuenta con un proceso de exclusividad"/>
      </Event>
    </History>
  </Task>
</Tasks>
</file>

<file path=xl/persons/person.xml><?xml version="1.0" encoding="utf-8"?>
<personList xmlns="http://schemas.microsoft.com/office/spreadsheetml/2018/threadedcomments" xmlns:x="http://schemas.openxmlformats.org/spreadsheetml/2006/main">
  <person displayName="Ana Eugenia Patiño Suaza" id="{284ECF08-5B46-4F9E-8980-4DC920E4AFD4}" userId="ana.patino@ica.gov.co" providerId="PeoplePicker"/>
  <person displayName="Cristian Giovany García Muñoz" id="{78BDF0C6-78AB-48FE-A951-EBF50590C5D7}" userId="cristian.garcia@ica.gov.co" providerId="PeoplePicker"/>
  <person displayName="Yhon Jairo Ladino Montañez" id="{40D21E09-9F0A-45BB-88B6-48A2C7A1792D}" userId="S::yhon.ladino@ica.gov.co::f5fe22e7-fcc0-4ca2-b6a6-02377f731e24" providerId="AD"/>
  <person displayName="Daniel David Romero Jara" id="{D0CE08D9-64A8-4232-AFC0-358D52569C6D}" userId="S::daniel.romero@ica.gov.co::a22db85f-6c50-44f5-90d7-9a0856514db7" providerId="AD"/>
  <person displayName="Nancy Naranjo Amaya" id="{8A9415D0-B608-4144-B000-FFA63BBC0C1A}" userId="S::nancy.naranjo@ica.gov.co::6029d303-29ad-4268-9396-144f64170c53" providerId="AD"/>
  <person displayName="Zonia Yubyll Sabogal Rodríguez" id="{8F3AC17E-1B22-4664-9D31-5F9E07DB6E1C}" userId="S::zonia.sabogal@ica.gov.co::4cfeaee5-0ca2-4952-9d8d-49cfc5d6173a" providerId="AD"/>
  <person displayName="Marcela Jordan Sinisterra" id="{8722936B-15EA-4B00-9144-D1F3814DAF6E}" userId="S::marcela.jordan@ica.gov.co::1a83103c-1f0e-4210-ad37-781642fd4246" providerId="AD"/>
  <person displayName="Ruth Astrith Rodriguez Rojas" id="{C315F60B-DF31-4E4C-8729-22ED5F380CE1}" userId="S::ruth.rodriguez@ica.gov.co::65c428c8-a9e1-4ecd-89b3-949691ec9107" providerId="AD"/>
  <person displayName="Cristhian Leonardo Pinto Mora" id="{8C8C7CFB-4D2F-4780-A5AD-3EC3FC5B6FAA}" userId="S::cristhian.pinto@ica.gov.co::5d1433c5-1635-46a4-af84-906cb254ee55" providerId="AD"/>
  <person displayName="Sandra Milena Gutiérrez Chizabas" id="{A9926ACA-4995-4BFD-B018-C5800201A4AF}" userId="S::sandra.gutierrez@ica.gov.co::90dc59ae-80f6-404a-832b-3757bee5fae5"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niel David Romero Jara" refreshedDate="45330.836268865743" createdVersion="6" refreshedVersion="6" minRefreshableVersion="3" recordCount="741" xr:uid="{00000000-000A-0000-FFFF-FFFF00000000}">
  <cacheSource type="worksheet">
    <worksheetSource ref="D2:H514" sheet="Distrib_Elementos"/>
  </cacheSource>
  <cacheFields count="27">
    <cacheField name="Ítem" numFmtId="0">
      <sharedItems containsString="0" containsBlank="1" containsNumber="1" containsInteger="1" minValue="1" maxValue="672"/>
    </cacheField>
    <cacheField name="Descripción" numFmtId="0">
      <sharedItems containsBlank="1" longText="1"/>
    </cacheField>
    <cacheField name="Marca y referencia" numFmtId="0">
      <sharedItems containsBlank="1"/>
    </cacheField>
    <cacheField name="Presentación" numFmtId="0">
      <sharedItems containsBlank="1" containsMixedTypes="1" containsNumber="1" containsInteger="1" minValue="100" maxValue="1000"/>
    </cacheField>
    <cacheField name="Tipo de contratación" numFmtId="44">
      <sharedItems containsBlank="1" count="3">
        <s v="Licitación pública"/>
        <s v="Contratación directa"/>
        <m/>
      </sharedItems>
    </cacheField>
    <cacheField name="Proveedor o contratista 2023" numFmtId="0">
      <sharedItems containsBlank="1" count="19">
        <s v="VIDCOL"/>
        <s v="AVANTIKA"/>
        <s v="CYMA"/>
        <s v="DESIERTO"/>
        <s v="METALCORTE"/>
        <s v="UT GENMEDI"/>
        <s v="DISPROQUILAB"/>
        <s v="INSOLAB"/>
        <s v="CAHOZ"/>
        <s v="SADIREP"/>
        <s v="JIMSA"/>
        <s v="ANNAR"/>
        <s v="SCIENTIFIC PRODUCTS"/>
        <s v="QUIMIREL"/>
        <m/>
        <s v="Sanitas SAS"/>
        <s v="R Biopharm Colombia SAS"/>
        <s v="A M Asesoría y Mantenimiento Ltda"/>
        <s v="Biopruebas Ltda" u="1"/>
      </sharedItems>
    </cacheField>
    <cacheField name="Cantidad total solicitada" numFmtId="1">
      <sharedItems containsSemiMixedTypes="0" containsString="0" containsNumber="1" containsInteger="1" minValue="0" maxValue="2525"/>
    </cacheField>
    <cacheField name="Valor de adjudicado 2023" numFmtId="44">
      <sharedItems containsString="0" containsBlank="1" containsNumber="1" minValue="0" maxValue="19212426.097599998"/>
    </cacheField>
    <cacheField name="Valor total del adjudicado" numFmtId="0">
      <sharedItems containsSemiMixedTypes="0" containsString="0" containsNumber="1" minValue="0" maxValue="213433402"/>
    </cacheField>
    <cacheField name="Cantidad LANIP" numFmtId="0">
      <sharedItems containsString="0" containsBlank="1" containsNumber="1" containsInteger="1" minValue="1" maxValue="100"/>
    </cacheField>
    <cacheField name="Valor total LANIP" numFmtId="0">
      <sharedItems containsSemiMixedTypes="0" containsString="0" containsNumber="1" minValue="0" maxValue="36658527.863999993"/>
    </cacheField>
    <cacheField name="Cantidad _x000a_LDV" numFmtId="0">
      <sharedItems containsString="0" containsBlank="1" containsNumber="1" containsInteger="1" minValue="1" maxValue="900"/>
    </cacheField>
    <cacheField name="Valor total LDV" numFmtId="44">
      <sharedItems containsString="0" containsBlank="1" containsNumber="1" minValue="0" maxValue="42602152.32"/>
    </cacheField>
    <cacheField name="Cantidad LNDV" numFmtId="0">
      <sharedItems containsString="0" containsBlank="1" containsNumber="1" containsInteger="1" minValue="1" maxValue="160"/>
    </cacheField>
    <cacheField name="Valor Total LNDV" numFmtId="44">
      <sharedItems containsSemiMixedTypes="0" containsString="0" containsNumber="1" minValue="0" maxValue="57232012.32"/>
    </cacheField>
    <cacheField name="Cantidad GGCA" numFmtId="0">
      <sharedItems containsString="0" containsBlank="1" containsNumber="1" containsInteger="1" minValue="1" maxValue="2"/>
    </cacheField>
    <cacheField name="Valor GGCA" numFmtId="44">
      <sharedItems containsSemiMixedTypes="0" containsString="0" containsNumber="1" minValue="0" maxValue="11012070.196799999"/>
    </cacheField>
    <cacheField name="Cantidad LDF" numFmtId="0">
      <sharedItems containsString="0" containsBlank="1" containsNumber="1" containsInteger="1" minValue="0" maxValue="70"/>
    </cacheField>
    <cacheField name="Valor Total LDF" numFmtId="44">
      <sharedItems containsSemiMixedTypes="0" containsString="0" containsNumber="1" minValue="0" maxValue="65177651.840000004"/>
    </cacheField>
    <cacheField name="Cantidad LDF&amp;MR" numFmtId="0">
      <sharedItems containsString="0" containsBlank="1" containsNumber="1" containsInteger="1" minValue="1" maxValue="65"/>
    </cacheField>
    <cacheField name="Valor Total LDF&amp;MR" numFmtId="44">
      <sharedItems containsSemiMixedTypes="0" containsString="0" containsNumber="1" minValue="0" maxValue="60522105.280000001"/>
    </cacheField>
    <cacheField name="Cantidad RED LASE" numFmtId="0">
      <sharedItems containsString="0" containsBlank="1" containsNumber="1" containsInteger="1" minValue="1" maxValue="200"/>
    </cacheField>
    <cacheField name="Valor Total RED LASE" numFmtId="44">
      <sharedItems containsSemiMixedTypes="0" containsString="0" containsNumber="1" minValue="0" maxValue="90077023.344000012"/>
    </cacheField>
    <cacheField name="Cantidad LANIA" numFmtId="0">
      <sharedItems containsString="0" containsBlank="1" containsNumber="1" containsInteger="1" minValue="1" maxValue="300"/>
    </cacheField>
    <cacheField name="Valor Total LANIA" numFmtId="44">
      <sharedItems containsSemiMixedTypes="0" containsString="0" containsNumber="1" minValue="0" maxValue="77896657.059200004"/>
    </cacheField>
    <cacheField name="Cantidad SPA" numFmtId="0">
      <sharedItems containsString="0" containsBlank="1" containsNumber="1" containsInteger="1" minValue="8" maxValue="2495"/>
    </cacheField>
    <cacheField name="Valor Total SPA" numFmtId="44">
      <sharedItems containsSemiMixedTypes="0" containsString="0" containsNumber="1" minValue="0" maxValue="210897559.59999999"/>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niel David Romero Jara" refreshedDate="45330.83921435185" createdVersion="6" refreshedVersion="6" minRefreshableVersion="3" recordCount="117" xr:uid="{00000000-000A-0000-FFFF-FFFF01000000}">
  <cacheSource type="worksheet">
    <worksheetSource ref="A2:AA119" sheet="Equipos"/>
  </cacheSource>
  <cacheFields count="27">
    <cacheField name="ÍTEM" numFmtId="0">
      <sharedItems containsString="0" containsBlank="1" containsNumber="1" containsInteger="1" minValue="1" maxValue="109"/>
    </cacheField>
    <cacheField name="Equipo " numFmtId="0">
      <sharedItems containsBlank="1"/>
    </cacheField>
    <cacheField name="Marca adjudicada" numFmtId="0">
      <sharedItems containsBlank="1"/>
    </cacheField>
    <cacheField name="Referencia adjudicada" numFmtId="0">
      <sharedItems containsBlank="1" containsMixedTypes="1" containsNumber="1" containsInteger="1" minValue="1851148" maxValue="88870002"/>
    </cacheField>
    <cacheField name="Cantidad Total" numFmtId="1">
      <sharedItems containsString="0" containsBlank="1" containsNumber="1" containsInteger="1" minValue="0" maxValue="7"/>
    </cacheField>
    <cacheField name="Tipo de contratación" numFmtId="170">
      <sharedItems containsBlank="1" count="2">
        <s v="Licitación pública"/>
        <m u="1"/>
      </sharedItems>
    </cacheField>
    <cacheField name="Proveedor o contratista 2023" numFmtId="0">
      <sharedItems containsBlank="1" count="8">
        <m/>
        <s v="7. Avantika Colombia S.A.S"/>
        <s v="9. EQUIPOS Y LABORATORIO DE COLOMBIA SAS"/>
        <s v="Desierto"/>
        <s v="8. KHYMÓS S.A.S "/>
        <s v="1.   CASA CIENTIFICA BLANCO Y CIA SAS"/>
        <s v="11.  INNOVACIÓN TECNOLOGICA SAS    "/>
        <s v="12. AM ASESORIA Y MANTENIMIENTO LTDA   "/>
      </sharedItems>
    </cacheField>
    <cacheField name="Adjudicado 2023+ IPC" numFmtId="170">
      <sharedItems containsString="0" containsBlank="1" containsNumber="1" minValue="2404160" maxValue="2732000000"/>
    </cacheField>
    <cacheField name="Valor Total SAD" numFmtId="171">
      <sharedItems containsSemiMixedTypes="0" containsString="0" containsNumber="1" minValue="0" maxValue="2404160000"/>
    </cacheField>
    <cacheField name="Cant. RED LDF" numFmtId="1">
      <sharedItems containsSemiMixedTypes="0" containsString="0" containsNumber="1" containsInteger="1" minValue="0" maxValue="4"/>
    </cacheField>
    <cacheField name="Valor Total RED LDF" numFmtId="171">
      <sharedItems containsSemiMixedTypes="0" containsString="0" containsNumber="1" minValue="0" maxValue="632849773.17120004"/>
    </cacheField>
    <cacheField name="Cant.  LDF&amp;MR" numFmtId="1">
      <sharedItems containsSemiMixedTypes="0" containsString="0" containsNumber="1" containsInteger="1" minValue="0" maxValue="2"/>
    </cacheField>
    <cacheField name="Valor Total LDF&amp;MR" numFmtId="171">
      <sharedItems containsSemiMixedTypes="0" containsString="0" containsNumber="1" minValue="0" maxValue="360624000"/>
    </cacheField>
    <cacheField name="Cant. LANIA" numFmtId="1">
      <sharedItems containsSemiMixedTypes="0" containsString="0" containsNumber="1" containsInteger="1" minValue="0" maxValue="4"/>
    </cacheField>
    <cacheField name="Valor Total LANIA" numFmtId="170">
      <sharedItems containsString="0" containsBlank="1" containsNumber="1" minValue="0" maxValue="164114518.40000001"/>
    </cacheField>
    <cacheField name="Cant.  RED LASE" numFmtId="1">
      <sharedItems containsSemiMixedTypes="0" containsString="0" containsNumber="1" containsInteger="1" minValue="0" maxValue="2"/>
    </cacheField>
    <cacheField name="Valor Total RED LASE" numFmtId="170">
      <sharedItems containsSemiMixedTypes="0" containsString="0" containsNumber="1" minValue="0" maxValue="137037120"/>
    </cacheField>
    <cacheField name="Cant.  LDV" numFmtId="1">
      <sharedItems containsSemiMixedTypes="0" containsString="0" containsNumber="1" containsInteger="1" minValue="0" maxValue="3"/>
    </cacheField>
    <cacheField name="Valor total RED LDV" numFmtId="170">
      <sharedItems containsSemiMixedTypes="0" containsString="0" containsNumber="1" minValue="0" maxValue="213010761.60000002"/>
    </cacheField>
    <cacheField name="Cant. LNDV" numFmtId="1">
      <sharedItems containsSemiMixedTypes="0" containsString="0" containsNumber="1" containsInteger="1" minValue="0" maxValue="1"/>
    </cacheField>
    <cacheField name="Valor Total LNDV" numFmtId="170">
      <sharedItems containsSemiMixedTypes="0" containsString="0" containsNumber="1" minValue="0" maxValue="144249600"/>
    </cacheField>
    <cacheField name="Total  LANIP" numFmtId="1">
      <sharedItems containsSemiMixedTypes="0" containsString="0" containsNumber="1" containsInteger="1" minValue="0" maxValue="3"/>
    </cacheField>
    <cacheField name=" Valor Total LANIP" numFmtId="170">
      <sharedItems containsString="0" containsBlank="1" containsNumber="1" minValue="0" maxValue="308722556.80000001"/>
    </cacheField>
    <cacheField name="TOTAL  GGCA" numFmtId="1">
      <sharedItems containsSemiMixedTypes="0" containsString="0" containsNumber="1" containsInteger="1" minValue="0" maxValue="0"/>
    </cacheField>
    <cacheField name="Valor Total GGCA" numFmtId="171">
      <sharedItems containsString="0" containsBlank="1" containsNumber="1" containsInteger="1" minValue="0" maxValue="0"/>
    </cacheField>
    <cacheField name="TOTAL  SPA" numFmtId="1">
      <sharedItems containsSemiMixedTypes="0" containsString="0" containsNumber="1" containsInteger="1" minValue="0" maxValue="0"/>
    </cacheField>
    <cacheField name="Valor Total SPA" numFmtId="170">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356.493795717593" createdVersion="6" refreshedVersion="8" minRefreshableVersion="3" recordCount="911" xr:uid="{00000000-000A-0000-FFFF-FFFF02000000}">
  <cacheSource type="worksheet">
    <worksheetSource ref="E2:J587" sheet="Distri_Reactivos"/>
  </cacheSource>
  <cacheFields count="27">
    <cacheField name="Descripción técnica" numFmtId="0">
      <sharedItems containsMixedTypes="1" containsNumber="1" containsInteger="1" minValue="1" maxValue="1" longText="1"/>
    </cacheField>
    <cacheField name="Marca-Ref" numFmtId="0">
      <sharedItems containsBlank="1"/>
    </cacheField>
    <cacheField name="Presentación" numFmtId="0">
      <sharedItems containsBlank="1"/>
    </cacheField>
    <cacheField name="Tipo de contratación" numFmtId="44">
      <sharedItems count="3">
        <s v="Licitación pública"/>
        <s v="Minima Cuantía" u="1"/>
        <s v="Contratación directa" u="1"/>
      </sharedItems>
    </cacheField>
    <cacheField name="Proveedor o contratista 2023" numFmtId="0">
      <sharedItems containsBlank="1" count="27">
        <s v="AVÁNTIKA"/>
        <s v="CAHOZ"/>
        <s v="DESIERTO"/>
        <s v="BIOCELL"/>
        <s v="UT GENMEDIMALCO"/>
        <s v="DISPROQUILAB"/>
        <s v="ANNAR"/>
        <s v="VIDCOL"/>
        <s v="CYMA"/>
        <s v="EQUIPOS Y LAB"/>
        <s v="INSOLAB"/>
        <s v="SCIENTIFIC PRODUCTS"/>
        <m/>
        <s v="ADN Intenacional S.A.S" u="1"/>
        <s v="ADN Internacional S.A.S." u="1"/>
        <s v="Quimicos y Reactivos S.A.S.-Quimirel S.A.S." u="1"/>
        <s v="Aqualab SAS" u="1"/>
        <s v="Sanitas SAS" u="1"/>
        <s v="Biomerieux Colombia S A S" u="1"/>
        <s v="R Biopharm Colombia SAS" u="1"/>
        <s v="Organización Panamericana de la Salud-PANAFTOSA" u="1"/>
        <s v="Productos ROCHE S.A." u="1"/>
        <s v="Gentech S.A.S." u="1"/>
        <s v="A M Asesoría y Mantenimiento Ltda" u="1"/>
        <s v="Biopruebas Ltda" u="1"/>
        <s v="Annar Diagnostica Import S A S" u="1"/>
        <s v="Laboratorio Médico Veterinario LMV S.A.S." u="1"/>
      </sharedItems>
    </cacheField>
    <cacheField name="Cantidad total solicitada" numFmtId="1">
      <sharedItems containsString="0" containsBlank="1" containsNumber="1" containsInteger="1" minValue="1" maxValue="2020"/>
    </cacheField>
    <cacheField name="Valor de adjudicado + IPC 2023" numFmtId="0">
      <sharedItems containsSemiMixedTypes="0" containsString="0" containsNumber="1" minValue="0" maxValue="125478683.67999999"/>
    </cacheField>
    <cacheField name="Valor total " numFmtId="44">
      <sharedItems containsSemiMixedTypes="0" containsString="0" containsNumber="1" minValue="0" maxValue="313939584"/>
    </cacheField>
    <cacheField name="Cantidad LANIP" numFmtId="0">
      <sharedItems containsString="0" containsBlank="1" containsNumber="1" containsInteger="1" minValue="1" maxValue="56"/>
    </cacheField>
    <cacheField name="Valor total LANIP" numFmtId="44">
      <sharedItems containsSemiMixedTypes="0" containsString="0" containsNumber="1" minValue="0" maxValue="29649849.599999998"/>
    </cacheField>
    <cacheField name="Cantidad _x000a_LDV" numFmtId="0">
      <sharedItems containsString="0" containsBlank="1" containsNumber="1" containsInteger="1" minValue="1" maxValue="500"/>
    </cacheField>
    <cacheField name="Valor total LDV" numFmtId="44">
      <sharedItems containsSemiMixedTypes="0" containsString="0" containsNumber="1" minValue="0" maxValue="279057408"/>
    </cacheField>
    <cacheField name="Cantidad LNDV" numFmtId="0">
      <sharedItems containsString="0" containsBlank="1" containsNumber="1" containsInteger="1" minValue="1" maxValue="1000"/>
    </cacheField>
    <cacheField name="Valor Total LNDV" numFmtId="44">
      <sharedItems containsSemiMixedTypes="0" containsString="0" containsNumber="1" minValue="0" maxValue="78127353.695999995"/>
    </cacheField>
    <cacheField name="GGCA" numFmtId="0">
      <sharedItems containsNonDate="0" containsString="0" containsBlank="1"/>
    </cacheField>
    <cacheField name="Valor GGCA" numFmtId="44">
      <sharedItems containsSemiMixedTypes="0" containsString="0" containsNumber="1" containsInteger="1" minValue="0" maxValue="0"/>
    </cacheField>
    <cacheField name="Cantidad LDF" numFmtId="0">
      <sharedItems containsString="0" containsBlank="1" containsNumber="1" containsInteger="1" minValue="1" maxValue="1000"/>
    </cacheField>
    <cacheField name="Valor Total LDF" numFmtId="44">
      <sharedItems containsSemiMixedTypes="0" containsString="0" containsNumber="1" minValue="0" maxValue="109170720"/>
    </cacheField>
    <cacheField name="Cantidad LDF&amp;MR" numFmtId="0">
      <sharedItems containsString="0" containsBlank="1" containsNumber="1" containsInteger="1" minValue="1" maxValue="800"/>
    </cacheField>
    <cacheField name="Valor Total LDF&amp;MR" numFmtId="44">
      <sharedItems containsSemiMixedTypes="0" containsString="0" containsNumber="1" minValue="0" maxValue="69502080"/>
    </cacheField>
    <cacheField name="Cantidad RED LASE" numFmtId="0">
      <sharedItems containsString="0" containsBlank="1" containsNumber="1" containsInteger="1" minValue="1" maxValue="61"/>
    </cacheField>
    <cacheField name="Valor Total RED LASE" numFmtId="44">
      <sharedItems containsSemiMixedTypes="0" containsString="0" containsNumber="1" minValue="0" maxValue="14973174.048"/>
    </cacheField>
    <cacheField name="Cantidad LANIA" numFmtId="0">
      <sharedItems containsString="0" containsBlank="1" containsNumber="1" containsInteger="1" minValue="1" maxValue="80"/>
    </cacheField>
    <cacheField name="Valor Total LANIA" numFmtId="44">
      <sharedItems containsSemiMixedTypes="0" containsString="0" containsNumber="1" minValue="0" maxValue="125478683.67999999"/>
    </cacheField>
    <cacheField name="Cantidad SPA" numFmtId="0">
      <sharedItems containsString="0" containsBlank="1" containsNumber="1" containsInteger="1" minValue="32" maxValue="32"/>
    </cacheField>
    <cacheField name="Valor Total SPA" numFmtId="44">
      <sharedItems containsSemiMixedTypes="0" containsString="0" containsNumber="1" minValue="0" maxValue="5376506.0608000001"/>
    </cacheField>
    <cacheField name="Certificado de sustancias de estupefacient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41">
  <r>
    <n v="1"/>
    <s v="Adhesivo para microplacas estéril"/>
    <s v="Merck Ref Z722529 o equivalente"/>
    <s v="Paquete x 50"/>
    <x v="0"/>
    <x v="0"/>
    <n v="1"/>
    <n v="617705.19999999995"/>
    <n v="617705.19999999995"/>
    <m/>
    <n v="0"/>
    <m/>
    <n v="0"/>
    <n v="1"/>
    <n v="617705.19999999995"/>
    <m/>
    <n v="0"/>
    <m/>
    <n v="0"/>
    <m/>
    <n v="0"/>
    <m/>
    <n v="0"/>
    <m/>
    <n v="0"/>
    <m/>
    <n v="0"/>
  </r>
  <r>
    <n v="2"/>
    <s v="Aguja de disección cabo de madera y aguja en acero inoxidable Calibre 00"/>
    <s v="Enthos o equivalente"/>
    <s v="Paquete x 50"/>
    <x v="0"/>
    <x v="1"/>
    <n v="2"/>
    <n v="147468.98879999999"/>
    <n v="294937.97759999998"/>
    <m/>
    <n v="0"/>
    <n v="1"/>
    <n v="147468.98879999999"/>
    <m/>
    <n v="0"/>
    <m/>
    <n v="0"/>
    <m/>
    <n v="0"/>
    <n v="1"/>
    <n v="147468.98879999999"/>
    <m/>
    <n v="0"/>
    <m/>
    <n v="0"/>
    <m/>
    <n v="0"/>
  </r>
  <r>
    <n v="3"/>
    <s v="Aguja de disección Cabo de madera y aguja en acero inoxidable Calibre 01"/>
    <s v="Enthos o equivalente"/>
    <s v="Paquete x 50"/>
    <x v="0"/>
    <x v="1"/>
    <n v="4"/>
    <n v="153320.93280000001"/>
    <n v="613283.73120000004"/>
    <m/>
    <n v="0"/>
    <n v="1"/>
    <n v="153320.93280000001"/>
    <m/>
    <n v="0"/>
    <m/>
    <n v="0"/>
    <n v="2"/>
    <n v="306641.86560000002"/>
    <n v="1"/>
    <n v="153320.93280000001"/>
    <m/>
    <n v="0"/>
    <m/>
    <n v="0"/>
    <m/>
    <n v="0"/>
  </r>
  <r>
    <n v="4"/>
    <s v="Aguja desechable 16 G x 1½&quot;"/>
    <s v="BD, Vacutest o equivalente"/>
    <s v="Caja x 100"/>
    <x v="0"/>
    <x v="1"/>
    <n v="16"/>
    <n v="67362.377599999993"/>
    <n v="1077798.0415999999"/>
    <n v="15"/>
    <n v="1010435.6639999999"/>
    <n v="1"/>
    <n v="67362.377599999993"/>
    <m/>
    <n v="0"/>
    <m/>
    <n v="0"/>
    <m/>
    <n v="0"/>
    <m/>
    <n v="0"/>
    <m/>
    <n v="0"/>
    <m/>
    <n v="0"/>
    <m/>
    <n v="0"/>
  </r>
  <r>
    <n v="5"/>
    <s v="Aguja desechable 20 G X 1½&quot;"/>
    <s v="BD, Vacutest o equivalente"/>
    <s v="Caja x 100 "/>
    <x v="0"/>
    <x v="1"/>
    <n v="11"/>
    <n v="80626.784"/>
    <n v="886894.62399999995"/>
    <m/>
    <n v="0"/>
    <n v="11"/>
    <n v="886894.62399999995"/>
    <m/>
    <n v="0"/>
    <m/>
    <n v="0"/>
    <m/>
    <n v="0"/>
    <m/>
    <n v="0"/>
    <m/>
    <n v="0"/>
    <m/>
    <n v="0"/>
    <m/>
    <n v="0"/>
  </r>
  <r>
    <n v="6"/>
    <s v="Aguja desechable para toma de muestras sanguíneas para tubo al vacío 21 G x 1½&quot;"/>
    <s v="BD, Vacutest o equivalente"/>
    <s v="Caja x 100 "/>
    <x v="0"/>
    <x v="1"/>
    <n v="2525"/>
    <n v="84528.08"/>
    <n v="213433402"/>
    <n v="25"/>
    <n v="2113202"/>
    <n v="5"/>
    <n v="422640.4"/>
    <m/>
    <n v="0"/>
    <m/>
    <n v="0"/>
    <m/>
    <n v="0"/>
    <m/>
    <n v="0"/>
    <m/>
    <n v="0"/>
    <m/>
    <n v="0"/>
    <n v="2495"/>
    <n v="210897559.59999999"/>
  </r>
  <r>
    <n v="7"/>
    <s v="Aguja para disección con mango metálico con punta curva"/>
    <s v="Cualquier marca"/>
    <s v="Unidad"/>
    <x v="0"/>
    <x v="1"/>
    <n v="124"/>
    <n v="5071.6848"/>
    <n v="628888.91520000005"/>
    <m/>
    <n v="0"/>
    <n v="1"/>
    <n v="5071.6848"/>
    <m/>
    <n v="0"/>
    <m/>
    <n v="0"/>
    <n v="3"/>
    <n v="15215.054400000001"/>
    <m/>
    <n v="0"/>
    <n v="20"/>
    <n v="101433.696"/>
    <m/>
    <n v="0"/>
    <n v="100"/>
    <n v="507168.48"/>
  </r>
  <r>
    <n v="8"/>
    <s v="Aguja para disección con mango metálico con punta recta"/>
    <s v="Cualquier marca"/>
    <s v="Unidad"/>
    <x v="0"/>
    <x v="2"/>
    <n v="9"/>
    <n v="5071.6848"/>
    <n v="45645.163200000003"/>
    <m/>
    <n v="0"/>
    <n v="1"/>
    <n v="5071.6848"/>
    <m/>
    <n v="0"/>
    <m/>
    <n v="0"/>
    <n v="8"/>
    <n v="40573.4784"/>
    <m/>
    <n v="0"/>
    <m/>
    <n v="0"/>
    <m/>
    <n v="0"/>
    <m/>
    <n v="0"/>
  </r>
  <r>
    <n v="9"/>
    <s v="Agujas desechables 18G x 1½&quot;"/>
    <s v="BD, Vacutest o equivalente"/>
    <s v="Caja x 100 "/>
    <x v="0"/>
    <x v="1"/>
    <n v="4"/>
    <n v="45905.249600000003"/>
    <n v="183620.99840000001"/>
    <m/>
    <n v="0"/>
    <n v="4"/>
    <n v="183620.99840000001"/>
    <m/>
    <n v="0"/>
    <m/>
    <n v="0"/>
    <m/>
    <n v="0"/>
    <m/>
    <n v="0"/>
    <m/>
    <n v="0"/>
    <m/>
    <n v="0"/>
    <m/>
    <n v="0"/>
  </r>
  <r>
    <n v="10"/>
    <s v="Alfiler entomológico No. 000 (en acero inoxidable)"/>
    <s v="Cualquier marca"/>
    <s v="Paquete x 100 "/>
    <x v="0"/>
    <x v="1"/>
    <n v="4"/>
    <n v="65931.902400000006"/>
    <n v="263727.60960000003"/>
    <m/>
    <n v="0"/>
    <m/>
    <n v="0"/>
    <m/>
    <n v="0"/>
    <m/>
    <n v="0"/>
    <n v="4"/>
    <n v="263727.60960000003"/>
    <m/>
    <n v="0"/>
    <m/>
    <n v="0"/>
    <m/>
    <n v="0"/>
    <m/>
    <n v="0"/>
  </r>
  <r>
    <n v="11"/>
    <s v="Alfiler entomológico No. 1 (en acero inoxidable)"/>
    <s v="Cualquier marca"/>
    <s v="Paquete x 100"/>
    <x v="0"/>
    <x v="1"/>
    <n v="4"/>
    <n v="66191.988800000006"/>
    <n v="264767.95520000003"/>
    <m/>
    <n v="0"/>
    <m/>
    <n v="0"/>
    <m/>
    <n v="0"/>
    <m/>
    <n v="0"/>
    <n v="4"/>
    <n v="264767.95520000003"/>
    <m/>
    <n v="0"/>
    <m/>
    <n v="0"/>
    <m/>
    <n v="0"/>
    <m/>
    <n v="0"/>
  </r>
  <r>
    <n v="12"/>
    <s v="Alfiler entomológico No. 2 (en acero inoxidable)"/>
    <s v="Cualquier marca"/>
    <s v="Paquete x 100 "/>
    <x v="0"/>
    <x v="1"/>
    <n v="3"/>
    <n v="89079.592000000004"/>
    <n v="267238.77600000001"/>
    <m/>
    <n v="0"/>
    <m/>
    <n v="0"/>
    <m/>
    <n v="0"/>
    <m/>
    <n v="0"/>
    <n v="3"/>
    <n v="267238.77600000001"/>
    <m/>
    <n v="0"/>
    <m/>
    <n v="0"/>
    <m/>
    <n v="0"/>
    <m/>
    <n v="0"/>
  </r>
  <r>
    <n v="13"/>
    <s v="Alfiler entomológico No. 3 (en acero inoxidable)"/>
    <s v="Cualquier marca"/>
    <s v="Paquete x 100 "/>
    <x v="0"/>
    <x v="1"/>
    <n v="3"/>
    <n v="66191.988800000006"/>
    <n v="198575.96640000003"/>
    <m/>
    <n v="0"/>
    <m/>
    <n v="0"/>
    <m/>
    <n v="0"/>
    <m/>
    <n v="0"/>
    <n v="3"/>
    <n v="198575.96640000003"/>
    <m/>
    <n v="0"/>
    <m/>
    <n v="0"/>
    <m/>
    <n v="0"/>
    <m/>
    <n v="0"/>
  </r>
  <r>
    <n v="14"/>
    <s v="Alfiler entomológico No. 4 (en acero inoxidable)"/>
    <s v="Cualquier marca"/>
    <s v="Paquete x 100"/>
    <x v="0"/>
    <x v="1"/>
    <n v="3"/>
    <n v="74124.623999999996"/>
    <n v="222373.87199999997"/>
    <m/>
    <n v="0"/>
    <m/>
    <n v="0"/>
    <m/>
    <n v="0"/>
    <m/>
    <n v="0"/>
    <n v="3"/>
    <n v="222373.87199999997"/>
    <m/>
    <n v="0"/>
    <m/>
    <n v="0"/>
    <m/>
    <n v="0"/>
    <m/>
    <n v="0"/>
  </r>
  <r>
    <n v="15"/>
    <s v="Algodón dental "/>
    <s v="Cualquier marca"/>
    <s v="Bolsa de 1000 tacos, 50  paquetes /de 20 Unidades"/>
    <x v="0"/>
    <x v="2"/>
    <n v="3"/>
    <n v="102723.2"/>
    <n v="308169.59999999998"/>
    <m/>
    <n v="0"/>
    <n v="1"/>
    <n v="102723.2"/>
    <m/>
    <n v="0"/>
    <m/>
    <n v="0"/>
    <n v="1"/>
    <n v="102723.2"/>
    <n v="1"/>
    <n v="102723.2"/>
    <m/>
    <n v="0"/>
    <m/>
    <n v="0"/>
    <m/>
    <n v="0"/>
  </r>
  <r>
    <n v="16"/>
    <s v="Algodón quirúrgico 100% Natural (Con fecha de vencimiento superior a un año)"/>
    <s v="Cualquier marca"/>
    <s v="Rollo x 454 m o superior"/>
    <x v="0"/>
    <x v="0"/>
    <n v="46"/>
    <n v="28609.504000000001"/>
    <n v="1316037.1840000001"/>
    <n v="20"/>
    <n v="572190.08000000007"/>
    <n v="15"/>
    <n v="429142.56"/>
    <n v="2"/>
    <n v="57219.008000000002"/>
    <m/>
    <n v="0"/>
    <n v="3"/>
    <n v="85828.512000000002"/>
    <n v="6"/>
    <n v="171657.024"/>
    <m/>
    <n v="0"/>
    <m/>
    <n v="0"/>
    <m/>
    <n v="0"/>
  </r>
  <r>
    <n v="17"/>
    <s v="Anillo de vertido azul tapa GL 32 GL 32 en PP autoclavable a 140ºC"/>
    <s v="DURAN, SCHOTT o equivalente"/>
    <s v="Unidad "/>
    <x v="0"/>
    <x v="0"/>
    <n v="50"/>
    <n v="14954.968000000001"/>
    <n v="747748.4"/>
    <n v="50"/>
    <n v="747748.4"/>
    <m/>
    <n v="0"/>
    <m/>
    <n v="0"/>
    <m/>
    <n v="0"/>
    <m/>
    <n v="0"/>
    <m/>
    <n v="0"/>
    <m/>
    <n v="0"/>
    <m/>
    <n v="0"/>
    <m/>
    <n v="0"/>
  </r>
  <r>
    <n v="18"/>
    <s v="Anillo de vertido azul tapa GL 45 GL 32 en PP autoclavable a 140ºC"/>
    <s v="DURAN, SCHOTT o equivalente"/>
    <s v="Unidad "/>
    <x v="0"/>
    <x v="1"/>
    <n v="50"/>
    <n v="12354.103999999999"/>
    <n v="617705.19999999995"/>
    <n v="50"/>
    <n v="617705.19999999995"/>
    <m/>
    <n v="0"/>
    <m/>
    <n v="0"/>
    <m/>
    <n v="0"/>
    <m/>
    <n v="0"/>
    <m/>
    <n v="0"/>
    <m/>
    <n v="0"/>
    <m/>
    <n v="0"/>
    <m/>
    <n v="0"/>
  </r>
  <r>
    <n v="19"/>
    <s v="Anillo plástico para inclusión de parafina"/>
    <s v="Cualquier marca"/>
    <s v="Unidad"/>
    <x v="0"/>
    <x v="0"/>
    <n v="900"/>
    <n v="650.21600000000001"/>
    <n v="585194.4"/>
    <m/>
    <n v="0"/>
    <n v="900"/>
    <n v="585194.4"/>
    <m/>
    <n v="0"/>
    <m/>
    <n v="0"/>
    <m/>
    <n v="0"/>
    <m/>
    <n v="0"/>
    <m/>
    <n v="0"/>
    <m/>
    <n v="0"/>
    <m/>
    <n v="0"/>
  </r>
  <r>
    <n v="20"/>
    <s v="Aplicadores plásticos en empaque individual  independiente estériles"/>
    <s v="Cualquier marca"/>
    <s v="Caja x 100"/>
    <x v="0"/>
    <x v="3"/>
    <n v="10"/>
    <n v="92863.958400000003"/>
    <n v="928639.58400000003"/>
    <m/>
    <n v="0"/>
    <n v="5"/>
    <n v="464319.79200000002"/>
    <n v="4"/>
    <n v="371455.83360000001"/>
    <m/>
    <n v="0"/>
    <n v="1"/>
    <n v="92863.958400000003"/>
    <m/>
    <n v="0"/>
    <m/>
    <n v="0"/>
    <m/>
    <n v="0"/>
    <m/>
    <n v="0"/>
  </r>
  <r>
    <n v="21"/>
    <s v="Aplicadores plásticos sin punta de algodón"/>
    <s v="Cualquier marca"/>
    <s v="Bolsa x 100"/>
    <x v="0"/>
    <x v="0"/>
    <n v="48"/>
    <n v="29909.936000000002"/>
    <n v="1435676.9280000001"/>
    <m/>
    <n v="0"/>
    <n v="23"/>
    <n v="687928.52800000005"/>
    <m/>
    <n v="0"/>
    <m/>
    <n v="0"/>
    <m/>
    <n v="0"/>
    <n v="25"/>
    <n v="747748.4"/>
    <m/>
    <n v="0"/>
    <m/>
    <n v="0"/>
    <m/>
    <n v="0"/>
  </r>
  <r>
    <n v="22"/>
    <s v="Asa bacteriológica curva en ferroniquel"/>
    <s v="Cualquier marca"/>
    <s v="Unidad"/>
    <x v="0"/>
    <x v="2"/>
    <n v="52"/>
    <n v="5461.8144000000002"/>
    <n v="284014.34880000004"/>
    <m/>
    <n v="0"/>
    <n v="23"/>
    <n v="125621.73120000001"/>
    <n v="13"/>
    <n v="71003.587200000009"/>
    <m/>
    <n v="0"/>
    <n v="16"/>
    <n v="87389.030400000003"/>
    <m/>
    <n v="0"/>
    <m/>
    <n v="0"/>
    <m/>
    <n v="0"/>
    <m/>
    <n v="0"/>
  </r>
  <r>
    <n v="23"/>
    <s v="Asa bacteriológica estéril desechable de 10 µl con siembra en un extremo y aguja en el otro"/>
    <s v="Thermo scientific o equivalente"/>
    <s v="Caja x 1000 "/>
    <x v="0"/>
    <x v="1"/>
    <n v="8"/>
    <n v="468155.52"/>
    <n v="3745244.16"/>
    <n v="3"/>
    <n v="1404466.56"/>
    <n v="2"/>
    <n v="936311.04"/>
    <n v="3"/>
    <n v="1404466.56"/>
    <m/>
    <n v="0"/>
    <m/>
    <n v="0"/>
    <m/>
    <n v="0"/>
    <m/>
    <n v="0"/>
    <m/>
    <n v="0"/>
    <m/>
    <n v="0"/>
  </r>
  <r>
    <n v="24"/>
    <s v="Asa bacteriológica recta en niquel-cromo"/>
    <s v="Cualquier marca"/>
    <s v="Unidad"/>
    <x v="0"/>
    <x v="0"/>
    <n v="30"/>
    <n v="5331.7712000000001"/>
    <n v="159953.136"/>
    <m/>
    <n v="0"/>
    <n v="15"/>
    <n v="79976.567999999999"/>
    <m/>
    <n v="0"/>
    <m/>
    <n v="0"/>
    <n v="15"/>
    <n v="79976.567999999999"/>
    <m/>
    <n v="0"/>
    <m/>
    <n v="0"/>
    <m/>
    <n v="0"/>
    <m/>
    <n v="0"/>
  </r>
  <r>
    <n v="25"/>
    <s v="Asa bacteriológica redonda en acero inoxidable"/>
    <s v="Cualquier marca"/>
    <s v="Unidad"/>
    <x v="0"/>
    <x v="0"/>
    <n v="68"/>
    <n v="11963.974399999999"/>
    <n v="813550.25919999997"/>
    <m/>
    <n v="0"/>
    <n v="44"/>
    <n v="526414.87359999993"/>
    <m/>
    <n v="0"/>
    <m/>
    <n v="0"/>
    <n v="24"/>
    <n v="287135.38559999998"/>
    <m/>
    <n v="0"/>
    <m/>
    <n v="0"/>
    <m/>
    <n v="0"/>
    <m/>
    <n v="0"/>
  </r>
  <r>
    <n v="26"/>
    <s v="Asa desechables de 1µl"/>
    <s v="Thermo scientific o equivalente"/>
    <s v="Caja x 1000 "/>
    <x v="0"/>
    <x v="1"/>
    <n v="3"/>
    <n v="532006.73120000004"/>
    <n v="1596020.1936000001"/>
    <m/>
    <n v="0"/>
    <n v="1"/>
    <n v="532006.73120000004"/>
    <n v="1"/>
    <n v="532006.73120000004"/>
    <m/>
    <n v="0"/>
    <m/>
    <n v="0"/>
    <m/>
    <n v="0"/>
    <m/>
    <n v="0"/>
    <n v="1"/>
    <n v="532006.73120000004"/>
    <m/>
    <n v="0"/>
  </r>
  <r>
    <n v="27"/>
    <s v="Asa o espatula en forma de L (Drigalski) desechable."/>
    <s v="VWR o equivalente"/>
    <s v="Caja x 500"/>
    <x v="0"/>
    <x v="1"/>
    <n v="8"/>
    <n v="832276.47999999998"/>
    <n v="6658211.8399999999"/>
    <n v="4"/>
    <n v="3329105.9199999999"/>
    <n v="1"/>
    <n v="832276.47999999998"/>
    <n v="1"/>
    <n v="832276.47999999998"/>
    <m/>
    <n v="0"/>
    <m/>
    <n v="0"/>
    <m/>
    <n v="0"/>
    <m/>
    <n v="0"/>
    <n v="2"/>
    <n v="1664552.96"/>
    <m/>
    <n v="0"/>
  </r>
  <r>
    <n v="28"/>
    <s v="Atomizador plástico (PP) con dispersión tipo spray de 250 ml"/>
    <s v="Cualquier marca"/>
    <s v="Unidad"/>
    <x v="0"/>
    <x v="1"/>
    <n v="136"/>
    <n v="14174.7088"/>
    <n v="1927760.3968"/>
    <m/>
    <n v="0"/>
    <n v="52"/>
    <n v="737084.85759999999"/>
    <m/>
    <n v="0"/>
    <m/>
    <n v="0"/>
    <n v="14"/>
    <n v="198445.92320000002"/>
    <n v="10"/>
    <n v="141747.08799999999"/>
    <n v="60"/>
    <n v="850482.52800000005"/>
    <m/>
    <n v="0"/>
    <m/>
    <n v="0"/>
  </r>
  <r>
    <n v="29"/>
    <s v="Atomizador plástico (PP) con dispersión tipo Spray de 400 - 500 ml"/>
    <s v="Cualquier marca"/>
    <s v="Unidad"/>
    <x v="0"/>
    <x v="1"/>
    <n v="251"/>
    <n v="14954.968000000001"/>
    <n v="3753696.9680000003"/>
    <n v="2"/>
    <n v="29909.936000000002"/>
    <n v="35"/>
    <n v="523423.88"/>
    <m/>
    <n v="0"/>
    <m/>
    <n v="0"/>
    <n v="14"/>
    <n v="209369.55200000003"/>
    <m/>
    <n v="0"/>
    <m/>
    <n v="0"/>
    <m/>
    <n v="0"/>
    <n v="200"/>
    <n v="2990993.6"/>
  </r>
  <r>
    <n v="30"/>
    <s v="Balón aforado de 10 ml clase A trasparente, con tapon de vidrio.Con certificado de fábrica (calidad y rastreabilidad), borosilicato 3.3 que cumpla con los estándares DIN en ISO 1042 NS 14/23 (tapon de vidrio),  DIN/ISO 3585,"/>
    <s v="Brand, Pyrex, Corning, Kymax o equivalente"/>
    <s v="Unidad"/>
    <x v="0"/>
    <x v="1"/>
    <n v="25"/>
    <n v="82967.561600000001"/>
    <n v="2074189.04"/>
    <n v="25"/>
    <n v="2074189.04"/>
    <m/>
    <n v="0"/>
    <m/>
    <n v="0"/>
    <m/>
    <n v="0"/>
    <m/>
    <n v="0"/>
    <m/>
    <n v="0"/>
    <m/>
    <n v="0"/>
    <m/>
    <n v="0"/>
    <m/>
    <n v="0"/>
  </r>
  <r>
    <n v="31"/>
    <s v="Balon aforado de 1000 ml clase A en vidrio con tapa, normatividad ASTM E-438 ó DIN EN ISO 1042, NS 14/23, DIN/ISO 3585 "/>
    <s v="Brand, Pyrex, Corning, Kymax o equivalente"/>
    <s v="Unidad"/>
    <x v="0"/>
    <x v="1"/>
    <n v="2"/>
    <n v="228745.98879999999"/>
    <n v="457491.97759999998"/>
    <n v="2"/>
    <n v="457491.97759999998"/>
    <m/>
    <n v="0"/>
    <m/>
    <n v="0"/>
    <m/>
    <n v="0"/>
    <m/>
    <n v="0"/>
    <m/>
    <n v="0"/>
    <m/>
    <n v="0"/>
    <m/>
    <n v="0"/>
    <m/>
    <n v="0"/>
  </r>
  <r>
    <n v="32"/>
    <s v="Balón aforado de 25 ml clase A tra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
    <n v="25"/>
    <n v="108456.0288"/>
    <n v="2711400.72"/>
    <n v="25"/>
    <n v="2711400.72"/>
    <m/>
    <n v="0"/>
    <m/>
    <n v="0"/>
    <m/>
    <n v="0"/>
    <m/>
    <n v="0"/>
    <m/>
    <n v="0"/>
    <m/>
    <n v="0"/>
    <m/>
    <n v="0"/>
    <m/>
    <n v="0"/>
  </r>
  <r>
    <n v="33"/>
    <s v="Balón aforado de 50 ml clase A,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
    <n v="10"/>
    <n v="96752.140799999994"/>
    <n v="967521.40799999994"/>
    <n v="10"/>
    <n v="967521.40799999994"/>
    <m/>
    <n v="0"/>
    <m/>
    <n v="0"/>
    <m/>
    <n v="0"/>
    <m/>
    <n v="0"/>
    <m/>
    <n v="0"/>
    <m/>
    <n v="0"/>
    <m/>
    <n v="0"/>
    <m/>
    <n v="0"/>
  </r>
  <r>
    <n v="34"/>
    <s v="Balón volumetrico clase A de 20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Con aforo bien marcado con tapón y boca esmerilada."/>
    <s v="Brand, Pyrex, Corning, Kymax o equivalente"/>
    <s v="Unidad"/>
    <x v="0"/>
    <x v="1"/>
    <n v="3"/>
    <n v="366331.69439999998"/>
    <n v="1098995.0832"/>
    <n v="3"/>
    <n v="1098995.0832"/>
    <m/>
    <n v="0"/>
    <m/>
    <n v="0"/>
    <m/>
    <n v="0"/>
    <m/>
    <n v="0"/>
    <m/>
    <n v="0"/>
    <m/>
    <n v="0"/>
    <m/>
    <n v="0"/>
    <m/>
    <n v="0"/>
  </r>
  <r>
    <n v="35"/>
    <s v="Bandeja de germinación x 200 cavidades"/>
    <s v="Cualquier marca"/>
    <s v="Unidad"/>
    <x v="0"/>
    <x v="1"/>
    <n v="4"/>
    <n v="146038.51360000001"/>
    <n v="584154.05440000002"/>
    <m/>
    <n v="0"/>
    <m/>
    <n v="0"/>
    <m/>
    <n v="0"/>
    <m/>
    <n v="0"/>
    <m/>
    <n v="0"/>
    <n v="2"/>
    <n v="292077.02720000001"/>
    <m/>
    <n v="0"/>
    <n v="2"/>
    <n v="292077.02720000001"/>
    <m/>
    <n v="0"/>
  </r>
  <r>
    <n v="36"/>
    <s v="Bandeja en acero inoxidable, resistente a ácidos y bases 26 a  28 (largo) x 17  a 19 (ancho) x 5 a 6 cm (profundidad)"/>
    <s v="Cualquier marca"/>
    <s v="Unidad"/>
    <x v="0"/>
    <x v="0"/>
    <n v="6"/>
    <n v="292597.2"/>
    <n v="1755583.2000000002"/>
    <m/>
    <n v="0"/>
    <m/>
    <n v="0"/>
    <n v="1"/>
    <n v="292597.2"/>
    <m/>
    <n v="0"/>
    <m/>
    <n v="0"/>
    <m/>
    <n v="0"/>
    <m/>
    <n v="0"/>
    <n v="5"/>
    <n v="1462986"/>
    <m/>
    <n v="0"/>
  </r>
  <r>
    <n v="37"/>
    <s v="Bandeja en acero inoxidable, resistente a ácidos y bases 48 a 52 cm (largo) x 38 a 42 cm (ancho) x 18 a 22 cm (profundidad)"/>
    <s v="Cualquier marca"/>
    <s v="Unidad"/>
    <x v="0"/>
    <x v="0"/>
    <n v="8"/>
    <n v="462953.79200000002"/>
    <n v="3703630.3360000001"/>
    <m/>
    <n v="0"/>
    <n v="2"/>
    <n v="925907.58400000003"/>
    <n v="1"/>
    <n v="462953.79200000002"/>
    <m/>
    <n v="0"/>
    <m/>
    <n v="0"/>
    <m/>
    <n v="0"/>
    <m/>
    <n v="0"/>
    <n v="5"/>
    <n v="2314768.96"/>
    <m/>
    <n v="0"/>
  </r>
  <r>
    <n v="38"/>
    <s v="Bandeja en aluminio grueso de 28 a 30 cm x 14 a 16 cm x 7 a 9 cm (LxWxD) "/>
    <s v="Cualquier marca"/>
    <s v="Unidad"/>
    <x v="0"/>
    <x v="0"/>
    <n v="2"/>
    <n v="313404.11200000002"/>
    <n v="626808.22400000005"/>
    <m/>
    <n v="0"/>
    <n v="2"/>
    <n v="626808.22400000005"/>
    <m/>
    <n v="0"/>
    <m/>
    <n v="0"/>
    <m/>
    <n v="0"/>
    <m/>
    <n v="0"/>
    <m/>
    <n v="0"/>
    <m/>
    <n v="0"/>
    <m/>
    <n v="0"/>
  </r>
  <r>
    <n v="39"/>
    <s v="Bandeja en polipropileno con tapa ajustable de 28 a 30 cm x 14 a 16 cm  x 7 a 9 cm (LxWxD) resistente a esterilización por autoclave"/>
    <s v="Cualquier marca"/>
    <s v="Unidad"/>
    <x v="0"/>
    <x v="1"/>
    <n v="30"/>
    <n v="357618.8"/>
    <n v="10728564"/>
    <n v="2"/>
    <n v="715237.6"/>
    <n v="2"/>
    <n v="715237.6"/>
    <m/>
    <n v="0"/>
    <m/>
    <n v="0"/>
    <m/>
    <n v="0"/>
    <m/>
    <n v="0"/>
    <m/>
    <n v="0"/>
    <n v="10"/>
    <n v="3576188"/>
    <n v="16"/>
    <n v="5721900.7999999998"/>
  </r>
  <r>
    <n v="40"/>
    <s v="Bandeja Plastica de polipropileno  31 a 33 cm (Largo) x 46 a 48 cm (Ancho)  x 6 a 8 cm (Profundidad)"/>
    <s v="Vaniplast o Equivalente"/>
    <s v="Unidad"/>
    <x v="0"/>
    <x v="0"/>
    <n v="10"/>
    <n v="63721.167999999998"/>
    <n v="637211.67999999993"/>
    <m/>
    <n v="0"/>
    <n v="10"/>
    <n v="637211.67999999993"/>
    <m/>
    <n v="0"/>
    <m/>
    <n v="0"/>
    <m/>
    <n v="0"/>
    <m/>
    <n v="0"/>
    <m/>
    <n v="0"/>
    <m/>
    <n v="0"/>
    <m/>
    <n v="0"/>
  </r>
  <r>
    <n v="41"/>
    <s v="Bandeja profunda 31 a 33 cm x16 a 18 cm x 6 a 7 cm (largo x ancho x profundidad)"/>
    <s v="Cole-Parmer o equivalente"/>
    <s v="Unidad"/>
    <x v="0"/>
    <x v="3"/>
    <n v="7"/>
    <n v="436049.05599999998"/>
    <n v="3052343.392"/>
    <m/>
    <n v="0"/>
    <n v="2"/>
    <n v="872098.11199999996"/>
    <m/>
    <n v="0"/>
    <m/>
    <n v="0"/>
    <m/>
    <n v="0"/>
    <m/>
    <n v="0"/>
    <m/>
    <n v="0"/>
    <n v="5"/>
    <n v="2180245.2799999998"/>
    <m/>
    <n v="0"/>
  </r>
  <r>
    <n v="42"/>
    <s v="Barra agitadora magnética forma cilíndrica con anillo central 20 mm x 6 mm (longitud x diámetro) medidas aproximadas"/>
    <s v="Fischer Scientific o equivalente"/>
    <s v="Unidad"/>
    <x v="0"/>
    <x v="1"/>
    <n v="31"/>
    <n v="24448.121599999999"/>
    <n v="757891.7696"/>
    <n v="12"/>
    <n v="293377.45919999998"/>
    <n v="10"/>
    <n v="244481.21599999999"/>
    <n v="1"/>
    <n v="24448.121599999999"/>
    <m/>
    <n v="0"/>
    <n v="4"/>
    <n v="97792.486399999994"/>
    <m/>
    <n v="0"/>
    <m/>
    <n v="0"/>
    <n v="4"/>
    <n v="97792.486399999994"/>
    <m/>
    <n v="0"/>
  </r>
  <r>
    <n v="43"/>
    <s v="Barra agitadora magnética forma cilíndrica con anillo central 40 mm x 8mm (longitud x diámetro) medidas aproximadas"/>
    <s v="Fischer Scientific o equivalente"/>
    <s v="Unidad"/>
    <x v="0"/>
    <x v="1"/>
    <n v="25"/>
    <n v="36932.268799999998"/>
    <n v="923306.72"/>
    <n v="5"/>
    <n v="184661.34399999998"/>
    <n v="10"/>
    <n v="369322.68799999997"/>
    <n v="1"/>
    <n v="36932.268799999998"/>
    <m/>
    <n v="0"/>
    <n v="8"/>
    <n v="295458.15039999998"/>
    <m/>
    <n v="0"/>
    <m/>
    <n v="0"/>
    <n v="1"/>
    <n v="36932.268799999998"/>
    <m/>
    <n v="0"/>
  </r>
  <r>
    <n v="44"/>
    <s v="Barra agitadora magnética forma cilíndrica con anillo central 80 mm x 9 mm (longitud x diámetro) medidas aproximadas"/>
    <s v="Fischer Scientific o equivalente"/>
    <s v="Unidad"/>
    <x v="0"/>
    <x v="1"/>
    <n v="14"/>
    <n v="52537.452799999999"/>
    <n v="735524.33920000005"/>
    <n v="3"/>
    <n v="157612.3584"/>
    <n v="5"/>
    <n v="262687.26399999997"/>
    <m/>
    <n v="0"/>
    <m/>
    <n v="0"/>
    <n v="6"/>
    <n v="315224.71679999999"/>
    <m/>
    <n v="0"/>
    <m/>
    <n v="0"/>
    <m/>
    <n v="0"/>
    <m/>
    <n v="0"/>
  </r>
  <r>
    <n v="45"/>
    <s v="Barra magnética para agitación de 1 cm de longitud cubierta de teflon"/>
    <s v="Fischer Scientific o equivalente"/>
    <s v="Unidad"/>
    <x v="0"/>
    <x v="1"/>
    <n v="13"/>
    <n v="38362.743999999999"/>
    <n v="498715.67199999996"/>
    <n v="1"/>
    <n v="38362.743999999999"/>
    <n v="5"/>
    <n v="191813.72"/>
    <m/>
    <n v="0"/>
    <m/>
    <n v="0"/>
    <n v="4"/>
    <n v="153450.976"/>
    <m/>
    <n v="0"/>
    <m/>
    <n v="0"/>
    <n v="3"/>
    <n v="115088.23199999999"/>
    <m/>
    <n v="0"/>
  </r>
  <r>
    <n v="46"/>
    <s v="Barra magnética para agitación de 3 cm de longitud cubierta de teflon"/>
    <s v="Fischer Scientific o equivalente"/>
    <s v="Unidad"/>
    <x v="0"/>
    <x v="1"/>
    <n v="16"/>
    <n v="26008.639999999999"/>
    <n v="416138.23999999999"/>
    <n v="1"/>
    <n v="26008.639999999999"/>
    <n v="5"/>
    <n v="130043.2"/>
    <m/>
    <n v="0"/>
    <m/>
    <n v="0"/>
    <n v="10"/>
    <n v="260086.39999999999"/>
    <m/>
    <n v="0"/>
    <m/>
    <n v="0"/>
    <m/>
    <n v="0"/>
    <m/>
    <n v="0"/>
  </r>
  <r>
    <n v="47"/>
    <s v="Bidón 60L Metálico (Aro y Tapa)"/>
    <s v="Cualquier marca"/>
    <s v="Unidad"/>
    <x v="0"/>
    <x v="4"/>
    <n v="2"/>
    <n v="298449.14399999997"/>
    <n v="596898.28799999994"/>
    <n v="1"/>
    <n v="298449.14399999997"/>
    <m/>
    <n v="0"/>
    <m/>
    <n v="0"/>
    <m/>
    <n v="0"/>
    <n v="1"/>
    <n v="298449.14399999997"/>
    <m/>
    <n v="0"/>
    <m/>
    <n v="0"/>
    <m/>
    <n v="0"/>
    <m/>
    <n v="0"/>
  </r>
  <r>
    <n v="48"/>
    <s v="Bisturí industrial para trabajo pesado con 5 cuchillas de acero SK4"/>
    <s v="Cualquier marca"/>
    <s v="Unidad"/>
    <x v="0"/>
    <x v="1"/>
    <n v="20"/>
    <n v="95971.881599999993"/>
    <n v="1919437.6319999998"/>
    <m/>
    <n v="0"/>
    <n v="5"/>
    <n v="479859.40799999994"/>
    <m/>
    <n v="0"/>
    <m/>
    <n v="0"/>
    <n v="2"/>
    <n v="191943.76319999999"/>
    <n v="1"/>
    <n v="95971.881599999993"/>
    <m/>
    <n v="0"/>
    <n v="12"/>
    <n v="1151662.5792"/>
    <m/>
    <n v="0"/>
  </r>
  <r>
    <n v="49"/>
    <s v="Bolsa autoclavable roja con logo de riesgo biológico 14 X 19&quot; (36 x 48 cm)"/>
    <s v="Fisher 01-828B, VWR o equivalente"/>
    <s v="Caja x 200 "/>
    <x v="0"/>
    <x v="1"/>
    <n v="30"/>
    <n v="713937.16799999995"/>
    <n v="21418115.039999999"/>
    <n v="2"/>
    <n v="1427874.3359999999"/>
    <n v="2"/>
    <n v="1427874.3359999999"/>
    <n v="10"/>
    <n v="7139371.6799999997"/>
    <m/>
    <n v="0"/>
    <n v="6"/>
    <n v="4283623.0079999994"/>
    <n v="4"/>
    <n v="2855748.6719999998"/>
    <n v="1"/>
    <n v="713937.16799999995"/>
    <n v="5"/>
    <n v="3569685.84"/>
    <m/>
    <n v="0"/>
  </r>
  <r>
    <n v="50"/>
    <s v="Bolsa autoclavable roja con logo de riesgo biológico 8 x 12&quot; (20x30 cm)"/>
    <s v="Fisher 01-828A, VWR o equivalente"/>
    <s v="Caja x 200 "/>
    <x v="0"/>
    <x v="1"/>
    <n v="24"/>
    <n v="940212.33600000001"/>
    <n v="22565096.063999999"/>
    <n v="3"/>
    <n v="2820637.0079999999"/>
    <n v="2"/>
    <n v="1880424.672"/>
    <n v="10"/>
    <n v="9402123.3599999994"/>
    <m/>
    <n v="0"/>
    <n v="5"/>
    <n v="4701061.68"/>
    <n v="4"/>
    <n v="3760849.344"/>
    <m/>
    <n v="0"/>
    <m/>
    <n v="0"/>
    <m/>
    <n v="0"/>
  </r>
  <r>
    <n v="51"/>
    <s v="Bolsa autoclavable roja en polipropileno de  37 a 38 x 48&quot; (94 x 122 cm)"/>
    <s v="Fisher 01-828E, VWR o equivalente"/>
    <s v="Caja x 100 "/>
    <x v="0"/>
    <x v="0"/>
    <n v="22"/>
    <n v="1958450.5919999999"/>
    <n v="43085913.023999996"/>
    <n v="2"/>
    <n v="3916901.1839999999"/>
    <n v="2"/>
    <n v="3916901.1839999999"/>
    <n v="10"/>
    <n v="19584505.919999998"/>
    <m/>
    <n v="0"/>
    <n v="5"/>
    <n v="9792252.959999999"/>
    <n v="3"/>
    <n v="5875351.7759999996"/>
    <m/>
    <n v="0"/>
    <m/>
    <n v="0"/>
    <m/>
    <n v="0"/>
  </r>
  <r>
    <n v="52"/>
    <s v="Bolsa autoclavable roja en polipropileno tamaño 19 x 23&quot;-24&quot; (48 x 58-61 cm)"/>
    <s v="Fisher 01-814B, VWR o equivalente"/>
    <s v="Caja x 200 "/>
    <x v="0"/>
    <x v="1"/>
    <n v="30"/>
    <n v="1795766.5488"/>
    <n v="53872996.464000002"/>
    <n v="4"/>
    <n v="7183066.1952"/>
    <n v="2"/>
    <n v="3591533.0976"/>
    <n v="10"/>
    <n v="17957665.487999998"/>
    <m/>
    <n v="0"/>
    <n v="7"/>
    <n v="12570365.841600001"/>
    <n v="3"/>
    <n v="5387299.6464"/>
    <m/>
    <n v="0"/>
    <n v="4"/>
    <n v="7183066.1952"/>
    <m/>
    <n v="0"/>
  </r>
  <r>
    <n v="53"/>
    <s v="Bolsa de cierre hermético 30 x 45 cm"/>
    <s v="ziploc o marca equivalente"/>
    <s v="Paquete x 100"/>
    <x v="0"/>
    <x v="5"/>
    <n v="136"/>
    <n v="87424"/>
    <n v="11889664"/>
    <m/>
    <n v="0"/>
    <n v="3"/>
    <n v="262272"/>
    <m/>
    <n v="0"/>
    <m/>
    <n v="0"/>
    <n v="9"/>
    <n v="786816"/>
    <m/>
    <n v="0"/>
    <m/>
    <n v="0"/>
    <n v="4"/>
    <n v="349696"/>
    <n v="120"/>
    <n v="10490880"/>
  </r>
  <r>
    <n v="54"/>
    <s v="Bolsa estéril para microbiología  2 oz"/>
    <s v="Nasco BO1064WA o equivalente"/>
    <s v="Unidad"/>
    <x v="0"/>
    <x v="1"/>
    <n v="1"/>
    <n v="750089.17760000005"/>
    <n v="750089.17760000005"/>
    <m/>
    <n v="0"/>
    <m/>
    <n v="0"/>
    <n v="1"/>
    <n v="750089.17760000005"/>
    <m/>
    <n v="0"/>
    <m/>
    <n v="0"/>
    <m/>
    <n v="0"/>
    <m/>
    <n v="0"/>
    <m/>
    <n v="0"/>
    <m/>
    <n v="0"/>
  </r>
  <r>
    <n v="55"/>
    <s v="Bolsa estéril para microbiología fondo redondo para stomacher"/>
    <s v="Nasco BO1239WA o equivalente"/>
    <s v="Caja x 500"/>
    <x v="0"/>
    <x v="1"/>
    <n v="1"/>
    <n v="2385772.5471999999"/>
    <n v="2385772.5471999999"/>
    <m/>
    <n v="0"/>
    <m/>
    <n v="0"/>
    <n v="1"/>
    <n v="2385772.5471999999"/>
    <m/>
    <n v="0"/>
    <m/>
    <n v="0"/>
    <m/>
    <n v="0"/>
    <m/>
    <n v="0"/>
    <m/>
    <n v="0"/>
    <m/>
    <n v="0"/>
  </r>
  <r>
    <n v="56"/>
    <s v="Bolsa estéril para microbiología stand up white write-on strip 12,7 x 30,5 cm; capacidad 27 oz (798 ml)"/>
    <s v="Nasco BO1448WA o equivalente"/>
    <s v="Caja x 250"/>
    <x v="0"/>
    <x v="5"/>
    <n v="4"/>
    <n v="1956112"/>
    <n v="7824448"/>
    <n v="2"/>
    <n v="3912224"/>
    <n v="1"/>
    <n v="1956112"/>
    <n v="1"/>
    <n v="1956112"/>
    <m/>
    <n v="0"/>
    <m/>
    <n v="0"/>
    <m/>
    <n v="0"/>
    <m/>
    <n v="0"/>
    <m/>
    <n v="0"/>
    <m/>
    <n v="0"/>
  </r>
  <r>
    <n v="57"/>
    <s v="Bolsa estéril para microbiología stand up white write-on strip 15 x 23 cm; capacidad 24 oz (710 ml)"/>
    <s v="Nasco BO1401WA o equivalente"/>
    <s v="Caja x 500 "/>
    <x v="0"/>
    <x v="1"/>
    <n v="9"/>
    <n v="1819304.368"/>
    <n v="16373739.312000001"/>
    <m/>
    <n v="0"/>
    <n v="1"/>
    <n v="1819304.368"/>
    <m/>
    <n v="0"/>
    <m/>
    <n v="0"/>
    <m/>
    <n v="0"/>
    <m/>
    <n v="0"/>
    <m/>
    <n v="0"/>
    <m/>
    <n v="0"/>
    <n v="8"/>
    <n v="14554434.944"/>
  </r>
  <r>
    <n v="58"/>
    <s v="Bolsa estéril para microbiología stand up white write-on strip 7.5X18.5 cm; capacidad 4 oz (118 ml)"/>
    <s v="Nasco BO1364WA o equivalente"/>
    <s v="Caja x 500 "/>
    <x v="0"/>
    <x v="5"/>
    <n v="26"/>
    <n v="983520"/>
    <n v="25571520"/>
    <m/>
    <n v="0"/>
    <n v="2"/>
    <n v="1967040"/>
    <m/>
    <n v="0"/>
    <m/>
    <n v="0"/>
    <n v="9"/>
    <n v="8851680"/>
    <n v="5"/>
    <n v="4917600"/>
    <m/>
    <n v="0"/>
    <m/>
    <n v="0"/>
    <n v="10"/>
    <n v="9835200"/>
  </r>
  <r>
    <n v="59"/>
    <s v="Bolsa estéril para microbiología write-on strip 11,5 X 23 cm; capacidad 18 oz (532 ml)"/>
    <s v="Nasco BO1065WA o equivalente"/>
    <s v="Caja x 500 "/>
    <x v="0"/>
    <x v="1"/>
    <n v="16"/>
    <n v="1321368.9552"/>
    <n v="21141903.283199999"/>
    <m/>
    <n v="0"/>
    <n v="2"/>
    <n v="2642737.9103999999"/>
    <n v="4"/>
    <n v="5285475.8207999999"/>
    <m/>
    <n v="0"/>
    <m/>
    <n v="0"/>
    <m/>
    <n v="0"/>
    <m/>
    <n v="0"/>
    <m/>
    <n v="0"/>
    <n v="10"/>
    <n v="13213689.551999999"/>
  </r>
  <r>
    <n v="60"/>
    <s v="Bolsa estéril para microbiología write-on strip 9.5 x 18 cm; capacidad 7 oz (207 ml), estéril"/>
    <s v="BO1489WA o equivalente"/>
    <s v="Caja x 500 "/>
    <x v="0"/>
    <x v="5"/>
    <n v="32"/>
    <n v="896096"/>
    <n v="28675072"/>
    <m/>
    <n v="0"/>
    <n v="1"/>
    <n v="896096"/>
    <n v="4"/>
    <n v="3584384"/>
    <m/>
    <n v="0"/>
    <n v="12"/>
    <n v="10753152"/>
    <n v="5"/>
    <n v="4480480"/>
    <m/>
    <n v="0"/>
    <m/>
    <n v="0"/>
    <n v="10"/>
    <n v="8960960"/>
  </r>
  <r>
    <n v="61"/>
    <s v="Bolsa plástica con cierre hermetico  40x25 (alto*ancho) cm"/>
    <s v="Nacional"/>
    <s v="Paquete x 100"/>
    <x v="0"/>
    <x v="5"/>
    <n v="7"/>
    <n v="114744"/>
    <n v="803208"/>
    <m/>
    <n v="0"/>
    <m/>
    <n v="0"/>
    <m/>
    <n v="0"/>
    <m/>
    <n v="0"/>
    <n v="1"/>
    <n v="114744"/>
    <m/>
    <n v="0"/>
    <m/>
    <n v="0"/>
    <n v="6"/>
    <n v="688464"/>
    <m/>
    <n v="0"/>
  </r>
  <r>
    <n v="62"/>
    <s v="Bolsa plástica con cierre hermético 14 cm x 10 cm"/>
    <s v="Cualquier marca"/>
    <s v="Bolsa x 100 "/>
    <x v="0"/>
    <x v="1"/>
    <n v="411"/>
    <n v="30300.065599999998"/>
    <n v="12453326.9616"/>
    <n v="10"/>
    <n v="303000.65599999996"/>
    <n v="5"/>
    <n v="151500.32799999998"/>
    <m/>
    <n v="0"/>
    <m/>
    <n v="0"/>
    <n v="12"/>
    <n v="363600.78719999996"/>
    <m/>
    <n v="0"/>
    <n v="54"/>
    <n v="1636203.5423999999"/>
    <n v="30"/>
    <n v="909001.96799999999"/>
    <n v="300"/>
    <n v="9090019.6799999997"/>
  </r>
  <r>
    <n v="63"/>
    <s v="Bolsa plástica con cierre hermético 20 cm x 20-24 cm"/>
    <s v="Cualquier marca"/>
    <s v="Paquete x 100"/>
    <x v="0"/>
    <x v="1"/>
    <n v="38"/>
    <n v="44604.817600000002"/>
    <n v="1694983.0688"/>
    <m/>
    <n v="0"/>
    <n v="8"/>
    <n v="356838.54080000002"/>
    <m/>
    <n v="0"/>
    <m/>
    <n v="0"/>
    <n v="10"/>
    <n v="446048.17600000004"/>
    <m/>
    <n v="0"/>
    <m/>
    <n v="0"/>
    <m/>
    <n v="0"/>
    <n v="20"/>
    <n v="892096.35200000007"/>
  </r>
  <r>
    <n v="64"/>
    <s v="Bolsa plástica con cierre hermético 40 cm x 40-45 cm"/>
    <s v="Cualquier marca"/>
    <s v="Paquete x 100"/>
    <x v="0"/>
    <x v="1"/>
    <n v="11"/>
    <n v="80496.7408"/>
    <n v="885464.14879999997"/>
    <m/>
    <n v="0"/>
    <n v="2"/>
    <n v="160993.4816"/>
    <m/>
    <n v="0"/>
    <m/>
    <n v="0"/>
    <n v="4"/>
    <n v="321986.9632"/>
    <n v="5"/>
    <n v="402483.70400000003"/>
    <m/>
    <n v="0"/>
    <m/>
    <n v="0"/>
    <m/>
    <n v="0"/>
  </r>
  <r>
    <n v="65"/>
    <s v="Bolsa plástica con cierre hermético 40 cm x 50 cm"/>
    <s v="Cualquier marca"/>
    <s v="Paquete x 50 "/>
    <x v="0"/>
    <x v="5"/>
    <n v="17"/>
    <n v="76496"/>
    <n v="1300432"/>
    <m/>
    <n v="0"/>
    <n v="5"/>
    <n v="382480"/>
    <m/>
    <n v="0"/>
    <m/>
    <n v="0"/>
    <n v="8"/>
    <n v="611968"/>
    <n v="4"/>
    <n v="305984"/>
    <m/>
    <n v="0"/>
    <m/>
    <n v="0"/>
    <m/>
    <n v="0"/>
  </r>
  <r>
    <n v="66"/>
    <s v="Bolsa plástica con cierre hermético 5 cm x 5 cm"/>
    <s v="Cualquier marca"/>
    <s v="Paquete x 100"/>
    <x v="0"/>
    <x v="5"/>
    <n v="60"/>
    <n v="19670.400000000001"/>
    <n v="1180224"/>
    <m/>
    <n v="0"/>
    <n v="2"/>
    <n v="39340.800000000003"/>
    <m/>
    <n v="0"/>
    <m/>
    <n v="0"/>
    <n v="4"/>
    <n v="78681.600000000006"/>
    <m/>
    <n v="0"/>
    <n v="54"/>
    <n v="1062201.6000000001"/>
    <m/>
    <n v="0"/>
    <m/>
    <n v="0"/>
  </r>
  <r>
    <n v="67"/>
    <s v="Bolsa plástica con cierre hermético de 18 x 20 cm o 18x22cm, calibre 2"/>
    <s v="Cualquier marca"/>
    <s v="Bolsa x 100 "/>
    <x v="0"/>
    <x v="1"/>
    <n v="100"/>
    <n v="35501.793599999997"/>
    <n v="3550179.36"/>
    <m/>
    <n v="0"/>
    <n v="10"/>
    <n v="355017.93599999999"/>
    <m/>
    <n v="0"/>
    <m/>
    <n v="0"/>
    <n v="7"/>
    <n v="248512.55519999997"/>
    <m/>
    <n v="0"/>
    <m/>
    <n v="0"/>
    <n v="50"/>
    <n v="1775089.68"/>
    <n v="33"/>
    <n v="1171559.1887999999"/>
  </r>
  <r>
    <n v="68"/>
    <s v="Bolsa plástica de 1 Kg en polipropileno de 12 x 20 calibre 2"/>
    <s v="Cualquier marca"/>
    <s v="Paquete x 1000 "/>
    <x v="0"/>
    <x v="4"/>
    <n v="2"/>
    <n v="79196.308799999999"/>
    <n v="158392.6176"/>
    <m/>
    <n v="0"/>
    <n v="2"/>
    <n v="158392.6176"/>
    <m/>
    <n v="0"/>
    <m/>
    <n v="0"/>
    <m/>
    <n v="0"/>
    <m/>
    <n v="0"/>
    <m/>
    <n v="0"/>
    <m/>
    <n v="0"/>
    <m/>
    <n v="0"/>
  </r>
  <r>
    <n v="69"/>
    <s v="Bolsa Plástica de 2kg. Fondo cuadrado o base fija."/>
    <s v="Cualquier marca"/>
    <s v="Paquete x 100"/>
    <x v="0"/>
    <x v="1"/>
    <n v="15"/>
    <n v="74254.667199999996"/>
    <n v="1113820.0079999999"/>
    <m/>
    <n v="0"/>
    <m/>
    <n v="0"/>
    <m/>
    <n v="0"/>
    <m/>
    <n v="0"/>
    <m/>
    <n v="0"/>
    <m/>
    <n v="0"/>
    <m/>
    <n v="0"/>
    <m/>
    <n v="0"/>
    <n v="15"/>
    <n v="1113820.0079999999"/>
  </r>
  <r>
    <n v="70"/>
    <s v="Bolsa roja con logo de riesgo biológico tipo hospitalaria en polipropileno calibre 5 de 20 cm x 30 cm"/>
    <s v="Cualquier marca"/>
    <s v="Paquete por 100 unidades"/>
    <x v="0"/>
    <x v="5"/>
    <n v="65"/>
    <n v="151899.20000000001"/>
    <n v="9873448"/>
    <m/>
    <n v="0"/>
    <n v="2"/>
    <n v="303798.40000000002"/>
    <m/>
    <n v="0"/>
    <m/>
    <n v="0"/>
    <n v="8"/>
    <n v="1215193.6000000001"/>
    <n v="5"/>
    <n v="759496"/>
    <m/>
    <n v="0"/>
    <m/>
    <n v="0"/>
    <n v="50"/>
    <n v="7594960.0000000009"/>
  </r>
  <r>
    <n v="71"/>
    <s v="Bolsa roja con logo de riesgo biológico tipo hospitalaria en polipropileno calibre 5 de 40 cm x 60 cm"/>
    <s v="Cualquier marca"/>
    <s v="Paquete por 100 unidades"/>
    <x v="0"/>
    <x v="5"/>
    <n v="64"/>
    <n v="185776"/>
    <n v="11889664"/>
    <m/>
    <n v="0"/>
    <n v="2"/>
    <n v="371552"/>
    <m/>
    <n v="0"/>
    <m/>
    <n v="0"/>
    <n v="2"/>
    <n v="371552"/>
    <n v="5"/>
    <n v="928880"/>
    <m/>
    <n v="0"/>
    <n v="5"/>
    <n v="928880"/>
    <n v="50"/>
    <n v="9288800"/>
  </r>
  <r>
    <n v="72"/>
    <s v="Bolsa roja con logo de riesgo biológico tipo hospitalaria en polipropileno calibre 5 de 60 cm x 90-100 cm"/>
    <s v="Cualquier marca"/>
    <s v="Paquete por 100 unidades"/>
    <x v="0"/>
    <x v="5"/>
    <n v="66"/>
    <n v="180312"/>
    <n v="11900592"/>
    <m/>
    <n v="0"/>
    <n v="2"/>
    <n v="360624"/>
    <m/>
    <n v="0"/>
    <m/>
    <n v="0"/>
    <n v="4"/>
    <n v="721248"/>
    <n v="5"/>
    <n v="901560"/>
    <m/>
    <n v="0"/>
    <n v="5"/>
    <n v="901560"/>
    <n v="50"/>
    <n v="9015600"/>
  </r>
  <r>
    <n v="73"/>
    <s v="Bolsas plástica con cierre hermético  27 cm x 28 cm"/>
    <s v="Cualquier marca"/>
    <s v="Paquete 50 unidades"/>
    <x v="0"/>
    <x v="5"/>
    <n v="48"/>
    <n v="65568"/>
    <n v="3147264"/>
    <m/>
    <n v="0"/>
    <n v="4"/>
    <n v="262272"/>
    <m/>
    <n v="0"/>
    <m/>
    <n v="0"/>
    <n v="4"/>
    <n v="262272"/>
    <m/>
    <n v="0"/>
    <n v="20"/>
    <n v="1311360"/>
    <m/>
    <n v="0"/>
    <n v="20"/>
    <n v="1311360"/>
  </r>
  <r>
    <n v="74"/>
    <s v="Bolsas plástica con cierre hermetico de 30 cm x 40 cm"/>
    <s v="Cualquier marca"/>
    <s v="Paquete x 50 Unidades"/>
    <x v="0"/>
    <x v="1"/>
    <n v="107"/>
    <n v="84528.08"/>
    <n v="9044504.5600000005"/>
    <m/>
    <n v="0"/>
    <n v="3"/>
    <n v="253584.24"/>
    <m/>
    <n v="0"/>
    <m/>
    <n v="0"/>
    <n v="4"/>
    <n v="338112.32"/>
    <m/>
    <n v="0"/>
    <n v="100"/>
    <n v="8452808"/>
    <m/>
    <n v="0"/>
    <m/>
    <n v="0"/>
  </r>
  <r>
    <n v="75"/>
    <s v="Botellón en policarbonato dosificador capacidad de 10 litros"/>
    <s v="Cualquier marca"/>
    <s v="Unidad"/>
    <x v="0"/>
    <x v="1"/>
    <n v="3"/>
    <n v="1066614.3263999999"/>
    <n v="3199842.9791999999"/>
    <n v="1"/>
    <n v="1066614.3263999999"/>
    <n v="1"/>
    <n v="1066614.3263999999"/>
    <m/>
    <n v="0"/>
    <m/>
    <n v="0"/>
    <n v="1"/>
    <n v="1066614.3263999999"/>
    <m/>
    <n v="0"/>
    <m/>
    <n v="0"/>
    <m/>
    <n v="0"/>
    <m/>
    <n v="0"/>
  </r>
  <r>
    <n v="76"/>
    <s v="Brocha diámetro 16 mm Long 11,4 cm"/>
    <s v="VWR 17210-008 o equivalente"/>
    <s v="Unidad"/>
    <x v="0"/>
    <x v="1"/>
    <n v="4"/>
    <n v="192854.0656"/>
    <n v="771416.26240000001"/>
    <n v="4"/>
    <n v="771416.26240000001"/>
    <m/>
    <n v="0"/>
    <m/>
    <n v="0"/>
    <m/>
    <n v="0"/>
    <m/>
    <n v="0"/>
    <m/>
    <n v="0"/>
    <m/>
    <n v="0"/>
    <m/>
    <n v="0"/>
    <m/>
    <n v="0"/>
  </r>
  <r>
    <n v="77"/>
    <s v="Caja de aluminio (para contenido humedad) 6 cm diámetro * 2 cm alto"/>
    <s v="Cualquier marca"/>
    <s v="Unidad"/>
    <x v="0"/>
    <x v="1"/>
    <n v="80"/>
    <n v="429142.56"/>
    <n v="34331404.799999997"/>
    <n v="14"/>
    <n v="6007995.8399999999"/>
    <n v="4"/>
    <n v="1716570.24"/>
    <n v="2"/>
    <n v="858285.12"/>
    <m/>
    <n v="0"/>
    <m/>
    <n v="0"/>
    <m/>
    <n v="0"/>
    <n v="60"/>
    <n v="25748553.600000001"/>
    <m/>
    <n v="0"/>
    <m/>
    <n v="0"/>
  </r>
  <r>
    <n v="78"/>
    <s v="Caja de Petri  desechable estéril 150 x 22mm a 25 mm"/>
    <s v="Thermo Scientific o equivalente "/>
    <s v="Caja x 100"/>
    <x v="0"/>
    <x v="1"/>
    <n v="17"/>
    <n v="1374296.5375999999"/>
    <n v="23363041.139199998"/>
    <m/>
    <n v="0"/>
    <n v="15"/>
    <n v="20614448.063999999"/>
    <m/>
    <n v="0"/>
    <m/>
    <n v="0"/>
    <m/>
    <n v="0"/>
    <n v="2"/>
    <n v="2748593.0751999998"/>
    <m/>
    <n v="0"/>
    <m/>
    <n v="0"/>
    <m/>
    <n v="0"/>
  </r>
  <r>
    <n v="79"/>
    <s v="Caja de Petri desechable estéril 35 x 10  - 35 x 15 mm"/>
    <s v="Costar 3035 o equivalente"/>
    <s v="Caja x 500 "/>
    <x v="0"/>
    <x v="5"/>
    <n v="8"/>
    <n v="1273122.9280000001"/>
    <n v="10184983.424000001"/>
    <m/>
    <n v="0"/>
    <n v="4"/>
    <n v="5092491.7120000003"/>
    <n v="4"/>
    <n v="5092491.7120000003"/>
    <m/>
    <n v="0"/>
    <m/>
    <n v="0"/>
    <m/>
    <n v="0"/>
    <m/>
    <n v="0"/>
    <m/>
    <n v="0"/>
    <m/>
    <n v="0"/>
  </r>
  <r>
    <n v="80"/>
    <s v="Caja de Petri desechable estéril 60 x 15 mm"/>
    <s v="Cualquier marca"/>
    <s v="Caja x 500 "/>
    <x v="0"/>
    <x v="1"/>
    <n v="10"/>
    <n v="1066354.24"/>
    <n v="10663542.4"/>
    <m/>
    <n v="0"/>
    <n v="6"/>
    <n v="6398125.4399999995"/>
    <n v="4"/>
    <n v="4265416.96"/>
    <m/>
    <n v="0"/>
    <m/>
    <n v="0"/>
    <m/>
    <n v="0"/>
    <m/>
    <n v="0"/>
    <m/>
    <n v="0"/>
    <m/>
    <n v="0"/>
  </r>
  <r>
    <n v="81"/>
    <s v="Caja de Petri desechable estéril 90 x 15 mm o 100 x 15 mm"/>
    <s v="Cualquier marca"/>
    <s v="Caja x 500 "/>
    <x v="0"/>
    <x v="1"/>
    <n v="41"/>
    <n v="804967.40799999994"/>
    <n v="33003663.727999996"/>
    <n v="8"/>
    <n v="6439739.2639999995"/>
    <n v="10"/>
    <n v="8049674.0799999991"/>
    <n v="2"/>
    <n v="1609934.8159999999"/>
    <m/>
    <n v="0"/>
    <n v="7"/>
    <n v="5634771.8559999997"/>
    <n v="4"/>
    <n v="3219869.6319999998"/>
    <m/>
    <n v="0"/>
    <n v="10"/>
    <n v="8049674.0799999991"/>
    <m/>
    <n v="0"/>
  </r>
  <r>
    <n v="82"/>
    <s v="Caja de Petri en vidrio 100 mm x 15 mm"/>
    <s v="Cualquier marca"/>
    <s v="Caja x 72"/>
    <x v="0"/>
    <x v="1"/>
    <n v="141"/>
    <n v="707695.09439999994"/>
    <n v="99785008.310399994"/>
    <m/>
    <n v="0"/>
    <n v="46"/>
    <n v="32553974.342399996"/>
    <n v="80"/>
    <n v="56615607.551999994"/>
    <m/>
    <n v="0"/>
    <n v="4"/>
    <n v="2830780.3775999998"/>
    <n v="6"/>
    <n v="4246170.5663999999"/>
    <m/>
    <n v="0"/>
    <n v="5"/>
    <n v="3538475.4719999996"/>
    <m/>
    <n v="0"/>
  </r>
  <r>
    <n v="83"/>
    <s v="Caja de Petri en vidrio de 150x30 mm"/>
    <s v="Pyrex o equivalente"/>
    <s v="Unidad"/>
    <x v="0"/>
    <x v="3"/>
    <n v="145"/>
    <n v="51462.137600000002"/>
    <n v="7462009.9520000005"/>
    <m/>
    <n v="0"/>
    <n v="45"/>
    <n v="2315796.1920000003"/>
    <n v="100"/>
    <n v="5146213.76"/>
    <m/>
    <n v="0"/>
    <m/>
    <n v="0"/>
    <m/>
    <n v="0"/>
    <m/>
    <n v="0"/>
    <m/>
    <n v="0"/>
    <m/>
    <n v="0"/>
  </r>
  <r>
    <n v="84"/>
    <s v="Caja entomológica 19 x 11 cm (Cartón blanco, base para alfileres)"/>
    <s v="Cualquier marca"/>
    <s v="Unidad"/>
    <x v="0"/>
    <x v="1"/>
    <n v="14"/>
    <n v="89079.592000000004"/>
    <n v="1247114.2880000002"/>
    <m/>
    <n v="0"/>
    <m/>
    <n v="0"/>
    <m/>
    <n v="0"/>
    <m/>
    <n v="0"/>
    <n v="14"/>
    <n v="1247114.2880000002"/>
    <m/>
    <n v="0"/>
    <m/>
    <n v="0"/>
    <m/>
    <n v="0"/>
    <m/>
    <n v="0"/>
  </r>
  <r>
    <n v="85"/>
    <s v="Caja entomológica 38 x 11 cm (Cartón blanco, base para alfileres)"/>
    <s v="Cualquier marca"/>
    <s v="Unidad"/>
    <x v="0"/>
    <x v="2"/>
    <n v="14"/>
    <n v="73474.407999999996"/>
    <n v="1028641.7119999999"/>
    <m/>
    <n v="0"/>
    <m/>
    <n v="0"/>
    <m/>
    <n v="0"/>
    <m/>
    <n v="0"/>
    <n v="14"/>
    <n v="1028641.7119999999"/>
    <m/>
    <n v="0"/>
    <m/>
    <n v="0"/>
    <m/>
    <n v="0"/>
    <m/>
    <n v="0"/>
  </r>
  <r>
    <n v="86"/>
    <s v="Caja entomológica 4.6 x 11 cm (Cartón blanco, base para alfileres)"/>
    <s v="Cualquier marca"/>
    <s v="Unidad"/>
    <x v="0"/>
    <x v="1"/>
    <n v="14"/>
    <n v="48246.027199999997"/>
    <n v="675444.38079999993"/>
    <m/>
    <n v="0"/>
    <m/>
    <n v="0"/>
    <m/>
    <n v="0"/>
    <m/>
    <n v="0"/>
    <n v="14"/>
    <n v="675444.38079999993"/>
    <m/>
    <n v="0"/>
    <m/>
    <n v="0"/>
    <m/>
    <n v="0"/>
    <m/>
    <n v="0"/>
  </r>
  <r>
    <n v="87"/>
    <s v="Caja para bioterio (ratones) ( 26,5 de alto x 20.5 de ancho x 14 de largo aproximadamente) de polipropileno  o policarbonato transparente, jaula de alta calidad para cría de ratones y roedores con tapa tipo rejilla en acero inoxidable "/>
    <s v="Tecniplast o equivalente"/>
    <s v="Unidad"/>
    <x v="0"/>
    <x v="1"/>
    <n v="2"/>
    <n v="10099284.9552"/>
    <n v="20198569.910399999"/>
    <n v="2"/>
    <n v="20198569.910399999"/>
    <m/>
    <n v="0"/>
    <m/>
    <n v="0"/>
    <m/>
    <n v="0"/>
    <m/>
    <n v="0"/>
    <m/>
    <n v="0"/>
    <m/>
    <n v="0"/>
    <m/>
    <n v="0"/>
    <m/>
    <n v="0"/>
  </r>
  <r>
    <n v="88"/>
    <s v="Caja plástica con tapa con empaque y cierre a presión de 10-12 x 30-32 x 20-22 cm"/>
    <s v="Cualquier marca"/>
    <s v="Unidad "/>
    <x v="0"/>
    <x v="1"/>
    <n v="2"/>
    <n v="66061.945600000006"/>
    <n v="132123.89120000001"/>
    <m/>
    <n v="0"/>
    <m/>
    <n v="0"/>
    <m/>
    <n v="0"/>
    <m/>
    <n v="0"/>
    <m/>
    <n v="0"/>
    <m/>
    <n v="0"/>
    <m/>
    <n v="0"/>
    <n v="2"/>
    <n v="132123.89120000001"/>
    <m/>
    <n v="0"/>
  </r>
  <r>
    <n v="89"/>
    <s v="Caja plástica de alta resistencia con las siguientes dimensiones: 59-60 cm de largo x 37-40 cm de ancho x 11-13 cm de alto, color gris."/>
    <s v="Cualquier marca"/>
    <s v="Unidad"/>
    <x v="0"/>
    <x v="1"/>
    <n v="2"/>
    <n v="238759.31520000001"/>
    <n v="477518.63040000002"/>
    <m/>
    <n v="0"/>
    <m/>
    <n v="0"/>
    <m/>
    <n v="0"/>
    <m/>
    <n v="0"/>
    <m/>
    <n v="0"/>
    <m/>
    <n v="0"/>
    <m/>
    <n v="0"/>
    <n v="2"/>
    <n v="477518.63040000002"/>
    <m/>
    <n v="0"/>
  </r>
  <r>
    <n v="90"/>
    <s v="Caja plastica organizadora de 60-65 cm x 45-48 cm x 30-35 cm (Largo x ancho x alto)"/>
    <s v="Estra o equivalente"/>
    <s v="Unidad"/>
    <x v="0"/>
    <x v="1"/>
    <n v="4"/>
    <n v="209889.7248"/>
    <n v="839558.89919999999"/>
    <m/>
    <n v="0"/>
    <m/>
    <n v="0"/>
    <m/>
    <n v="0"/>
    <m/>
    <n v="0"/>
    <m/>
    <n v="0"/>
    <m/>
    <n v="0"/>
    <m/>
    <n v="0"/>
    <n v="4"/>
    <n v="839558.89919999999"/>
    <m/>
    <n v="0"/>
  </r>
  <r>
    <n v="91"/>
    <s v="Caja porta láminas para micropreparados, capacidad 50 láminas. Cierre plástico con pestaña a presión."/>
    <s v="Enthos, Bioequipos, Heathrow Scientific o equivalente"/>
    <s v="Unidad"/>
    <x v="0"/>
    <x v="2"/>
    <n v="12"/>
    <n v="93631.104000000007"/>
    <n v="1123573.2480000001"/>
    <m/>
    <n v="0"/>
    <n v="5"/>
    <n v="468155.52"/>
    <m/>
    <n v="0"/>
    <m/>
    <n v="0"/>
    <n v="6"/>
    <n v="561786.62400000007"/>
    <m/>
    <n v="0"/>
    <m/>
    <n v="0"/>
    <n v="1"/>
    <n v="93631.104000000007"/>
    <m/>
    <n v="0"/>
  </r>
  <r>
    <n v="92"/>
    <s v="Caja porta láminas para micropreparados, en ABS (acrilonitrilo butadieno estireno) o material equivalente, capacidad 100 láminas. Cierre plástico con pestaña a presión."/>
    <s v="Cualquier marca"/>
    <s v="Unidad"/>
    <x v="0"/>
    <x v="3"/>
    <n v="7"/>
    <n v="110477.70879999999"/>
    <n v="773343.96159999992"/>
    <m/>
    <n v="0"/>
    <n v="1"/>
    <n v="110477.70879999999"/>
    <m/>
    <n v="0"/>
    <m/>
    <n v="0"/>
    <n v="6"/>
    <n v="662866.2527999999"/>
    <m/>
    <n v="0"/>
    <m/>
    <n v="0"/>
    <m/>
    <n v="0"/>
    <m/>
    <n v="0"/>
  </r>
  <r>
    <n v="93"/>
    <s v="Cámara Mac Master para recuento de huevos de nemátodos "/>
    <s v="Cualquier marca"/>
    <s v="Unidad"/>
    <x v="0"/>
    <x v="1"/>
    <n v="2"/>
    <n v="882603.19839999999"/>
    <n v="1765206.3968"/>
    <m/>
    <n v="0"/>
    <n v="2"/>
    <n v="1765206.3968"/>
    <m/>
    <n v="0"/>
    <m/>
    <n v="0"/>
    <m/>
    <n v="0"/>
    <m/>
    <n v="0"/>
    <m/>
    <n v="0"/>
    <m/>
    <n v="0"/>
    <m/>
    <n v="0"/>
  </r>
  <r>
    <n v="94"/>
    <s v="Cámara Newbauer. Cámara de recuento sin pinzas, fabricada en una sola pieza de vidrio óptico, con 2 cubreobjetos para cámara de recuento, doble retícula con color verde iluminado que facilitan la lectura. Con lámina de cuarzo y estuche plástico. Profundidad: 0.100mm, volumen 1mm 2:0,1 Ml. Bordes redondeados anticorte, textura esmerilada, evita desplazamiento al manipularla."/>
    <s v="Boeco o equivalente"/>
    <s v="Unidad"/>
    <x v="0"/>
    <x v="1"/>
    <n v="7"/>
    <n v="698592.07039999997"/>
    <n v="4890144.4928000001"/>
    <n v="3"/>
    <n v="2095776.2111999998"/>
    <n v="2"/>
    <n v="1397184.1407999999"/>
    <m/>
    <n v="0"/>
    <m/>
    <n v="0"/>
    <n v="1"/>
    <n v="698592.07039999997"/>
    <m/>
    <n v="0"/>
    <m/>
    <n v="0"/>
    <n v="1"/>
    <n v="698592.07039999997"/>
    <m/>
    <n v="0"/>
  </r>
  <r>
    <n v="95"/>
    <s v="Canastilla con manija de 25 x 15 x 15cm (largo x ancho x alto) en acero inoxidable "/>
    <s v="Cualquier marca"/>
    <s v="Unidad"/>
    <x v="0"/>
    <x v="1"/>
    <n v="3"/>
    <n v="499235.84480000002"/>
    <n v="1497707.5344"/>
    <n v="3"/>
    <n v="1497707.5344"/>
    <m/>
    <n v="0"/>
    <m/>
    <n v="0"/>
    <m/>
    <n v="0"/>
    <m/>
    <n v="0"/>
    <m/>
    <n v="0"/>
    <m/>
    <n v="0"/>
    <m/>
    <n v="0"/>
    <m/>
    <n v="0"/>
  </r>
  <r>
    <n v="96"/>
    <s v="Carro de carga, de tres posiciones, 4 ruedas, soporta hasta 450 kg, Fabricado en aluminio y acero, puede ser usado como carretilla de 2 ruedas o carro de 4 ruedas de caucho macisas."/>
    <s v="Cualquier marca"/>
    <s v="Unidad"/>
    <x v="0"/>
    <x v="1"/>
    <n v="1"/>
    <n v="5242561.5647999998"/>
    <n v="5242561.5647999998"/>
    <m/>
    <n v="0"/>
    <m/>
    <n v="0"/>
    <m/>
    <n v="0"/>
    <m/>
    <n v="0"/>
    <m/>
    <n v="0"/>
    <m/>
    <n v="0"/>
    <m/>
    <n v="0"/>
    <n v="1"/>
    <n v="5242561.5647999998"/>
    <m/>
    <n v="0"/>
  </r>
  <r>
    <n v="97"/>
    <s v="Carro de Servicio Abierto Tres Estantes (300 Libras) Negro Dimensiones: 103 a 105 x 50 a 52 x 95 a 96 cm"/>
    <s v="Rubbermaid FG409100BLA o equivalente"/>
    <s v="Unidad"/>
    <x v="0"/>
    <x v="5"/>
    <n v="1"/>
    <n v="1748480"/>
    <n v="1748480"/>
    <m/>
    <n v="0"/>
    <m/>
    <n v="0"/>
    <m/>
    <n v="0"/>
    <m/>
    <n v="0"/>
    <n v="1"/>
    <n v="1748480"/>
    <m/>
    <n v="0"/>
    <m/>
    <n v="0"/>
    <m/>
    <n v="0"/>
    <m/>
    <n v="0"/>
  </r>
  <r>
    <n v="98"/>
    <s v="Cartucho de cinta de impresión Catálogo # M61-R431"/>
    <s v="Braddy"/>
    <s v="Cartucho"/>
    <x v="0"/>
    <x v="1"/>
    <n v="5"/>
    <n v="586494.83200000005"/>
    <n v="2932474.16"/>
    <m/>
    <n v="0"/>
    <m/>
    <n v="0"/>
    <n v="5"/>
    <n v="2932474.16"/>
    <m/>
    <n v="0"/>
    <m/>
    <n v="0"/>
    <m/>
    <n v="0"/>
    <m/>
    <n v="0"/>
    <m/>
    <n v="0"/>
    <m/>
    <n v="0"/>
  </r>
  <r>
    <n v="99"/>
    <s v="Casette de inclusión para histología con tapa desmontable"/>
    <s v="Citoplus o equivalente"/>
    <s v="Caja x 500"/>
    <x v="0"/>
    <x v="1"/>
    <n v="5"/>
    <n v="450469.64480000001"/>
    <n v="2252348.2239999999"/>
    <m/>
    <n v="0"/>
    <n v="5"/>
    <n v="2252348.2239999999"/>
    <m/>
    <n v="0"/>
    <m/>
    <n v="0"/>
    <m/>
    <n v="0"/>
    <m/>
    <n v="0"/>
    <m/>
    <n v="0"/>
    <m/>
    <n v="0"/>
    <m/>
    <n v="0"/>
  </r>
  <r>
    <n v="100"/>
    <s v="Cava de icopor 15 litros para envío de muestras_x000a_Se deben entregar en las 32 seccionales del ICA de acuerdo a la distribución."/>
    <s v="Cualquier marca"/>
    <s v="Unidad"/>
    <x v="0"/>
    <x v="4"/>
    <n v="1535"/>
    <n v="22953.171200000001"/>
    <n v="35233117.792000003"/>
    <m/>
    <n v="0"/>
    <n v="35"/>
    <n v="803360.99199999997"/>
    <m/>
    <n v="0"/>
    <m/>
    <n v="0"/>
    <m/>
    <n v="0"/>
    <m/>
    <n v="0"/>
    <m/>
    <n v="0"/>
    <m/>
    <n v="0"/>
    <n v="1500"/>
    <n v="34429756.800000004"/>
  </r>
  <r>
    <n v="101"/>
    <s v="Cava de icopor 5 litros para envío de muestras._x000a_Se deben entregar en las 32 seccionales del ICA de acuerdo a la distribución."/>
    <s v="Cualquier marca"/>
    <s v="Unidad"/>
    <x v="0"/>
    <x v="4"/>
    <n v="535"/>
    <n v="21847.257600000001"/>
    <n v="11688282.816"/>
    <m/>
    <n v="0"/>
    <n v="35"/>
    <n v="764654.01600000006"/>
    <m/>
    <n v="0"/>
    <m/>
    <n v="0"/>
    <m/>
    <n v="0"/>
    <m/>
    <n v="0"/>
    <m/>
    <n v="0"/>
    <m/>
    <n v="0"/>
    <n v="500"/>
    <n v="10923628.800000001"/>
  </r>
  <r>
    <n v="102"/>
    <s v="Cava de icopor de 10 litros para envío de muestras._x000a_Se deben entregar en las 32 seccionales del ICA de acuerdo a la distribución."/>
    <s v="Cualquier marca"/>
    <s v="Unidad"/>
    <x v="0"/>
    <x v="4"/>
    <n v="550"/>
    <n v="21847.257600000001"/>
    <n v="12015991.68"/>
    <m/>
    <n v="0"/>
    <n v="50"/>
    <n v="1092362.8800000001"/>
    <m/>
    <n v="0"/>
    <m/>
    <n v="0"/>
    <m/>
    <n v="0"/>
    <m/>
    <n v="0"/>
    <m/>
    <n v="0"/>
    <m/>
    <n v="0"/>
    <n v="500"/>
    <n v="10923628.800000001"/>
  </r>
  <r>
    <n v="103"/>
    <s v="Cava de icopor de 3 litros para envío de muestras._x000a_Se deben entregar en las 32 seccionales del ICA de acuerdo a la distribución."/>
    <s v="Cualquier marca"/>
    <s v="Unidad"/>
    <x v="0"/>
    <x v="1"/>
    <n v="50"/>
    <n v="24448.121599999999"/>
    <n v="1222406.0799999998"/>
    <m/>
    <n v="0"/>
    <n v="40"/>
    <n v="977924.86399999994"/>
    <n v="10"/>
    <n v="244481.21599999999"/>
    <m/>
    <n v="0"/>
    <m/>
    <n v="0"/>
    <m/>
    <n v="0"/>
    <m/>
    <n v="0"/>
    <m/>
    <n v="0"/>
    <m/>
    <n v="0"/>
  </r>
  <r>
    <n v="104"/>
    <s v="Cava de icopor de 40 litros para envío de muestras._x000a_Se deben entregar en las 32 seccionales del ICA de acuerdo a la distribución."/>
    <s v="Cualquier marca"/>
    <s v="Unidad"/>
    <x v="0"/>
    <x v="1"/>
    <n v="10"/>
    <n v="84788.166400000002"/>
    <n v="847881.66399999999"/>
    <m/>
    <n v="0"/>
    <n v="10"/>
    <n v="847881.66399999999"/>
    <m/>
    <n v="0"/>
    <m/>
    <n v="0"/>
    <m/>
    <n v="0"/>
    <m/>
    <n v="0"/>
    <m/>
    <n v="0"/>
    <m/>
    <n v="0"/>
    <m/>
    <n v="0"/>
  </r>
  <r>
    <n v="105"/>
    <s v="Cava de icopor de 60 litros para envío de muestras._x000a_Se deben entregar en las 32 seccionales del ICA de acuerdo a la distribución."/>
    <s v="Cualquier marca"/>
    <s v="Unidad"/>
    <x v="0"/>
    <x v="1"/>
    <n v="10"/>
    <n v="190773.3744"/>
    <n v="1907733.7439999999"/>
    <m/>
    <n v="0"/>
    <n v="10"/>
    <n v="1907733.7439999999"/>
    <m/>
    <n v="0"/>
    <m/>
    <n v="0"/>
    <m/>
    <n v="0"/>
    <m/>
    <n v="0"/>
    <m/>
    <n v="0"/>
    <m/>
    <n v="0"/>
    <m/>
    <n v="0"/>
  </r>
  <r>
    <n v="106"/>
    <s v="Cepillo de mango flexible para limpieza de frascos volumétricos de 250 ml"/>
    <s v="Fisher Scientific 03-570A o equivalente"/>
    <s v="Unidad "/>
    <x v="0"/>
    <x v="1"/>
    <n v="8"/>
    <n v="113787.8"/>
    <n v="910302.4"/>
    <n v="6"/>
    <n v="682726.8"/>
    <n v="2"/>
    <n v="227575.6"/>
    <m/>
    <n v="0"/>
    <m/>
    <n v="0"/>
    <m/>
    <n v="0"/>
    <m/>
    <n v="0"/>
    <m/>
    <n v="0"/>
    <m/>
    <n v="0"/>
    <m/>
    <n v="0"/>
  </r>
  <r>
    <n v="107"/>
    <s v="Cepillo multiusos, mango largo, cerda rígida 41 +/- 2 cm (mango) x 4,5 +/- 2cm "/>
    <s v="Cualquier marca"/>
    <s v="Unidad"/>
    <x v="0"/>
    <x v="1"/>
    <n v="311"/>
    <n v="20806.912"/>
    <n v="6470949.6320000002"/>
    <n v="2"/>
    <n v="41613.824000000001"/>
    <n v="5"/>
    <n v="104034.56"/>
    <m/>
    <n v="0"/>
    <m/>
    <n v="0"/>
    <n v="4"/>
    <n v="83227.648000000001"/>
    <m/>
    <n v="0"/>
    <m/>
    <n v="0"/>
    <m/>
    <n v="0"/>
    <n v="300"/>
    <n v="6242073.5999999996"/>
  </r>
  <r>
    <n v="108"/>
    <s v="Cepillo para limpieza de probetas longitud 520 mm ribete de cerda con cabeza de lana 100x40mm, alambre galvanizado con anillo"/>
    <s v="Marienfeld o equivalente"/>
    <s v="Unidad "/>
    <x v="0"/>
    <x v="0"/>
    <n v="13"/>
    <n v="59819.872000000003"/>
    <n v="777658.33600000001"/>
    <n v="4"/>
    <n v="239279.48800000001"/>
    <n v="5"/>
    <n v="299099.36"/>
    <m/>
    <n v="0"/>
    <m/>
    <n v="0"/>
    <n v="4"/>
    <n v="239279.48800000001"/>
    <m/>
    <n v="0"/>
    <m/>
    <n v="0"/>
    <m/>
    <n v="0"/>
    <m/>
    <n v="0"/>
  </r>
  <r>
    <n v="109"/>
    <s v="Churrusco con mechón extremo largo de 15 cms"/>
    <s v="Cualquier marca"/>
    <s v="Unidad"/>
    <x v="0"/>
    <x v="1"/>
    <n v="15"/>
    <n v="15995.313599999999"/>
    <n v="239929.704"/>
    <n v="6"/>
    <n v="95971.881599999993"/>
    <n v="5"/>
    <n v="79976.567999999999"/>
    <m/>
    <n v="0"/>
    <m/>
    <n v="0"/>
    <n v="4"/>
    <n v="63981.254399999998"/>
    <m/>
    <n v="0"/>
    <m/>
    <n v="0"/>
    <m/>
    <n v="0"/>
    <m/>
    <n v="0"/>
  </r>
  <r>
    <n v="110"/>
    <s v="Churrusco con mechón extremo largo de 20 cms"/>
    <s v="Cualquier marca"/>
    <s v="Unidad"/>
    <x v="0"/>
    <x v="1"/>
    <n v="20"/>
    <n v="17165.702399999998"/>
    <n v="343314.04799999995"/>
    <n v="6"/>
    <n v="102994.2144"/>
    <n v="5"/>
    <n v="85828.511999999988"/>
    <m/>
    <n v="0"/>
    <m/>
    <n v="0"/>
    <n v="4"/>
    <n v="68662.809599999993"/>
    <m/>
    <n v="0"/>
    <n v="5"/>
    <n v="85828.511999999988"/>
    <m/>
    <n v="0"/>
    <m/>
    <n v="0"/>
  </r>
  <r>
    <n v="111"/>
    <s v="Churrusco para lavado material de vidrio 25-30cm"/>
    <s v="Fisherbrand, Cole Palmer 03-565, RZ-84550-89 o equivalente"/>
    <s v="Unidad"/>
    <x v="0"/>
    <x v="1"/>
    <n v="13"/>
    <n v="171136.8512"/>
    <n v="2224779.0655999999"/>
    <n v="7"/>
    <n v="1197957.9584000001"/>
    <n v="2"/>
    <n v="342273.70240000001"/>
    <m/>
    <n v="0"/>
    <m/>
    <n v="0"/>
    <n v="4"/>
    <n v="684547.40480000002"/>
    <m/>
    <n v="0"/>
    <m/>
    <n v="0"/>
    <m/>
    <n v="0"/>
    <m/>
    <n v="0"/>
  </r>
  <r>
    <n v="112"/>
    <s v="Churrusco para lavar erlenmeyer cabeza 10 cm, longitud 40 - 41 cm"/>
    <s v="VWR 17155-001 o equivalente"/>
    <s v="Paquete x 5 "/>
    <x v="0"/>
    <x v="0"/>
    <n v="10"/>
    <n v="234077.76"/>
    <n v="2340777.6"/>
    <n v="6"/>
    <n v="1404466.56"/>
    <n v="2"/>
    <n v="468155.52"/>
    <m/>
    <n v="0"/>
    <m/>
    <n v="0"/>
    <n v="2"/>
    <n v="468155.52"/>
    <m/>
    <n v="0"/>
    <m/>
    <n v="0"/>
    <m/>
    <n v="0"/>
    <m/>
    <n v="0"/>
  </r>
  <r>
    <n v="113"/>
    <s v="Churrusco para limpiar pipetas de 5mL - 25mL"/>
    <s v="Cualquier marca"/>
    <s v="Unidad"/>
    <x v="0"/>
    <x v="1"/>
    <n v="11"/>
    <n v="20286.7392"/>
    <n v="223154.1312"/>
    <n v="6"/>
    <n v="121720.43520000001"/>
    <n v="5"/>
    <n v="101433.696"/>
    <m/>
    <n v="0"/>
    <m/>
    <n v="0"/>
    <m/>
    <n v="0"/>
    <m/>
    <n v="0"/>
    <m/>
    <n v="0"/>
    <m/>
    <n v="0"/>
    <m/>
    <n v="0"/>
  </r>
  <r>
    <n v="114"/>
    <s v="Churrusco pequeños para lavado de viales de 2 ml de medidas aproximadas de 10 cm de longitud por 1cm de diametro"/>
    <s v="Cualquier marca"/>
    <s v="Unidad"/>
    <x v="0"/>
    <x v="2"/>
    <n v="19"/>
    <n v="16255.4"/>
    <n v="308852.59999999998"/>
    <n v="6"/>
    <n v="97532.4"/>
    <n v="5"/>
    <n v="81277"/>
    <m/>
    <n v="0"/>
    <m/>
    <n v="0"/>
    <n v="8"/>
    <n v="130043.2"/>
    <m/>
    <n v="0"/>
    <m/>
    <n v="0"/>
    <m/>
    <n v="0"/>
    <m/>
    <n v="0"/>
  </r>
  <r>
    <n v="115"/>
    <s v="Cinta de colores para etiquetar 13mm, resistente al agua, al ácido y al aceite"/>
    <s v="Fisherbrand 15-901R o equivalente"/>
    <s v="Caja x 24 "/>
    <x v="0"/>
    <x v="1"/>
    <n v="2"/>
    <n v="1367014.1184"/>
    <n v="2734028.2368000001"/>
    <n v="1"/>
    <n v="1367014.1184"/>
    <m/>
    <n v="0"/>
    <m/>
    <n v="0"/>
    <m/>
    <n v="0"/>
    <m/>
    <n v="0"/>
    <n v="1"/>
    <n v="1367014.1184"/>
    <m/>
    <n v="0"/>
    <m/>
    <n v="0"/>
    <m/>
    <n v="0"/>
  </r>
  <r>
    <n v="116"/>
    <s v="Cinta de enmascarar de 10 - 12 mm"/>
    <s v="TESA o equivalente"/>
    <s v="Rollo x 40 M o superior"/>
    <x v="0"/>
    <x v="1"/>
    <n v="136"/>
    <n v="14564.838400000001"/>
    <n v="1980818.0224000001"/>
    <n v="21"/>
    <n v="305861.60639999999"/>
    <n v="40"/>
    <n v="582593.53600000008"/>
    <n v="20"/>
    <n v="291296.76800000004"/>
    <m/>
    <n v="0"/>
    <n v="35"/>
    <n v="509769.34400000004"/>
    <n v="10"/>
    <n v="145648.38400000002"/>
    <m/>
    <n v="0"/>
    <n v="10"/>
    <n v="145648.38400000002"/>
    <m/>
    <n v="0"/>
  </r>
  <r>
    <n v="117"/>
    <s v="Cinta de enmascarar de 20 - 24 mm"/>
    <s v="TESA o equivalente"/>
    <s v="Rollo x 40 M o superior"/>
    <x v="0"/>
    <x v="4"/>
    <n v="307"/>
    <n v="8842.9375999999993"/>
    <n v="2714781.8432"/>
    <n v="27"/>
    <n v="238759.31519999998"/>
    <n v="40"/>
    <n v="353717.50399999996"/>
    <n v="15"/>
    <n v="132644.06399999998"/>
    <m/>
    <n v="0"/>
    <n v="35"/>
    <n v="309502.81599999999"/>
    <n v="10"/>
    <n v="88429.375999999989"/>
    <m/>
    <n v="0"/>
    <m/>
    <n v="0"/>
    <n v="180"/>
    <n v="1591728.7679999999"/>
  </r>
  <r>
    <n v="118"/>
    <s v="Cinta de enmascarar de 48 - 50 mm"/>
    <s v="TESA o equivalente"/>
    <s v="Rollo x 40 M o superior"/>
    <x v="0"/>
    <x v="1"/>
    <n v="259"/>
    <n v="77765.833599999998"/>
    <n v="20141350.902399998"/>
    <n v="10"/>
    <n v="777658.33600000001"/>
    <n v="15"/>
    <n v="1166487.504"/>
    <n v="4"/>
    <n v="311063.33439999999"/>
    <m/>
    <n v="0"/>
    <n v="20"/>
    <n v="1555316.672"/>
    <n v="5"/>
    <n v="388829.16800000001"/>
    <m/>
    <n v="0"/>
    <n v="25"/>
    <n v="1944145.8399999999"/>
    <n v="180"/>
    <n v="13997850.048"/>
  </r>
  <r>
    <n v="119"/>
    <s v="Cinta indicadora de esterilidad"/>
    <s v="VWR o equivalente"/>
    <s v="Rollo x 50 M o superior"/>
    <x v="0"/>
    <x v="5"/>
    <n v="71"/>
    <n v="65568"/>
    <n v="4655328"/>
    <n v="10"/>
    <n v="655680"/>
    <n v="30"/>
    <n v="1967040"/>
    <n v="10"/>
    <n v="655680"/>
    <m/>
    <n v="0"/>
    <n v="20"/>
    <n v="1311360"/>
    <n v="1"/>
    <n v="65568"/>
    <m/>
    <n v="0"/>
    <m/>
    <n v="0"/>
    <m/>
    <n v="0"/>
  </r>
  <r>
    <n v="120"/>
    <s v="Cinta transparente  48 - 50 mm"/>
    <s v="Cualquier marca"/>
    <s v="Rollo x 200 metros o superior"/>
    <x v="0"/>
    <x v="1"/>
    <n v="255"/>
    <n v="29909.936000000002"/>
    <n v="7627033.6800000006"/>
    <n v="30"/>
    <n v="897298.08000000007"/>
    <n v="40"/>
    <n v="1196397.44"/>
    <n v="10"/>
    <n v="299099.36"/>
    <m/>
    <n v="0"/>
    <n v="55"/>
    <n v="1645046.48"/>
    <m/>
    <n v="0"/>
    <m/>
    <n v="0"/>
    <n v="20"/>
    <n v="598198.72"/>
    <n v="100"/>
    <n v="2990993.6"/>
  </r>
  <r>
    <n v="121"/>
    <s v="Cinta transparente mágica 12  a 12,7 mm x 32, 9 a  33 m"/>
    <s v="Cualquier marca"/>
    <s v="Unidad"/>
    <x v="0"/>
    <x v="4"/>
    <n v="15"/>
    <n v="19506.48"/>
    <n v="292597.2"/>
    <n v="5"/>
    <n v="97532.4"/>
    <n v="5"/>
    <n v="97532.4"/>
    <m/>
    <n v="0"/>
    <m/>
    <n v="0"/>
    <n v="5"/>
    <n v="97532.4"/>
    <m/>
    <n v="0"/>
    <m/>
    <n v="0"/>
    <m/>
    <n v="0"/>
    <m/>
    <n v="0"/>
  </r>
  <r>
    <n v="122"/>
    <s v="Coladera pequeña de malla plástica_x000a_Diámetro de 8-10 cm"/>
    <s v="Cualquier marca"/>
    <s v="Unidad"/>
    <x v="0"/>
    <x v="6"/>
    <n v="1"/>
    <n v="21847.257600000001"/>
    <n v="21847.257600000001"/>
    <m/>
    <n v="0"/>
    <n v="1"/>
    <n v="21847.257600000001"/>
    <m/>
    <n v="0"/>
    <m/>
    <n v="0"/>
    <m/>
    <n v="0"/>
    <m/>
    <n v="0"/>
    <m/>
    <n v="0"/>
    <m/>
    <n v="0"/>
    <m/>
    <n v="0"/>
  </r>
  <r>
    <n v="123"/>
    <s v="Colador plástico grande diámetro ≥ 25 cm"/>
    <s v="Cualquier marca"/>
    <s v="Unidad"/>
    <x v="0"/>
    <x v="1"/>
    <n v="5"/>
    <n v="30039.979200000002"/>
    <n v="150199.89600000001"/>
    <m/>
    <n v="0"/>
    <n v="5"/>
    <n v="150199.89600000001"/>
    <m/>
    <n v="0"/>
    <m/>
    <n v="0"/>
    <m/>
    <n v="0"/>
    <m/>
    <n v="0"/>
    <m/>
    <n v="0"/>
    <m/>
    <n v="0"/>
    <m/>
    <n v="0"/>
  </r>
  <r>
    <n v="124"/>
    <s v="Colador plástico mediano diámetro aproximado 15 cm"/>
    <s v="Cualquier marca"/>
    <s v="Unidad"/>
    <x v="0"/>
    <x v="1"/>
    <n v="38"/>
    <n v="30170.022399999998"/>
    <n v="1146460.8511999999"/>
    <m/>
    <n v="0"/>
    <n v="5"/>
    <n v="150850.11199999999"/>
    <m/>
    <n v="0"/>
    <m/>
    <n v="0"/>
    <m/>
    <n v="0"/>
    <m/>
    <n v="0"/>
    <m/>
    <n v="0"/>
    <m/>
    <n v="0"/>
    <n v="33"/>
    <n v="995610.73919999995"/>
  </r>
  <r>
    <n v="125"/>
    <s v="Columna cromatográfica  Fenil Hypersil de 150 x 4,6 mm y 5 µm de tamaño de partícula"/>
    <s v="Thermo Scientific o equivalente"/>
    <s v="Unidad"/>
    <x v="0"/>
    <x v="7"/>
    <n v="1"/>
    <n v="2726897.7168000001"/>
    <n v="2726897.7168000001"/>
    <m/>
    <n v="0"/>
    <m/>
    <n v="0"/>
    <m/>
    <n v="0"/>
    <m/>
    <n v="0"/>
    <m/>
    <n v="0"/>
    <m/>
    <n v="0"/>
    <m/>
    <n v="0"/>
    <n v="1"/>
    <n v="2726897.7168000001"/>
    <m/>
    <n v="0"/>
  </r>
  <r>
    <n v="126"/>
    <s v="Columna cromatográfica Hypersil gold CN de 150 x 4,6 mm y 5 µm de tamaño de partícula"/>
    <s v="Thermo Scientific o equivalente"/>
    <s v="Unidad"/>
    <x v="0"/>
    <x v="7"/>
    <n v="1"/>
    <n v="2726897.7168000001"/>
    <n v="2726897.7168000001"/>
    <m/>
    <n v="0"/>
    <m/>
    <n v="0"/>
    <m/>
    <n v="0"/>
    <m/>
    <n v="0"/>
    <m/>
    <n v="0"/>
    <m/>
    <n v="0"/>
    <m/>
    <n v="0"/>
    <n v="1"/>
    <n v="2726897.7168000001"/>
    <m/>
    <n v="0"/>
  </r>
  <r>
    <n v="127"/>
    <s v="Columna SPE Lichrolut RP 18 (40-63 um) 500 mg, 6ml standard PP-tubes."/>
    <s v="Merck o Supelco REF: 1.19687 o equivalente"/>
    <s v="Caja x 30"/>
    <x v="0"/>
    <x v="7"/>
    <n v="7"/>
    <n v="538795.20479999995"/>
    <n v="3771566.4335999996"/>
    <n v="7"/>
    <n v="3771566.4335999996"/>
    <m/>
    <n v="0"/>
    <m/>
    <n v="0"/>
    <m/>
    <n v="0"/>
    <m/>
    <n v="0"/>
    <m/>
    <n v="0"/>
    <m/>
    <n v="0"/>
    <m/>
    <n v="0"/>
    <m/>
    <n v="0"/>
  </r>
  <r>
    <n v="128"/>
    <s v="Contador de células para hematología (Contador mecanico de vuelta)"/>
    <s v="Cualquier marca"/>
    <s v="Unidad"/>
    <x v="0"/>
    <x v="0"/>
    <n v="1"/>
    <n v="606001.31200000003"/>
    <n v="606001.31200000003"/>
    <m/>
    <n v="0"/>
    <n v="1"/>
    <n v="606001.31200000003"/>
    <m/>
    <n v="0"/>
    <m/>
    <n v="0"/>
    <m/>
    <n v="0"/>
    <m/>
    <n v="0"/>
    <m/>
    <n v="0"/>
    <m/>
    <n v="0"/>
    <m/>
    <n v="0"/>
  </r>
  <r>
    <n v="129"/>
    <s v="Cooler con tapa para tubos de 1.5 a 2.0 ml -20 °C para 12 tubos"/>
    <s v="Cualquier marca"/>
    <s v="Unidad"/>
    <x v="0"/>
    <x v="1"/>
    <n v="1"/>
    <n v="2048570.5296"/>
    <n v="2048570.5296"/>
    <m/>
    <n v="0"/>
    <m/>
    <n v="0"/>
    <m/>
    <n v="0"/>
    <m/>
    <n v="0"/>
    <n v="1"/>
    <n v="2048570.5296"/>
    <m/>
    <n v="0"/>
    <m/>
    <n v="0"/>
    <m/>
    <n v="0"/>
    <m/>
    <n v="0"/>
  </r>
  <r>
    <n v="130"/>
    <s v="Coolers con tapa para tubos de PCR de 0,2 ml de 96 tubos"/>
    <s v="Brand o equivalente"/>
    <s v="Unidad"/>
    <x v="0"/>
    <x v="1"/>
    <n v="1"/>
    <n v="1735686.5904000001"/>
    <n v="1735686.5904000001"/>
    <m/>
    <n v="0"/>
    <m/>
    <n v="0"/>
    <m/>
    <n v="0"/>
    <m/>
    <n v="0"/>
    <n v="1"/>
    <n v="1735686.5904000001"/>
    <m/>
    <n v="0"/>
    <m/>
    <n v="0"/>
    <m/>
    <n v="0"/>
    <m/>
    <n v="0"/>
  </r>
  <r>
    <n v="131"/>
    <s v="Criocaja autoclavables en polipropileno para almacenamiento de tubos de 1,5 - 2 ml con capacidad para 81 tubos, resistente a bajas temperatura ≤ - 80°C."/>
    <s v="VWR, Nalgene  o equivalente"/>
    <s v="Unidad"/>
    <x v="0"/>
    <x v="5"/>
    <n v="53"/>
    <n v="59819.872000000003"/>
    <n v="3170453.216"/>
    <n v="30"/>
    <n v="1794596.1600000001"/>
    <n v="15"/>
    <n v="897298.08000000007"/>
    <m/>
    <n v="0"/>
    <m/>
    <n v="0"/>
    <n v="8"/>
    <n v="478558.97600000002"/>
    <m/>
    <n v="0"/>
    <m/>
    <n v="0"/>
    <m/>
    <n v="0"/>
    <m/>
    <n v="0"/>
  </r>
  <r>
    <n v="132"/>
    <s v="Criocaja autoclavables en polipropileno para almacenamiento de tubos de 5 ml con capacidad para 81 tubos, resistente a bajas temperatura ≤ - 80°C."/>
    <s v="Cualquier marca "/>
    <s v="Unidad"/>
    <x v="0"/>
    <x v="1"/>
    <n v="37"/>
    <n v="181930.4368"/>
    <n v="6731426.1616000002"/>
    <n v="12"/>
    <n v="2183165.2415999998"/>
    <n v="10"/>
    <n v="1819304.368"/>
    <n v="15"/>
    <n v="2728956.5520000001"/>
    <m/>
    <n v="0"/>
    <m/>
    <n v="0"/>
    <m/>
    <n v="0"/>
    <m/>
    <n v="0"/>
    <m/>
    <n v="0"/>
    <m/>
    <n v="0"/>
  </r>
  <r>
    <n v="133"/>
    <s v="Criocaja en policarbonato para almacenamiento de tubos 0,5 ml; con marcación alfanúmerica para fácil identificación."/>
    <s v="Cualquier marca"/>
    <s v="Unidad"/>
    <x v="0"/>
    <x v="2"/>
    <n v="18"/>
    <n v="62420.735999999997"/>
    <n v="1123573.2479999999"/>
    <m/>
    <n v="0"/>
    <n v="15"/>
    <n v="936311.03999999992"/>
    <n v="1"/>
    <n v="62420.735999999997"/>
    <m/>
    <n v="0"/>
    <n v="2"/>
    <n v="124841.47199999999"/>
    <m/>
    <n v="0"/>
    <m/>
    <n v="0"/>
    <m/>
    <n v="0"/>
    <m/>
    <n v="0"/>
  </r>
  <r>
    <n v="134"/>
    <s v="Criocaja en policarbonato para almacenamiento de tubos de 0.2 ml. marcación alfanúmerica para fácil identificación."/>
    <s v="Nalgene  o equivalente"/>
    <s v="Unidad"/>
    <x v="0"/>
    <x v="1"/>
    <n v="11"/>
    <n v="113137.584"/>
    <n v="1244513.4240000001"/>
    <m/>
    <n v="0"/>
    <n v="10"/>
    <n v="1131375.8400000001"/>
    <n v="1"/>
    <n v="113137.584"/>
    <m/>
    <n v="0"/>
    <m/>
    <n v="0"/>
    <m/>
    <n v="0"/>
    <m/>
    <n v="0"/>
    <m/>
    <n v="0"/>
    <m/>
    <n v="0"/>
  </r>
  <r>
    <n v="135"/>
    <s v="Criomarcador punta fina, que escribe sobre cerámica, metal, vidrio, papel y plástico. La tinta resiste lavado, calentamiento, ácidos álcalis suaves y temperaturas -20°- color azul oscuro"/>
    <s v="VWR o equivalente"/>
    <s v="Unidad"/>
    <x v="0"/>
    <x v="8"/>
    <n v="54"/>
    <n v="79976.567999999999"/>
    <n v="4318734.6720000003"/>
    <n v="10"/>
    <n v="799765.67999999993"/>
    <n v="30"/>
    <n v="2399297.04"/>
    <m/>
    <n v="0"/>
    <m/>
    <n v="0"/>
    <n v="6"/>
    <n v="479859.408"/>
    <m/>
    <n v="0"/>
    <m/>
    <n v="0"/>
    <n v="8"/>
    <n v="639812.54399999999"/>
    <m/>
    <n v="0"/>
  </r>
  <r>
    <n v="136"/>
    <s v="Criomarcador punta gruesa, que escribe sobre cerámica, metal, vidrio, papel y plástico. La tinta resiste lavado, calentamiento, ácidos álcalis suaves y temperaturas -20°- color azul"/>
    <s v="VWR o equivalente"/>
    <s v="Unidad"/>
    <x v="0"/>
    <x v="1"/>
    <n v="48"/>
    <n v="149549.68"/>
    <n v="7178384.6399999997"/>
    <n v="10"/>
    <n v="1495496.7999999998"/>
    <n v="30"/>
    <n v="4486490.3999999994"/>
    <m/>
    <n v="0"/>
    <m/>
    <n v="0"/>
    <n v="6"/>
    <n v="897298.08"/>
    <n v="2"/>
    <n v="299099.36"/>
    <m/>
    <n v="0"/>
    <m/>
    <n v="0"/>
    <m/>
    <n v="0"/>
  </r>
  <r>
    <n v="137"/>
    <s v="Criomarcador punta gruesa, que escribe sobre cerámica, metal, vidrio, papel y plástico. La tinta resiste lavado, calentamiento, ácidos álcalis suaves y temperaturas -20°- color negro"/>
    <s v="VWR o equivalente"/>
    <s v="Unidad"/>
    <x v="0"/>
    <x v="1"/>
    <n v="43"/>
    <n v="128612.7248"/>
    <n v="5530347.1663999995"/>
    <m/>
    <n v="0"/>
    <n v="35"/>
    <n v="4501445.3679999998"/>
    <m/>
    <n v="0"/>
    <m/>
    <n v="0"/>
    <n v="6"/>
    <n v="771676.34880000004"/>
    <n v="2"/>
    <n v="257225.44959999999"/>
    <m/>
    <n v="0"/>
    <m/>
    <n v="0"/>
    <m/>
    <n v="0"/>
  </r>
  <r>
    <n v="138"/>
    <s v="Criomarcador punta ultrafina, que escribe sobre cerámica, metal, vidrio, papel y plástico. La tinta resiste lavado, calentamiento, ácidos álcalis suaves y temperaturas -20°- color negro "/>
    <s v="VWR o equivalente"/>
    <s v="Unidad"/>
    <x v="0"/>
    <x v="1"/>
    <n v="41"/>
    <n v="156832.0992"/>
    <n v="6430116.0671999995"/>
    <n v="3"/>
    <n v="470496.29759999999"/>
    <n v="22"/>
    <n v="3450306.1823999998"/>
    <m/>
    <n v="0"/>
    <m/>
    <n v="0"/>
    <n v="6"/>
    <n v="940992.59519999998"/>
    <n v="10"/>
    <n v="1568320.9920000001"/>
    <m/>
    <n v="0"/>
    <m/>
    <n v="0"/>
    <m/>
    <n v="0"/>
  </r>
  <r>
    <n v="139"/>
    <s v="Criovial 2 ml estéril, tapa rosca en polipropileno base plana. Rosca interna, fondo redondo con base, estériles de libres de tóxicos y de pirógenos, Medias aprox 12 a 13 mm x 49 a 51 mm"/>
    <s v="Fisher 12-567-501 o equivalente"/>
    <s v="Caja x 1000"/>
    <x v="0"/>
    <x v="8"/>
    <n v="38"/>
    <n v="1638544.32"/>
    <n v="62264684.160000004"/>
    <n v="5"/>
    <n v="8192721.6000000006"/>
    <n v="26"/>
    <n v="42602152.32"/>
    <n v="5"/>
    <n v="8192721.6000000006"/>
    <m/>
    <n v="0"/>
    <n v="2"/>
    <n v="3277088.64"/>
    <m/>
    <n v="0"/>
    <m/>
    <n v="0"/>
    <m/>
    <n v="0"/>
    <m/>
    <n v="0"/>
  </r>
  <r>
    <n v="140"/>
    <s v="Criovial 5 ml estéril, tapa rosca en polipropileno base plana. Medidas 12.5 a 13.5 x 90 a 92 mm. Rosca interna, fondo redondo con base, estériles de 12.5 a 13.5 x 90 a 92 mm libres de tóxicos y de pirógenos"/>
    <s v="Fisher o equivalente"/>
    <s v="Caja x 250 "/>
    <x v="0"/>
    <x v="8"/>
    <n v="12"/>
    <n v="1002372.9856"/>
    <n v="12028475.827199999"/>
    <n v="5"/>
    <n v="5011864.9280000003"/>
    <n v="2"/>
    <n v="2004745.9712"/>
    <n v="5"/>
    <n v="5011864.9280000003"/>
    <m/>
    <n v="0"/>
    <m/>
    <n v="0"/>
    <m/>
    <n v="0"/>
    <m/>
    <n v="0"/>
    <m/>
    <n v="0"/>
    <m/>
    <n v="0"/>
  </r>
  <r>
    <n v="141"/>
    <s v="Crioviales criobank, tubos con perlas y tapa rosca de diferentes colores. Caja x 64 viales x 25 perlas o Caja x 100 unidades"/>
    <s v="Criobank o equivalente"/>
    <s v="Caja x 64 viales x 25 perlas"/>
    <x v="0"/>
    <x v="1"/>
    <n v="2"/>
    <n v="3888291.68"/>
    <n v="7776583.3600000003"/>
    <m/>
    <n v="0"/>
    <m/>
    <n v="0"/>
    <m/>
    <n v="0"/>
    <m/>
    <n v="0"/>
    <m/>
    <n v="0"/>
    <m/>
    <n v="0"/>
    <m/>
    <n v="0"/>
    <n v="2"/>
    <n v="7776583.3600000003"/>
    <m/>
    <n v="0"/>
  </r>
  <r>
    <n v="142"/>
    <s v="Crisoles en porcelana para ceniza de 30ml"/>
    <s v="Cualquier marca"/>
    <s v="Unidad"/>
    <x v="0"/>
    <x v="1"/>
    <n v="35"/>
    <n v="171136.8512"/>
    <n v="5989789.7920000004"/>
    <n v="35"/>
    <n v="5989789.7920000004"/>
    <m/>
    <n v="0"/>
    <m/>
    <n v="0"/>
    <m/>
    <n v="0"/>
    <m/>
    <n v="0"/>
    <m/>
    <n v="0"/>
    <m/>
    <n v="0"/>
    <m/>
    <n v="0"/>
    <m/>
    <n v="0"/>
  </r>
  <r>
    <n v="143"/>
    <s v="Cuarteador en acero inoxidable Dimensiones cuarteador (8x6x3/4) pulgadas, Cantidad de celdas 14 de 3/8 de pulgada cada una, _x000a_Cantidad de bandejas 4 con capacidad de 1000 gr cada una, recogedor y cepillo."/>
    <s v="Cualquier marca"/>
    <s v="Unidad"/>
    <x v="0"/>
    <x v="1"/>
    <n v="1"/>
    <n v="10533499.199999999"/>
    <n v="10533499.199999999"/>
    <m/>
    <n v="0"/>
    <m/>
    <n v="0"/>
    <m/>
    <n v="0"/>
    <m/>
    <n v="0"/>
    <m/>
    <n v="0"/>
    <m/>
    <n v="0"/>
    <n v="1"/>
    <n v="10533499.199999999"/>
    <m/>
    <n v="0"/>
    <m/>
    <n v="0"/>
  </r>
  <r>
    <n v="144"/>
    <s v="Cuarteador en acero inxidable de 11x6-3/4&quot; con 14 rejillas de 1/2&quot; c/u, con 4 charolas, recogedor y cepillo"/>
    <s v="Cualquier marca"/>
    <s v="Unidad"/>
    <x v="0"/>
    <x v="1"/>
    <n v="2"/>
    <n v="9363110.4000000004"/>
    <n v="18726220.800000001"/>
    <n v="1"/>
    <n v="9363110.4000000004"/>
    <m/>
    <n v="0"/>
    <m/>
    <n v="0"/>
    <m/>
    <n v="0"/>
    <m/>
    <n v="0"/>
    <m/>
    <n v="0"/>
    <n v="1"/>
    <n v="9363110.4000000004"/>
    <m/>
    <n v="0"/>
    <m/>
    <n v="0"/>
  </r>
  <r>
    <n v="145"/>
    <s v="Cubetas plásticas para 30 huevos"/>
    <s v="Cualquier marca"/>
    <s v="Unidad"/>
    <x v="0"/>
    <x v="1"/>
    <n v="5"/>
    <n v="36152.009599999998"/>
    <n v="180760.04799999998"/>
    <m/>
    <n v="0"/>
    <m/>
    <n v="0"/>
    <n v="5"/>
    <n v="180760.04799999998"/>
    <m/>
    <n v="0"/>
    <m/>
    <n v="0"/>
    <m/>
    <n v="0"/>
    <m/>
    <n v="0"/>
    <m/>
    <n v="0"/>
    <m/>
    <n v="0"/>
  </r>
  <r>
    <n v="146"/>
    <s v="Cuchilla minora con platino para uso con navaja de barbero"/>
    <s v="Cualquier marca"/>
    <s v="Carton x 60 Cajas x 5 Unidades"/>
    <x v="0"/>
    <x v="4"/>
    <n v="20"/>
    <n v="190123.15839999999"/>
    <n v="3802463.1679999996"/>
    <m/>
    <n v="0"/>
    <m/>
    <n v="0"/>
    <m/>
    <n v="0"/>
    <m/>
    <n v="0"/>
    <m/>
    <n v="0"/>
    <m/>
    <n v="0"/>
    <m/>
    <n v="0"/>
    <m/>
    <n v="0"/>
    <n v="20"/>
    <n v="3802463.1679999996"/>
  </r>
  <r>
    <n v="147"/>
    <s v="Cuchilla para bisturí quirúrgico desechable y estéril No. 11 para mango No. 3"/>
    <s v="Paramount o  equivalente"/>
    <s v="Caja x 100"/>
    <x v="0"/>
    <x v="1"/>
    <n v="7"/>
    <n v="73864.537599999996"/>
    <n v="517051.76319999999"/>
    <m/>
    <n v="0"/>
    <n v="6"/>
    <n v="443187.22560000001"/>
    <m/>
    <n v="0"/>
    <m/>
    <n v="0"/>
    <m/>
    <n v="0"/>
    <m/>
    <n v="0"/>
    <n v="1"/>
    <n v="73864.537599999996"/>
    <m/>
    <n v="0"/>
    <m/>
    <n v="0"/>
  </r>
  <r>
    <n v="148"/>
    <s v="Cuchilla para bisturí quirúrgico desechable y estéril No. 15"/>
    <s v="Paramount o  equivalente"/>
    <s v="Caja x 100"/>
    <x v="0"/>
    <x v="1"/>
    <n v="12"/>
    <n v="75164.969599999997"/>
    <n v="901979.6351999999"/>
    <m/>
    <n v="0"/>
    <n v="6"/>
    <n v="450989.81759999995"/>
    <m/>
    <n v="0"/>
    <m/>
    <n v="0"/>
    <n v="6"/>
    <n v="450989.81759999995"/>
    <m/>
    <n v="0"/>
    <m/>
    <n v="0"/>
    <m/>
    <n v="0"/>
    <m/>
    <n v="0"/>
  </r>
  <r>
    <n v="149"/>
    <s v="Cuchilla para bisturí quirúrgico desechable y estéril No. 21"/>
    <s v="Paramount o  equivalente"/>
    <s v="Caja x 100"/>
    <x v="0"/>
    <x v="9"/>
    <n v="13"/>
    <n v="72048.304000000004"/>
    <n v="936627.95200000005"/>
    <m/>
    <n v="0"/>
    <n v="5"/>
    <n v="360241.52"/>
    <m/>
    <n v="0"/>
    <m/>
    <n v="0"/>
    <n v="8"/>
    <n v="576386.43200000003"/>
    <m/>
    <n v="0"/>
    <m/>
    <n v="0"/>
    <m/>
    <n v="0"/>
    <m/>
    <n v="0"/>
  </r>
  <r>
    <n v="150"/>
    <s v="Cuchilla para bisturí quirúrgico desechable y estéril No. 22"/>
    <s v="Paramount o  equivalente"/>
    <s v="Caja x 100"/>
    <x v="0"/>
    <x v="9"/>
    <n v="32"/>
    <n v="71523.759999999995"/>
    <n v="2288760.3199999998"/>
    <m/>
    <n v="0"/>
    <n v="2"/>
    <n v="143047.51999999999"/>
    <m/>
    <n v="0"/>
    <m/>
    <n v="0"/>
    <m/>
    <n v="0"/>
    <n v="30"/>
    <n v="2145712.7999999998"/>
    <m/>
    <n v="0"/>
    <m/>
    <n v="0"/>
    <m/>
    <n v="0"/>
  </r>
  <r>
    <n v="151"/>
    <s v="Cuchilla para bisturí quirúrgico desechable y estéril No. 24"/>
    <s v="Paramount o  equivalente"/>
    <s v="Caja x 100"/>
    <x v="0"/>
    <x v="9"/>
    <n v="127"/>
    <n v="68081.440000000002"/>
    <n v="8646342.8800000008"/>
    <m/>
    <n v="0"/>
    <n v="5"/>
    <n v="340407.2"/>
    <m/>
    <n v="0"/>
    <m/>
    <n v="0"/>
    <n v="40"/>
    <n v="2723257.6"/>
    <n v="50"/>
    <n v="3404072"/>
    <m/>
    <n v="0"/>
    <m/>
    <n v="0"/>
    <n v="32"/>
    <n v="2178606.0800000001"/>
  </r>
  <r>
    <n v="152"/>
    <s v="Cuchillas desechables para micrótomo High Profile"/>
    <s v="LEICA, VWR o equivalente"/>
    <s v="Caja x 50"/>
    <x v="0"/>
    <x v="1"/>
    <n v="3"/>
    <n v="1620988.4879999999"/>
    <n v="4862965.4639999997"/>
    <m/>
    <n v="0"/>
    <m/>
    <n v="0"/>
    <n v="3"/>
    <n v="4862965.4639999997"/>
    <m/>
    <n v="0"/>
    <m/>
    <n v="0"/>
    <m/>
    <n v="0"/>
    <m/>
    <n v="0"/>
    <m/>
    <n v="0"/>
    <m/>
    <n v="0"/>
  </r>
  <r>
    <n v="153"/>
    <s v="Cuchillo para disección cacha blanca en polipropileno en acero inoxidable de 12&quot;"/>
    <s v="Tramontina o equivalente"/>
    <s v="Unidad"/>
    <x v="0"/>
    <x v="9"/>
    <n v="60"/>
    <n v="135998.96"/>
    <n v="8159937.5999999996"/>
    <m/>
    <n v="0"/>
    <m/>
    <n v="0"/>
    <m/>
    <n v="0"/>
    <m/>
    <n v="0"/>
    <m/>
    <n v="0"/>
    <m/>
    <n v="0"/>
    <m/>
    <n v="0"/>
    <m/>
    <n v="0"/>
    <n v="60"/>
    <n v="8159937.5999999996"/>
  </r>
  <r>
    <n v="154"/>
    <s v="Cuchillo para disección con cacha blanca en polipropileno en acero inoxidable de 10&quot;"/>
    <s v="Tramontina o equivalente"/>
    <s v="Unidad"/>
    <x v="0"/>
    <x v="9"/>
    <n v="5"/>
    <n v="104908.8"/>
    <n v="524544"/>
    <m/>
    <n v="0"/>
    <n v="5"/>
    <n v="524544"/>
    <m/>
    <n v="0"/>
    <m/>
    <n v="0"/>
    <m/>
    <n v="0"/>
    <m/>
    <n v="0"/>
    <m/>
    <n v="0"/>
    <m/>
    <n v="0"/>
    <m/>
    <n v="0"/>
  </r>
  <r>
    <n v="155"/>
    <s v="Datalogger de Temperatura Rango de medición: -40 a 70 °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_x000a_Con certificado de calibración en tres puntos de temperatura por laboratorio acreditado en ISO 17025:2017 ante el ONAC "/>
    <s v="CEM o equivalente"/>
    <s v="Unidad"/>
    <x v="0"/>
    <x v="1"/>
    <n v="10"/>
    <n v="2702297.696"/>
    <n v="27022976.960000001"/>
    <n v="1"/>
    <n v="2702297.696"/>
    <m/>
    <n v="0"/>
    <m/>
    <n v="0"/>
    <m/>
    <n v="0"/>
    <n v="8"/>
    <n v="21618381.568"/>
    <m/>
    <n v="0"/>
    <m/>
    <n v="0"/>
    <n v="1"/>
    <n v="2702297.696"/>
    <m/>
    <n v="0"/>
  </r>
  <r>
    <n v="156"/>
    <s v="Desecador en vidrio 12 litros de con tapa y placa en porcelana 300x365 (230)mm"/>
    <s v="Cualquier marca"/>
    <s v="unidad"/>
    <x v="0"/>
    <x v="1"/>
    <n v="4"/>
    <n v="1610064.8592000001"/>
    <n v="6440259.4368000003"/>
    <m/>
    <n v="0"/>
    <m/>
    <n v="0"/>
    <m/>
    <n v="0"/>
    <m/>
    <n v="0"/>
    <m/>
    <n v="0"/>
    <m/>
    <n v="0"/>
    <n v="3"/>
    <n v="4830194.5776000004"/>
    <n v="1"/>
    <n v="1610064.8592000001"/>
    <m/>
    <n v="0"/>
  </r>
  <r>
    <n v="157"/>
    <s v="Dispensador  de 1-10 ml, volumen variable, graduación de 1 ml, exactitud ± 0,5%, reproducibilidad ≤ 0,1%;, análogo."/>
    <s v="Brand 4700 141, Microlit o equivalente"/>
    <s v="Unidad"/>
    <x v="0"/>
    <x v="1"/>
    <n v="1"/>
    <n v="2547156.1584000001"/>
    <n v="2547156.1584000001"/>
    <n v="1"/>
    <n v="2547156.1584000001"/>
    <m/>
    <n v="0"/>
    <m/>
    <n v="0"/>
    <m/>
    <n v="0"/>
    <m/>
    <n v="0"/>
    <m/>
    <n v="0"/>
    <m/>
    <n v="0"/>
    <m/>
    <n v="0"/>
    <m/>
    <n v="0"/>
  </r>
  <r>
    <n v="158"/>
    <s v="Embudo de polipropileno  diametro exterior de 50mm con superficie interior estriada; dimensión vastago 60x5 mm "/>
    <s v="BRIXCO Ref 6375"/>
    <s v="Caja x 30"/>
    <x v="0"/>
    <x v="1"/>
    <n v="1"/>
    <n v="514190.81280000001"/>
    <n v="514190.81280000001"/>
    <m/>
    <n v="0"/>
    <n v="1"/>
    <n v="514190.81280000001"/>
    <m/>
    <n v="0"/>
    <m/>
    <n v="0"/>
    <m/>
    <n v="0"/>
    <m/>
    <n v="0"/>
    <m/>
    <n v="0"/>
    <m/>
    <n v="0"/>
    <m/>
    <n v="0"/>
  </r>
  <r>
    <n v="159"/>
    <s v="Embudo de Polipropileno diametro exterior 45 mm"/>
    <s v="Cualquier marca "/>
    <s v="Unidad"/>
    <x v="0"/>
    <x v="1"/>
    <n v="3"/>
    <n v="31210.367999999999"/>
    <n v="93631.103999999992"/>
    <m/>
    <n v="0"/>
    <n v="3"/>
    <n v="93631.103999999992"/>
    <m/>
    <n v="0"/>
    <m/>
    <n v="0"/>
    <m/>
    <n v="0"/>
    <m/>
    <n v="0"/>
    <m/>
    <n v="0"/>
    <m/>
    <n v="0"/>
    <m/>
    <n v="0"/>
  </r>
  <r>
    <n v="160"/>
    <s v="Embudo de polipropileno diametro exterior de  75mm con superficie interior estriada; dimensión vastago 80x7mm"/>
    <s v="BRIXCO Ref 6380"/>
    <s v="Caja  x 20"/>
    <x v="0"/>
    <x v="1"/>
    <n v="21"/>
    <n v="404304.3088"/>
    <n v="8490390.4847999997"/>
    <m/>
    <n v="0"/>
    <n v="1"/>
    <n v="404304.3088"/>
    <m/>
    <n v="0"/>
    <m/>
    <n v="0"/>
    <m/>
    <n v="0"/>
    <m/>
    <n v="0"/>
    <m/>
    <n v="0"/>
    <n v="20"/>
    <n v="8086086.176"/>
    <m/>
    <n v="0"/>
  </r>
  <r>
    <n v="161"/>
    <s v="Embudo de polipropileno diametro exterior de 62mm con superficie interior estriada; dimensión vastago 60x5 mm"/>
    <s v="BRIXCO Ref 6377"/>
    <s v="Caja x 20"/>
    <x v="0"/>
    <x v="1"/>
    <n v="4"/>
    <n v="473357.24800000002"/>
    <n v="1893428.9920000001"/>
    <m/>
    <n v="0"/>
    <n v="1"/>
    <n v="473357.24800000002"/>
    <m/>
    <n v="0"/>
    <m/>
    <n v="0"/>
    <m/>
    <n v="0"/>
    <m/>
    <n v="0"/>
    <m/>
    <n v="0"/>
    <n v="3"/>
    <n v="1420071.7439999999"/>
    <m/>
    <n v="0"/>
  </r>
  <r>
    <n v="162"/>
    <s v="Embudo de polipropileno. Diámetro externo 80 mm."/>
    <s v="Nalgene®, Iso-Lab, Brand 1482 25 o equivalente"/>
    <s v="Unidad"/>
    <x v="0"/>
    <x v="1"/>
    <n v="3"/>
    <n v="37452.441599999998"/>
    <n v="112357.3248"/>
    <m/>
    <n v="0"/>
    <n v="3"/>
    <n v="112357.3248"/>
    <m/>
    <n v="0"/>
    <m/>
    <n v="0"/>
    <m/>
    <n v="0"/>
    <m/>
    <n v="0"/>
    <m/>
    <n v="0"/>
    <m/>
    <n v="0"/>
    <m/>
    <n v="0"/>
  </r>
  <r>
    <n v="163"/>
    <s v="Embudo de vidrio de borosilicato 3.3, con superficies lisas angulo de 60°. Diámetro externo 100 mm"/>
    <s v="Pyrex , Corning, Kymax, Brand, Duran o equivalente"/>
    <s v="Unidad"/>
    <x v="0"/>
    <x v="1"/>
    <n v="11"/>
    <n v="57219.008000000002"/>
    <n v="629409.08799999999"/>
    <n v="10"/>
    <n v="572190.08000000007"/>
    <n v="1"/>
    <n v="57219.008000000002"/>
    <m/>
    <n v="0"/>
    <m/>
    <n v="0"/>
    <m/>
    <n v="0"/>
    <m/>
    <n v="0"/>
    <m/>
    <n v="0"/>
    <m/>
    <n v="0"/>
    <m/>
    <n v="0"/>
  </r>
  <r>
    <n v="164"/>
    <s v="Embudo de vidrio. Diámetro externo entre el rango de 70 y/o 75 mm"/>
    <s v="Pyrex , Corning, Kymax, Brand, Duran o equivalente"/>
    <s v="Unidad"/>
    <x v="0"/>
    <x v="1"/>
    <n v="6"/>
    <n v="52537.452799999999"/>
    <n v="315224.71679999999"/>
    <m/>
    <n v="0"/>
    <n v="1"/>
    <n v="52537.452799999999"/>
    <m/>
    <n v="0"/>
    <m/>
    <n v="0"/>
    <m/>
    <n v="0"/>
    <n v="5"/>
    <n v="262687.26399999997"/>
    <m/>
    <n v="0"/>
    <m/>
    <n v="0"/>
    <m/>
    <n v="0"/>
  </r>
  <r>
    <n v="165"/>
    <s v="Equipo de extracción Soxhlet compuesto por: _x000a_-Balón de vidrio de fondo plano de 250 mL con boca esmerilada 24/40_x000a_-Extractor Soxlet con bocas esmeriladas_x000a_-Condensador de vidrio con boca esmerilada 24/40"/>
    <s v="Culaquier marca"/>
    <s v="unidad"/>
    <x v="0"/>
    <x v="0"/>
    <n v="1"/>
    <n v="949315.36"/>
    <n v="949315.36"/>
    <m/>
    <n v="0"/>
    <m/>
    <n v="0"/>
    <m/>
    <n v="0"/>
    <m/>
    <n v="0"/>
    <m/>
    <n v="0"/>
    <m/>
    <n v="0"/>
    <m/>
    <n v="0"/>
    <n v="1"/>
    <n v="949315.36"/>
    <m/>
    <n v="0"/>
  </r>
  <r>
    <n v="166"/>
    <s v="Erlenmeyer cuello ancho de 250 ml, con tapa de rosca en PP "/>
    <s v="Nalgene®, Iso-Lab, Brand 931 75 o equivalente"/>
    <s v="Unidad"/>
    <x v="0"/>
    <x v="1"/>
    <n v="20"/>
    <n v="140836.7856"/>
    <n v="2816735.7120000003"/>
    <n v="15"/>
    <n v="2112551.784"/>
    <n v="1"/>
    <n v="140836.7856"/>
    <m/>
    <n v="0"/>
    <m/>
    <n v="0"/>
    <n v="4"/>
    <n v="563347.14240000001"/>
    <m/>
    <n v="0"/>
    <m/>
    <n v="0"/>
    <m/>
    <n v="0"/>
    <m/>
    <n v="0"/>
  </r>
  <r>
    <n v="167"/>
    <s v="Erlenmeyer cuello ancho de 300 ml. Diámetro externo cuello 50 mm. Borosilicato 3.3, impresión en cerámica._x000a_DIN12331:1998/ISO3819:1985 e ISO12 600 o ASTM E1404 tipo I y ASTM E438 Tipo I."/>
    <s v="Pyrex , Corning, Brand, Duran o equivalente"/>
    <s v="Unidad"/>
    <x v="0"/>
    <x v="0"/>
    <n v="4"/>
    <n v="65021.599999999999"/>
    <n v="260086.39999999999"/>
    <m/>
    <n v="0"/>
    <n v="4"/>
    <n v="260086.39999999999"/>
    <m/>
    <n v="0"/>
    <m/>
    <n v="0"/>
    <m/>
    <n v="0"/>
    <m/>
    <n v="0"/>
    <m/>
    <n v="0"/>
    <m/>
    <n v="0"/>
    <m/>
    <n v="0"/>
  </r>
  <r>
    <n v="168"/>
    <s v="Erlenmeyer cuello estrecho con reborde y graduación para 1000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 Corning, Brand, Duran o equivalente"/>
    <s v="Unidad"/>
    <x v="0"/>
    <x v="3"/>
    <n v="11"/>
    <n v="92353.620800000004"/>
    <n v="1015889.8288"/>
    <m/>
    <n v="0"/>
    <n v="5"/>
    <n v="461768.10400000005"/>
    <m/>
    <n v="0"/>
    <m/>
    <n v="0"/>
    <m/>
    <n v="0"/>
    <n v="6"/>
    <n v="554121.72479999997"/>
    <m/>
    <n v="0"/>
    <m/>
    <n v="0"/>
    <m/>
    <n v="0"/>
  </r>
  <r>
    <n v="169"/>
    <s v="Erlenmeyer cuello estrecho con reborde y graduación para 125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 Corning, Brand, Duran o equivalente"/>
    <s v="Unidad"/>
    <x v="0"/>
    <x v="1"/>
    <n v="5"/>
    <n v="61770.52"/>
    <n v="308852.59999999998"/>
    <m/>
    <n v="0"/>
    <n v="3"/>
    <n v="185311.56"/>
    <m/>
    <n v="0"/>
    <m/>
    <n v="0"/>
    <m/>
    <n v="0"/>
    <n v="2"/>
    <n v="123541.04"/>
    <m/>
    <n v="0"/>
    <m/>
    <n v="0"/>
    <m/>
    <n v="0"/>
  </r>
  <r>
    <n v="170"/>
    <s v="Erlenmeyer cuello estrecho con reborde y graduación para 2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 Corning, Brand, Duran o equivalente"/>
    <s v="Unidad"/>
    <x v="0"/>
    <x v="1"/>
    <n v="3"/>
    <n v="157872.4448"/>
    <n v="473617.33439999999"/>
    <m/>
    <n v="0"/>
    <n v="3"/>
    <n v="473617.33439999999"/>
    <m/>
    <n v="0"/>
    <m/>
    <n v="0"/>
    <m/>
    <n v="0"/>
    <m/>
    <n v="0"/>
    <m/>
    <n v="0"/>
    <m/>
    <n v="0"/>
    <m/>
    <n v="0"/>
  </r>
  <r>
    <n v="171"/>
    <s v="Erlenmeyer cuello estrecho con reborde y graduación para 250 ml en vidrio.Con certificado de fábrica (Calidad y rastreabilidad). Borosilicato 3.3 que cumpla con los estándares DIN en ISO 1773, impresión en cerámica que cumpla con la norma ISO 12 600  o ASTM E1404, tipo I y ASTM ASTM E438 Tipo . Control y garantía de calidad NCA menor o igual a 0,4 y certificación del fabricante que resiste temperaturas hasta de 250°C sin perder la volumetria."/>
    <s v="Pyrex , Corning, Brand, Duran o equivalente"/>
    <s v="Unidad"/>
    <x v="0"/>
    <x v="1"/>
    <n v="12"/>
    <n v="76855.531199999998"/>
    <n v="922266.37439999997"/>
    <m/>
    <n v="0"/>
    <n v="10"/>
    <n v="768555.31199999992"/>
    <m/>
    <n v="0"/>
    <m/>
    <n v="0"/>
    <m/>
    <n v="0"/>
    <n v="2"/>
    <n v="153711.0624"/>
    <m/>
    <n v="0"/>
    <m/>
    <n v="0"/>
    <m/>
    <n v="0"/>
  </r>
  <r>
    <n v="172"/>
    <s v="Erlenmeyer cuello estrecho con reborde y graduación para 4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 Corning, Brand, Duran o equivalente"/>
    <s v="Unidad"/>
    <x v="0"/>
    <x v="3"/>
    <n v="4"/>
    <n v="403576.50400000002"/>
    <n v="1614306.0160000001"/>
    <n v="2"/>
    <n v="807153.00800000003"/>
    <n v="2"/>
    <n v="807153.00800000003"/>
    <m/>
    <n v="0"/>
    <m/>
    <n v="0"/>
    <m/>
    <n v="0"/>
    <m/>
    <n v="0"/>
    <m/>
    <n v="0"/>
    <m/>
    <n v="0"/>
    <m/>
    <n v="0"/>
  </r>
  <r>
    <n v="173"/>
    <s v="Erlenmeyer cuello estrecho con reborde y graduación para 500 ml. Con certificado de fábrica (Calidad y rastreabilidad mediante el link del fabricante). Borosilicato 3.3 que cumpla con los estándares DIN en ISO 1773, impresión en cerámica que cumpla con la norma DIN 12600 o ASTM E1404, tipo I y ASTM ASTM E438 Tipo I. certificación del fabricante que resiste temperaturas hasta de 250°C sin perder la volumetria. y opcional control y garantía de calidad NCA menor o igual a 0,4."/>
    <s v="Pyrex , Corning, Brand, Duran o equivalente"/>
    <s v="Unidad"/>
    <x v="0"/>
    <x v="1"/>
    <n v="10"/>
    <n v="58389.396800000002"/>
    <n v="583893.96799999999"/>
    <m/>
    <n v="0"/>
    <n v="8"/>
    <n v="467115.17440000002"/>
    <m/>
    <n v="0"/>
    <m/>
    <n v="0"/>
    <m/>
    <n v="0"/>
    <n v="2"/>
    <n v="116778.7936"/>
    <m/>
    <n v="0"/>
    <m/>
    <n v="0"/>
    <m/>
    <n v="0"/>
  </r>
  <r>
    <n v="174"/>
    <s v="Erlenmeyer de 1 L para equipo de filtración HPLC"/>
    <s v="Pyrex, Corning, Kymax, Brand, Duran, Brand o equivalente"/>
    <s v="Unidad"/>
    <x v="0"/>
    <x v="1"/>
    <n v="3"/>
    <n v="245781.64799999999"/>
    <n v="737344.9439999999"/>
    <n v="1"/>
    <n v="245781.64799999999"/>
    <n v="2"/>
    <n v="491563.29599999997"/>
    <m/>
    <n v="0"/>
    <m/>
    <n v="0"/>
    <m/>
    <n v="0"/>
    <m/>
    <n v="0"/>
    <m/>
    <n v="0"/>
    <m/>
    <n v="0"/>
    <m/>
    <n v="0"/>
  </r>
  <r>
    <n v="175"/>
    <s v="Escalera de tres pasos en tubo plegable pintada en blanco, altura 61 cm, capacidad 100 o superior kilogramos, con protección del paso en caucho."/>
    <s v="life products inc modelo SA-00802 o equivalente"/>
    <s v="Unidad"/>
    <x v="0"/>
    <x v="1"/>
    <n v="1"/>
    <n v="591956.64639999997"/>
    <n v="591956.64639999997"/>
    <m/>
    <n v="0"/>
    <n v="1"/>
    <n v="591956.64639999997"/>
    <m/>
    <n v="0"/>
    <m/>
    <n v="0"/>
    <m/>
    <n v="0"/>
    <m/>
    <n v="0"/>
    <m/>
    <n v="0"/>
    <m/>
    <n v="0"/>
    <m/>
    <n v="0"/>
  </r>
  <r>
    <n v="176"/>
    <s v="Espátula acanalada, cuchara plana, en acero inoxidable AISI 304. _x000a_Largo total: 190 mm aproximadamente, para extraer sustancias residuales en frascos y botellas"/>
    <s v="Cualquier marca"/>
    <s v="Unidad"/>
    <x v="0"/>
    <x v="1"/>
    <n v="5"/>
    <n v="74644.796799999996"/>
    <n v="373223.984"/>
    <m/>
    <n v="0"/>
    <n v="1"/>
    <n v="74644.796799999996"/>
    <m/>
    <n v="0"/>
    <m/>
    <n v="0"/>
    <n v="4"/>
    <n v="298579.18719999999"/>
    <m/>
    <n v="0"/>
    <m/>
    <n v="0"/>
    <m/>
    <n v="0"/>
    <m/>
    <n v="0"/>
  </r>
  <r>
    <n v="177"/>
    <s v="Espátula azul autoclavable de polipropileno resistente para diluir ácidos y bases y 210 mm  longitud y 7 mm ancho en la cuchara"/>
    <s v="VWR catologo 231-0103 o equivalente"/>
    <s v="Bolsa x 300"/>
    <x v="0"/>
    <x v="0"/>
    <n v="5"/>
    <n v="781559.63199999998"/>
    <n v="3907798.16"/>
    <m/>
    <n v="0"/>
    <n v="1"/>
    <n v="781559.63199999998"/>
    <m/>
    <n v="0"/>
    <m/>
    <n v="0"/>
    <n v="3"/>
    <n v="2344678.8959999997"/>
    <n v="1"/>
    <n v="781559.63199999998"/>
    <m/>
    <n v="0"/>
    <m/>
    <n v="0"/>
    <m/>
    <n v="0"/>
  </r>
  <r>
    <n v="178"/>
    <s v="Espátula combinada cuchara-plana 340 180 mm"/>
    <s v="Marca boeco(3347) o equivalente"/>
    <s v="unidad"/>
    <x v="0"/>
    <x v="1"/>
    <n v="4"/>
    <n v="121590.39199999999"/>
    <n v="486361.56799999997"/>
    <m/>
    <n v="0"/>
    <n v="2"/>
    <n v="243180.78399999999"/>
    <m/>
    <n v="0"/>
    <m/>
    <n v="0"/>
    <m/>
    <n v="0"/>
    <m/>
    <n v="0"/>
    <m/>
    <n v="0"/>
    <n v="2"/>
    <n v="243180.78399999999"/>
    <m/>
    <n v="0"/>
  </r>
  <r>
    <n v="179"/>
    <s v="Espátula combinada cuchara-plana longitud entre 17 mm hasta 19mm (acanalada-plana en acero inoxidable 18/10 o 304  longitud 185mm)"/>
    <s v="marca boeco(3283) o equivalente"/>
    <s v="unidad"/>
    <x v="0"/>
    <x v="1"/>
    <n v="7"/>
    <n v="84528.08"/>
    <n v="591696.56000000006"/>
    <m/>
    <n v="0"/>
    <n v="2"/>
    <n v="169056.16"/>
    <m/>
    <n v="0"/>
    <m/>
    <n v="0"/>
    <m/>
    <n v="0"/>
    <m/>
    <n v="0"/>
    <m/>
    <n v="0"/>
    <n v="5"/>
    <n v="422640.4"/>
    <m/>
    <n v="0"/>
  </r>
  <r>
    <n v="180"/>
    <s v="Espátula cuchara en acero inoxidable 18/10 210X12mm hoja longitud 25mm y cuchara 12mm"/>
    <s v="BOCHEM 3214 o equivalente"/>
    <s v="UNIDAD"/>
    <x v="0"/>
    <x v="10"/>
    <n v="6"/>
    <n v="92888"/>
    <n v="557328"/>
    <n v="2"/>
    <n v="185776"/>
    <n v="1"/>
    <n v="92888"/>
    <m/>
    <n v="0"/>
    <m/>
    <n v="0"/>
    <m/>
    <n v="0"/>
    <m/>
    <n v="0"/>
    <m/>
    <n v="0"/>
    <n v="3"/>
    <n v="278664"/>
    <m/>
    <n v="0"/>
  </r>
  <r>
    <n v="181"/>
    <s v="Espátula doble cuchara en acero inoxidable de 21 cm aproximadamente"/>
    <s v="VWR o equivalente"/>
    <s v="Unidad"/>
    <x v="0"/>
    <x v="1"/>
    <n v="1"/>
    <n v="73864.537599999996"/>
    <n v="73864.537599999996"/>
    <m/>
    <n v="0"/>
    <n v="1"/>
    <n v="73864.537599999996"/>
    <m/>
    <n v="0"/>
    <m/>
    <n v="0"/>
    <m/>
    <n v="0"/>
    <m/>
    <n v="0"/>
    <m/>
    <n v="0"/>
    <m/>
    <n v="0"/>
    <m/>
    <n v="0"/>
  </r>
  <r>
    <n v="182"/>
    <s v="Espátula en acero inoxidable mango plástico, hoja de 10 cm x 2 cm"/>
    <s v="Cualquier marca"/>
    <s v="Unidad"/>
    <x v="0"/>
    <x v="0"/>
    <n v="2"/>
    <n v="31210.367999999999"/>
    <n v="62420.735999999997"/>
    <m/>
    <n v="0"/>
    <n v="2"/>
    <n v="62420.735999999997"/>
    <m/>
    <n v="0"/>
    <m/>
    <n v="0"/>
    <m/>
    <n v="0"/>
    <m/>
    <n v="0"/>
    <m/>
    <n v="0"/>
    <m/>
    <n v="0"/>
    <m/>
    <n v="0"/>
  </r>
  <r>
    <n v="183"/>
    <s v="Espátula en acero inoxidable mango plástico, longitud 20 cm "/>
    <s v="Cualquier marca"/>
    <s v="Unidad"/>
    <x v="0"/>
    <x v="0"/>
    <n v="2"/>
    <n v="29909.936000000002"/>
    <n v="59819.872000000003"/>
    <m/>
    <n v="0"/>
    <n v="2"/>
    <n v="59819.872000000003"/>
    <m/>
    <n v="0"/>
    <m/>
    <n v="0"/>
    <m/>
    <n v="0"/>
    <m/>
    <n v="0"/>
    <m/>
    <n v="0"/>
    <m/>
    <n v="0"/>
    <m/>
    <n v="0"/>
  </r>
  <r>
    <n v="184"/>
    <s v="Espátula en acero inoxidable, Glazed finish, al final de la espátula micro cuchara aguda con 0,35 cm (1/8”) de ancho, y 16,8 cm (6 5/8”) de longitud"/>
    <s v="Cualquier marca"/>
    <s v="Unidad"/>
    <x v="0"/>
    <x v="0"/>
    <n v="1"/>
    <n v="106635.424"/>
    <n v="106635.424"/>
    <m/>
    <n v="0"/>
    <n v="1"/>
    <n v="106635.424"/>
    <m/>
    <n v="0"/>
    <m/>
    <n v="0"/>
    <m/>
    <n v="0"/>
    <m/>
    <n v="0"/>
    <m/>
    <n v="0"/>
    <m/>
    <n v="0"/>
    <m/>
    <n v="0"/>
  </r>
  <r>
    <n v="185"/>
    <s v="Espátula en acero inoxidable, Mirrored finish de forma inclinada al final de 3,8 cm (1 ½”) de longitud, inclinación final en V de 13 L x 0,16 W cm (½ x 1/16 “). Longitud total de 16.5 cm (6 ½”)"/>
    <s v="VWR 57949-044 o equivalente"/>
    <s v="Unidad"/>
    <x v="0"/>
    <x v="1"/>
    <n v="3"/>
    <n v="163594.3456"/>
    <n v="490783.0368"/>
    <m/>
    <n v="0"/>
    <n v="3"/>
    <n v="490783.0368"/>
    <m/>
    <n v="0"/>
    <m/>
    <n v="0"/>
    <m/>
    <n v="0"/>
    <m/>
    <n v="0"/>
    <m/>
    <n v="0"/>
    <m/>
    <n v="0"/>
    <m/>
    <n v="0"/>
  </r>
  <r>
    <n v="186"/>
    <s v="Espátula estéril para pesaje con canal en forma de V de 15,24 cm (6 in), estériles"/>
    <s v="Fischer Scientific, Bel Art 8339N110/369300000 o equivalente"/>
    <s v="Caja x 100"/>
    <x v="0"/>
    <x v="2"/>
    <n v="3"/>
    <n v="894892.28079999995"/>
    <n v="2684677.3424"/>
    <m/>
    <n v="0"/>
    <m/>
    <n v="0"/>
    <m/>
    <n v="0"/>
    <m/>
    <n v="0"/>
    <m/>
    <n v="0"/>
    <m/>
    <n v="0"/>
    <m/>
    <n v="0"/>
    <n v="3"/>
    <n v="2684676.8424"/>
    <m/>
    <n v="0"/>
  </r>
  <r>
    <n v="187"/>
    <s v="Etiqueta térmica 1&quot; 0,375 Serie TLS220"/>
    <s v="Brady PTL -98-499 o equivalente"/>
    <s v="Rollo x 500"/>
    <x v="0"/>
    <x v="3"/>
    <n v="12"/>
    <n v="425201.92320000002"/>
    <n v="5102423.0784"/>
    <m/>
    <n v="0"/>
    <n v="2"/>
    <n v="850403.84640000004"/>
    <n v="10"/>
    <n v="4252019.2319999998"/>
    <m/>
    <n v="0"/>
    <m/>
    <n v="0"/>
    <m/>
    <n v="0"/>
    <m/>
    <n v="0"/>
    <m/>
    <n v="0"/>
    <m/>
    <n v="0"/>
  </r>
  <r>
    <n v="188"/>
    <s v="Etiquetas térmica para identificar viales.  PLT-30-499"/>
    <s v="Brady PLT-30-499 o equivalente"/>
    <s v="Rollo x 250"/>
    <x v="0"/>
    <x v="1"/>
    <n v="12"/>
    <n v="469846.08159999998"/>
    <n v="5638152.9791999999"/>
    <m/>
    <n v="0"/>
    <n v="2"/>
    <n v="939692.16319999995"/>
    <n v="10"/>
    <n v="4698460.8159999996"/>
    <m/>
    <n v="0"/>
    <m/>
    <n v="0"/>
    <m/>
    <n v="0"/>
    <m/>
    <n v="0"/>
    <m/>
    <n v="0"/>
    <m/>
    <n v="0"/>
  </r>
  <r>
    <n v="189"/>
    <s v="Filtro de membrana tipo durapore hidrofílica, 0,22 µm de tamaño de poro, 47 mm de diámetro. "/>
    <s v="Merck, sigma, CNW o equivalente"/>
    <s v="Caja x 100"/>
    <x v="0"/>
    <x v="0"/>
    <n v="6"/>
    <n v="1101465.9040000001"/>
    <n v="6608795.4240000006"/>
    <n v="1"/>
    <n v="1101465.9040000001"/>
    <n v="1"/>
    <n v="1101465.9040000001"/>
    <n v="2"/>
    <n v="2202931.8080000002"/>
    <m/>
    <n v="0"/>
    <n v="1"/>
    <n v="1101465.9040000001"/>
    <m/>
    <n v="0"/>
    <m/>
    <n v="0"/>
    <n v="1"/>
    <n v="1101465.9040000001"/>
    <m/>
    <n v="0"/>
  </r>
  <r>
    <n v="190"/>
    <s v="Filtro para jeringa 0.22 µm estéril (Ø=25mm) PTFE Hidrofílica"/>
    <s v="Merck millipore o equivalente"/>
    <s v="Paquete x 100"/>
    <x v="0"/>
    <x v="3"/>
    <n v="5"/>
    <n v="1047272.8591999999"/>
    <n v="5236364.2960000001"/>
    <n v="1"/>
    <n v="1047272.8591999999"/>
    <m/>
    <n v="0"/>
    <n v="4"/>
    <n v="4189091.4367999998"/>
    <m/>
    <n v="0"/>
    <m/>
    <n v="0"/>
    <m/>
    <n v="0"/>
    <m/>
    <n v="0"/>
    <m/>
    <n v="0"/>
    <m/>
    <n v="0"/>
  </r>
  <r>
    <n v="191"/>
    <s v="Filtro para jeringa 0.22 µm estéril (Ø=25mm) PVDF Hidrofílica"/>
    <s v="Merck, sigma o equivalente"/>
    <s v="Paquete x 100"/>
    <x v="0"/>
    <x v="1"/>
    <n v="13"/>
    <n v="843980.36800000002"/>
    <n v="10971744.784"/>
    <n v="8"/>
    <n v="6751842.9440000001"/>
    <n v="2"/>
    <n v="1687960.736"/>
    <n v="2"/>
    <n v="1687960.736"/>
    <m/>
    <n v="0"/>
    <n v="1"/>
    <n v="843980.36800000002"/>
    <m/>
    <n v="0"/>
    <m/>
    <n v="0"/>
    <m/>
    <n v="0"/>
    <m/>
    <n v="0"/>
  </r>
  <r>
    <n v="192"/>
    <s v="Filtro para jeringa 0.45 µm estéril, hidrofílico PVDF, 25 ó 33 mm de diámetro"/>
    <s v="Millipore SLHV033RS o equivalente"/>
    <s v="Caja x 50"/>
    <x v="0"/>
    <x v="1"/>
    <n v="9"/>
    <n v="949315.36"/>
    <n v="8543838.2400000002"/>
    <n v="4"/>
    <n v="3797261.44"/>
    <n v="1"/>
    <n v="949315.36"/>
    <n v="4"/>
    <n v="3797261.44"/>
    <m/>
    <n v="0"/>
    <m/>
    <n v="0"/>
    <m/>
    <n v="0"/>
    <m/>
    <n v="0"/>
    <m/>
    <n v="0"/>
    <m/>
    <n v="0"/>
  </r>
  <r>
    <n v="193"/>
    <s v="Filtro para jeringa no estériles  de 0,2 o 0.22 µm y 30 a y/o 33 mm aproximadamente:membrana de PVDF   No esteriles "/>
    <s v="Millipore o equivalente"/>
    <s v="Paquete x 100"/>
    <x v="0"/>
    <x v="1"/>
    <n v="57"/>
    <n v="1469748.2464000001"/>
    <n v="83775650.044799998"/>
    <n v="4"/>
    <n v="5878992.9856000002"/>
    <m/>
    <n v="0"/>
    <m/>
    <n v="0"/>
    <m/>
    <n v="0"/>
    <m/>
    <n v="0"/>
    <m/>
    <n v="0"/>
    <m/>
    <n v="0"/>
    <n v="53"/>
    <n v="77896657.059200004"/>
    <m/>
    <n v="0"/>
  </r>
  <r>
    <n v="194"/>
    <s v="Filtro para pipeteadores automáticos 0,2 uM 3 cm de diametro"/>
    <s v="Millipore o equivalente"/>
    <s v="Unidad"/>
    <x v="0"/>
    <x v="1"/>
    <n v="4"/>
    <n v="94541.406399999993"/>
    <n v="378165.62559999997"/>
    <m/>
    <n v="0"/>
    <m/>
    <n v="0"/>
    <n v="4"/>
    <n v="378165.62559999997"/>
    <m/>
    <n v="0"/>
    <m/>
    <n v="0"/>
    <m/>
    <n v="0"/>
    <m/>
    <n v="0"/>
    <m/>
    <n v="0"/>
    <m/>
    <n v="0"/>
  </r>
  <r>
    <n v="195"/>
    <s v="Frasco de vidrio ámbar de 100 ml tapa rosca con graduación, resistente a esterilización con autoclave y anillo de vertido en PP. Vidrio borosilicato 3.3, impresión en cerámica, que cumpla con las normas DIN12331:1998/ISO 3819:1985 e ISO4796-1:2000"/>
    <s v="Pyrex , Corning, Kymax, Brand, Duran, Schott o equivalente"/>
    <s v="Unidad"/>
    <x v="0"/>
    <x v="3"/>
    <n v="12"/>
    <n v="100931.008"/>
    <n v="1211172.0959999999"/>
    <m/>
    <n v="0"/>
    <m/>
    <n v="0"/>
    <m/>
    <n v="0"/>
    <m/>
    <n v="0"/>
    <n v="12"/>
    <n v="1211172.0959999999"/>
    <m/>
    <n v="0"/>
    <m/>
    <n v="0"/>
    <m/>
    <n v="0"/>
    <m/>
    <n v="0"/>
  </r>
  <r>
    <n v="196"/>
    <s v="Frasco de vidrio ambar de 1000 ml tapa rosca con graduación, resistente a esterilización con autoclave y anillo de vertido en PP. "/>
    <s v="Pyrex , Corning, Kymax, Brand, Duran, Schott o equivalente "/>
    <s v="Unidad"/>
    <x v="0"/>
    <x v="1"/>
    <n v="7"/>
    <n v="225754.9952"/>
    <n v="1580284.9664"/>
    <m/>
    <n v="0"/>
    <m/>
    <n v="0"/>
    <m/>
    <n v="0"/>
    <m/>
    <n v="0"/>
    <n v="4"/>
    <n v="903019.98080000002"/>
    <n v="3"/>
    <n v="677264.98560000001"/>
    <m/>
    <n v="0"/>
    <m/>
    <n v="0"/>
    <m/>
    <n v="0"/>
  </r>
  <r>
    <n v="197"/>
    <s v="Frasco de vidrio ámbar de 25 ml tapa rosca con graduación,  resistente a esterilización con autoclave y anillo de vertido en PP. Vidrio borosilicato 3.3, impresión en cerámica, que cumpla con las normas DIN12331:1998/ISO 3819:1985 e ISO4796-1:2000 o USP Tipo I y ASTM E438, Tipo I."/>
    <s v="Pyrex , Corning, Kymax, Brand, Duran, Schott o equivalente "/>
    <s v="Unidad"/>
    <x v="0"/>
    <x v="3"/>
    <n v="26"/>
    <n v="115028.128"/>
    <n v="2990731.3279999997"/>
    <m/>
    <n v="0"/>
    <m/>
    <n v="0"/>
    <m/>
    <n v="0"/>
    <m/>
    <n v="0"/>
    <n v="6"/>
    <n v="690168.76799999992"/>
    <m/>
    <n v="0"/>
    <m/>
    <n v="0"/>
    <n v="20"/>
    <n v="2300562.56"/>
    <m/>
    <n v="0"/>
  </r>
  <r>
    <n v="198"/>
    <s v="Frasco de vidrio ámbar de 500 ml tapa rosca con graduación, resistente a esterilización con autoclave y anillo de vertido en PP. Vidrio borosilicato 3.3, impresión en cerámica, que cumpla con las normas DIN12331:1998/ISO 3819:1985 y/o ISO4796-1:2000 o USP Tipo I y ASTM E438, Tipo I."/>
    <s v="Pyrex , Corning, Kymax, Brand, Duran, Schott o equivalente "/>
    <s v="Unidad"/>
    <x v="0"/>
    <x v="1"/>
    <n v="12"/>
    <n v="163594.3456"/>
    <n v="1963132.1472"/>
    <m/>
    <n v="0"/>
    <m/>
    <n v="0"/>
    <m/>
    <n v="0"/>
    <m/>
    <n v="0"/>
    <n v="6"/>
    <n v="981566.0736"/>
    <m/>
    <n v="0"/>
    <m/>
    <n v="0"/>
    <n v="6"/>
    <n v="981566.0736"/>
    <m/>
    <n v="0"/>
  </r>
  <r>
    <n v="199"/>
    <s v="Frasco de vidrio boca ancha con tapa para contacto de alimentos y bebidas de 300 ml "/>
    <s v="Cualquier marca"/>
    <s v="Unidad"/>
    <x v="0"/>
    <x v="3"/>
    <n v="5"/>
    <n v="33942.368000000002"/>
    <n v="169711.84000000003"/>
    <m/>
    <n v="0"/>
    <n v="5"/>
    <n v="169711.84000000003"/>
    <m/>
    <n v="0"/>
    <m/>
    <n v="0"/>
    <m/>
    <n v="0"/>
    <m/>
    <n v="0"/>
    <m/>
    <n v="0"/>
    <m/>
    <n v="0"/>
    <m/>
    <n v="0"/>
  </r>
  <r>
    <n v="200"/>
    <s v="Frasco de vidrio boca ancha de 30 ml para Glicerina con tapa hermetica"/>
    <s v="Cualquier marca"/>
    <s v="Caja x 100"/>
    <x v="0"/>
    <x v="1"/>
    <n v="5"/>
    <n v="352287.02879999997"/>
    <n v="1761435.1439999999"/>
    <m/>
    <n v="0"/>
    <m/>
    <n v="0"/>
    <n v="5"/>
    <n v="1761435.1439999999"/>
    <m/>
    <n v="0"/>
    <m/>
    <n v="0"/>
    <m/>
    <n v="0"/>
    <m/>
    <n v="0"/>
    <m/>
    <n v="0"/>
    <m/>
    <n v="0"/>
  </r>
  <r>
    <n v="201"/>
    <s v="Frasco de vidrio de 500 ml con tapa rosca de cierre hermético."/>
    <s v="cualquier marca"/>
    <s v="Caja x 12 Unidades_x000a_+ tapas"/>
    <x v="0"/>
    <x v="1"/>
    <n v="17"/>
    <n v="67362.377599999993"/>
    <n v="1145160.4191999999"/>
    <n v="8"/>
    <n v="538899.02079999994"/>
    <n v="2"/>
    <n v="134724.75519999999"/>
    <n v="7"/>
    <n v="471536.64319999993"/>
    <m/>
    <n v="0"/>
    <m/>
    <n v="0"/>
    <m/>
    <n v="0"/>
    <m/>
    <n v="0"/>
    <m/>
    <n v="0"/>
    <m/>
    <n v="0"/>
  </r>
  <r>
    <n v="202"/>
    <s v="Frasco de vidrio transparente de 100 ml tapa rosca con graduación, resistente a esterilización con autoclave y anillo de vertido en PP. Vidrio borosilicato 3.3, impresión en cerámica, que cumpla con las normas DIN12331:1998/ISO 3819:1985 y/o ISO4796-1:2000  o USP Tipo I y ASTM E438, Tipo I."/>
    <s v="Pyrex , Corning, Kymax, Brand, Duran, Schott o equivalente "/>
    <s v="Unidad"/>
    <x v="0"/>
    <x v="1"/>
    <n v="36"/>
    <n v="31080.324799999999"/>
    <n v="1118891.6927999998"/>
    <n v="20"/>
    <n v="621606.49599999993"/>
    <n v="6"/>
    <n v="186481.94879999998"/>
    <m/>
    <n v="0"/>
    <m/>
    <n v="0"/>
    <n v="6"/>
    <n v="186481.94879999998"/>
    <m/>
    <n v="0"/>
    <m/>
    <n v="0"/>
    <n v="4"/>
    <n v="124321.29919999999"/>
    <m/>
    <n v="0"/>
  </r>
  <r>
    <n v="203"/>
    <s v="Frasco de vidrio transparente de 1000 ml tapa rosca con graduación, resistente a esterilización con autoclave y anillo de vertido en PP. Vidrio borosilicato 3.3, impresión en cerámica, que cumpla con las normas DIN12331:1998/ISO 3819:1985 y/o ISO4796-1:2000 ó USP Tipo I y ASTM E438, Tipo I."/>
    <s v="Pyrex , Corning, Kymax, Brand, Duran, Schott o equivalente "/>
    <s v="Unidad"/>
    <x v="0"/>
    <x v="1"/>
    <n v="52"/>
    <n v="74774.84"/>
    <n v="3888291.6799999997"/>
    <n v="15"/>
    <n v="1121622.5999999999"/>
    <n v="4"/>
    <n v="299099.36"/>
    <n v="5"/>
    <n v="373874.19999999995"/>
    <m/>
    <n v="0"/>
    <n v="6"/>
    <n v="448649.04"/>
    <n v="2"/>
    <n v="149549.68"/>
    <m/>
    <n v="0"/>
    <n v="20"/>
    <n v="1495496.7999999998"/>
    <m/>
    <n v="0"/>
  </r>
  <r>
    <n v="204"/>
    <s v="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
    <s v="Pyrex , Corning, Kymax, Brand, Duran, Schott o equivalente "/>
    <s v="Unidad"/>
    <x v="0"/>
    <x v="1"/>
    <n v="34"/>
    <n v="140186.56959999999"/>
    <n v="4766343.3663999997"/>
    <n v="9"/>
    <n v="1261679.1264"/>
    <n v="6"/>
    <n v="841119.41759999993"/>
    <m/>
    <n v="0"/>
    <m/>
    <n v="0"/>
    <n v="4"/>
    <n v="560746.27839999995"/>
    <n v="1"/>
    <n v="140186.56959999999"/>
    <m/>
    <n v="0"/>
    <n v="14"/>
    <n v="1962611.9743999997"/>
    <m/>
    <n v="0"/>
  </r>
  <r>
    <n v="205"/>
    <s v="Frasco de vidrio transparente de 25 ml tapa rosca con graduación, resistente a esterilización con autoclave y anillo de vertido en PP. Vidrio borosilicato 3.3, impresión en cerámica, que cumpla con las normas  ISO4796-1:2000 Retrace Code o USP Tipo I y ASTM E438, Tipo I."/>
    <s v="Pyrex , Corning, Kymax, Brand, Duran, Schott o equivalente "/>
    <s v="Unidad"/>
    <x v="0"/>
    <x v="2"/>
    <n v="8"/>
    <n v="46165.336000000003"/>
    <n v="369322.68800000002"/>
    <m/>
    <n v="0"/>
    <n v="3"/>
    <n v="138496.008"/>
    <m/>
    <n v="0"/>
    <m/>
    <n v="0"/>
    <m/>
    <n v="0"/>
    <m/>
    <n v="0"/>
    <m/>
    <n v="0"/>
    <n v="5"/>
    <n v="230826.68000000002"/>
    <m/>
    <n v="0"/>
  </r>
  <r>
    <n v="206"/>
    <s v="Frasco de vidrio transparente de 250 ml tapa rosca con graduación, resistente a esterilización con autoclave y anillo de vertido en PP. Vidrio borosilicato 3.3, impresión en cerámica, que cumpla con las normas DIN12331:1998/ISO 3819:1985 y/o ISO4796-1:2000 o USP Tipo I y ASTM E438, Tipo I."/>
    <s v="Pyrex , Corning, Kymax, Brand, Duran, Schott o equivalente "/>
    <s v="Unidad"/>
    <x v="0"/>
    <x v="1"/>
    <n v="69"/>
    <n v="44214.688000000002"/>
    <n v="3050813.4720000001"/>
    <n v="30"/>
    <n v="1326440.6400000001"/>
    <n v="5"/>
    <n v="221073.44"/>
    <m/>
    <n v="0"/>
    <m/>
    <n v="0"/>
    <n v="8"/>
    <n v="353717.50400000002"/>
    <n v="2"/>
    <n v="88429.376000000004"/>
    <m/>
    <n v="0"/>
    <n v="24"/>
    <n v="1061152.5120000001"/>
    <m/>
    <n v="0"/>
  </r>
  <r>
    <n v="207"/>
    <s v="Frasco de vidrio transparente de 50 ml tapa rosca con graduación, resistente a esterilización con autoclave y anillo de vertido en PP. Vidrio borosilicato 3.3, impresión en cerámica, que cumpla con las normas DIN12331:1998/ISO 3819:1985 e ISO4796-1:2000 o USP Tipo I y ASTM E438, Tipo I."/>
    <s v="Pyrex , Corning, Kymax, Brand, Duran, Schott o equivalente "/>
    <s v="Unidad"/>
    <x v="0"/>
    <x v="1"/>
    <n v="117"/>
    <n v="52017.279999999999"/>
    <n v="6086021.7599999998"/>
    <n v="100"/>
    <n v="5201728"/>
    <n v="5"/>
    <n v="260086.39999999999"/>
    <m/>
    <n v="0"/>
    <m/>
    <n v="0"/>
    <n v="8"/>
    <n v="416138.23999999999"/>
    <m/>
    <n v="0"/>
    <m/>
    <n v="0"/>
    <n v="4"/>
    <n v="208069.12"/>
    <m/>
    <n v="0"/>
  </r>
  <r>
    <n v="208"/>
    <s v="Frasco de vidrio transparente de 500 ml tapa rosca con graduación, resistente a esterilización con autoclave y anillo de vertido en PP. Vidrio borosilicato 3.3, impresión en cerámica, que cumpla con las normas DIN12331:1998/ISO 3819:1985 e ISO4796-1:2000 y/o DIN 12331:1998/ ISO 3819: 1985 o USP Tipo I y ASTM E438, Tipo I. "/>
    <s v="Pyrex , Corning, Kymax, Brand, Duran, Schott o equivalente "/>
    <s v="Unidad"/>
    <x v="0"/>
    <x v="1"/>
    <n v="22"/>
    <n v="48636.156799999997"/>
    <n v="1069995.4495999999"/>
    <n v="3"/>
    <n v="145908.47039999999"/>
    <n v="5"/>
    <n v="243180.78399999999"/>
    <m/>
    <n v="0"/>
    <m/>
    <n v="0"/>
    <n v="10"/>
    <n v="486361.56799999997"/>
    <m/>
    <n v="0"/>
    <m/>
    <n v="0"/>
    <n v="4"/>
    <n v="194544.62719999999"/>
    <m/>
    <n v="0"/>
  </r>
  <r>
    <n v="209"/>
    <s v="Frasco en polipropileno con tapa de cierre hermético para toma de muestra de orina estéril 50 – 60 ml."/>
    <s v="DELTALAB o equivalente"/>
    <s v="Unidad"/>
    <x v="0"/>
    <x v="1"/>
    <n v="100"/>
    <n v="2860.9504000000002"/>
    <n v="286095.04000000004"/>
    <m/>
    <n v="0"/>
    <n v="100"/>
    <n v="286095.04000000004"/>
    <m/>
    <n v="0"/>
    <m/>
    <n v="0"/>
    <m/>
    <n v="0"/>
    <m/>
    <n v="0"/>
    <m/>
    <n v="0"/>
    <m/>
    <n v="0"/>
    <m/>
    <n v="0"/>
  </r>
  <r>
    <n v="210"/>
    <s v="Frasco en polipropileno PP con tapa rosca boca ancha de 250 ml"/>
    <s v="Cualquier marca"/>
    <s v="Unidad "/>
    <x v="0"/>
    <x v="1"/>
    <n v="30"/>
    <n v="14174.7088"/>
    <n v="425241.26400000002"/>
    <m/>
    <n v="0"/>
    <n v="30"/>
    <n v="425241.26400000002"/>
    <m/>
    <n v="0"/>
    <m/>
    <n v="0"/>
    <m/>
    <n v="0"/>
    <m/>
    <n v="0"/>
    <m/>
    <n v="0"/>
    <m/>
    <n v="0"/>
    <m/>
    <n v="0"/>
  </r>
  <r>
    <n v="211"/>
    <s v="Frasco goteros en vidrio ambar para colorantes de Gram de 30 ml"/>
    <s v="Cualquier marca"/>
    <s v="Unidad"/>
    <x v="0"/>
    <x v="6"/>
    <n v="35"/>
    <n v="13004.32"/>
    <n v="455151.2"/>
    <m/>
    <n v="0"/>
    <n v="27"/>
    <n v="351116.64"/>
    <m/>
    <n v="0"/>
    <m/>
    <n v="0"/>
    <m/>
    <n v="0"/>
    <m/>
    <n v="0"/>
    <m/>
    <n v="0"/>
    <n v="8"/>
    <n v="104034.56"/>
    <m/>
    <n v="0"/>
  </r>
  <r>
    <n v="212"/>
    <s v="Frasco lavador de cuello ancho de 500 ml de capacidad  de polietileno de baja densidad"/>
    <s v="Nalgene o equivalente"/>
    <s v="Paquete x 5"/>
    <x v="0"/>
    <x v="1"/>
    <n v="1"/>
    <n v="258135.75200000001"/>
    <n v="258135.75200000001"/>
    <m/>
    <n v="0"/>
    <n v="1"/>
    <n v="258135.75200000001"/>
    <m/>
    <n v="0"/>
    <m/>
    <n v="0"/>
    <m/>
    <n v="0"/>
    <m/>
    <n v="0"/>
    <m/>
    <n v="0"/>
    <m/>
    <n v="0"/>
    <m/>
    <n v="0"/>
  </r>
  <r>
    <n v="213"/>
    <s v="Frasco lavador de cuello ancho de 500 ml de capacidad (Para pruebas de Elisa)"/>
    <s v="Cualquier marca"/>
    <s v="Paquete x 5"/>
    <x v="0"/>
    <x v="1"/>
    <n v="2"/>
    <n v="374784.5024"/>
    <n v="749569.0048"/>
    <m/>
    <n v="0"/>
    <n v="2"/>
    <n v="749569.0048"/>
    <m/>
    <n v="0"/>
    <m/>
    <n v="0"/>
    <m/>
    <n v="0"/>
    <m/>
    <n v="0"/>
    <m/>
    <n v="0"/>
    <m/>
    <n v="0"/>
    <m/>
    <n v="0"/>
  </r>
  <r>
    <n v="214"/>
    <s v="Frasco lavador de polietileno de bonca ancha de 1000ml para lavado de microplacas de ELISA, 8 posiciones de goteo."/>
    <s v="Cualquier marca"/>
    <s v="Unidad"/>
    <x v="0"/>
    <x v="3"/>
    <n v="10"/>
    <n v="44083.552000000003"/>
    <n v="440835.52"/>
    <n v="4"/>
    <n v="176334.20800000001"/>
    <n v="6"/>
    <n v="264501.31200000003"/>
    <m/>
    <n v="0"/>
    <m/>
    <n v="0"/>
    <m/>
    <n v="0"/>
    <m/>
    <n v="0"/>
    <m/>
    <n v="0"/>
    <m/>
    <n v="0"/>
    <m/>
    <n v="0"/>
  </r>
  <r>
    <n v="215"/>
    <s v="Frasco lavador en polietileno para ojos. Capacidad 500 ml, con cloruro de sodio al 0.9%"/>
    <s v="Cualquier marca"/>
    <s v="Unidad"/>
    <x v="0"/>
    <x v="6"/>
    <n v="1"/>
    <n v="260086.39999999999"/>
    <n v="260086.39999999999"/>
    <m/>
    <n v="0"/>
    <n v="1"/>
    <n v="260086.39999999999"/>
    <m/>
    <n v="0"/>
    <m/>
    <n v="0"/>
    <m/>
    <n v="0"/>
    <m/>
    <n v="0"/>
    <m/>
    <n v="0"/>
    <m/>
    <n v="0"/>
    <m/>
    <n v="0"/>
  </r>
  <r>
    <n v="216"/>
    <s v="Frasco para cultivo celular con tapa sin filtro, plug seal,  estéril, cuello inclinado  y no pirogénica de 75 cm²"/>
    <s v="Corning, Costar, Falcon o equivalente"/>
    <s v="Caja x 100"/>
    <x v="0"/>
    <x v="1"/>
    <n v="1"/>
    <n v="2315549.2192000002"/>
    <n v="2315549.2192000002"/>
    <n v="1"/>
    <n v="2315549.2192000002"/>
    <m/>
    <n v="0"/>
    <m/>
    <n v="0"/>
    <m/>
    <n v="0"/>
    <m/>
    <n v="0"/>
    <m/>
    <n v="0"/>
    <m/>
    <n v="0"/>
    <m/>
    <n v="0"/>
    <m/>
    <n v="0"/>
  </r>
  <r>
    <n v="217"/>
    <s v="Frasco para cultivo celular con tapa sin filtro, plug seal, estéril, cuello inclinado  y no pirogénica de 25 cm²"/>
    <s v="Corning, Costar, Falcon o equivalente"/>
    <s v="Caja x 500"/>
    <x v="0"/>
    <x v="5"/>
    <n v="2"/>
    <n v="2405799.2000000002"/>
    <n v="4811598.4000000004"/>
    <n v="2"/>
    <n v="4811598.4000000004"/>
    <m/>
    <n v="0"/>
    <m/>
    <n v="0"/>
    <m/>
    <n v="0"/>
    <m/>
    <n v="0"/>
    <m/>
    <n v="0"/>
    <m/>
    <n v="0"/>
    <m/>
    <n v="0"/>
    <m/>
    <n v="0"/>
  </r>
  <r>
    <n v="218"/>
    <s v="Frasco plastico con tapa rosca boca ancha de 1000 ml"/>
    <s v="Cualquier marca"/>
    <s v="Unidad "/>
    <x v="0"/>
    <x v="1"/>
    <n v="202"/>
    <n v="24578.164799999999"/>
    <n v="4964789.2895999998"/>
    <m/>
    <n v="0"/>
    <n v="2"/>
    <n v="49156.329599999997"/>
    <m/>
    <n v="0"/>
    <m/>
    <n v="0"/>
    <m/>
    <n v="0"/>
    <m/>
    <n v="0"/>
    <n v="200"/>
    <n v="4915632.96"/>
    <m/>
    <n v="0"/>
    <m/>
    <n v="0"/>
  </r>
  <r>
    <n v="219"/>
    <s v="Frasco plastico con tapa rosca boca ancha de 2000 ml"/>
    <s v="Cualquier marca"/>
    <s v="Unidad "/>
    <x v="0"/>
    <x v="1"/>
    <n v="2"/>
    <n v="28349.417600000001"/>
    <n v="56698.835200000001"/>
    <m/>
    <n v="0"/>
    <n v="2"/>
    <n v="56698.835200000001"/>
    <m/>
    <n v="0"/>
    <m/>
    <n v="0"/>
    <m/>
    <n v="0"/>
    <m/>
    <n v="0"/>
    <m/>
    <n v="0"/>
    <m/>
    <n v="0"/>
    <m/>
    <n v="0"/>
  </r>
  <r>
    <n v="220"/>
    <s v="Frasco plástico de 250 ml en polipropileno, con tapa rosca de cierre hermético._x000a_Diametro 60 ± 5 mm, altura 141 ± 5 mm, diametro del cuello interior 34 ±5 mm Boca de 32 ±5 mm"/>
    <s v="Brand o equivalente"/>
    <s v="Paquete x 10"/>
    <x v="0"/>
    <x v="2"/>
    <n v="88"/>
    <n v="247082.08"/>
    <n v="21743223.039999999"/>
    <n v="8"/>
    <n v="1976656.64"/>
    <m/>
    <n v="0"/>
    <m/>
    <n v="0"/>
    <m/>
    <n v="0"/>
    <m/>
    <n v="0"/>
    <m/>
    <n v="0"/>
    <m/>
    <n v="0"/>
    <m/>
    <n v="0"/>
    <n v="80"/>
    <n v="19766566.399999999"/>
  </r>
  <r>
    <n v="221"/>
    <s v="Frasco plástico de 500 ml boca ancha con tapa rosca de cierre hermético para toma de muestras de tejidos en formol"/>
    <s v="DARNEL o equivalente"/>
    <s v="Unidad"/>
    <x v="0"/>
    <x v="1"/>
    <n v="200"/>
    <n v="56698.835200000001"/>
    <n v="11339767.040000001"/>
    <m/>
    <n v="0"/>
    <m/>
    <n v="0"/>
    <m/>
    <n v="0"/>
    <m/>
    <n v="0"/>
    <m/>
    <n v="0"/>
    <m/>
    <n v="0"/>
    <n v="200"/>
    <n v="11339767.040000001"/>
    <m/>
    <n v="0"/>
    <m/>
    <n v="0"/>
  </r>
  <r>
    <n v="222"/>
    <s v="Frasco plástico para muestras boca ancha PS con tapa  rosca x 120ml (68x53mm)"/>
    <s v="DELTALAB o equivalente"/>
    <s v="Paquete x 50 "/>
    <x v="0"/>
    <x v="1"/>
    <n v="3"/>
    <n v="281543.52799999999"/>
    <n v="844630.58400000003"/>
    <m/>
    <n v="0"/>
    <n v="3"/>
    <n v="844630.58400000003"/>
    <m/>
    <n v="0"/>
    <m/>
    <n v="0"/>
    <m/>
    <n v="0"/>
    <m/>
    <n v="0"/>
    <m/>
    <n v="0"/>
    <m/>
    <n v="0"/>
    <m/>
    <n v="0"/>
  </r>
  <r>
    <n v="223"/>
    <s v="Frasco tipo inyectable para agrafe de 20mm de 50 ml"/>
    <s v="Moulded injection vial 20-2710 crimp clear 50 cc ED2139BA847 o equivalente"/>
    <s v="Caja x 84 "/>
    <x v="0"/>
    <x v="6"/>
    <n v="10"/>
    <n v="624207.35999999999"/>
    <n v="6242073.5999999996"/>
    <m/>
    <n v="0"/>
    <m/>
    <n v="0"/>
    <n v="10"/>
    <n v="6242073.5999999996"/>
    <m/>
    <n v="0"/>
    <m/>
    <n v="0"/>
    <m/>
    <n v="0"/>
    <m/>
    <n v="0"/>
    <m/>
    <n v="0"/>
    <m/>
    <n v="0"/>
  </r>
  <r>
    <n v="224"/>
    <s v="Funda para vacutainer"/>
    <s v="Vacutest-169018 o equivalente"/>
    <s v="Unidad"/>
    <x v="0"/>
    <x v="1"/>
    <n v="777"/>
    <n v="6632.2031999999999"/>
    <n v="5153221.8864000002"/>
    <n v="25"/>
    <n v="165805.07999999999"/>
    <n v="2"/>
    <n v="13264.4064"/>
    <m/>
    <n v="0"/>
    <m/>
    <n v="0"/>
    <m/>
    <n v="0"/>
    <m/>
    <n v="0"/>
    <m/>
    <n v="0"/>
    <m/>
    <n v="0"/>
    <n v="750"/>
    <n v="4974152.4000000004"/>
  </r>
  <r>
    <n v="225"/>
    <s v="Gasa tipo hospitalario"/>
    <s v="Cualquier marca"/>
    <s v="Rollo x 100 yardas"/>
    <x v="0"/>
    <x v="1"/>
    <n v="36"/>
    <n v="156051.84"/>
    <n v="5617866.2400000002"/>
    <n v="8"/>
    <n v="1248414.72"/>
    <n v="10"/>
    <n v="1560518.4"/>
    <n v="15"/>
    <n v="2340777.6"/>
    <m/>
    <n v="0"/>
    <m/>
    <n v="0"/>
    <n v="3"/>
    <n v="468155.52"/>
    <m/>
    <n v="0"/>
    <m/>
    <n v="0"/>
    <m/>
    <n v="0"/>
  </r>
  <r>
    <n v="226"/>
    <s v="Gaveta para Colección y Transporte. Construida totalmente en madera y un tamaño menor,  es ideal para el transporte y colección de insectos, cierre hermético y base para alfileres.33 x 23 x 6.5 cm"/>
    <s v="Enthos o equivalente_x000a_"/>
    <s v="Unidad"/>
    <x v="0"/>
    <x v="0"/>
    <n v="3"/>
    <n v="278292.44799999997"/>
    <n v="834877.34399999992"/>
    <m/>
    <n v="0"/>
    <m/>
    <n v="0"/>
    <m/>
    <n v="0"/>
    <m/>
    <n v="0"/>
    <n v="3"/>
    <n v="834877.34399999992"/>
    <m/>
    <n v="0"/>
    <m/>
    <n v="0"/>
    <m/>
    <n v="0"/>
    <m/>
    <n v="0"/>
  </r>
  <r>
    <n v="227"/>
    <s v="Gel refrigerante de 250 g. Durabilidad 24 horas. _x000a_Se deben entregar en las 32 seccionales del ICA de acuerdo a la distribución."/>
    <s v="Cualquier marca"/>
    <s v="Caja x 48"/>
    <x v="0"/>
    <x v="2"/>
    <n v="20"/>
    <n v="449429.29920000001"/>
    <n v="8988585.9840000011"/>
    <m/>
    <n v="0"/>
    <n v="5"/>
    <n v="2247146.4960000003"/>
    <m/>
    <n v="0"/>
    <m/>
    <n v="0"/>
    <m/>
    <n v="0"/>
    <m/>
    <n v="0"/>
    <m/>
    <n v="0"/>
    <m/>
    <n v="0"/>
    <n v="15"/>
    <n v="6741439.4879999999"/>
  </r>
  <r>
    <n v="228"/>
    <s v="Gel refrigerante en pilas de 250gr._x000a_para ser entregado en las 32 seccionales"/>
    <s v="Cualquier marca"/>
    <s v="Caja x 100 und"/>
    <x v="0"/>
    <x v="3"/>
    <n v="16"/>
    <n v="860107.91040000005"/>
    <n v="13761726.566400001"/>
    <m/>
    <n v="0"/>
    <n v="6"/>
    <n v="5160647.4624000005"/>
    <m/>
    <n v="0"/>
    <m/>
    <n v="0"/>
    <m/>
    <n v="0"/>
    <m/>
    <n v="0"/>
    <m/>
    <n v="0"/>
    <m/>
    <n v="0"/>
    <n v="10"/>
    <n v="8601079.1040000003"/>
  </r>
  <r>
    <n v="229"/>
    <s v="Gotero plástico para colorantes de Gram de un volumen de 120ml. "/>
    <s v="Cualquier marca"/>
    <s v="Unidad"/>
    <x v="0"/>
    <x v="1"/>
    <n v="16"/>
    <n v="14174.7088"/>
    <n v="226795.34080000001"/>
    <m/>
    <n v="0"/>
    <n v="12"/>
    <n v="170096.5056"/>
    <m/>
    <n v="0"/>
    <m/>
    <n v="0"/>
    <n v="4"/>
    <n v="56698.835200000001"/>
    <m/>
    <n v="0"/>
    <m/>
    <n v="0"/>
    <m/>
    <n v="0"/>
    <m/>
    <n v="0"/>
  </r>
  <r>
    <n v="230"/>
    <s v="Gradilla Compact PCR Tube Rack para 96 tubos de 0,2 ml."/>
    <s v="Usa Scientific o equivalente"/>
    <s v="Paquete x 5 unds.   "/>
    <x v="0"/>
    <x v="1"/>
    <n v="2"/>
    <n v="210539.94080000001"/>
    <n v="421079.88160000002"/>
    <m/>
    <n v="0"/>
    <m/>
    <n v="0"/>
    <m/>
    <n v="0"/>
    <m/>
    <n v="0"/>
    <n v="2"/>
    <n v="421079.88160000002"/>
    <m/>
    <n v="0"/>
    <m/>
    <n v="0"/>
    <m/>
    <n v="0"/>
    <m/>
    <n v="0"/>
  </r>
  <r>
    <n v="231"/>
    <s v="Gradilla de polipropileno capacidad para mínimo 50 tubos de 15 ml en formato acorde al número de plazas"/>
    <s v="Cualquier marca"/>
    <s v="Unidad"/>
    <x v="0"/>
    <x v="1"/>
    <n v="31"/>
    <n v="174908.10399999999"/>
    <n v="5422151.2239999995"/>
    <n v="5"/>
    <n v="874540.52"/>
    <n v="2"/>
    <n v="349816.20799999998"/>
    <m/>
    <n v="0"/>
    <m/>
    <n v="0"/>
    <n v="4"/>
    <n v="699632.41599999997"/>
    <m/>
    <n v="0"/>
    <m/>
    <n v="0"/>
    <n v="20"/>
    <n v="3498162.08"/>
    <m/>
    <n v="0"/>
  </r>
  <r>
    <n v="232"/>
    <s v="Gradilla en acero  inoxidable para bolsas tipo stomacher, capacidad 10 bolsas o 14 bolsas"/>
    <s v="Cualquier marca"/>
    <s v="Unidad"/>
    <x v="0"/>
    <x v="3"/>
    <n v="2"/>
    <n v="1500844.9631999999"/>
    <n v="3001689.9263999998"/>
    <n v="2"/>
    <n v="3001689.9263999998"/>
    <m/>
    <n v="0"/>
    <m/>
    <n v="0"/>
    <m/>
    <n v="0"/>
    <m/>
    <n v="0"/>
    <m/>
    <n v="0"/>
    <m/>
    <n v="0"/>
    <m/>
    <n v="0"/>
    <m/>
    <n v="0"/>
  </r>
  <r>
    <n v="233"/>
    <s v="Gradilla para 24 tubos de 50 ml, fabricada en polipropileno o policetona en formato 3x8"/>
    <s v="Cualquier marca"/>
    <s v="Unidad"/>
    <x v="0"/>
    <x v="10"/>
    <n v="25"/>
    <n v="147746.56"/>
    <n v="3693664"/>
    <m/>
    <n v="0"/>
    <n v="5"/>
    <n v="738732.8"/>
    <m/>
    <n v="0"/>
    <m/>
    <n v="0"/>
    <m/>
    <n v="0"/>
    <m/>
    <n v="0"/>
    <m/>
    <n v="0"/>
    <n v="20"/>
    <n v="2954931.2"/>
    <m/>
    <n v="0"/>
  </r>
  <r>
    <n v="234"/>
    <s v="Gradilla para 60 tubos de ensayo de 16 mm de diámetro formato 5x12 color blanco ó azul. Medidas aprox. 110 x 250 x 70"/>
    <s v="Cualquier marca"/>
    <s v="Unidad"/>
    <x v="0"/>
    <x v="0"/>
    <n v="14"/>
    <n v="75425.055999999997"/>
    <n v="1055950.784"/>
    <m/>
    <n v="0"/>
    <n v="10"/>
    <n v="754250.55999999994"/>
    <m/>
    <n v="0"/>
    <m/>
    <n v="0"/>
    <m/>
    <n v="0"/>
    <m/>
    <n v="0"/>
    <m/>
    <n v="0"/>
    <n v="4"/>
    <n v="301700.22399999999"/>
    <m/>
    <n v="0"/>
  </r>
  <r>
    <n v="235"/>
    <s v="Gradilla para 72 tubos de 16mm de diametro en polipropileno."/>
    <s v="Catalogo VWR REF 82024-436 o equivalente"/>
    <s v="Unidad"/>
    <x v="0"/>
    <x v="0"/>
    <n v="6"/>
    <n v="137845.79199999999"/>
    <n v="827074.75199999986"/>
    <m/>
    <n v="0"/>
    <n v="6"/>
    <n v="827074.75199999986"/>
    <m/>
    <n v="0"/>
    <m/>
    <n v="0"/>
    <m/>
    <n v="0"/>
    <m/>
    <n v="0"/>
    <m/>
    <n v="0"/>
    <m/>
    <n v="0"/>
    <m/>
    <n v="0"/>
  </r>
  <r>
    <n v="236"/>
    <s v="Gradilla para 80 viales de 1.5 - 2.0 ml en polipropileno, autoclavable "/>
    <s v="Cualquier marca"/>
    <s v="Paquete x 20"/>
    <x v="0"/>
    <x v="5"/>
    <n v="3"/>
    <n v="711336.304"/>
    <n v="2134008.912"/>
    <m/>
    <n v="0"/>
    <n v="2"/>
    <n v="1422672.608"/>
    <m/>
    <n v="0"/>
    <m/>
    <n v="0"/>
    <m/>
    <n v="0"/>
    <m/>
    <n v="0"/>
    <m/>
    <n v="0"/>
    <n v="1"/>
    <n v="711336.304"/>
    <m/>
    <n v="0"/>
  </r>
  <r>
    <n v="237"/>
    <s v="Gradilla para 9 tubos de 50 ml Ø=32 mm. _x000a_Medidas: 110 x 110 x 85mm (L x W x H)"/>
    <s v="Cualquier marca"/>
    <s v="Unidad"/>
    <x v="0"/>
    <x v="1"/>
    <n v="4"/>
    <n v="172307.24"/>
    <n v="689228.96"/>
    <m/>
    <n v="0"/>
    <n v="4"/>
    <n v="689228.96"/>
    <m/>
    <n v="0"/>
    <m/>
    <n v="0"/>
    <m/>
    <n v="0"/>
    <m/>
    <n v="0"/>
    <m/>
    <n v="0"/>
    <m/>
    <n v="0"/>
    <m/>
    <n v="0"/>
  </r>
  <r>
    <n v="238"/>
    <s v="Gradilla para 96 tubos de  0.5 ml, 1.7 ml, 2.0 ml. Autoclavable y congelable"/>
    <s v="Cualquier marca"/>
    <s v="Unidad "/>
    <x v="0"/>
    <x v="0"/>
    <n v="6"/>
    <n v="84528.08"/>
    <n v="507168.48"/>
    <n v="2"/>
    <n v="169056.16"/>
    <m/>
    <n v="0"/>
    <m/>
    <n v="0"/>
    <m/>
    <n v="0"/>
    <n v="4"/>
    <n v="338112.32"/>
    <m/>
    <n v="0"/>
    <m/>
    <n v="0"/>
    <m/>
    <n v="0"/>
    <m/>
    <n v="0"/>
  </r>
  <r>
    <n v="239"/>
    <s v="Gradilla plástica autoclavable reversible de 96. _x000a_Especificación: 96 pozos, por un lado almacena tubos de PCR 0,2 ml y por otro eppendof de 1,5/2 ml."/>
    <s v="Cualquier marca"/>
    <s v="Unidad"/>
    <x v="0"/>
    <x v="10"/>
    <n v="6"/>
    <n v="202168"/>
    <n v="1213008"/>
    <m/>
    <n v="0"/>
    <m/>
    <n v="0"/>
    <m/>
    <n v="0"/>
    <m/>
    <n v="0"/>
    <n v="6"/>
    <n v="1213008"/>
    <m/>
    <n v="0"/>
    <m/>
    <n v="0"/>
    <m/>
    <n v="0"/>
    <m/>
    <n v="0"/>
  </r>
  <r>
    <n v="240"/>
    <s v="Gradilla plástica para tubos de ensayo de 20 mm. Capacidad 40 tubos"/>
    <s v="Cualquier marca"/>
    <s v="unidad "/>
    <x v="0"/>
    <x v="1"/>
    <n v="5"/>
    <n v="64761.513599999998"/>
    <n v="323807.56799999997"/>
    <m/>
    <n v="0"/>
    <n v="1"/>
    <n v="64761.513599999998"/>
    <m/>
    <n v="0"/>
    <m/>
    <n v="0"/>
    <m/>
    <n v="0"/>
    <m/>
    <n v="0"/>
    <m/>
    <n v="0"/>
    <n v="4"/>
    <n v="259046.05439999999"/>
    <m/>
    <n v="0"/>
  </r>
  <r>
    <n v="241"/>
    <s v="Hachuela en acero inoxidable. Mango ergonómico de polietileno. Hoja ancha de forma rectangular. Tamaño total 16 cm"/>
    <s v="Tramontina o equivalente"/>
    <s v="Unidad"/>
    <x v="0"/>
    <x v="9"/>
    <n v="6"/>
    <n v="34285.5072"/>
    <n v="205713.04320000001"/>
    <m/>
    <n v="0"/>
    <n v="6"/>
    <n v="205713.04320000001"/>
    <m/>
    <n v="0"/>
    <m/>
    <n v="0"/>
    <m/>
    <n v="0"/>
    <m/>
    <n v="0"/>
    <m/>
    <n v="0"/>
    <m/>
    <n v="0"/>
    <m/>
    <n v="0"/>
  </r>
  <r>
    <n v="242"/>
    <s v="Hilo pabilo (Ø=7mm)"/>
    <s v="Cualquier marca"/>
    <s v="Rollo x 40 m"/>
    <x v="0"/>
    <x v="3"/>
    <n v="1"/>
    <n v="165006.2432"/>
    <n v="165006.2432"/>
    <n v="1"/>
    <n v="165006.2432"/>
    <m/>
    <n v="0"/>
    <m/>
    <n v="0"/>
    <m/>
    <n v="0"/>
    <m/>
    <n v="0"/>
    <m/>
    <n v="0"/>
    <m/>
    <n v="0"/>
    <m/>
    <n v="0"/>
    <m/>
    <n v="0"/>
  </r>
  <r>
    <n v="243"/>
    <s v="Hisopo estéril de dacrón, rayón o poliéster con palillo plástico"/>
    <s v="Daigger 22116D o equivalente"/>
    <s v="Caja x 500"/>
    <x v="0"/>
    <x v="1"/>
    <n v="29"/>
    <n v="756851.424"/>
    <n v="21948691.296"/>
    <m/>
    <n v="0"/>
    <n v="1"/>
    <n v="756851.424"/>
    <n v="2"/>
    <n v="1513702.848"/>
    <m/>
    <n v="0"/>
    <m/>
    <n v="0"/>
    <m/>
    <n v="0"/>
    <m/>
    <n v="0"/>
    <n v="1"/>
    <n v="756851.424"/>
    <n v="25"/>
    <n v="18921285.600000001"/>
  </r>
  <r>
    <n v="244"/>
    <s v="Hisopo estéril punta de algodón de 15 cm de longitud"/>
    <s v="Cualquier marca"/>
    <s v="Paquete x 100"/>
    <x v="0"/>
    <x v="0"/>
    <n v="8"/>
    <n v="247082.08"/>
    <n v="1976656.64"/>
    <m/>
    <n v="0"/>
    <n v="5"/>
    <n v="1235410.3999999999"/>
    <m/>
    <n v="0"/>
    <m/>
    <n v="0"/>
    <m/>
    <n v="0"/>
    <n v="3"/>
    <n v="741246.24"/>
    <m/>
    <n v="0"/>
    <m/>
    <n v="0"/>
    <m/>
    <n v="0"/>
  </r>
  <r>
    <n v="245"/>
    <s v="Inserto para vial de cromatografía  300 µL, polypropylene, polymer feet.   Insert size: 5.6 x 30 mm aproximadamente"/>
    <s v="Agilente o equivalente"/>
    <s v="Paquete x 100"/>
    <x v="0"/>
    <x v="7"/>
    <n v="10"/>
    <n v="188822.72639999999"/>
    <n v="1888227.264"/>
    <n v="10"/>
    <n v="1888227.264"/>
    <m/>
    <n v="0"/>
    <m/>
    <n v="0"/>
    <m/>
    <n v="0"/>
    <m/>
    <n v="0"/>
    <m/>
    <n v="0"/>
    <m/>
    <n v="0"/>
    <m/>
    <n v="0"/>
    <m/>
    <n v="0"/>
  </r>
  <r>
    <n v="246"/>
    <s v="Jarra anaerobiosis de 2,5 litros"/>
    <s v="Cualquier marca"/>
    <s v="Unidad"/>
    <x v="0"/>
    <x v="11"/>
    <n v="2"/>
    <n v="2275756"/>
    <n v="4551512"/>
    <m/>
    <n v="0"/>
    <n v="1"/>
    <n v="2275756"/>
    <m/>
    <n v="0"/>
    <m/>
    <n v="0"/>
    <m/>
    <n v="0"/>
    <m/>
    <n v="0"/>
    <m/>
    <n v="0"/>
    <n v="1"/>
    <n v="2275756"/>
    <m/>
    <n v="0"/>
  </r>
  <r>
    <n v="247"/>
    <s v="Jarra de medición con asa  resistencia química HDPE o PMP Trasparente capacidad 1000 ml  graduada"/>
    <s v="Nalgene o equivalente"/>
    <s v="unidad"/>
    <x v="0"/>
    <x v="3"/>
    <n v="4"/>
    <n v="143709.7568"/>
    <n v="574839.02720000001"/>
    <m/>
    <n v="0"/>
    <m/>
    <n v="0"/>
    <m/>
    <n v="0"/>
    <m/>
    <n v="0"/>
    <m/>
    <n v="0"/>
    <m/>
    <n v="0"/>
    <m/>
    <n v="0"/>
    <n v="4"/>
    <n v="574839.02720000001"/>
    <m/>
    <n v="0"/>
  </r>
  <r>
    <n v="248"/>
    <s v="Jarra plástica redonda 5l"/>
    <s v="Cualquier marca"/>
    <s v="Unidad"/>
    <x v="0"/>
    <x v="0"/>
    <n v="3"/>
    <n v="180760.04800000001"/>
    <n v="542280.14400000009"/>
    <m/>
    <n v="0"/>
    <n v="2"/>
    <n v="361520.09600000002"/>
    <m/>
    <n v="0"/>
    <m/>
    <n v="0"/>
    <m/>
    <n v="0"/>
    <m/>
    <n v="0"/>
    <m/>
    <n v="0"/>
    <n v="1"/>
    <n v="180760.04800000001"/>
    <m/>
    <n v="0"/>
  </r>
  <r>
    <n v="249"/>
    <s v="Jaula de cría, cubo de 45 cm por los cuatro lados. Jaula para cría y observación de insectos, tipo colapsible para facilitar su armado y transporte. Su estructura y fondo están elaborados en aluminio, cuatro de sus caras tienen una red de 300 micras para contener los ejemplares y la cara restante, tiene una manga en algodón para la manipulación del contenido."/>
    <s v="Enthos o equivalente"/>
    <s v="Unidad"/>
    <x v="0"/>
    <x v="1"/>
    <n v="3"/>
    <n v="2587859.6800000002"/>
    <n v="7763579.040000001"/>
    <m/>
    <n v="0"/>
    <m/>
    <n v="0"/>
    <m/>
    <n v="0"/>
    <m/>
    <n v="0"/>
    <m/>
    <n v="0"/>
    <n v="3"/>
    <n v="7763579.040000001"/>
    <m/>
    <n v="0"/>
    <m/>
    <n v="0"/>
    <m/>
    <n v="0"/>
  </r>
  <r>
    <n v="250"/>
    <s v="Jeringa desechable de 1 ml de insulina estéril, dos partes. Libre de pirógenos"/>
    <s v="BD, Vacutest o equivalente"/>
    <s v="Caja x 100 "/>
    <x v="0"/>
    <x v="1"/>
    <n v="30"/>
    <n v="129132.8976"/>
    <n v="3873986.9279999998"/>
    <n v="25"/>
    <n v="3228322.44"/>
    <n v="4"/>
    <n v="516531.59039999999"/>
    <m/>
    <n v="0"/>
    <m/>
    <n v="0"/>
    <m/>
    <n v="0"/>
    <n v="1"/>
    <n v="129132.8976"/>
    <m/>
    <n v="0"/>
    <m/>
    <n v="0"/>
    <m/>
    <n v="0"/>
  </r>
  <r>
    <n v="251"/>
    <s v="Jeringa desechable de 10 ml sin caucho en el émbolo con aguja de 21 G x 1½ estéril, dos partes, libre de pirógenos"/>
    <s v="BD301001 o equivalente"/>
    <s v="Caja x 100 "/>
    <x v="0"/>
    <x v="1"/>
    <n v="54"/>
    <n v="107935.856"/>
    <n v="5828536.2240000004"/>
    <n v="18"/>
    <n v="1942845.4080000001"/>
    <n v="6"/>
    <n v="647615.13599999994"/>
    <m/>
    <n v="0"/>
    <m/>
    <n v="0"/>
    <m/>
    <n v="0"/>
    <m/>
    <n v="0"/>
    <m/>
    <n v="0"/>
    <n v="30"/>
    <n v="3238075.68"/>
    <m/>
    <n v="0"/>
  </r>
  <r>
    <n v="252"/>
    <s v="Jeringa desechable de 2 ml con aguja 21G x 1½&quot;, sin émbolo de caucho"/>
    <s v="BD 300318 o equivalente"/>
    <s v="Caja x 100 "/>
    <x v="0"/>
    <x v="1"/>
    <n v="28"/>
    <n v="81407.0432"/>
    <n v="2279397.2096000002"/>
    <n v="25"/>
    <n v="2035176.08"/>
    <n v="3"/>
    <n v="244221.12959999999"/>
    <m/>
    <n v="0"/>
    <m/>
    <n v="0"/>
    <m/>
    <n v="0"/>
    <m/>
    <n v="0"/>
    <m/>
    <n v="0"/>
    <m/>
    <n v="0"/>
    <m/>
    <n v="0"/>
  </r>
  <r>
    <n v="253"/>
    <s v="Jeringa desechable de 3 ml desechable con aguja 21G x 1½  Dos partes. Libre de pirógenos"/>
    <s v="BD, Vacutest o equivalente"/>
    <s v="Caja x 100"/>
    <x v="0"/>
    <x v="3"/>
    <n v="80"/>
    <n v="78281.635200000004"/>
    <n v="6262530.8160000006"/>
    <m/>
    <n v="0"/>
    <n v="5"/>
    <n v="391408.17600000004"/>
    <m/>
    <n v="0"/>
    <m/>
    <n v="0"/>
    <m/>
    <n v="0"/>
    <m/>
    <n v="0"/>
    <m/>
    <n v="0"/>
    <m/>
    <n v="0"/>
    <n v="75"/>
    <n v="5871122.6400000006"/>
  </r>
  <r>
    <n v="254"/>
    <s v="Jeringa desechable de 5 ml con aguja de 21 G x 1½&quot;. Estéril. Dos partes. Libre de pirógenos. Con empate Luer Slip"/>
    <s v="BD, Vacutest o equivalente"/>
    <s v="Caja x 100 "/>
    <x v="0"/>
    <x v="1"/>
    <n v="5"/>
    <n v="106505.3808"/>
    <n v="532526.90399999998"/>
    <m/>
    <n v="0"/>
    <n v="5"/>
    <n v="532526.90399999998"/>
    <m/>
    <n v="0"/>
    <m/>
    <n v="0"/>
    <m/>
    <n v="0"/>
    <m/>
    <n v="0"/>
    <m/>
    <n v="0"/>
    <m/>
    <n v="0"/>
    <m/>
    <n v="0"/>
  </r>
  <r>
    <n v="255"/>
    <s v="Jeringa desechable de 60 ml "/>
    <s v="BD, Vacutest o equivalente"/>
    <s v="Caja x 80 "/>
    <x v="0"/>
    <x v="0"/>
    <n v="4"/>
    <n v="171657.024"/>
    <n v="686628.09600000002"/>
    <n v="2"/>
    <n v="343314.04800000001"/>
    <n v="2"/>
    <n v="343314.04800000001"/>
    <m/>
    <n v="0"/>
    <m/>
    <n v="0"/>
    <m/>
    <n v="0"/>
    <m/>
    <n v="0"/>
    <m/>
    <n v="0"/>
    <m/>
    <n v="0"/>
    <m/>
    <n v="0"/>
  </r>
  <r>
    <n v="256"/>
    <s v="Jeringas de vidrio de 1 ml de capacidad."/>
    <s v="Catalogo VWR 80089-544 o equivalente"/>
    <s v="Paquete/ 12 unidades"/>
    <x v="0"/>
    <x v="3"/>
    <n v="15"/>
    <n v="232512.87039999999"/>
    <n v="3487693.0559999999"/>
    <n v="15"/>
    <n v="3487693.0559999999"/>
    <m/>
    <n v="0"/>
    <m/>
    <n v="0"/>
    <m/>
    <n v="0"/>
    <m/>
    <n v="0"/>
    <m/>
    <n v="0"/>
    <m/>
    <n v="0"/>
    <m/>
    <n v="0"/>
    <m/>
    <n v="0"/>
  </r>
  <r>
    <n v="257"/>
    <s v="Jeringas desechable de 20 ml"/>
    <s v="BD, Vacutest o equivalente"/>
    <s v="Caja x 80"/>
    <x v="0"/>
    <x v="1"/>
    <n v="1"/>
    <n v="174257.88800000001"/>
    <n v="174257.88800000001"/>
    <m/>
    <n v="0"/>
    <m/>
    <n v="0"/>
    <m/>
    <n v="0"/>
    <m/>
    <n v="0"/>
    <m/>
    <n v="0"/>
    <n v="1"/>
    <n v="174257.88800000001"/>
    <m/>
    <n v="0"/>
    <m/>
    <n v="0"/>
    <m/>
    <n v="0"/>
  </r>
  <r>
    <n v="258"/>
    <s v="Juego de pesas patrón_x000a_Clase E2 de 24 piezas, en acero inoxidable_x000a_Pesas en alambre de las siguientes nominaciones: 1 mg, 2 mg, 2 mg, 5 mg, 10 mg, 20 mg, 20 mg, 50 mg, 100 mg, 200 mg, 200 mg, 500 mg. _x000a_Pesas cilíndricas de las siguientes denominaciones:  1 g, 2 g, 2 g, 5 g, 10 g, 20 g, 20 g, 50 g, 100 g, 200 g, 200 g, 500 g._x000a_Con certificado de calibración emitido por un laboratorio acreditado._x000a_Con pinzas y guantes."/>
    <s v="Kern, Ohaus o equivalente"/>
    <s v="Unidad"/>
    <x v="0"/>
    <x v="3"/>
    <n v="1"/>
    <n v="11012070.196799999"/>
    <n v="11012070.196799999"/>
    <m/>
    <n v="0"/>
    <m/>
    <n v="0"/>
    <m/>
    <n v="0"/>
    <n v="1"/>
    <n v="11012070.196799999"/>
    <m/>
    <n v="0"/>
    <m/>
    <n v="0"/>
    <m/>
    <n v="0"/>
    <m/>
    <n v="0"/>
    <m/>
    <n v="0"/>
  </r>
  <r>
    <n v="259"/>
    <s v="Juego de tamices (250 µm, 106 µm, 38 µm)"/>
    <s v="Cualquier marca"/>
    <s v="Paquete x 3"/>
    <x v="0"/>
    <x v="9"/>
    <n v="1"/>
    <n v="1746294.4"/>
    <n v="1746294.4"/>
    <m/>
    <n v="0"/>
    <m/>
    <n v="0"/>
    <m/>
    <n v="0"/>
    <m/>
    <n v="0"/>
    <n v="1"/>
    <n v="1746294.4"/>
    <m/>
    <n v="0"/>
    <m/>
    <n v="0"/>
    <m/>
    <n v="0"/>
    <m/>
    <n v="0"/>
  </r>
  <r>
    <n v="260"/>
    <s v="Kit de Necropsia Aviar, conformado por: Organizador  plástico con capacidad para almacenar: 1 mango de bisturí #3, 4 pinzas mosquito rectas, 4 pinzas mosquito curvas, 1 pinza con garra, 1 pinza sin garra, 1 cuchillo pequeño fileteador de pollo, 1 tijeras para despresar pollo, 1 tijeras mayo punta roma rectas, 1 tijeras mayo punta roma curvas, 1 tijeras metzmenbau punta roma recta, 1 tijera lister, 1 piedra para afilar, 1 riñonera en aluminio o acero inoxidable, 1 mechero, 1 canaleta, 2 separadores (10 a 15 cm), 1 tijera corta cables multiproposito de 140 mm +/- 10mm"/>
    <s v="Cualquier marca"/>
    <s v="Unidad"/>
    <x v="0"/>
    <x v="9"/>
    <n v="20"/>
    <n v="1227214.3999999999"/>
    <n v="24544288"/>
    <m/>
    <n v="0"/>
    <m/>
    <n v="0"/>
    <m/>
    <n v="0"/>
    <m/>
    <n v="0"/>
    <m/>
    <n v="0"/>
    <m/>
    <n v="0"/>
    <m/>
    <n v="0"/>
    <m/>
    <n v="0"/>
    <n v="20"/>
    <n v="24544288"/>
  </r>
  <r>
    <n v="261"/>
    <s v="Kit de Necropsia Grandes Animales: Organizador plástico con capacidad para almacenar: 2 pinzas con garra de 14,5 cm en acero inoxidable; 2 pinzas sin garra de 14,5 cm en acero inoxidable; 2 tijeras  de mayo 1 recta punta roma y 1 recta punta fina de 14 cm en acero inoxidable; 2 tijeras de mayo curva punta roma de 14 cm en acero inoxidable;  3 cuchillos de necropsia de 30 Cm de largo, mango plástico antideslizante color blanco;  Marco para cegueta en acero inoxidable de 16&quot; a 17,5&quot; y  6 hojas para la misma dimensión de la cegueta, 1 hachuela en mango plastico antideslizante en acero inoxidable"/>
    <s v="Cualquier marca"/>
    <s v="Unidad"/>
    <x v="0"/>
    <x v="9"/>
    <n v="25"/>
    <n v="2006566.5759999999"/>
    <n v="50164164.399999999"/>
    <m/>
    <n v="0"/>
    <m/>
    <n v="0"/>
    <m/>
    <n v="0"/>
    <m/>
    <n v="0"/>
    <m/>
    <n v="0"/>
    <m/>
    <n v="0"/>
    <m/>
    <n v="0"/>
    <m/>
    <n v="0"/>
    <n v="25"/>
    <n v="50164164.399999999"/>
  </r>
  <r>
    <n v="262"/>
    <s v="Kit de Necropsia para Porcinos que contenga: Caja plástica para herramientas con capacidad para almacenar los siguientes elementos; dos mangos de bisturí No 4, 1 caja de cuchillas de bisturi No. 21, una pinza con garra, una pinza sin garra, una tijera metzembaun recta punta roma, una tijera metzembaun curva punta roma, 2 pinzas mosquito curvas , 2 pinzas mosquito rectas pequeñas, un cuchillo pequeño, un cuchillo grande, una navaja de campo, una riñonera pequeña con tapa,  un cuchillo de cegueta pequeño,  una piedra de afilar."/>
    <s v="Cualquier marca"/>
    <s v="Unidad"/>
    <x v="0"/>
    <x v="9"/>
    <n v="18"/>
    <n v="1098865.04"/>
    <n v="19779570.719999999"/>
    <m/>
    <n v="0"/>
    <m/>
    <n v="0"/>
    <m/>
    <n v="0"/>
    <m/>
    <n v="0"/>
    <m/>
    <n v="0"/>
    <m/>
    <n v="0"/>
    <m/>
    <n v="0"/>
    <m/>
    <n v="0"/>
    <n v="18"/>
    <n v="19779570.719999999"/>
  </r>
  <r>
    <n v="263"/>
    <s v="Kit para control de derrames compuesto por: 2 almohadillas desechables de 25x25 cm para químicos 3 cordón-tubular 3&quot; X 1.20 m para químicos 6 material absorbente particulado para químicos Bolsa x 1 K 1 Guantess nitrilo 13&quot; 1 mascarilla para vapores ácidos, doble cartucho 1 gafas de seguridad 1 cinta de precaución para señalización x 50 metros 4 Bolsa industrial para residuos roja 1 chaleco reflectivo 1 contenedor plástico 45 gal dos ruedas 1 overol desechable para químicos 1 recogedor plástico con escobilla 1 instructivo corto para emergencias"/>
    <s v="Cualquier marca"/>
    <s v="Kit"/>
    <x v="0"/>
    <x v="1"/>
    <n v="4"/>
    <n v="915244.0416"/>
    <n v="3660976.1664"/>
    <m/>
    <n v="0"/>
    <m/>
    <m/>
    <m/>
    <n v="0"/>
    <m/>
    <n v="0"/>
    <m/>
    <n v="0"/>
    <m/>
    <n v="0"/>
    <m/>
    <n v="0"/>
    <n v="4"/>
    <n v="3660976.1664"/>
    <m/>
    <n v="0"/>
  </r>
  <r>
    <n v="264"/>
    <s v="Kit para necropsia de peces que contenga: Organizador plástico con capacidad para almacenar los materiales listados a continuación; dos mangos de bisturí No 4; 1 caja de cuchillas para bisturi No. 21; una Pinza con garra; una pinza sin garra; una tijera metzembaun recta punta roma; una tijera metzembaun curva punta roma; 2 pinzas mosquito curvas;  2 pinzas mosquito rectas pequeñas; un cuchillo pequeño de 18  Cm; un cuchillo grande de 30 Cm; una navaja de bolsillo con mínimo 5 funciones; una riñonera pequeña con tapa; un cuchillo de cegueta pequeño con mango plástico color blanco;  una piedra de afilar."/>
    <s v="Cualquier marca"/>
    <s v="Kit"/>
    <x v="0"/>
    <x v="4"/>
    <n v="16"/>
    <n v="917910.47360000003"/>
    <n v="14686567.5776"/>
    <m/>
    <n v="0"/>
    <n v="1"/>
    <n v="917910.47360000003"/>
    <m/>
    <n v="0"/>
    <m/>
    <n v="0"/>
    <m/>
    <n v="0"/>
    <m/>
    <n v="0"/>
    <m/>
    <n v="0"/>
    <m/>
    <n v="0"/>
    <n v="15"/>
    <n v="13768657.104"/>
  </r>
  <r>
    <n v="265"/>
    <s v="Lámina microscope slide Probe On Plus Precleaned 25 x 75 x1.0 mm. Diapositivas de medida 1 x 3 pulgadas (25 x 75 mm) y 1 mm de espesor "/>
    <s v="Fisher 22-230-900 o equivalente"/>
    <s v="Caja x 144"/>
    <x v="0"/>
    <x v="1"/>
    <n v="1"/>
    <n v="1204069.9887999999"/>
    <n v="1204069.9887999999"/>
    <m/>
    <n v="0"/>
    <m/>
    <n v="0"/>
    <n v="1"/>
    <n v="1204069.9887999999"/>
    <m/>
    <n v="0"/>
    <m/>
    <n v="0"/>
    <m/>
    <n v="0"/>
    <m/>
    <n v="0"/>
    <m/>
    <n v="0"/>
    <m/>
    <n v="0"/>
  </r>
  <r>
    <n v="266"/>
    <s v="Lámina portaobjetos de 76 x 26 cm (3&quot; x 1&quot;) de vidrio liso (no esmerilada Unground edges)"/>
    <s v="Cualquier marca"/>
    <s v="Caja x 50 "/>
    <x v="0"/>
    <x v="1"/>
    <n v="150"/>
    <n v="10663.5424"/>
    <n v="1599531.36"/>
    <n v="10"/>
    <n v="106635.424"/>
    <n v="30"/>
    <n v="319906.272"/>
    <n v="20"/>
    <n v="213270.848"/>
    <m/>
    <n v="0"/>
    <n v="50"/>
    <n v="533177.12"/>
    <n v="40"/>
    <n v="426541.696"/>
    <m/>
    <n v="0"/>
    <m/>
    <n v="0"/>
    <m/>
    <n v="0"/>
  </r>
  <r>
    <n v="267"/>
    <s v="Lámina portaobjetos de 76 x 26 mm (3&quot; x 1&quot;) Esmerilada"/>
    <s v="Cualquier marca"/>
    <s v="Caja x 50 "/>
    <x v="0"/>
    <x v="0"/>
    <n v="100"/>
    <n v="13654.536"/>
    <n v="1365453.6"/>
    <m/>
    <n v="0"/>
    <n v="70"/>
    <n v="955817.52"/>
    <m/>
    <n v="0"/>
    <m/>
    <n v="0"/>
    <n v="30"/>
    <n v="409636.08"/>
    <m/>
    <n v="0"/>
    <m/>
    <n v="0"/>
    <m/>
    <n v="0"/>
    <m/>
    <n v="0"/>
  </r>
  <r>
    <n v="268"/>
    <s v="Lámina portaobjetos excavada de una cavidad de 76 x 26 (aprox)"/>
    <s v="Fisher o equivalente"/>
    <s v="Caja x 50 "/>
    <x v="0"/>
    <x v="1"/>
    <n v="4"/>
    <n v="123541.04"/>
    <n v="494164.16"/>
    <m/>
    <n v="0"/>
    <m/>
    <n v="0"/>
    <m/>
    <n v="0"/>
    <m/>
    <n v="0"/>
    <n v="4"/>
    <n v="494164.16"/>
    <m/>
    <n v="0"/>
    <m/>
    <n v="0"/>
    <m/>
    <n v="0"/>
    <m/>
    <n v="0"/>
  </r>
  <r>
    <n v="269"/>
    <s v="Láminilla circular 22 mm"/>
    <s v="Cualquier marca"/>
    <s v="Caja x 100"/>
    <x v="0"/>
    <x v="1"/>
    <n v="7"/>
    <n v="252413.8512"/>
    <n v="1766896.9584000001"/>
    <m/>
    <n v="0"/>
    <n v="3"/>
    <n v="757241.55359999998"/>
    <m/>
    <n v="0"/>
    <m/>
    <n v="0"/>
    <n v="4"/>
    <n v="1009655.4048"/>
    <m/>
    <n v="0"/>
    <m/>
    <n v="0"/>
    <m/>
    <n v="0"/>
    <m/>
    <n v="0"/>
  </r>
  <r>
    <n v="270"/>
    <s v="Laminilla cubre objeto 22 x 22 mm"/>
    <s v="Cualquier marca"/>
    <s v="Caja x 100 "/>
    <x v="0"/>
    <x v="1"/>
    <n v="104"/>
    <n v="6892.2896000000001"/>
    <n v="716798.11840000004"/>
    <n v="15"/>
    <n v="103384.344"/>
    <n v="40"/>
    <n v="275691.58400000003"/>
    <n v="4"/>
    <n v="27569.1584"/>
    <m/>
    <n v="0"/>
    <n v="5"/>
    <n v="34461.448000000004"/>
    <n v="40"/>
    <n v="275691.58400000003"/>
    <m/>
    <n v="0"/>
    <m/>
    <n v="0"/>
    <m/>
    <n v="0"/>
  </r>
  <r>
    <n v="271"/>
    <s v="Laminilla cubre objeto 22 x 44 mm"/>
    <s v="Cualquier marca"/>
    <s v="Caja x 100 "/>
    <x v="0"/>
    <x v="3"/>
    <n v="19"/>
    <n v="14085.099200000001"/>
    <n v="267616.8848"/>
    <m/>
    <n v="0"/>
    <n v="12"/>
    <n v="169021.19040000002"/>
    <n v="2"/>
    <n v="28170.198400000001"/>
    <m/>
    <n v="0"/>
    <n v="5"/>
    <n v="70425.495999999999"/>
    <m/>
    <n v="0"/>
    <m/>
    <n v="0"/>
    <m/>
    <n v="0"/>
    <m/>
    <n v="0"/>
  </r>
  <r>
    <n v="272"/>
    <s v="Laminilla cubre objeto 22 x 60 mm"/>
    <s v="Cualquier marca"/>
    <s v="Caja x 100 "/>
    <x v="0"/>
    <x v="3"/>
    <n v="14"/>
    <n v="44905.337599999999"/>
    <n v="628674.72640000004"/>
    <m/>
    <n v="0"/>
    <n v="10"/>
    <n v="449053.37599999999"/>
    <m/>
    <n v="0"/>
    <m/>
    <n v="0"/>
    <n v="4"/>
    <n v="179621.3504"/>
    <m/>
    <n v="0"/>
    <m/>
    <n v="0"/>
    <m/>
    <n v="0"/>
    <m/>
    <n v="0"/>
  </r>
  <r>
    <n v="273"/>
    <s v="Laminilla cubre objeto circular 15 mm"/>
    <s v="Cualquier marca"/>
    <s v="Caja x 50 "/>
    <x v="0"/>
    <x v="1"/>
    <n v="4"/>
    <n v="91550.412800000006"/>
    <n v="366201.65120000002"/>
    <m/>
    <n v="0"/>
    <m/>
    <n v="0"/>
    <m/>
    <n v="0"/>
    <m/>
    <n v="0"/>
    <n v="4"/>
    <n v="366201.65120000002"/>
    <m/>
    <n v="0"/>
    <m/>
    <n v="0"/>
    <m/>
    <n v="0"/>
    <m/>
    <n v="0"/>
  </r>
  <r>
    <n v="274"/>
    <s v="Laminillas de Cuarzo para camara de Newbauer"/>
    <s v="OSSALUD o equivalente"/>
    <s v="Caja x 10 Unidades   "/>
    <x v="0"/>
    <x v="1"/>
    <n v="10"/>
    <n v="239929.704"/>
    <n v="2399297.04"/>
    <n v="4"/>
    <n v="959718.81599999999"/>
    <n v="3"/>
    <n v="719789.11199999996"/>
    <m/>
    <n v="0"/>
    <m/>
    <n v="0"/>
    <n v="2"/>
    <n v="479859.408"/>
    <m/>
    <n v="0"/>
    <m/>
    <n v="0"/>
    <n v="1"/>
    <n v="239929.704"/>
    <m/>
    <n v="0"/>
  </r>
  <r>
    <n v="275"/>
    <s v="Lampara magnificadora con luz led para insepccion de semillas"/>
    <s v="Cualquier marca"/>
    <s v="Unidad"/>
    <x v="0"/>
    <x v="1"/>
    <n v="6"/>
    <n v="1496277.0592"/>
    <n v="8977662.3552000001"/>
    <m/>
    <n v="0"/>
    <m/>
    <n v="0"/>
    <m/>
    <n v="0"/>
    <m/>
    <n v="0"/>
    <m/>
    <n v="0"/>
    <m/>
    <n v="0"/>
    <n v="6"/>
    <n v="8977662.3552000001"/>
    <m/>
    <n v="0"/>
    <m/>
    <n v="0"/>
  </r>
  <r>
    <n v="276"/>
    <s v="Lapiz marcador de vidrio con punta de diamante, especial para marcaciones finas, con repuestos para trabajo continuo de dos años Longitud total 152 mm (6 &quot;)"/>
    <s v="Musco Sports Lightining o su equivalente"/>
    <s v="Unidad"/>
    <x v="0"/>
    <x v="1"/>
    <n v="5"/>
    <n v="301310.0944"/>
    <n v="1506550.4720000001"/>
    <n v="1"/>
    <n v="301310.0944"/>
    <n v="3"/>
    <n v="903930.28319999995"/>
    <m/>
    <n v="0"/>
    <m/>
    <n v="0"/>
    <n v="1"/>
    <n v="301310.0944"/>
    <m/>
    <n v="0"/>
    <m/>
    <n v="0"/>
    <m/>
    <n v="0"/>
    <m/>
    <n v="0"/>
  </r>
  <r>
    <n v="277"/>
    <s v="Lavador de ojos y facial, para la pared,  con control de flujo, tapas para el polvo,  brazo de acero galvanizado, con cobertura en poliuretano, flujo minimo de agua de 11,4L/min a 30psi cumple ANSI Z358"/>
    <s v="Fisherbrand 19-120-572 o equivalente"/>
    <s v="Unidad"/>
    <x v="0"/>
    <x v="1"/>
    <n v="2"/>
    <n v="3622743.4655999998"/>
    <n v="7245486.9311999995"/>
    <n v="1"/>
    <n v="3622743.4655999998"/>
    <m/>
    <n v="0"/>
    <m/>
    <n v="0"/>
    <m/>
    <n v="0"/>
    <n v="1"/>
    <n v="3622743.4655999998"/>
    <m/>
    <n v="0"/>
    <m/>
    <n v="0"/>
    <m/>
    <n v="0"/>
    <m/>
    <n v="0"/>
  </r>
  <r>
    <n v="278"/>
    <s v="Lector de microchip tipo baston para escaneo de ganado , portatil, con panel lcd, resistente al agua , garantía de un año"/>
    <s v="No específico"/>
    <s v="Unidad"/>
    <x v="0"/>
    <x v="3"/>
    <n v="1"/>
    <n v="5221310.9759999998"/>
    <n v="5221310.9759999998"/>
    <n v="1"/>
    <n v="5221310.9759999998"/>
    <m/>
    <n v="0"/>
    <m/>
    <n v="0"/>
    <m/>
    <n v="0"/>
    <m/>
    <n v="0"/>
    <m/>
    <n v="0"/>
    <m/>
    <n v="0"/>
    <m/>
    <n v="0"/>
    <m/>
    <n v="0"/>
  </r>
  <r>
    <n v="279"/>
    <s v="Lupa 20X. Lente 21mm cuerpo metálico, cromo "/>
    <s v="Cualquier marca"/>
    <s v="Unidad"/>
    <x v="0"/>
    <x v="9"/>
    <n v="34"/>
    <n v="158674.56"/>
    <n v="5394935.04"/>
    <m/>
    <n v="0"/>
    <n v="2"/>
    <n v="317349.12"/>
    <m/>
    <n v="0"/>
    <m/>
    <n v="0"/>
    <n v="2"/>
    <n v="317349.12"/>
    <m/>
    <n v="0"/>
    <m/>
    <n v="0"/>
    <m/>
    <n v="0"/>
    <n v="30"/>
    <n v="4760236.8"/>
  </r>
  <r>
    <n v="280"/>
    <s v="Maceradores en PP para viales de 1.5"/>
    <s v="SSI Plastic o equivalente"/>
    <s v="Paquete x 10"/>
    <x v="0"/>
    <x v="0"/>
    <n v="3"/>
    <n v="331610.15999999997"/>
    <n v="994830.48"/>
    <m/>
    <n v="0"/>
    <n v="2"/>
    <n v="663220.31999999995"/>
    <m/>
    <n v="0"/>
    <m/>
    <n v="0"/>
    <n v="1"/>
    <n v="331610.15999999997"/>
    <m/>
    <n v="0"/>
    <m/>
    <n v="0"/>
    <m/>
    <n v="0"/>
    <m/>
    <n v="0"/>
  </r>
  <r>
    <n v="281"/>
    <s v="Mango para bisturí en acero inoxidable No. 3"/>
    <s v="Hospital, Dimeda o equivalente"/>
    <s v="Unidad"/>
    <x v="0"/>
    <x v="9"/>
    <n v="26"/>
    <n v="14424.96"/>
    <n v="375048.95999999996"/>
    <m/>
    <n v="0"/>
    <n v="14"/>
    <n v="201949.44"/>
    <m/>
    <n v="0"/>
    <m/>
    <n v="0"/>
    <n v="12"/>
    <n v="173099.51999999999"/>
    <m/>
    <n v="0"/>
    <m/>
    <n v="0"/>
    <m/>
    <n v="0"/>
    <m/>
    <n v="0"/>
  </r>
  <r>
    <n v="282"/>
    <s v="Mango para bisturí en acero inoxidable No. 4"/>
    <s v="Hospital, Dimeda o equivalente"/>
    <s v="Unidad"/>
    <x v="0"/>
    <x v="9"/>
    <n v="213"/>
    <n v="19888.96"/>
    <n v="4236348.4799999995"/>
    <m/>
    <n v="0"/>
    <n v="20"/>
    <n v="397779.19999999995"/>
    <m/>
    <n v="0"/>
    <m/>
    <n v="0"/>
    <n v="18"/>
    <n v="358001.27999999997"/>
    <m/>
    <n v="0"/>
    <m/>
    <n v="0"/>
    <m/>
    <n v="0"/>
    <n v="175"/>
    <n v="3480568"/>
  </r>
  <r>
    <n v="283"/>
    <s v="Manguera caucho látex (diámetro interno 6 mm, diámetro externo 11 mm, para fluidos gases y líquidos)"/>
    <s v="Cualquier marca"/>
    <s v="Bolsa x 10 m"/>
    <x v="0"/>
    <x v="6"/>
    <n v="2"/>
    <n v="357618.8"/>
    <n v="715237.6"/>
    <m/>
    <n v="0"/>
    <n v="1"/>
    <n v="357618.8"/>
    <m/>
    <n v="0"/>
    <m/>
    <n v="0"/>
    <m/>
    <n v="0"/>
    <n v="1"/>
    <n v="357618.8"/>
    <m/>
    <n v="0"/>
    <m/>
    <n v="0"/>
    <m/>
    <n v="0"/>
  </r>
  <r>
    <n v="284"/>
    <s v="Manguera de Silicona para Bomba de Filtración "/>
    <s v="Cualquier marca"/>
    <s v="5 Metros "/>
    <x v="0"/>
    <x v="0"/>
    <n v="2"/>
    <n v="309502.81599999999"/>
    <n v="619005.63199999998"/>
    <m/>
    <n v="0"/>
    <n v="2"/>
    <n v="619005.63199999998"/>
    <m/>
    <n v="0"/>
    <m/>
    <n v="0"/>
    <m/>
    <n v="0"/>
    <m/>
    <n v="0"/>
    <m/>
    <n v="0"/>
    <m/>
    <n v="0"/>
    <m/>
    <n v="0"/>
  </r>
  <r>
    <n v="285"/>
    <s v="Martillo en acero inoxidable con pico de 20 cm incluida la cabeza mango antideslizante (Para necropsia)"/>
    <s v="Cualquier marca"/>
    <s v="Unidad"/>
    <x v="0"/>
    <x v="9"/>
    <n v="2"/>
    <n v="191240"/>
    <n v="382480"/>
    <m/>
    <n v="0"/>
    <n v="2"/>
    <n v="382480"/>
    <m/>
    <n v="0"/>
    <m/>
    <n v="0"/>
    <m/>
    <n v="0"/>
    <m/>
    <n v="0"/>
    <m/>
    <n v="0"/>
    <m/>
    <n v="0"/>
    <m/>
    <n v="0"/>
  </r>
  <r>
    <n v="286"/>
    <s v="Mechas para mechero de alcohol"/>
    <s v="Cualquier marca"/>
    <s v="Paquete"/>
    <x v="0"/>
    <x v="1"/>
    <n v="40"/>
    <n v="25098.337599999999"/>
    <n v="1003933.504"/>
    <m/>
    <n v="0"/>
    <n v="30"/>
    <n v="752950.12800000003"/>
    <m/>
    <n v="0"/>
    <m/>
    <n v="0"/>
    <n v="10"/>
    <n v="250983.37599999999"/>
    <m/>
    <n v="0"/>
    <m/>
    <n v="0"/>
    <m/>
    <n v="0"/>
    <m/>
    <n v="0"/>
  </r>
  <r>
    <n v="287"/>
    <s v="Membranas millipore en esteres de celulosa, 0,45 µm de poro absoluto, 47 mm de diámetro, estériles en sobres individuales."/>
    <s v="Millipore HAWG047S6 0 equivalente"/>
    <s v="Caja x 150"/>
    <x v="0"/>
    <x v="1"/>
    <n v="1"/>
    <n v="1211482.4512"/>
    <n v="1211482.4512"/>
    <m/>
    <n v="0"/>
    <m/>
    <n v="0"/>
    <n v="1"/>
    <n v="1211482.4512"/>
    <m/>
    <n v="0"/>
    <m/>
    <n v="0"/>
    <m/>
    <n v="0"/>
    <m/>
    <n v="0"/>
    <m/>
    <n v="0"/>
    <m/>
    <n v="0"/>
  </r>
  <r>
    <n v="288"/>
    <s v="Microespatula de metal, con cucharita"/>
    <s v="ISOLAB o equivalente"/>
    <s v="Unidad"/>
    <x v="0"/>
    <x v="1"/>
    <n v="8"/>
    <n v="79196.308799999999"/>
    <n v="633570.47039999999"/>
    <m/>
    <n v="0"/>
    <n v="8"/>
    <n v="633570.47039999999"/>
    <m/>
    <n v="0"/>
    <m/>
    <n v="0"/>
    <m/>
    <n v="0"/>
    <m/>
    <n v="0"/>
    <m/>
    <n v="0"/>
    <m/>
    <n v="0"/>
    <m/>
    <n v="0"/>
  </r>
  <r>
    <n v="289"/>
    <s v="Microespatula en Acero inoxidable, Doble (Espátula -Cuchara) de 150 mm de Longitud x 5 mm de Ancho"/>
    <s v="Boeco (3302) o equivalente"/>
    <s v="unidad"/>
    <x v="0"/>
    <x v="1"/>
    <n v="7"/>
    <n v="71653.803199999995"/>
    <n v="501576.62239999999"/>
    <m/>
    <n v="0"/>
    <m/>
    <n v="0"/>
    <m/>
    <n v="0"/>
    <m/>
    <n v="0"/>
    <m/>
    <n v="0"/>
    <n v="3"/>
    <n v="214961.40959999998"/>
    <m/>
    <n v="0"/>
    <n v="4"/>
    <n v="286615.21279999998"/>
    <m/>
    <n v="0"/>
  </r>
  <r>
    <n v="290"/>
    <s v="Micropipeta de 100-1000 µl  _x000a_con certificado de calibración y trazabilidad expedida por laboratorio acreditado ante el ONAC."/>
    <s v="Transferpette Brand 704180 o equivalente"/>
    <s v="Unidad"/>
    <x v="0"/>
    <x v="1"/>
    <n v="5"/>
    <n v="1937643.68"/>
    <n v="9688218.4000000004"/>
    <m/>
    <n v="0"/>
    <m/>
    <n v="0"/>
    <m/>
    <n v="0"/>
    <m/>
    <n v="0"/>
    <n v="2"/>
    <n v="3875287.36"/>
    <n v="3"/>
    <n v="5812931.04"/>
    <m/>
    <n v="0"/>
    <m/>
    <n v="0"/>
    <m/>
    <n v="0"/>
  </r>
  <r>
    <n v="291"/>
    <s v="Micropipeta de 10-100 µl autoclavable _x000a_con certificado de calibración y trazabilidad expedida por laboratorio acreditado ante el ONAC"/>
    <s v="Finnpipette o equivalente"/>
    <s v="Unidad"/>
    <x v="0"/>
    <x v="1"/>
    <n v="2"/>
    <n v="2040377.808"/>
    <n v="4080755.6159999999"/>
    <m/>
    <n v="0"/>
    <m/>
    <n v="0"/>
    <m/>
    <n v="0"/>
    <m/>
    <n v="0"/>
    <n v="2"/>
    <n v="4080755.6159999999"/>
    <m/>
    <n v="0"/>
    <m/>
    <n v="0"/>
    <m/>
    <n v="0"/>
    <m/>
    <n v="0"/>
  </r>
  <r>
    <n v="292"/>
    <s v="Micropipeta de 0.5-1 a 10 µl autoclavable con certificado de calibración y trazabilidad expedida por laboratorio acreditado ante el ONAC"/>
    <s v="Finnpipette o equivalente"/>
    <s v="Unidad"/>
    <x v="0"/>
    <x v="1"/>
    <n v="5"/>
    <n v="1946746.7039999999"/>
    <n v="9733733.5199999996"/>
    <m/>
    <n v="0"/>
    <m/>
    <n v="0"/>
    <m/>
    <n v="0"/>
    <m/>
    <n v="0"/>
    <n v="2"/>
    <n v="3893493.4079999998"/>
    <n v="3"/>
    <n v="5840240.1119999997"/>
    <m/>
    <n v="0"/>
    <m/>
    <n v="0"/>
    <m/>
    <n v="0"/>
  </r>
  <r>
    <n v="293"/>
    <s v="Micropipeta de 2- 20 µl  autoclavable _x000a_con certificado de calibración y trazabilidad expedida por laboratorio acreditado ante el ONAC"/>
    <s v="Finnpipette o equivalente"/>
    <s v="Unidad"/>
    <x v="0"/>
    <x v="1"/>
    <n v="2"/>
    <n v="2526999.4624000001"/>
    <n v="5053998.9248000002"/>
    <m/>
    <n v="0"/>
    <m/>
    <n v="0"/>
    <m/>
    <n v="0"/>
    <m/>
    <n v="0"/>
    <n v="2"/>
    <n v="5053998.9248000002"/>
    <m/>
    <n v="0"/>
    <m/>
    <n v="0"/>
    <m/>
    <n v="0"/>
    <m/>
    <n v="0"/>
  </r>
  <r>
    <n v="294"/>
    <s v="Micropipeta de 5-50 µl_x000a_Con certificado de calibración y trazabilidad expedida por laboratorio acreditado ante el ONAC"/>
    <s v="Finnpipette Labsystems o equivalente"/>
    <s v="Unidad"/>
    <x v="0"/>
    <x v="1"/>
    <n v="1"/>
    <n v="2444031.9007999999"/>
    <n v="2444031.9007999999"/>
    <n v="1"/>
    <n v="2444031.9007999999"/>
    <m/>
    <n v="0"/>
    <m/>
    <n v="0"/>
    <m/>
    <n v="0"/>
    <m/>
    <n v="0"/>
    <m/>
    <n v="0"/>
    <m/>
    <n v="0"/>
    <m/>
    <n v="0"/>
    <m/>
    <n v="0"/>
  </r>
  <r>
    <n v="295"/>
    <s v="Microplaca de 96 pozos fondo plano Inmunol 1B , diseñada para absorción de moléculas hidrófobas"/>
    <s v="Thermo 3355 o equivalente"/>
    <s v="Caja x 50"/>
    <x v="0"/>
    <x v="8"/>
    <n v="1"/>
    <n v="1642185.5296"/>
    <n v="1642185.5296"/>
    <m/>
    <n v="0"/>
    <m/>
    <n v="0"/>
    <n v="1"/>
    <n v="1642185.5296"/>
    <m/>
    <n v="0"/>
    <m/>
    <n v="0"/>
    <m/>
    <n v="0"/>
    <m/>
    <n v="0"/>
    <m/>
    <n v="0"/>
    <m/>
    <n v="0"/>
  </r>
  <r>
    <n v="296"/>
    <s v="Microplaca de predilución fondo plano de 96 pozos estéril"/>
    <s v="Costar, brand, thermo  o equivalente"/>
    <s v="Caja x 50 "/>
    <x v="0"/>
    <x v="1"/>
    <n v="1"/>
    <n v="2359373.7776000001"/>
    <n v="2359373.7776000001"/>
    <m/>
    <n v="0"/>
    <n v="1"/>
    <n v="2359373.7776000001"/>
    <m/>
    <n v="0"/>
    <m/>
    <n v="0"/>
    <m/>
    <n v="0"/>
    <m/>
    <n v="0"/>
    <m/>
    <n v="0"/>
    <m/>
    <n v="0"/>
    <m/>
    <n v="0"/>
  </r>
  <r>
    <n v="297"/>
    <s v="Microplaca flexible de 96 pozos, fondo en U sin tapa no estériles, 250 µl. Sin tapa. (No son para cultivo celular)"/>
    <s v="Falcon 353911, Costar 2797 o equivalente"/>
    <s v="Caja x 100 "/>
    <x v="0"/>
    <x v="1"/>
    <n v="5"/>
    <n v="3498162.08"/>
    <n v="17490810.399999999"/>
    <n v="2"/>
    <n v="6996324.1600000001"/>
    <n v="1"/>
    <n v="3498162.08"/>
    <n v="2"/>
    <n v="6996324.1600000001"/>
    <m/>
    <n v="0"/>
    <m/>
    <n v="0"/>
    <m/>
    <n v="0"/>
    <m/>
    <n v="0"/>
    <m/>
    <n v="0"/>
    <m/>
    <n v="0"/>
  </r>
  <r>
    <n v="298"/>
    <s v="Microplaca fondo en V sin tapa, poliestireno, claro; no tratada; no estériles (No son para cultivo celular)"/>
    <s v="Corning, Costar, Falcon o equivalente"/>
    <s v="Caja x 50 "/>
    <x v="0"/>
    <x v="1"/>
    <n v="2"/>
    <n v="2040377.808"/>
    <n v="4080755.6159999999"/>
    <m/>
    <n v="0"/>
    <n v="2"/>
    <n v="4080755.6159999999"/>
    <m/>
    <n v="0"/>
    <m/>
    <n v="0"/>
    <m/>
    <n v="0"/>
    <m/>
    <n v="0"/>
    <m/>
    <n v="0"/>
    <m/>
    <n v="0"/>
    <m/>
    <n v="0"/>
  </r>
  <r>
    <n v="299"/>
    <s v="Microplaca maxisorp (Certificada)"/>
    <s v="Nunc 439454, Fisher 12-565-135 o equivalente"/>
    <s v="Caja x 60"/>
    <x v="0"/>
    <x v="1"/>
    <n v="4"/>
    <n v="4662048.72"/>
    <n v="18648194.879999999"/>
    <n v="4"/>
    <n v="18648194.879999999"/>
    <m/>
    <n v="0"/>
    <m/>
    <n v="0"/>
    <m/>
    <n v="0"/>
    <m/>
    <n v="0"/>
    <m/>
    <n v="0"/>
    <m/>
    <n v="0"/>
    <m/>
    <n v="0"/>
    <m/>
    <n v="0"/>
  </r>
  <r>
    <n v="300"/>
    <s v="Microplaca negra plana para Fluorescencia Polarizada"/>
    <s v="Costar, brand, thermo  o equivalente"/>
    <s v="Caja x 50"/>
    <x v="0"/>
    <x v="1"/>
    <n v="1"/>
    <n v="5000421.1264000004"/>
    <n v="5000421.1264000004"/>
    <m/>
    <n v="0"/>
    <n v="1"/>
    <n v="5000421.1264000004"/>
    <m/>
    <n v="0"/>
    <m/>
    <n v="0"/>
    <m/>
    <n v="0"/>
    <m/>
    <n v="0"/>
    <m/>
    <n v="0"/>
    <m/>
    <n v="0"/>
    <m/>
    <n v="0"/>
  </r>
  <r>
    <n v="301"/>
    <s v="Microplacas de 96 pozos para fijar anticuerpos  optimizado para la inmovilización de IgG_x000a_Alta capacidad de adherencia para moléculas con mezcla hidrófoba e hidrófila regiones_x000a_Diseñado para minimizar la contaminación cruzada_x000a_Relieve alfanumérico azul para una fácil identificación de los pocillos en placas estándar_x000a_No estéril"/>
    <s v="Brand"/>
    <s v="Caja x 100 unidades"/>
    <x v="0"/>
    <x v="1"/>
    <n v="15"/>
    <n v="2443901.8575999998"/>
    <n v="36658527.863999993"/>
    <n v="15"/>
    <n v="36658527.863999993"/>
    <m/>
    <n v="0"/>
    <m/>
    <n v="0"/>
    <m/>
    <n v="0"/>
    <m/>
    <n v="0"/>
    <m/>
    <n v="0"/>
    <m/>
    <n v="0"/>
    <m/>
    <n v="0"/>
    <m/>
    <n v="0"/>
  </r>
  <r>
    <n v="302"/>
    <s v="Minuten Entomológico en Acero Inoxidable 0,15mm x 12 mm"/>
    <s v="Cualquier marca o equivalente"/>
    <s v="Caja x 500"/>
    <x v="0"/>
    <x v="3"/>
    <n v="3"/>
    <n v="364751.50559999997"/>
    <n v="1094254.5167999999"/>
    <m/>
    <n v="0"/>
    <m/>
    <n v="0"/>
    <m/>
    <n v="0"/>
    <m/>
    <n v="0"/>
    <n v="1"/>
    <n v="364751.50559999997"/>
    <n v="2"/>
    <n v="729503.01119999995"/>
    <m/>
    <n v="0"/>
    <m/>
    <n v="0"/>
    <m/>
    <n v="0"/>
  </r>
  <r>
    <n v="303"/>
    <s v="Mortero 50 - 65 ml  de porcelana  con pistilo autoclavable para el macerado de tejido vegetal, barnizado Ø=80 mm y 41 mm de alto (aprox.)"/>
    <s v="Cualquier marca"/>
    <s v="Unidad"/>
    <x v="0"/>
    <x v="1"/>
    <n v="3"/>
    <n v="360999.92320000002"/>
    <n v="1082999.7696"/>
    <m/>
    <n v="0"/>
    <m/>
    <n v="0"/>
    <m/>
    <n v="0"/>
    <m/>
    <n v="0"/>
    <n v="3"/>
    <n v="1082999.7696"/>
    <m/>
    <n v="0"/>
    <m/>
    <n v="0"/>
    <m/>
    <n v="0"/>
    <m/>
    <n v="0"/>
  </r>
  <r>
    <n v="304"/>
    <s v="Mortero de cerámica con pistilo. De buena calidad y sin rugocidades"/>
    <s v="Cualquier marca. "/>
    <s v="Unidad"/>
    <x v="0"/>
    <x v="1"/>
    <n v="1"/>
    <n v="410546.3824"/>
    <n v="410546.3824"/>
    <m/>
    <n v="0"/>
    <n v="1"/>
    <n v="410546.3824"/>
    <m/>
    <n v="0"/>
    <m/>
    <n v="0"/>
    <m/>
    <n v="0"/>
    <m/>
    <n v="0"/>
    <m/>
    <n v="0"/>
    <m/>
    <n v="0"/>
    <m/>
    <n v="0"/>
  </r>
  <r>
    <n v="305"/>
    <s v="Ovoscopio"/>
    <s v="Tech o equivalente"/>
    <s v="Unidad"/>
    <x v="0"/>
    <x v="3"/>
    <n v="1"/>
    <n v="191918.62880000001"/>
    <n v="191918.62880000001"/>
    <m/>
    <n v="0"/>
    <n v="1"/>
    <n v="191918.62880000001"/>
    <m/>
    <n v="0"/>
    <m/>
    <n v="0"/>
    <m/>
    <n v="0"/>
    <m/>
    <n v="0"/>
    <m/>
    <n v="0"/>
    <m/>
    <n v="0"/>
    <m/>
    <n v="0"/>
  </r>
  <r>
    <n v="306"/>
    <s v="Palillos plásticos"/>
    <s v="Cualquier marca"/>
    <s v="Bolsa x 1000"/>
    <x v="0"/>
    <x v="3"/>
    <n v="10"/>
    <n v="54696.825599999996"/>
    <n v="546968.25599999994"/>
    <m/>
    <n v="0"/>
    <n v="10"/>
    <n v="546968.25599999994"/>
    <m/>
    <n v="0"/>
    <m/>
    <n v="0"/>
    <m/>
    <n v="0"/>
    <m/>
    <n v="0"/>
    <m/>
    <n v="0"/>
    <m/>
    <n v="0"/>
    <m/>
    <n v="0"/>
  </r>
  <r>
    <n v="307"/>
    <s v="Paño absorbente para control de derrames"/>
    <s v="Fisher 74050 Versi dry o equivalente"/>
    <s v="Caja x 4 rollos"/>
    <x v="0"/>
    <x v="1"/>
    <n v="3"/>
    <n v="5059460.7391999997"/>
    <n v="15178382.217599999"/>
    <n v="1"/>
    <n v="5059460.7391999997"/>
    <n v="1"/>
    <n v="5059460.7391999997"/>
    <n v="1"/>
    <n v="5059460.7391999997"/>
    <m/>
    <n v="0"/>
    <m/>
    <n v="0"/>
    <m/>
    <n v="0"/>
    <m/>
    <n v="0"/>
    <m/>
    <n v="0"/>
    <m/>
    <n v="0"/>
  </r>
  <r>
    <n v="308"/>
    <s v="Paño absorbente para control de derrames. Dimensiones 23&quot;- 28&quot; x 24&quot;-36&quot;. Capacidad de absorción 570 ml o superior."/>
    <s v="Versi dry o equivalente"/>
    <s v="Paquete x 200 "/>
    <x v="0"/>
    <x v="1"/>
    <n v="2"/>
    <n v="3511166.4"/>
    <n v="7022332.7999999998"/>
    <m/>
    <n v="0"/>
    <n v="1"/>
    <n v="3511166.4"/>
    <n v="1"/>
    <n v="3511166.4"/>
    <m/>
    <n v="0"/>
    <m/>
    <n v="0"/>
    <m/>
    <n v="0"/>
    <m/>
    <n v="0"/>
    <m/>
    <n v="0"/>
    <m/>
    <n v="0"/>
  </r>
  <r>
    <n v="309"/>
    <s v="Papel aluminio"/>
    <s v="Cualquier marca"/>
    <s v="Rollo x 40 m o superior"/>
    <x v="0"/>
    <x v="1"/>
    <n v="127"/>
    <n v="68272.679999999993"/>
    <n v="8670630.3599999994"/>
    <n v="30"/>
    <n v="2048180.4"/>
    <n v="15"/>
    <n v="1024090.2"/>
    <m/>
    <n v="0"/>
    <m/>
    <n v="0"/>
    <n v="26"/>
    <n v="1775089.6799999997"/>
    <n v="10"/>
    <n v="682726.79999999993"/>
    <n v="6"/>
    <n v="409636.07999999996"/>
    <n v="40"/>
    <n v="2730907.1999999997"/>
    <m/>
    <n v="0"/>
  </r>
  <r>
    <n v="310"/>
    <s v="Papel crepado"/>
    <s v="Cualquier marca"/>
    <s v="Rollo x 100 metros"/>
    <x v="0"/>
    <x v="1"/>
    <n v="33"/>
    <n v="258785.96799999999"/>
    <n v="8539936.9440000001"/>
    <n v="5"/>
    <n v="1293929.8399999999"/>
    <n v="5"/>
    <n v="1293929.8399999999"/>
    <m/>
    <n v="0"/>
    <m/>
    <n v="0"/>
    <n v="8"/>
    <n v="2070287.7439999999"/>
    <n v="10"/>
    <n v="2587859.6799999997"/>
    <m/>
    <n v="0"/>
    <n v="5"/>
    <n v="1293929.8399999999"/>
    <m/>
    <n v="0"/>
  </r>
  <r>
    <n v="311"/>
    <s v="Papel de arroz para limpiar lentes "/>
    <s v="Kimwipes o equivalente"/>
    <s v="Paquete x 12 libros x 50 hojas o Caja x 500 unidades"/>
    <x v="0"/>
    <x v="1"/>
    <n v="9"/>
    <n v="323937.61119999998"/>
    <n v="2915438.5008"/>
    <n v="5"/>
    <n v="1619688.0559999999"/>
    <n v="2"/>
    <n v="647875.22239999997"/>
    <m/>
    <n v="0"/>
    <m/>
    <n v="0"/>
    <n v="2"/>
    <n v="647875.22239999997"/>
    <m/>
    <n v="0"/>
    <m/>
    <n v="0"/>
    <m/>
    <n v="0"/>
    <m/>
    <n v="0"/>
  </r>
  <r>
    <n v="312"/>
    <s v="Papel de filtro grado No. 1 Ø 125 mm cualitativo"/>
    <s v="Whatman Ref: 1001 125 o equivalente"/>
    <s v="Caja x 100"/>
    <x v="0"/>
    <x v="1"/>
    <n v="48"/>
    <n v="157742.40160000001"/>
    <n v="7571635.276800001"/>
    <n v="15"/>
    <n v="2366136.0240000002"/>
    <n v="1"/>
    <n v="157742.40160000001"/>
    <m/>
    <n v="0"/>
    <m/>
    <n v="0"/>
    <n v="2"/>
    <n v="315484.80320000002"/>
    <m/>
    <n v="0"/>
    <m/>
    <n v="0"/>
    <n v="30"/>
    <n v="4732272.0480000004"/>
    <m/>
    <n v="0"/>
  </r>
  <r>
    <n v="313"/>
    <s v="Papel de filtro grado No. 1 Ø 150 mm cualitativo"/>
    <s v="Whatman o equivalente"/>
    <s v="Caja x 100 "/>
    <x v="0"/>
    <x v="1"/>
    <n v="1"/>
    <n v="220943.39679999999"/>
    <n v="220943.39679999999"/>
    <m/>
    <n v="0"/>
    <n v="1"/>
    <n v="220943.39679999999"/>
    <m/>
    <n v="0"/>
    <m/>
    <n v="0"/>
    <m/>
    <n v="0"/>
    <m/>
    <n v="0"/>
    <m/>
    <n v="0"/>
    <m/>
    <n v="0"/>
    <m/>
    <n v="0"/>
  </r>
  <r>
    <n v="314"/>
    <s v="Papel de filtro grado No. 1 Ø 185 mm"/>
    <s v="Whatman o equivalente"/>
    <s v="Caja x 100 "/>
    <x v="0"/>
    <x v="1"/>
    <n v="2"/>
    <n v="282974.00319999998"/>
    <n v="565948.00639999995"/>
    <m/>
    <n v="0"/>
    <n v="1"/>
    <n v="282974.00319999998"/>
    <m/>
    <n v="0"/>
    <m/>
    <n v="0"/>
    <n v="1"/>
    <n v="282974.00319999998"/>
    <m/>
    <n v="0"/>
    <m/>
    <n v="0"/>
    <m/>
    <n v="0"/>
    <m/>
    <n v="0"/>
  </r>
  <r>
    <n v="315"/>
    <s v="Papel de filtro grado No. 1 Ø 90 mm"/>
    <s v="Whatman o equivalente"/>
    <s v="Caja x 100"/>
    <x v="0"/>
    <x v="1"/>
    <n v="7"/>
    <n v="136285.27359999999"/>
    <n v="953996.91519999993"/>
    <m/>
    <n v="0"/>
    <n v="2"/>
    <n v="272570.54719999997"/>
    <m/>
    <n v="0"/>
    <m/>
    <n v="0"/>
    <m/>
    <n v="0"/>
    <m/>
    <n v="0"/>
    <m/>
    <n v="0"/>
    <n v="5"/>
    <n v="681426.3679999999"/>
    <m/>
    <n v="0"/>
  </r>
  <r>
    <n v="316"/>
    <s v="Papel de filtro grado No. 2 Ø 110 mm"/>
    <s v="Whatman o equivalente"/>
    <s v="Caja x 100 "/>
    <x v="0"/>
    <x v="1"/>
    <n v="16"/>
    <n v="165935.1232"/>
    <n v="2654961.9712"/>
    <n v="15"/>
    <n v="2489026.8480000002"/>
    <n v="1"/>
    <n v="165935.1232"/>
    <m/>
    <n v="0"/>
    <m/>
    <n v="0"/>
    <m/>
    <n v="0"/>
    <m/>
    <n v="0"/>
    <m/>
    <n v="0"/>
    <m/>
    <n v="0"/>
    <m/>
    <n v="0"/>
  </r>
  <r>
    <n v="317"/>
    <s v="Papel de filtro grado No. 5 Ø 110 mm cualitativo"/>
    <s v="Whatman Ref: 1005 110 o equivalente"/>
    <s v="Caja x 100"/>
    <x v="0"/>
    <x v="1"/>
    <n v="10"/>
    <n v="277512.1888"/>
    <n v="2775121.8880000003"/>
    <m/>
    <n v="0"/>
    <m/>
    <n v="0"/>
    <m/>
    <n v="0"/>
    <m/>
    <n v="0"/>
    <m/>
    <n v="0"/>
    <m/>
    <n v="0"/>
    <m/>
    <n v="0"/>
    <n v="10"/>
    <n v="2775121.8880000003"/>
    <m/>
    <n v="0"/>
  </r>
  <r>
    <n v="318"/>
    <s v="Papel de filtro grado No. 5 Ø 150 mm cualitativo"/>
    <s v="Whatman Ref 1005 150 o equivalente"/>
    <s v="Caja x 100"/>
    <x v="0"/>
    <x v="1"/>
    <n v="15"/>
    <n v="379466.0576"/>
    <n v="5691990.8640000001"/>
    <m/>
    <n v="0"/>
    <m/>
    <n v="0"/>
    <m/>
    <n v="0"/>
    <m/>
    <n v="0"/>
    <m/>
    <n v="0"/>
    <m/>
    <n v="0"/>
    <m/>
    <n v="0"/>
    <n v="15"/>
    <n v="5691990.8640000001"/>
    <m/>
    <n v="0"/>
  </r>
  <r>
    <n v="319"/>
    <s v="Papel de germinación de semillas No. 38 (10&quot; x 15&quot;)"/>
    <s v="Anchor o equivalente"/>
    <s v="Caja x 1000"/>
    <x v="0"/>
    <x v="1"/>
    <n v="30"/>
    <n v="3002567.4448000002"/>
    <n v="90077023.344000012"/>
    <m/>
    <n v="0"/>
    <m/>
    <n v="0"/>
    <m/>
    <n v="0"/>
    <m/>
    <n v="0"/>
    <m/>
    <n v="0"/>
    <m/>
    <n v="0"/>
    <n v="30"/>
    <n v="90077023.344000012"/>
    <m/>
    <n v="0"/>
    <m/>
    <n v="0"/>
  </r>
  <r>
    <n v="320"/>
    <s v="Papel de germinación de semillas No. 76 (12&quot; x 18&quot;)"/>
    <s v="Anchor o equivalente"/>
    <s v="Caja x 1000"/>
    <x v="0"/>
    <x v="1"/>
    <n v="30"/>
    <n v="2988002.6063999999"/>
    <n v="89640078.192000002"/>
    <m/>
    <n v="0"/>
    <m/>
    <n v="0"/>
    <m/>
    <n v="0"/>
    <m/>
    <n v="0"/>
    <m/>
    <n v="0"/>
    <m/>
    <n v="0"/>
    <n v="30"/>
    <n v="89640078.192000002"/>
    <m/>
    <n v="0"/>
    <m/>
    <n v="0"/>
  </r>
  <r>
    <n v="321"/>
    <s v="Papel de germinación plisado 110 x 20 mm"/>
    <s v="Whatman  Ref 10345576 o equivalente"/>
    <s v="Paquete x 1000 "/>
    <x v="0"/>
    <x v="1"/>
    <n v="4"/>
    <n v="12700669.128"/>
    <n v="50802676.512000002"/>
    <m/>
    <n v="0"/>
    <m/>
    <n v="0"/>
    <m/>
    <n v="0"/>
    <m/>
    <n v="0"/>
    <m/>
    <n v="0"/>
    <m/>
    <n v="0"/>
    <n v="4"/>
    <n v="50802676.512000002"/>
    <m/>
    <n v="0"/>
    <m/>
    <n v="0"/>
  </r>
  <r>
    <n v="322"/>
    <s v="Papel filtro blanco 90mm de diámetro. Grado 113 , 30 µm,"/>
    <s v="Whatman  CAT No. 1113090 o equivalente"/>
    <s v="Caja X 100"/>
    <x v="0"/>
    <x v="1"/>
    <n v="1"/>
    <n v="579862.62879999995"/>
    <n v="579862.62879999995"/>
    <m/>
    <n v="0"/>
    <n v="1"/>
    <n v="579862.62879999995"/>
    <m/>
    <n v="0"/>
    <m/>
    <n v="0"/>
    <m/>
    <n v="0"/>
    <m/>
    <n v="0"/>
    <m/>
    <n v="0"/>
    <m/>
    <n v="0"/>
    <m/>
    <n v="0"/>
  </r>
  <r>
    <n v="323"/>
    <s v="Papel Filtro grado No. 1 blanco de 110 a 120 mm cualitativo"/>
    <s v=" Whatman o equivalente"/>
    <s v="Caja x 100 "/>
    <x v="0"/>
    <x v="1"/>
    <n v="15"/>
    <n v="178289.22719999999"/>
    <n v="2674338.4079999998"/>
    <m/>
    <n v="0"/>
    <m/>
    <n v="0"/>
    <m/>
    <n v="0"/>
    <m/>
    <n v="0"/>
    <m/>
    <n v="0"/>
    <m/>
    <n v="0"/>
    <m/>
    <n v="0"/>
    <n v="15"/>
    <n v="2674338.4079999998"/>
    <m/>
    <n v="0"/>
  </r>
  <r>
    <n v="324"/>
    <s v="Papel indicador de pH 6.4 - 8.0"/>
    <s v="Merck o equivalente"/>
    <s v="Rollo o Tira"/>
    <x v="0"/>
    <x v="1"/>
    <n v="9"/>
    <n v="310673.20480000001"/>
    <n v="2796058.8432"/>
    <n v="2"/>
    <n v="621346.40960000001"/>
    <n v="6"/>
    <n v="1864039.2288000002"/>
    <m/>
    <n v="0"/>
    <m/>
    <n v="0"/>
    <n v="1"/>
    <n v="310673.20480000001"/>
    <m/>
    <n v="0"/>
    <m/>
    <n v="0"/>
    <m/>
    <n v="0"/>
    <m/>
    <n v="0"/>
  </r>
  <r>
    <n v="325"/>
    <s v="Papel Kraft "/>
    <s v="Cualquier marca"/>
    <s v="Rollo x 50 - 61 cm de ancho x 200 metros o superior"/>
    <x v="0"/>
    <x v="1"/>
    <n v="106"/>
    <n v="109236.288"/>
    <n v="11579046.528000001"/>
    <n v="3"/>
    <n v="327708.864"/>
    <n v="15"/>
    <n v="1638544.32"/>
    <m/>
    <n v="0"/>
    <m/>
    <n v="0"/>
    <n v="8"/>
    <n v="873890.304"/>
    <n v="5"/>
    <n v="546181.43999999994"/>
    <n v="6"/>
    <n v="655417.728"/>
    <n v="2"/>
    <n v="218472.576"/>
    <n v="67"/>
    <n v="7318831.2960000001"/>
  </r>
  <r>
    <n v="326"/>
    <s v="Papel para esterilización sin fuelle indicadores para vapor, gas y formaldehido. 10 cm"/>
    <s v="Cualquier marca"/>
    <s v="rollo x 200m"/>
    <x v="0"/>
    <x v="3"/>
    <n v="2"/>
    <n v="613996.23679999996"/>
    <n v="1227992.4735999999"/>
    <m/>
    <n v="0"/>
    <m/>
    <n v="0"/>
    <m/>
    <n v="0"/>
    <m/>
    <n v="0"/>
    <m/>
    <n v="0"/>
    <m/>
    <n v="0"/>
    <m/>
    <n v="0"/>
    <n v="2"/>
    <n v="1227992.4735999999"/>
    <m/>
    <n v="0"/>
  </r>
  <r>
    <n v="327"/>
    <s v="Papel parafilm de 2” x 250 pies (38 m x 100 mm)"/>
    <s v="Brand o equivalente"/>
    <s v="Rollo x 38 m o superior"/>
    <x v="0"/>
    <x v="1"/>
    <n v="72"/>
    <n v="244611.2592"/>
    <n v="17612010.6624"/>
    <m/>
    <n v="0"/>
    <n v="5"/>
    <n v="1223056.2960000001"/>
    <m/>
    <n v="0"/>
    <m/>
    <n v="0"/>
    <n v="6"/>
    <n v="1467667.5552000001"/>
    <n v="8"/>
    <n v="1956890.0736"/>
    <m/>
    <n v="0"/>
    <n v="3"/>
    <n v="733833.77760000003"/>
    <n v="50"/>
    <n v="12230562.960000001"/>
  </r>
  <r>
    <n v="328"/>
    <s v="Perforadora de triángulos base redonda 3x13mm para uso entomológico"/>
    <s v="Cualquier marca"/>
    <s v="Unidad"/>
    <x v="0"/>
    <x v="3"/>
    <n v="3"/>
    <n v="145177.3872"/>
    <n v="435532.16159999999"/>
    <m/>
    <n v="0"/>
    <m/>
    <n v="0"/>
    <m/>
    <n v="0"/>
    <m/>
    <n v="0"/>
    <n v="3"/>
    <n v="435532.16159999999"/>
    <m/>
    <n v="0"/>
    <m/>
    <n v="0"/>
    <m/>
    <n v="0"/>
    <m/>
    <n v="0"/>
  </r>
  <r>
    <n v="329"/>
    <s v="Perlas de vidrio de 4 mm "/>
    <s v="Cualquier marca"/>
    <s v="Frasco x 1 kg"/>
    <x v="0"/>
    <x v="1"/>
    <n v="1"/>
    <n v="226015.0816"/>
    <n v="226015.0816"/>
    <m/>
    <n v="0"/>
    <m/>
    <n v="0"/>
    <n v="1"/>
    <n v="226015.0816"/>
    <m/>
    <n v="0"/>
    <m/>
    <n v="0"/>
    <m/>
    <n v="0"/>
    <m/>
    <n v="0"/>
    <m/>
    <n v="0"/>
    <m/>
    <n v="0"/>
  </r>
  <r>
    <n v="330"/>
    <s v="Perlas de zirconio"/>
    <s v="Cuaquier marca"/>
    <s v="Unidad"/>
    <x v="0"/>
    <x v="3"/>
    <n v="2"/>
    <n v="112994.42720000001"/>
    <n v="225988.85440000001"/>
    <m/>
    <n v="0"/>
    <m/>
    <n v="0"/>
    <m/>
    <n v="0"/>
    <m/>
    <n v="0"/>
    <n v="2"/>
    <n v="225988.85440000001"/>
    <m/>
    <n v="0"/>
    <m/>
    <n v="0"/>
    <m/>
    <n v="0"/>
    <m/>
    <n v="0"/>
  </r>
  <r>
    <n v="331"/>
    <s v="Perlas metalicas en Acero inoxidable 5mm de diametro"/>
    <s v="Cualquier marca"/>
    <s v="bolsa x 1000"/>
    <x v="0"/>
    <x v="3"/>
    <n v="1"/>
    <n v="5037873.568"/>
    <n v="5037873.568"/>
    <m/>
    <n v="0"/>
    <m/>
    <n v="0"/>
    <m/>
    <n v="0"/>
    <m/>
    <n v="0"/>
    <m/>
    <n v="0"/>
    <m/>
    <n v="0"/>
    <m/>
    <n v="0"/>
    <n v="1"/>
    <n v="5037873.568"/>
    <m/>
    <n v="0"/>
  </r>
  <r>
    <n v="332"/>
    <s v="Pincel No. 000"/>
    <s v="Cualquier marca"/>
    <s v="Unidad"/>
    <x v="0"/>
    <x v="9"/>
    <n v="40"/>
    <n v="29177.759999999998"/>
    <n v="1167110.3999999999"/>
    <m/>
    <n v="0"/>
    <m/>
    <n v="0"/>
    <m/>
    <n v="0"/>
    <m/>
    <n v="0"/>
    <n v="8"/>
    <n v="233422.07999999999"/>
    <m/>
    <n v="0"/>
    <m/>
    <n v="0"/>
    <m/>
    <n v="0"/>
    <n v="32"/>
    <n v="933688.31999999995"/>
  </r>
  <r>
    <n v="333"/>
    <s v="Pincel No. 0000"/>
    <s v="Cualquier marca"/>
    <s v="Unidad"/>
    <x v="0"/>
    <x v="10"/>
    <n v="8"/>
    <n v="33876.800000000003"/>
    <n v="271014.40000000002"/>
    <m/>
    <n v="0"/>
    <m/>
    <n v="0"/>
    <m/>
    <n v="0"/>
    <m/>
    <n v="0"/>
    <n v="8"/>
    <n v="271014.40000000002"/>
    <m/>
    <n v="0"/>
    <m/>
    <n v="0"/>
    <m/>
    <n v="0"/>
    <m/>
    <n v="0"/>
  </r>
  <r>
    <n v="334"/>
    <s v="Pinza de disección con garra en acero inoxidable de 11,5 cm"/>
    <s v="Dimeda o equivalente"/>
    <s v="Unidad"/>
    <x v="0"/>
    <x v="9"/>
    <n v="8"/>
    <n v="38357.279999999999"/>
    <n v="306858.23999999999"/>
    <m/>
    <n v="0"/>
    <n v="8"/>
    <n v="306858.23999999999"/>
    <m/>
    <n v="0"/>
    <m/>
    <n v="0"/>
    <m/>
    <n v="0"/>
    <m/>
    <n v="0"/>
    <m/>
    <n v="0"/>
    <m/>
    <n v="0"/>
    <m/>
    <n v="0"/>
  </r>
  <r>
    <n v="335"/>
    <s v="Pinza de disección con garra en acero inoxidable de 14,5 cm"/>
    <s v="Dimeda o equivalente"/>
    <s v="Unidad"/>
    <x v="0"/>
    <x v="9"/>
    <n v="206"/>
    <n v="30489.119999999999"/>
    <n v="6280758.7199999997"/>
    <n v="3"/>
    <n v="91467.36"/>
    <n v="4"/>
    <n v="121956.48"/>
    <m/>
    <n v="0"/>
    <m/>
    <n v="0"/>
    <n v="4"/>
    <n v="121956.48"/>
    <m/>
    <n v="0"/>
    <m/>
    <n v="0"/>
    <n v="20"/>
    <n v="609782.4"/>
    <n v="175"/>
    <n v="5335596"/>
  </r>
  <r>
    <n v="336"/>
    <s v="Pinza de disección sin garra en acero inoxidable de 14,5 cm"/>
    <s v="Dimeda o equivalente"/>
    <s v="Unidad"/>
    <x v="0"/>
    <x v="9"/>
    <n v="195"/>
    <n v="29614.880000000001"/>
    <n v="5774901.6000000006"/>
    <m/>
    <n v="0"/>
    <n v="20"/>
    <n v="592297.6"/>
    <m/>
    <n v="0"/>
    <m/>
    <n v="0"/>
    <m/>
    <n v="0"/>
    <m/>
    <n v="0"/>
    <m/>
    <n v="0"/>
    <m/>
    <n v="0"/>
    <n v="175"/>
    <n v="5182604"/>
  </r>
  <r>
    <n v="337"/>
    <s v="Pinza de disección sin garra en acero inoxidable de 16-20 cm"/>
    <s v="Dimeda o equivalente"/>
    <s v="Unidad"/>
    <x v="0"/>
    <x v="1"/>
    <n v="12"/>
    <n v="53837.8848"/>
    <n v="646054.6176"/>
    <m/>
    <n v="0"/>
    <n v="12"/>
    <n v="646054.6176"/>
    <m/>
    <n v="0"/>
    <m/>
    <n v="0"/>
    <m/>
    <n v="0"/>
    <m/>
    <n v="0"/>
    <m/>
    <n v="0"/>
    <m/>
    <n v="0"/>
    <m/>
    <n v="0"/>
  </r>
  <r>
    <n v="338"/>
    <s v="Pinza de disección sin garra en acero inoxidable recta de 12,1 cm de longitud"/>
    <s v="Dimeda o equivalente"/>
    <s v="Unidad"/>
    <x v="0"/>
    <x v="1"/>
    <n v="6"/>
    <n v="47855.897599999997"/>
    <n v="287135.38559999998"/>
    <m/>
    <n v="0"/>
    <n v="6"/>
    <n v="287135.38559999998"/>
    <m/>
    <n v="0"/>
    <m/>
    <n v="0"/>
    <m/>
    <n v="0"/>
    <m/>
    <n v="0"/>
    <m/>
    <n v="0"/>
    <m/>
    <n v="0"/>
    <m/>
    <n v="0"/>
  </r>
  <r>
    <n v="339"/>
    <s v="Pinza de precisión ESD 14 recta"/>
    <s v="Cualquier marca"/>
    <s v="Unidad"/>
    <x v="0"/>
    <x v="9"/>
    <n v="2"/>
    <n v="79009.440000000002"/>
    <n v="158018.88"/>
    <m/>
    <n v="0"/>
    <m/>
    <n v="0"/>
    <m/>
    <n v="0"/>
    <m/>
    <n v="0"/>
    <n v="2"/>
    <n v="158018.88"/>
    <m/>
    <n v="0"/>
    <m/>
    <n v="0"/>
    <m/>
    <n v="0"/>
    <m/>
    <n v="0"/>
  </r>
  <r>
    <n v="340"/>
    <s v="Pinza de precisión ESD 15 curva"/>
    <s v="Cualquier marca"/>
    <s v="Unidad"/>
    <x v="0"/>
    <x v="9"/>
    <n v="2"/>
    <n v="78463.039999999994"/>
    <n v="156926.07999999999"/>
    <m/>
    <n v="0"/>
    <m/>
    <n v="0"/>
    <m/>
    <n v="0"/>
    <m/>
    <n v="0"/>
    <n v="2"/>
    <n v="156926.07999999999"/>
    <m/>
    <n v="0"/>
    <m/>
    <n v="0"/>
    <m/>
    <n v="0"/>
    <m/>
    <n v="0"/>
  </r>
  <r>
    <n v="341"/>
    <s v="Pinza Entomológica punta aguda de acero inoxidable. Pinza punta fina de 12 cm."/>
    <s v="Biologika o equivalente"/>
    <s v="Unidad"/>
    <x v="0"/>
    <x v="1"/>
    <n v="41"/>
    <n v="86868.857600000003"/>
    <n v="3561623.1616000002"/>
    <m/>
    <n v="0"/>
    <m/>
    <n v="0"/>
    <m/>
    <n v="0"/>
    <m/>
    <n v="0"/>
    <n v="8"/>
    <n v="694950.86080000002"/>
    <m/>
    <n v="0"/>
    <m/>
    <n v="0"/>
    <m/>
    <n v="0"/>
    <n v="33"/>
    <n v="2866672.3008000003"/>
  </r>
  <r>
    <n v="342"/>
    <s v="Pinza entomológica punta fina curva en acero inoxidable "/>
    <s v="Biologika o equivalente"/>
    <s v="Unidad"/>
    <x v="0"/>
    <x v="1"/>
    <n v="11"/>
    <n v="86478.728000000003"/>
    <n v="951266.00800000003"/>
    <m/>
    <n v="0"/>
    <m/>
    <n v="0"/>
    <m/>
    <n v="0"/>
    <m/>
    <n v="0"/>
    <n v="8"/>
    <n v="691829.82400000002"/>
    <n v="3"/>
    <n v="259436.18400000001"/>
    <m/>
    <n v="0"/>
    <m/>
    <n v="0"/>
    <m/>
    <n v="0"/>
  </r>
  <r>
    <n v="343"/>
    <s v="Pinza entomológica punta fina para relojería en acero inoxidable No. 00"/>
    <s v="Biologika o equivalente"/>
    <s v="Unidad"/>
    <x v="0"/>
    <x v="9"/>
    <n v="42"/>
    <n v="88844.64"/>
    <n v="3731474.88"/>
    <m/>
    <n v="0"/>
    <m/>
    <n v="0"/>
    <m/>
    <n v="0"/>
    <m/>
    <n v="0"/>
    <n v="6"/>
    <n v="533067.84"/>
    <m/>
    <n v="0"/>
    <m/>
    <n v="0"/>
    <m/>
    <n v="0"/>
    <n v="36"/>
    <n v="3198407.04"/>
  </r>
  <r>
    <n v="344"/>
    <s v="Pinza Entomológica punta roma de acero de 12 cm."/>
    <s v="Biologika o equivalente"/>
    <s v="Unidad"/>
    <x v="0"/>
    <x v="9"/>
    <n v="4"/>
    <n v="103378.88"/>
    <n v="413515.52000000002"/>
    <m/>
    <n v="0"/>
    <m/>
    <n v="0"/>
    <m/>
    <n v="0"/>
    <m/>
    <n v="0"/>
    <n v="4"/>
    <n v="413515.52000000002"/>
    <m/>
    <n v="0"/>
    <m/>
    <n v="0"/>
    <m/>
    <n v="0"/>
    <m/>
    <n v="0"/>
  </r>
  <r>
    <n v="345"/>
    <s v="Pinza entomológica suave de puntas anchas para montaje de alas en acero inoxidable "/>
    <s v="Biologika o equivalente"/>
    <s v="Unidad"/>
    <x v="0"/>
    <x v="1"/>
    <n v="3"/>
    <n v="77765.833599999998"/>
    <n v="233297.50079999998"/>
    <m/>
    <n v="0"/>
    <m/>
    <n v="0"/>
    <m/>
    <n v="0"/>
    <m/>
    <n v="0"/>
    <n v="3"/>
    <n v="233297.50079999998"/>
    <m/>
    <n v="0"/>
    <m/>
    <n v="0"/>
    <m/>
    <n v="0"/>
    <m/>
    <n v="0"/>
  </r>
  <r>
    <n v="346"/>
    <s v="Pinza entomológica suave en acero inoxidable Featherweigh punta redonda"/>
    <s v="Biologika o equivalente"/>
    <s v="Unidad"/>
    <x v="0"/>
    <x v="9"/>
    <n v="28"/>
    <n v="140424.79999999999"/>
    <n v="3931894.3999999994"/>
    <m/>
    <n v="0"/>
    <m/>
    <n v="0"/>
    <m/>
    <n v="0"/>
    <m/>
    <n v="0"/>
    <m/>
    <n v="0"/>
    <n v="3"/>
    <n v="421274.39999999997"/>
    <m/>
    <n v="0"/>
    <m/>
    <n v="0"/>
    <n v="25"/>
    <n v="3510619.9999999995"/>
  </r>
  <r>
    <n v="347"/>
    <s v="Pipeta graduada con émbolo de aspiración, de vidrio al sodio y a la cal, vaciado completo de 5 ml "/>
    <s v="Pyrex , Corning, Kymax, Brand, Duran o marca equivalente"/>
    <s v="Unidad"/>
    <x v="0"/>
    <x v="3"/>
    <n v="10"/>
    <n v="72812.171199999997"/>
    <n v="728121.71199999994"/>
    <m/>
    <n v="0"/>
    <n v="10"/>
    <n v="728121.71199999994"/>
    <m/>
    <n v="0"/>
    <m/>
    <n v="0"/>
    <m/>
    <n v="0"/>
    <m/>
    <n v="0"/>
    <m/>
    <n v="0"/>
    <m/>
    <n v="0"/>
    <m/>
    <n v="0"/>
  </r>
  <r>
    <n v="348"/>
    <s v="Pipeta graduada de vidrio de 10 ml con certificado. Clase A/AS, impresión en cerámica cumpliendo norma ISO 12 600 (opcional) donde se indique: volumen nominal, fabricante, símbolo de Unidad, temperatura de referencia, clase y que cumpla con la norma DIN en ISO 835. Con certificado de fábrica."/>
    <s v="Pyrex , Corning, Kymax, Brand, Duran o marca equivalente"/>
    <s v="Unidad"/>
    <x v="0"/>
    <x v="1"/>
    <n v="20"/>
    <n v="35761.879999999997"/>
    <n v="715237.6"/>
    <m/>
    <n v="0"/>
    <n v="20"/>
    <n v="715237.6"/>
    <m/>
    <n v="0"/>
    <m/>
    <n v="0"/>
    <m/>
    <n v="0"/>
    <m/>
    <n v="0"/>
    <m/>
    <n v="0"/>
    <m/>
    <n v="0"/>
    <m/>
    <n v="0"/>
  </r>
  <r>
    <n v="349"/>
    <s v="Pipeta Pasteur de borosilicato ISO 7712. Punta fina, tubo de aspiración con estrechamiento para tapón de algodón volumen 2ml,  longitud 22,9 cm"/>
    <s v="VWR 14673-043 o equivalente"/>
    <s v="Caja x 1000"/>
    <x v="0"/>
    <x v="0"/>
    <n v="1"/>
    <n v="416138.23999999999"/>
    <n v="416138.23999999999"/>
    <m/>
    <n v="0"/>
    <n v="1"/>
    <n v="416138.23999999999"/>
    <m/>
    <n v="0"/>
    <m/>
    <n v="0"/>
    <m/>
    <n v="0"/>
    <m/>
    <n v="0"/>
    <m/>
    <n v="0"/>
    <m/>
    <n v="0"/>
    <m/>
    <n v="0"/>
  </r>
  <r>
    <n v="350"/>
    <s v="Pipeta pasteur desechable plastico Pe-Ld de 1 ml"/>
    <s v="Brand Ref: 747755 o equivalente"/>
    <s v="Caja x 500"/>
    <x v="0"/>
    <x v="1"/>
    <n v="2"/>
    <n v="558535.54399999999"/>
    <n v="1117071.088"/>
    <n v="2"/>
    <n v="1117071.088"/>
    <m/>
    <n v="0"/>
    <m/>
    <n v="0"/>
    <m/>
    <n v="0"/>
    <m/>
    <n v="0"/>
    <m/>
    <n v="0"/>
    <m/>
    <n v="0"/>
    <m/>
    <n v="0"/>
    <m/>
    <n v="0"/>
  </r>
  <r>
    <n v="351"/>
    <s v="Pipeta pasteur desechable plastico Pe-Ld de 3 ml"/>
    <s v="Brand Ref 747760 o equivalente"/>
    <s v="Caja x 500"/>
    <x v="0"/>
    <x v="1"/>
    <n v="6"/>
    <n v="512760.33759999997"/>
    <n v="3076562.0255999998"/>
    <n v="1"/>
    <n v="512760.33759999997"/>
    <n v="3"/>
    <n v="1538281.0127999999"/>
    <n v="2"/>
    <n v="1025520.6751999999"/>
    <m/>
    <n v="0"/>
    <m/>
    <n v="0"/>
    <m/>
    <n v="0"/>
    <m/>
    <n v="0"/>
    <m/>
    <n v="0"/>
    <m/>
    <n v="0"/>
  </r>
  <r>
    <n v="352"/>
    <s v="Pipeta Pasteur en polietileno desechable estéril 3 ml de capacidad, longitud 15,2 cm "/>
    <s v=" VWR 52947-970_x000a_o equivalente"/>
    <s v="Caja x 500"/>
    <x v="0"/>
    <x v="6"/>
    <n v="8"/>
    <n v="650216"/>
    <n v="5201728"/>
    <m/>
    <n v="0"/>
    <n v="5"/>
    <n v="3251080"/>
    <m/>
    <n v="0"/>
    <m/>
    <n v="0"/>
    <m/>
    <n v="0"/>
    <m/>
    <n v="0"/>
    <m/>
    <n v="0"/>
    <n v="3"/>
    <n v="1950648"/>
    <m/>
    <n v="0"/>
  </r>
  <r>
    <n v="353"/>
    <s v="Pipeta Pasteur plástica de 1,0 - 1,5ml de volumen "/>
    <s v="Cualquier marca"/>
    <s v="Caja x 500"/>
    <x v="0"/>
    <x v="1"/>
    <n v="7"/>
    <n v="158002.48800000001"/>
    <n v="1106017.4160000002"/>
    <m/>
    <n v="0"/>
    <n v="3"/>
    <n v="474007.46400000004"/>
    <m/>
    <n v="0"/>
    <m/>
    <n v="0"/>
    <n v="1"/>
    <n v="158002.48800000001"/>
    <m/>
    <n v="0"/>
    <m/>
    <n v="0"/>
    <n v="3"/>
    <n v="474007.46400000004"/>
    <m/>
    <n v="0"/>
  </r>
  <r>
    <n v="354"/>
    <s v="Pipeta plástica poliestireno graduada para 10 ml, estériles y en empaque individual"/>
    <s v="Cualquier marca"/>
    <s v="Caja x 200 "/>
    <x v="0"/>
    <x v="1"/>
    <n v="10"/>
    <n v="651516.43200000003"/>
    <n v="6515164.3200000003"/>
    <n v="2"/>
    <n v="1303032.8640000001"/>
    <n v="5"/>
    <n v="3257582.16"/>
    <n v="3"/>
    <n v="1954549.2960000001"/>
    <m/>
    <n v="0"/>
    <m/>
    <n v="0"/>
    <m/>
    <n v="0"/>
    <m/>
    <n v="0"/>
    <m/>
    <n v="0"/>
    <m/>
    <n v="0"/>
  </r>
  <r>
    <n v="355"/>
    <s v="Pipeta plástica poliestireno graduada para 25 ml, estériles y en empaque individual"/>
    <s v="Cualquier marca"/>
    <s v="Caja x 200 "/>
    <x v="0"/>
    <x v="1"/>
    <n v="4"/>
    <n v="827464.88159999996"/>
    <n v="3309859.5263999999"/>
    <m/>
    <n v="0"/>
    <n v="4"/>
    <n v="3309859.5263999999"/>
    <m/>
    <n v="0"/>
    <m/>
    <n v="0"/>
    <m/>
    <n v="0"/>
    <m/>
    <n v="0"/>
    <m/>
    <n v="0"/>
    <m/>
    <n v="0"/>
    <m/>
    <n v="0"/>
  </r>
  <r>
    <n v="356"/>
    <s v="Pipeta plástica poliestireno graduada para 5 ml, estériles y en empaque individual"/>
    <s v="Cualquier marca"/>
    <s v="Caja x 200 "/>
    <x v="0"/>
    <x v="1"/>
    <n v="8"/>
    <n v="751649.696"/>
    <n v="6013197.568"/>
    <n v="2"/>
    <n v="1503299.392"/>
    <n v="2"/>
    <n v="1503299.392"/>
    <n v="2"/>
    <n v="1503299.392"/>
    <m/>
    <n v="0"/>
    <n v="2"/>
    <n v="1503299.392"/>
    <m/>
    <n v="0"/>
    <m/>
    <n v="0"/>
    <m/>
    <n v="0"/>
    <m/>
    <n v="0"/>
  </r>
  <r>
    <n v="357"/>
    <s v="Pipeteador automático para pipetas eléctrico, con sistema de aspiración hasta de 25 ml, con toma universal y adaptador para boca de pipeta de 1, 5, 10 y 20 ml. Incluye filtros incorporados y kit de remplazo. Para Corriente 110V. 115V"/>
    <s v="Brand o equivalente"/>
    <s v="Unidad"/>
    <x v="0"/>
    <x v="1"/>
    <n v="2"/>
    <n v="3888291.68"/>
    <n v="7776583.3600000003"/>
    <n v="1"/>
    <n v="3888291.68"/>
    <n v="1"/>
    <n v="3888291.68"/>
    <m/>
    <n v="0"/>
    <m/>
    <n v="0"/>
    <m/>
    <n v="0"/>
    <m/>
    <n v="0"/>
    <m/>
    <n v="0"/>
    <m/>
    <n v="0"/>
    <m/>
    <n v="0"/>
  </r>
  <r>
    <n v="358"/>
    <s v="Pipeteador de caucho Bulb-Type Safety Pipet Fillers"/>
    <s v="Fisherbrand 13-681-51 o equivalente"/>
    <s v="Unidad"/>
    <x v="0"/>
    <x v="1"/>
    <n v="2"/>
    <n v="174908.10399999999"/>
    <n v="349816.20799999998"/>
    <m/>
    <n v="0"/>
    <n v="2"/>
    <n v="349816.20799999998"/>
    <m/>
    <n v="0"/>
    <m/>
    <n v="0"/>
    <m/>
    <n v="0"/>
    <m/>
    <n v="0"/>
    <m/>
    <n v="0"/>
    <m/>
    <n v="0"/>
    <m/>
    <n v="0"/>
  </r>
  <r>
    <n v="359"/>
    <s v="Pipeteador tipo cremallera de 0-10 ml"/>
    <s v="Cualquier marca"/>
    <s v="Unidad"/>
    <x v="0"/>
    <x v="1"/>
    <n v="5"/>
    <n v="63851.211199999998"/>
    <n v="319256.05599999998"/>
    <m/>
    <n v="0"/>
    <n v="5"/>
    <n v="319256.05599999998"/>
    <m/>
    <n v="0"/>
    <m/>
    <n v="0"/>
    <m/>
    <n v="0"/>
    <m/>
    <n v="0"/>
    <m/>
    <n v="0"/>
    <m/>
    <n v="0"/>
    <m/>
    <n v="0"/>
  </r>
  <r>
    <n v="360"/>
    <s v="Plato de poliestireno para pesar reactivos antiestático, desechable, resistente a ácidos, alcoholes y bases, fondo plano, tamaño Longitud 41-45 mm x Anchura 41-45 mm x altura 7-8 mm . Fondo ID 1.4 in. "/>
    <s v="Brand o Equivalente"/>
    <s v="Paquete x 500 "/>
    <x v="0"/>
    <x v="1"/>
    <n v="2"/>
    <n v="402093.57439999998"/>
    <n v="804187.14879999997"/>
    <m/>
    <n v="0"/>
    <n v="1"/>
    <n v="402093.57439999998"/>
    <n v="1"/>
    <n v="402093.57439999998"/>
    <m/>
    <n v="0"/>
    <m/>
    <n v="0"/>
    <m/>
    <n v="0"/>
    <m/>
    <n v="0"/>
    <m/>
    <n v="0"/>
    <m/>
    <n v="0"/>
  </r>
  <r>
    <n v="361"/>
    <s v="Plato para pesaje desechable y antiestático 76mm  x  102mm"/>
    <s v="Cualquier marca"/>
    <s v="Paquete x 500"/>
    <x v="0"/>
    <x v="3"/>
    <n v="4"/>
    <n v="495684.24479999999"/>
    <n v="1982736.9791999999"/>
    <m/>
    <n v="0"/>
    <n v="1"/>
    <n v="495684.24479999999"/>
    <n v="1"/>
    <n v="495684.24479999999"/>
    <m/>
    <n v="0"/>
    <m/>
    <n v="0"/>
    <m/>
    <n v="0"/>
    <m/>
    <n v="0"/>
    <n v="2"/>
    <n v="991368.48959999997"/>
    <m/>
    <n v="0"/>
  </r>
  <r>
    <n v="362"/>
    <s v="Portacajas para cajas petri. En acero inoxidable, con canastilla teambién en acero inoxidable, diámetro para cajas petri de 100 mm y capacidad de mínimo 14 cajas"/>
    <s v="Cualquier marca"/>
    <s v="Unidad"/>
    <x v="0"/>
    <x v="0"/>
    <n v="2"/>
    <n v="547481.87199999997"/>
    <n v="1094963.7439999999"/>
    <m/>
    <n v="0"/>
    <m/>
    <n v="0"/>
    <m/>
    <n v="0"/>
    <m/>
    <n v="0"/>
    <m/>
    <n v="0"/>
    <m/>
    <n v="0"/>
    <m/>
    <n v="0"/>
    <n v="2"/>
    <n v="1094963.7439999999"/>
    <m/>
    <n v="0"/>
  </r>
  <r>
    <n v="363"/>
    <s v="Probeta  de vidrio de 25 ml base hexagonal con certificado. Borosilicato 3.3 DIN en ISO 4788, impresión en cerámica, que cumpla con las normas DIN12 600 Control y garantía de calidad NCA menor o igual a 0,4 y certificación del fabricante que resiste temperaturas hasta de 250°C sin perder la volumetria."/>
    <s v="Pyrex , Corning, Kymax, Brand, Duran  o equivalente"/>
    <s v="Unidad"/>
    <x v="0"/>
    <x v="1"/>
    <n v="19"/>
    <n v="60600.131199999996"/>
    <n v="1151402.4927999999"/>
    <m/>
    <n v="0"/>
    <n v="15"/>
    <n v="909001.96799999999"/>
    <m/>
    <n v="0"/>
    <m/>
    <n v="0"/>
    <m/>
    <n v="0"/>
    <m/>
    <n v="0"/>
    <m/>
    <n v="0"/>
    <n v="4"/>
    <n v="242400.52479999998"/>
    <m/>
    <n v="0"/>
  </r>
  <r>
    <n v="364"/>
    <s v="Probeta  de vidrio graduada de 100 ml base hexagonal con certificado. Borosilicato 3.3 DIN en ISO 4788, impresión en cerámica, con boca esmerilada y tapón"/>
    <s v="Pyrex , Corning, Kymax, Brand, Duran, Brand o equivalente"/>
    <s v="Unidad"/>
    <x v="0"/>
    <x v="0"/>
    <n v="18"/>
    <n v="74124.623999999996"/>
    <n v="1334243.2319999998"/>
    <m/>
    <n v="0"/>
    <n v="10"/>
    <n v="741246.24"/>
    <n v="4"/>
    <n v="296498.49599999998"/>
    <m/>
    <n v="0"/>
    <m/>
    <n v="0"/>
    <m/>
    <n v="0"/>
    <m/>
    <n v="0"/>
    <n v="4"/>
    <n v="296498.49599999998"/>
    <m/>
    <n v="0"/>
  </r>
  <r>
    <n v="365"/>
    <s v="Probeta  de vidrio graduada de 250 ml base hexagonal con certificado. Borosilicato 3.3 DIN en ISO 4788, impresión en cerámica, con boca esmerilada y tapón"/>
    <s v="Pyrex , Corning, Kymax, Brand, Duran, Brand o equivalente"/>
    <s v="Unidad"/>
    <x v="0"/>
    <x v="0"/>
    <n v="14"/>
    <n v="157352.272"/>
    <n v="2202931.8080000002"/>
    <m/>
    <n v="0"/>
    <n v="10"/>
    <n v="1573522.72"/>
    <m/>
    <n v="0"/>
    <m/>
    <n v="0"/>
    <m/>
    <n v="0"/>
    <m/>
    <n v="0"/>
    <m/>
    <n v="0"/>
    <n v="4"/>
    <n v="629409.08799999999"/>
    <m/>
    <n v="0"/>
  </r>
  <r>
    <n v="366"/>
    <s v="Probeta de 100ml  clase B"/>
    <s v="Pyrex , Corning, Kymax, Brand, Duran, Schott o equvalente"/>
    <s v="Unidad"/>
    <x v="0"/>
    <x v="1"/>
    <n v="5"/>
    <n v="61380.390399999997"/>
    <n v="306901.95199999999"/>
    <m/>
    <n v="0"/>
    <m/>
    <n v="0"/>
    <n v="5"/>
    <n v="306901.95199999999"/>
    <m/>
    <n v="0"/>
    <m/>
    <n v="0"/>
    <m/>
    <n v="0"/>
    <m/>
    <n v="0"/>
    <m/>
    <n v="0"/>
    <m/>
    <n v="0"/>
  </r>
  <r>
    <n v="367"/>
    <s v="Probeta de 25 ml clase B"/>
    <s v="Pyrex , Corning, Kymax, Brand, Duran, Schott o equvalente"/>
    <s v="Unidad"/>
    <x v="0"/>
    <x v="1"/>
    <n v="5"/>
    <n v="48506.113599999997"/>
    <n v="242530.56799999997"/>
    <m/>
    <n v="0"/>
    <m/>
    <n v="0"/>
    <n v="5"/>
    <n v="242530.56799999997"/>
    <m/>
    <n v="0"/>
    <m/>
    <n v="0"/>
    <m/>
    <n v="0"/>
    <m/>
    <n v="0"/>
    <m/>
    <n v="0"/>
    <m/>
    <n v="0"/>
  </r>
  <r>
    <n v="368"/>
    <s v="Probeta de 250 ml clase B"/>
    <s v="Pyrex , Corning, Kymax, Brand, Duran, Schott o equvalente"/>
    <s v="Unidad"/>
    <x v="0"/>
    <x v="1"/>
    <n v="5"/>
    <n v="95191.622399999993"/>
    <n v="475958.11199999996"/>
    <m/>
    <n v="0"/>
    <m/>
    <n v="0"/>
    <n v="5"/>
    <n v="475958.11199999996"/>
    <m/>
    <n v="0"/>
    <m/>
    <n v="0"/>
    <m/>
    <n v="0"/>
    <m/>
    <n v="0"/>
    <m/>
    <n v="0"/>
    <m/>
    <n v="0"/>
  </r>
  <r>
    <n v="369"/>
    <s v="Probeta de vidrio con base hexagonal de vidrio clase A de 10 ml con pico. Borosilicato 3.3  DIN en ISO 4788, Borosilicato 3.3 DIN en ISO 4788, impresión en cerámica, que cumpla con las normas DIN12 600 Control y garantía de calidad NCA menor o igual a 0,4 y certificación del fabricante que resiste temperaturas hasta de 250°C sin perder la volumetria."/>
    <s v="Pyrex , Corning, Kymax, Brand, Duran, Schott o equvalente"/>
    <s v="Unidad"/>
    <x v="0"/>
    <x v="1"/>
    <n v="12"/>
    <n v="60990.260799999996"/>
    <n v="731883.12959999999"/>
    <n v="12"/>
    <n v="731883.12959999999"/>
    <m/>
    <n v="0"/>
    <m/>
    <n v="0"/>
    <m/>
    <n v="0"/>
    <m/>
    <n v="0"/>
    <m/>
    <n v="0"/>
    <m/>
    <n v="0"/>
    <m/>
    <n v="0"/>
    <m/>
    <n v="0"/>
  </r>
  <r>
    <n v="370"/>
    <s v="Probeta de vidrio con base hexagonal de vidrio clase A de 100 ml intervalo de graduación de 1 ml. Borosilicato 3.3 DIN en ISO 4788, impresión en cerámica, que cumpla con las normas DIN12 600 Control y garantía de calidad NCA menor o igual a 0,4 y certificación del fabricante que resiste temperaturas hasta de 250°C sin perder la volumetria."/>
    <s v="Pyrex , Corning, Kymax, Brand, Duran, Schott o equvalente"/>
    <s v="Unidad"/>
    <x v="0"/>
    <x v="1"/>
    <n v="18"/>
    <n v="81797.1728"/>
    <n v="1472349.1104000001"/>
    <n v="5"/>
    <n v="408985.864"/>
    <n v="8"/>
    <n v="654377.3824"/>
    <m/>
    <n v="0"/>
    <m/>
    <n v="0"/>
    <m/>
    <n v="0"/>
    <m/>
    <n v="0"/>
    <m/>
    <n v="0"/>
    <n v="5"/>
    <n v="408985.864"/>
    <m/>
    <n v="0"/>
  </r>
  <r>
    <n v="371"/>
    <s v="Probeta de vidrio con base hexagonal de vidrio clase A de 2000 ml con pico. Borosilicato 3.3 Cumpliendo con la norma ISO 4788, , impresión en cerámica,  menor o igual a 0,4 (opcional) y certificación del fabricante que resiste temperaturas hasta de 250°C sin perder la volumetría. "/>
    <s v="Pyrex , Corning, Kymax, Brand, Duran, Schott o equvalente"/>
    <s v="Unidad"/>
    <x v="0"/>
    <x v="1"/>
    <n v="9"/>
    <n v="512760.33759999997"/>
    <n v="4614843.0384"/>
    <n v="3"/>
    <n v="1538281.0127999999"/>
    <n v="1"/>
    <n v="512760.33759999997"/>
    <n v="5"/>
    <n v="2563801.6880000001"/>
    <m/>
    <n v="0"/>
    <m/>
    <n v="0"/>
    <m/>
    <n v="0"/>
    <m/>
    <n v="0"/>
    <m/>
    <n v="0"/>
    <m/>
    <n v="0"/>
  </r>
  <r>
    <n v="372"/>
    <s v="Probeta de vidrio con base hexagonal de vidrio clase A de 5 ml con pico. Borosilicato 3.3  DIN en ISO 4788,"/>
    <s v="Pyrex , Corning, Kymax, Brand, Duran, Schott o equvalente"/>
    <s v="Unidad"/>
    <x v="0"/>
    <x v="1"/>
    <n v="2"/>
    <n v="79586.438399999999"/>
    <n v="159172.8768"/>
    <m/>
    <n v="0"/>
    <n v="2"/>
    <n v="159172.8768"/>
    <m/>
    <n v="0"/>
    <m/>
    <n v="0"/>
    <m/>
    <n v="0"/>
    <m/>
    <n v="0"/>
    <m/>
    <n v="0"/>
    <m/>
    <n v="0"/>
    <m/>
    <n v="0"/>
  </r>
  <r>
    <n v="373"/>
    <s v="Probeta de vidrio con base hexagonal de Vidrio clase A. de 1000 ml. Borosilicato 3.3 Cumpliendo con la norma DIN en ISO 4788,   Control y garantía de calidad NCA ( o equivalente) menor o igual a 0,4 y certificación del fabricante que resiste temperaturas hasta de 250°C sin perder la volumetria. "/>
    <s v="Pyrex , Corning, Kymax, Brand, Duran, Schott o equvalente"/>
    <s v="Unidad"/>
    <x v="0"/>
    <x v="1"/>
    <n v="14"/>
    <n v="284274.43520000001"/>
    <n v="3979842.0928000002"/>
    <m/>
    <n v="0"/>
    <n v="1"/>
    <n v="284274.43520000001"/>
    <n v="8"/>
    <n v="2274195.4816000001"/>
    <m/>
    <n v="0"/>
    <m/>
    <n v="0"/>
    <m/>
    <n v="0"/>
    <m/>
    <n v="0"/>
    <n v="5"/>
    <n v="1421372.176"/>
    <m/>
    <n v="0"/>
  </r>
  <r>
    <n v="374"/>
    <s v="Probeta de vidrio con base hexagonal de Vidrio clase A. de 250 ml. Borosilicato 3.3 Cumpliendo con la norma DIN en ISO 4788, impresión en cerámica, Control y garantía de calidad NCA ( o equivalente) menor o igual a 0,4 y certificación del fabricante que resiste temperaturas hasta de 250°C sin perder la volumetría. "/>
    <s v="Pyrex , Corning, Kymax, Brand, Duran, Schott o equvalente"/>
    <s v="Unidad"/>
    <x v="0"/>
    <x v="1"/>
    <n v="6"/>
    <n v="107805.8128"/>
    <n v="646834.87679999997"/>
    <n v="6"/>
    <n v="646834.87679999997"/>
    <m/>
    <n v="0"/>
    <m/>
    <n v="0"/>
    <m/>
    <n v="0"/>
    <m/>
    <n v="0"/>
    <m/>
    <n v="0"/>
    <m/>
    <n v="0"/>
    <m/>
    <n v="0"/>
    <m/>
    <n v="0"/>
  </r>
  <r>
    <n v="375"/>
    <s v="Probeta de vidrio con base hexagonal de Vidrio clase A. de 500 ml. Borosilicato 3.3 Cumpliendo con la norma DIN en ISO 4788, impresión en cerámica,  Control y garantía de calidad NCA ( o equivalente) menor o igual a 0,4 y certificación del fabricante que resiste temperaturas hasta de 250°C sin perder la volumetría "/>
    <s v="Pyrex , Corning, Kymax, Brand, Duran, Schott o equvalente"/>
    <s v="Unidad"/>
    <x v="0"/>
    <x v="1"/>
    <n v="5"/>
    <n v="183230.8688"/>
    <n v="916154.34400000004"/>
    <n v="1"/>
    <n v="183230.8688"/>
    <n v="4"/>
    <n v="732923.47519999999"/>
    <m/>
    <n v="0"/>
    <m/>
    <n v="0"/>
    <m/>
    <n v="0"/>
    <m/>
    <n v="0"/>
    <m/>
    <n v="0"/>
    <m/>
    <n v="0"/>
    <m/>
    <n v="0"/>
  </r>
  <r>
    <n v="376"/>
    <s v=" Probeta de vidrio de 500 ml clase A o B base hexagonal con certificado. Borosilicato 3.3 Cumpliendo con la norma ISO 4788.Control y garantía de calidad NCA (o equivalente) menor o igual a 0,4 y certificación del fabricante que resiste temperaturas hasta de 250°C sin perder la volumetría. Para la clase A se deben cumplir todos los requisitos de individualidad del certificado."/>
    <s v="Pyrex, Corning, Kymax, Brand, Duran o equivalente"/>
    <s v="Unidad"/>
    <x v="0"/>
    <x v="1"/>
    <n v="1"/>
    <n v="211710.3296"/>
    <n v="211710.3296"/>
    <m/>
    <n v="0"/>
    <n v="1"/>
    <n v="211710.3296"/>
    <m/>
    <n v="0"/>
    <m/>
    <n v="0"/>
    <m/>
    <n v="0"/>
    <m/>
    <n v="0"/>
    <m/>
    <n v="0"/>
    <m/>
    <n v="0"/>
    <m/>
    <n v="0"/>
  </r>
  <r>
    <n v="377"/>
    <s v="Probeta de vidrio graduada por 50 ml con tapa con certificado de graduación. Borosilicato 3.3 Cumpliendo con la norma DIN en ISO 4788, impresión en cerámica, certificación del fabricante que resiste temperaturas hasta de 250°C sin perder la volumetría. Opcional Control y garantía de calidad NCA ( o equivalente) menor o igual a 0,4 "/>
    <s v="Pyrex , Corning, Kymax, Brand, Duran, Schott o equvalente"/>
    <s v="Unidad"/>
    <x v="0"/>
    <x v="1"/>
    <n v="12"/>
    <n v="136935.4896"/>
    <n v="1643225.8752000001"/>
    <m/>
    <n v="0"/>
    <n v="12"/>
    <n v="1643225.8752000001"/>
    <m/>
    <n v="0"/>
    <m/>
    <n v="0"/>
    <m/>
    <n v="0"/>
    <m/>
    <n v="0"/>
    <m/>
    <n v="0"/>
    <m/>
    <n v="0"/>
    <m/>
    <n v="0"/>
  </r>
  <r>
    <n v="378"/>
    <s v="Probeta Plástica graduada 10 mL"/>
    <s v="Marca: Nalgene / Brixco o equivalente"/>
    <s v="Unidad"/>
    <x v="0"/>
    <x v="1"/>
    <n v="4"/>
    <n v="41223.6944"/>
    <n v="164894.7776"/>
    <m/>
    <n v="0"/>
    <n v="4"/>
    <n v="164894.7776"/>
    <m/>
    <n v="0"/>
    <m/>
    <n v="0"/>
    <m/>
    <n v="0"/>
    <m/>
    <n v="0"/>
    <m/>
    <n v="0"/>
    <m/>
    <n v="0"/>
    <m/>
    <n v="0"/>
  </r>
  <r>
    <n v="379"/>
    <s v="Probeta Plástica graduada 1000 mL"/>
    <s v="Marca: Nalgene / Brixco o equivalente"/>
    <s v="Unidad"/>
    <x v="0"/>
    <x v="1"/>
    <n v="4"/>
    <n v="133424.32320000001"/>
    <n v="533697.29280000005"/>
    <n v="1"/>
    <n v="133424.32320000001"/>
    <n v="3"/>
    <n v="400272.96960000007"/>
    <m/>
    <n v="0"/>
    <m/>
    <n v="0"/>
    <m/>
    <n v="0"/>
    <m/>
    <n v="0"/>
    <m/>
    <n v="0"/>
    <m/>
    <n v="0"/>
    <m/>
    <n v="0"/>
  </r>
  <r>
    <n v="380"/>
    <s v="Probeta Plástica graduada 25 mL"/>
    <s v="Marca: Nalgene / Brixco o equivalente"/>
    <s v="Unidad"/>
    <x v="0"/>
    <x v="1"/>
    <n v="5"/>
    <n v="46425.422400000003"/>
    <n v="232127.11200000002"/>
    <m/>
    <n v="0"/>
    <n v="5"/>
    <n v="232127.11200000002"/>
    <m/>
    <n v="0"/>
    <m/>
    <n v="0"/>
    <m/>
    <n v="0"/>
    <m/>
    <n v="0"/>
    <m/>
    <n v="0"/>
    <m/>
    <n v="0"/>
    <m/>
    <n v="0"/>
  </r>
  <r>
    <n v="381"/>
    <s v="Probeta Plástica graduada 50 mL"/>
    <s v="Marca: Nalgene / Brixco  o equivalente"/>
    <s v="Unidad"/>
    <x v="0"/>
    <x v="1"/>
    <n v="8"/>
    <n v="52927.582399999999"/>
    <n v="423420.65919999999"/>
    <m/>
    <n v="0"/>
    <n v="8"/>
    <n v="423420.65919999999"/>
    <m/>
    <n v="0"/>
    <m/>
    <n v="0"/>
    <m/>
    <n v="0"/>
    <m/>
    <n v="0"/>
    <m/>
    <n v="0"/>
    <m/>
    <n v="0"/>
    <m/>
    <n v="0"/>
  </r>
  <r>
    <n v="382"/>
    <s v="Punta 0,1-10 µl con filtro larga libre de RNAsa, DNAsa y pirógenos. _x000a_Compatible con micropipetas Eppendorf, Jencons, Boeco, Brand, Fisherbrand, Finnpipette, NICHIRYO"/>
    <s v="Eppendorf 47745-086, Tip One o equivalente"/>
    <s v="Caja x 10 racks x 96"/>
    <x v="0"/>
    <x v="1"/>
    <n v="20"/>
    <n v="822165.62120000005"/>
    <n v="16443312.424000001"/>
    <m/>
    <n v="0"/>
    <n v="6"/>
    <n v="4932993.7272000005"/>
    <n v="10"/>
    <n v="8221656.2120000003"/>
    <m/>
    <n v="0"/>
    <m/>
    <n v="0"/>
    <n v="3"/>
    <n v="2466496.8636000003"/>
    <m/>
    <n v="0"/>
    <n v="1"/>
    <n v="822165.62120000005"/>
    <m/>
    <n v="0"/>
  </r>
  <r>
    <n v="383"/>
    <s v="Punta 0,1-10 µl resistentes a autoclavado_x000a_Compatible con micropipetas Socorex, Eppendorf, Jencons, Boeco, Fisherbrand, Finnpipette"/>
    <s v="Socorex R3090010R o equivalente"/>
    <s v="Caja x 10 racks x 96"/>
    <x v="0"/>
    <x v="1"/>
    <n v="105"/>
    <n v="781559.63199999998"/>
    <n v="82063761.359999999"/>
    <m/>
    <n v="0"/>
    <n v="40"/>
    <n v="31262385.280000001"/>
    <n v="30"/>
    <n v="23446788.960000001"/>
    <n v="1"/>
    <n v="781559.63199999998"/>
    <n v="4"/>
    <n v="3126238.5279999999"/>
    <n v="30"/>
    <n v="23446788.960000001"/>
    <m/>
    <n v="0"/>
    <m/>
    <n v="0"/>
    <m/>
    <n v="0"/>
  </r>
  <r>
    <n v="384"/>
    <s v="Punta 0,5-5 ml_x000a_Compatible con micropipetas Eppendorf, Jencons, Boeco, Brand, Fisherbrand, Finnpipette, NICHIRYO"/>
    <s v="Brand 702595 o equivalente"/>
    <s v="Bolsa x 200"/>
    <x v="0"/>
    <x v="8"/>
    <n v="28"/>
    <n v="149289.59359999999"/>
    <n v="4180108.6207999997"/>
    <m/>
    <n v="0"/>
    <m/>
    <n v="0"/>
    <n v="10"/>
    <n v="1492895.936"/>
    <m/>
    <n v="0"/>
    <m/>
    <n v="0"/>
    <m/>
    <n v="0"/>
    <m/>
    <n v="0"/>
    <n v="18"/>
    <n v="2687212.6847999999"/>
    <m/>
    <n v="0"/>
  </r>
  <r>
    <n v="385"/>
    <s v="Punta 10 ml Finntip_x000a_Compatible con micropipetas Eppendorf, Jencons, Boeco, Brand, Fisherbrand, Finnpipette, NICHIRYO"/>
    <s v="Fisher Scientific 21-377-146, Labsystems 9402150 o equivalente"/>
    <s v="Caja x 40 "/>
    <x v="0"/>
    <x v="1"/>
    <n v="13"/>
    <n v="284924.65120000002"/>
    <n v="3704020.4656000002"/>
    <m/>
    <n v="0"/>
    <n v="2"/>
    <n v="569849.30240000004"/>
    <n v="11"/>
    <n v="3134171.1632000003"/>
    <m/>
    <n v="0"/>
    <m/>
    <n v="0"/>
    <m/>
    <n v="0"/>
    <m/>
    <n v="0"/>
    <m/>
    <n v="0"/>
    <m/>
    <n v="0"/>
  </r>
  <r>
    <n v="386"/>
    <s v="Punta 50 ó 100 µl  a 1000 µl con filtro libres de RNAsa, DNAsa y pirógenos. _x000a_Compatibles con micropipetas Eppendorf, Jencons, Boeco, Brand, Fisherbrand, Finnpipette, NICHIRYO "/>
    <s v="TipOne o equivalente"/>
    <s v="Caja x 10 racks x 96"/>
    <x v="0"/>
    <x v="1"/>
    <n v="95"/>
    <n v="694560.73120000004"/>
    <n v="65983269.464000002"/>
    <n v="2"/>
    <n v="1389121.4624000001"/>
    <n v="10"/>
    <n v="6945607.3120000008"/>
    <n v="25"/>
    <n v="17364018.280000001"/>
    <m/>
    <n v="0"/>
    <n v="8"/>
    <n v="5556485.8496000003"/>
    <n v="20"/>
    <n v="13891214.624000002"/>
    <m/>
    <n v="0"/>
    <n v="30"/>
    <n v="20836821.936000001"/>
    <m/>
    <n v="0"/>
  </r>
  <r>
    <n v="387"/>
    <s v="Punta 10-100 µl sin filtro libre de RNAsa, DNAsa y pirógenos. _x000a_Compatible con micropipetas  Eppendorf, Jencons, Boeco, Brand, Fisherbrand, Finnpipette, NICHIRYO"/>
    <s v="Axygen, brand o equivalente"/>
    <s v="Bolsa X 1000"/>
    <x v="0"/>
    <x v="0"/>
    <n v="68"/>
    <n v="698331.98399999994"/>
    <n v="47486574.911999993"/>
    <m/>
    <n v="0"/>
    <n v="20"/>
    <n v="13966639.68"/>
    <n v="25"/>
    <n v="17458299.599999998"/>
    <m/>
    <n v="0"/>
    <n v="7"/>
    <n v="4888323.8879999993"/>
    <n v="12"/>
    <n v="8379983.8079999993"/>
    <m/>
    <n v="0"/>
    <n v="4"/>
    <n v="2793327.9359999998"/>
    <m/>
    <n v="0"/>
  </r>
  <r>
    <n v="388"/>
    <s v="Punta 1-10 ml para transferpipeta H de longitud 156,5 mm, Ø aproximado 15mm. "/>
    <s v="Brand 702603 o equivalente"/>
    <s v="Bolsa x 200"/>
    <x v="0"/>
    <x v="12"/>
    <n v="7"/>
    <n v="325108"/>
    <n v="2275756"/>
    <m/>
    <n v="0"/>
    <n v="2"/>
    <n v="650216"/>
    <m/>
    <n v="0"/>
    <m/>
    <n v="0"/>
    <m/>
    <n v="0"/>
    <m/>
    <n v="0"/>
    <m/>
    <n v="0"/>
    <n v="5"/>
    <n v="1625540"/>
    <m/>
    <n v="0"/>
  </r>
  <r>
    <n v="389"/>
    <s v="Punta 1-100 µl con filtro de libres de RNasas y Dnasas _x000a_Compatibles con micropipetas Eppendorf, Jencons, Boeco, Brand, Fisherbrand, Finnpipette, NICHIRYO"/>
    <s v="TipOne o equivalente"/>
    <s v="Caja x 10 racks x 96"/>
    <x v="0"/>
    <x v="3"/>
    <n v="66"/>
    <n v="733453.48320000002"/>
    <n v="48407929.891199999"/>
    <n v="3"/>
    <n v="2200360.4495999999"/>
    <n v="8"/>
    <n v="5867627.8656000001"/>
    <n v="15"/>
    <n v="11001802.248"/>
    <m/>
    <n v="0"/>
    <n v="7"/>
    <n v="5134174.3824000005"/>
    <n v="31"/>
    <n v="22737057.979200002"/>
    <m/>
    <n v="0"/>
    <n v="2"/>
    <n v="1466906.9664"/>
    <m/>
    <n v="0"/>
  </r>
  <r>
    <n v="390"/>
    <s v="Punta 1-20 µl con filtro de  libre de Dnasa y Rnasa_x000a_Compatibles con micropipetas Eppendorf, Jencons, Boeco, Brand, Fisherbrand, Finnpipette, NICHIRYO"/>
    <s v="TipOne o equivalente "/>
    <s v="Caja x 10 racks x 96"/>
    <x v="0"/>
    <x v="1"/>
    <n v="25"/>
    <n v="686628.09600000002"/>
    <n v="17165702.400000002"/>
    <m/>
    <n v="0"/>
    <n v="5"/>
    <n v="3433140.48"/>
    <n v="10"/>
    <n v="6866280.96"/>
    <m/>
    <n v="0"/>
    <m/>
    <n v="0"/>
    <n v="10"/>
    <n v="6866280.96"/>
    <m/>
    <n v="0"/>
    <m/>
    <n v="0"/>
    <m/>
    <n v="0"/>
  </r>
  <r>
    <n v="391"/>
    <s v="Punta 20 µl Finntip con filtro "/>
    <s v="Labsystems 94052020 o equivalente"/>
    <s v="Caja x 10 racks x 384 "/>
    <x v="0"/>
    <x v="3"/>
    <n v="1"/>
    <n v="4787847.4847999997"/>
    <n v="4787847.4847999997"/>
    <m/>
    <n v="0"/>
    <m/>
    <n v="0"/>
    <n v="1"/>
    <n v="4787847.4847999997"/>
    <m/>
    <n v="0"/>
    <m/>
    <n v="0"/>
    <m/>
    <n v="0"/>
    <m/>
    <n v="0"/>
    <m/>
    <n v="0"/>
    <m/>
    <n v="0"/>
  </r>
  <r>
    <n v="392"/>
    <s v="Punta 200 µl con filtro libre de Dnasa y Rnasa_x000a_Compatibles con micropipetas Eppendorf, Jencons, Boeco, Brand, Fisherbrand, Finnpipette, NICHIRYO"/>
    <s v="TipOne o equivalente"/>
    <s v="Caja x 10 racks x 96"/>
    <x v="0"/>
    <x v="1"/>
    <n v="68"/>
    <n v="890405.79039999994"/>
    <n v="60547593.747199997"/>
    <m/>
    <n v="0"/>
    <n v="8"/>
    <n v="7123246.3231999995"/>
    <n v="20"/>
    <n v="17808115.807999998"/>
    <m/>
    <n v="0"/>
    <n v="5"/>
    <n v="4452028.9519999996"/>
    <n v="35"/>
    <n v="31164202.663999997"/>
    <m/>
    <n v="0"/>
    <m/>
    <n v="0"/>
    <m/>
    <n v="0"/>
  </r>
  <r>
    <n v="393"/>
    <s v="Punta 200 µl trasparente, incolora_x000a_compatibles con micropipetas de las marcas (Socorex , axygen, capp bravo) resistentes a autoclavado"/>
    <s v="Socorex, Axygen, Cap Bravo o equivalentes "/>
    <s v="Bolsa x 1000"/>
    <x v="0"/>
    <x v="1"/>
    <n v="286"/>
    <n v="284534.52159999998"/>
    <n v="81376873.177599996"/>
    <m/>
    <n v="0"/>
    <n v="84"/>
    <n v="23900899.814399999"/>
    <n v="160"/>
    <n v="45525523.456"/>
    <m/>
    <n v="0"/>
    <n v="12"/>
    <n v="3414414.2591999997"/>
    <n v="30"/>
    <n v="8536035.648"/>
    <m/>
    <n v="0"/>
    <m/>
    <n v="0"/>
    <m/>
    <n v="0"/>
  </r>
  <r>
    <n v="394"/>
    <s v="Punta 250 µl Universal trasparente_x000a_Compatibles con micropipetas Eppendorf, Jencons, Boeco, Brand, Fisherbrand, Finnpipette, NICHIRYO"/>
    <s v="Thermo Fisher Scientific Finnitip 9400-260 o equivalente"/>
    <s v="Caja x 10 racks x 96"/>
    <x v="0"/>
    <x v="1"/>
    <n v="12"/>
    <n v="953476.74239999999"/>
    <n v="11441720.9088"/>
    <n v="10"/>
    <n v="9534767.4240000006"/>
    <n v="2"/>
    <n v="1906953.4848"/>
    <m/>
    <n v="0"/>
    <m/>
    <n v="0"/>
    <m/>
    <n v="0"/>
    <m/>
    <n v="0"/>
    <m/>
    <n v="0"/>
    <m/>
    <n v="0"/>
    <m/>
    <n v="0"/>
  </r>
  <r>
    <n v="395"/>
    <s v="Punta 250 µl universal trasparente, autoclavables finntip _x000a_Compatibles con micropipetas Eppendorf, Jencons, Boeco, Brand, Fisherbrand, Finnpipette, NICHIRYO"/>
    <s v="Finnitip 9400-230, Fisher 21-377-45 o equivalente"/>
    <s v="Bolsa x 1000"/>
    <x v="0"/>
    <x v="1"/>
    <n v="151"/>
    <n v="635911.24800000002"/>
    <n v="96022598.447999999"/>
    <n v="26"/>
    <n v="16533692.448000001"/>
    <n v="35"/>
    <n v="22256893.68"/>
    <n v="90"/>
    <n v="57232012.32"/>
    <m/>
    <n v="0"/>
    <m/>
    <n v="0"/>
    <m/>
    <n v="0"/>
    <m/>
    <n v="0"/>
    <m/>
    <n v="0"/>
    <m/>
    <n v="0"/>
  </r>
  <r>
    <n v="396"/>
    <s v="Punta 300 µl color transparente_x000a_Compatibles con micropipetas Eppendorf, Jencons, Boeco, Brand, Fisherbrand, Finnpipette, NICHIRYO"/>
    <s v="Labsystems 9401260 o equivalente"/>
    <s v="Bolsa x 1000"/>
    <x v="0"/>
    <x v="1"/>
    <n v="103"/>
    <n v="414057.54879999999"/>
    <n v="42647927.5264"/>
    <m/>
    <n v="0"/>
    <n v="10"/>
    <n v="4140575.4879999999"/>
    <n v="90"/>
    <n v="37265179.391999997"/>
    <m/>
    <n v="0"/>
    <m/>
    <n v="0"/>
    <m/>
    <n v="0"/>
    <m/>
    <n v="0"/>
    <n v="3"/>
    <n v="1242172.6464"/>
    <m/>
    <n v="0"/>
  </r>
  <r>
    <n v="397"/>
    <s v="Punta 50-1000 µl libre de Dnasas y Rnasas_x000a_Compatibles con micropipetas Eppendorf, Jencons, Boeco, Brand, Fisherbrand, Finnpipette, NICHIRYO"/>
    <s v="Brand 7320 12  o equivalente"/>
    <s v="Bolsa x 1000"/>
    <x v="0"/>
    <x v="1"/>
    <n v="21"/>
    <n v="241750.3088"/>
    <n v="5076756.4847999997"/>
    <n v="1"/>
    <n v="241750.3088"/>
    <n v="12"/>
    <n v="2901003.7056"/>
    <m/>
    <n v="0"/>
    <n v="2"/>
    <n v="483500.6176"/>
    <n v="4"/>
    <n v="967001.2352"/>
    <n v="2"/>
    <n v="483500.6176"/>
    <m/>
    <n v="0"/>
    <m/>
    <n v="0"/>
    <m/>
    <n v="0"/>
  </r>
  <r>
    <n v="398"/>
    <s v="Rack para almacenamiento de puntas de 5 ml Tip box, con plataforma vacía "/>
    <s v="Brand Ref 7026 05 o equivalente"/>
    <s v="unidad"/>
    <x v="0"/>
    <x v="1"/>
    <n v="3"/>
    <n v="287785.60159999999"/>
    <n v="863356.80480000004"/>
    <m/>
    <n v="0"/>
    <m/>
    <n v="0"/>
    <m/>
    <n v="0"/>
    <m/>
    <n v="0"/>
    <m/>
    <n v="0"/>
    <m/>
    <n v="0"/>
    <m/>
    <n v="0"/>
    <n v="3"/>
    <n v="863356.80480000004"/>
    <m/>
    <n v="0"/>
  </r>
  <r>
    <n v="399"/>
    <s v="Rastrillo  bacteriologico autoclavable  vidrio, para sembrar bacterias en medio de cultivo."/>
    <s v="Cualquier marca"/>
    <s v=" "/>
    <x v="0"/>
    <x v="1"/>
    <n v="27"/>
    <n v="37712.527999999998"/>
    <n v="1018238.2559999999"/>
    <m/>
    <n v="0"/>
    <n v="11"/>
    <n v="414837.80799999996"/>
    <m/>
    <n v="0"/>
    <m/>
    <n v="0"/>
    <n v="6"/>
    <n v="226275.16800000001"/>
    <m/>
    <n v="0"/>
    <m/>
    <n v="0"/>
    <n v="10"/>
    <n v="377125.27999999997"/>
    <m/>
    <n v="0"/>
  </r>
  <r>
    <n v="400"/>
    <s v="Recuperador con punta imantada para varilla de agitación  eje flexible 43,2cm"/>
    <s v="Cualquier marca"/>
    <s v="Unidad"/>
    <x v="0"/>
    <x v="2"/>
    <n v="2"/>
    <n v="175428.27679999999"/>
    <n v="350856.55359999998"/>
    <m/>
    <n v="0"/>
    <m/>
    <n v="0"/>
    <m/>
    <n v="0"/>
    <m/>
    <n v="0"/>
    <m/>
    <n v="0"/>
    <m/>
    <n v="0"/>
    <m/>
    <n v="0"/>
    <n v="2"/>
    <n v="350856.55359999998"/>
    <m/>
    <n v="0"/>
  </r>
  <r>
    <n v="401"/>
    <s v="Reservorio para reactivos capacidad de 50ml autoclavable"/>
    <s v="Cualquier marca"/>
    <s v="Paquete x 10 "/>
    <x v="0"/>
    <x v="1"/>
    <n v="4"/>
    <n v="339282.70880000002"/>
    <n v="1357130.8352000001"/>
    <n v="2"/>
    <n v="678565.41760000004"/>
    <n v="2"/>
    <n v="678565.41760000004"/>
    <m/>
    <n v="0"/>
    <m/>
    <n v="0"/>
    <m/>
    <n v="0"/>
    <m/>
    <n v="0"/>
    <m/>
    <n v="0"/>
    <m/>
    <n v="0"/>
    <m/>
    <n v="0"/>
  </r>
  <r>
    <n v="402"/>
    <s v="Reservorio para reactivos capacidad de 50ml desechable"/>
    <s v="Cualquier marca"/>
    <s v="Paquete x 50"/>
    <x v="0"/>
    <x v="1"/>
    <n v="2"/>
    <n v="501186.49280000001"/>
    <n v="1002372.9856"/>
    <m/>
    <n v="0"/>
    <m/>
    <n v="0"/>
    <n v="2"/>
    <n v="1002372.9856"/>
    <m/>
    <n v="0"/>
    <m/>
    <n v="0"/>
    <m/>
    <n v="0"/>
    <m/>
    <n v="0"/>
    <m/>
    <n v="0"/>
    <m/>
    <n v="0"/>
  </r>
  <r>
    <n v="403"/>
    <s v="Set de herramientas para micromontajes"/>
    <s v="Bioquip 4831 o equivalente"/>
    <s v="Set x tres "/>
    <x v="0"/>
    <x v="1"/>
    <n v="2"/>
    <n v="460092.84159999999"/>
    <n v="920185.68319999997"/>
    <m/>
    <n v="0"/>
    <m/>
    <n v="0"/>
    <m/>
    <n v="0"/>
    <m/>
    <n v="0"/>
    <n v="2"/>
    <n v="920185.68319999997"/>
    <m/>
    <n v="0"/>
    <m/>
    <n v="0"/>
    <m/>
    <n v="0"/>
    <m/>
    <n v="0"/>
  </r>
  <r>
    <n v="404"/>
    <s v="Silica gel indicador"/>
    <s v="Cualquier marca"/>
    <s v="Frasco x 1kg"/>
    <x v="0"/>
    <x v="13"/>
    <n v="1"/>
    <n v="285574.86719999998"/>
    <n v="285574.86719999998"/>
    <m/>
    <n v="0"/>
    <m/>
    <n v="0"/>
    <m/>
    <n v="0"/>
    <m/>
    <n v="0"/>
    <m/>
    <n v="0"/>
    <n v="1"/>
    <n v="285574.86719999998"/>
    <m/>
    <n v="0"/>
    <m/>
    <n v="0"/>
    <m/>
    <n v="0"/>
  </r>
  <r>
    <n v="405"/>
    <s v="Sistema filtración por membrana con erlenmeyer ( Embudo, base y tapón tubulado de vidrio de borosilicato; abrazadera de resorte de aluminio anodizado; soporte de filtro de vidrio fritado._x000a_Embudo, 300 ml_x000a_Diámetro del filtro, 47 mm_x000a_Área de filtración, 9,6 cm2_x000a_Abrazadera, 47mm_x000a_Erlenmeyer, 1 Lt._x000a_Conexión de salida 6 mm (1/4 pulg.) D.E. brazo lateral con tapa tubulada para aspirar."/>
    <s v="Cualquier marca"/>
    <m/>
    <x v="0"/>
    <x v="0"/>
    <n v="3"/>
    <n v="3511166.4"/>
    <n v="10533499.199999999"/>
    <n v="1"/>
    <n v="3511166.4"/>
    <m/>
    <n v="0"/>
    <n v="1"/>
    <n v="3511166.4"/>
    <m/>
    <n v="0"/>
    <m/>
    <n v="0"/>
    <m/>
    <n v="0"/>
    <m/>
    <n v="0"/>
    <n v="1"/>
    <n v="3511166.4"/>
    <m/>
    <n v="0"/>
  </r>
  <r>
    <n v="406"/>
    <s v="Soporte de mesa para 6 micropipetas  transferpette S o digital tipo carrusel"/>
    <s v="Brand 704805 o equivalente"/>
    <s v="Unidad"/>
    <x v="0"/>
    <x v="1"/>
    <n v="3"/>
    <n v="771156.17599999998"/>
    <n v="2313468.5279999999"/>
    <m/>
    <n v="0"/>
    <n v="2"/>
    <n v="1542312.352"/>
    <m/>
    <n v="0"/>
    <m/>
    <n v="0"/>
    <m/>
    <n v="0"/>
    <m/>
    <n v="0"/>
    <m/>
    <n v="0"/>
    <n v="1"/>
    <n v="771156.17599999998"/>
    <m/>
    <n v="0"/>
  </r>
  <r>
    <n v="407"/>
    <s v="Soporte lineal para 4 micropipetas o superior"/>
    <s v="Brand o equivalente"/>
    <s v="Unidad"/>
    <x v="0"/>
    <x v="1"/>
    <n v="8"/>
    <n v="608732.21920000005"/>
    <n v="4869857.7536000004"/>
    <m/>
    <n v="0"/>
    <n v="2"/>
    <n v="1217464.4384000001"/>
    <m/>
    <n v="0"/>
    <m/>
    <n v="0"/>
    <n v="6"/>
    <n v="3652393.3152000001"/>
    <m/>
    <n v="0"/>
    <m/>
    <n v="0"/>
    <m/>
    <n v="0"/>
    <m/>
    <n v="0"/>
  </r>
  <r>
    <n v="408"/>
    <s v="SPE-columna  NH2 500 mg, "/>
    <s v="Waters  _x000a_REF:WAT020840 o equivalente"/>
    <s v="Caja x 30 Unidades"/>
    <x v="0"/>
    <x v="7"/>
    <n v="7"/>
    <n v="1067603.3104000001"/>
    <n v="7473223.1728000008"/>
    <n v="7"/>
    <n v="7473223.1728000008"/>
    <m/>
    <n v="0"/>
    <m/>
    <n v="0"/>
    <m/>
    <n v="0"/>
    <m/>
    <n v="0"/>
    <m/>
    <n v="0"/>
    <m/>
    <n v="0"/>
    <m/>
    <n v="0"/>
    <m/>
    <n v="0"/>
  </r>
  <r>
    <n v="409"/>
    <s v="Tamiz malla No. 30 con marco de acero inoxidable de 8 pulgadas de diámetro por 2 Pulgadas de altura con malla de acero inoxidable que cumple con la norma ASTM E11. "/>
    <s v="Pinzuar o equivalente"/>
    <s v="Unidad"/>
    <x v="0"/>
    <x v="9"/>
    <n v="1"/>
    <n v="676224.64"/>
    <n v="676224.64"/>
    <m/>
    <n v="0"/>
    <m/>
    <n v="0"/>
    <m/>
    <n v="0"/>
    <m/>
    <n v="0"/>
    <n v="1"/>
    <n v="676224.64"/>
    <m/>
    <n v="0"/>
    <m/>
    <n v="0"/>
    <m/>
    <n v="0"/>
    <m/>
    <n v="0"/>
  </r>
  <r>
    <n v="410"/>
    <s v="Tamiz malla No. 35 con marco de acero inoxidable de 8 pulgadas de diámetro por 2 Pulgadas de altura con malla de acero inoxidable que cumple con la norma ASTM E11. "/>
    <s v="Pinzuar o equivalente"/>
    <s v="Unidad"/>
    <x v="0"/>
    <x v="1"/>
    <n v="4"/>
    <n v="675184.29440000001"/>
    <n v="2700737.1776000001"/>
    <m/>
    <n v="0"/>
    <m/>
    <n v="0"/>
    <m/>
    <n v="0"/>
    <m/>
    <n v="0"/>
    <n v="1"/>
    <n v="675184.29440000001"/>
    <n v="3"/>
    <n v="2025552.8832"/>
    <m/>
    <n v="0"/>
    <m/>
    <n v="0"/>
    <m/>
    <n v="0"/>
  </r>
  <r>
    <n v="411"/>
    <s v="Tanque de almacenamiento de Nitrogeno capacidad para 20 -21 lt"/>
    <s v="Cualquier marca"/>
    <s v="Unidad"/>
    <x v="0"/>
    <x v="3"/>
    <n v="2"/>
    <n v="5269008.4176000003"/>
    <n v="10538016.835200001"/>
    <m/>
    <n v="0"/>
    <m/>
    <n v="0"/>
    <m/>
    <n v="0"/>
    <m/>
    <n v="0"/>
    <n v="2"/>
    <n v="10538016.835200001"/>
    <m/>
    <n v="0"/>
    <m/>
    <n v="0"/>
    <m/>
    <n v="0"/>
    <m/>
    <n v="0"/>
  </r>
  <r>
    <n v="412"/>
    <s v="Tapa agrafe farmacéutico para frasco inyectable de 20mm de 50 ml de capacidad"/>
    <s v="Cualquier marca"/>
    <s v="Caja x 1000"/>
    <x v="0"/>
    <x v="6"/>
    <n v="1"/>
    <n v="487662"/>
    <n v="487662"/>
    <m/>
    <n v="0"/>
    <m/>
    <n v="0"/>
    <n v="1"/>
    <n v="487662"/>
    <m/>
    <n v="0"/>
    <m/>
    <n v="0"/>
    <m/>
    <n v="0"/>
    <m/>
    <n v="0"/>
    <m/>
    <n v="0"/>
    <m/>
    <n v="0"/>
  </r>
  <r>
    <n v="413"/>
    <s v="Tapa azul GL 32 en PP autoclavable a 140ºC"/>
    <s v="DURAN, SCHOTT o equivalente"/>
    <s v="Unidad "/>
    <x v="0"/>
    <x v="0"/>
    <n v="20"/>
    <n v="37712.527999999998"/>
    <n v="754250.55999999994"/>
    <n v="20"/>
    <n v="754250.55999999994"/>
    <m/>
    <n v="0"/>
    <m/>
    <n v="0"/>
    <m/>
    <n v="0"/>
    <m/>
    <n v="0"/>
    <m/>
    <n v="0"/>
    <m/>
    <n v="0"/>
    <m/>
    <n v="0"/>
    <m/>
    <n v="0"/>
  </r>
  <r>
    <n v="414"/>
    <s v="Tapa azul GL 45 en PP autoclavable a 140ºC"/>
    <s v="DURAN, SCHOTT o equivalente"/>
    <s v="Unidad "/>
    <x v="0"/>
    <x v="1"/>
    <n v="20"/>
    <n v="51887.236799999999"/>
    <n v="1037744.736"/>
    <n v="20"/>
    <n v="1037744.736"/>
    <m/>
    <n v="0"/>
    <m/>
    <n v="0"/>
    <m/>
    <n v="0"/>
    <m/>
    <n v="0"/>
    <m/>
    <n v="0"/>
    <m/>
    <n v="0"/>
    <m/>
    <n v="0"/>
    <m/>
    <n v="0"/>
  </r>
  <r>
    <n v="415"/>
    <s v="Termohigrómetro  para máximas y mínimas con rango de temperatura entre 0 y 50 grados centígrados y humedad relativa menor a 95% con sonda_x000a_Con certificado de calibración emitido por un laboratorio certificado por el ONAC."/>
    <s v="Minipa MT 241 o equivalente"/>
    <s v="Unidad"/>
    <x v="0"/>
    <x v="0"/>
    <n v="4"/>
    <n v="514971.07199999999"/>
    <n v="2059884.2879999999"/>
    <m/>
    <n v="0"/>
    <m/>
    <n v="0"/>
    <m/>
    <n v="0"/>
    <m/>
    <n v="0"/>
    <m/>
    <n v="0"/>
    <n v="2"/>
    <n v="1029942.144"/>
    <m/>
    <n v="0"/>
    <n v="2"/>
    <n v="1029942.144"/>
    <m/>
    <n v="0"/>
  </r>
  <r>
    <n v="416"/>
    <s v="Termohigrómetro con datalogger digital de lectura simultánea. Rangos: 0 a 50°C y 20 a 90% de humedad relativa, resolución de 0.1°C y de 1%.Trazable a  NIST. Calibrado y Con certificado de calibración emitido por un laboratorio certificado por el ONAC."/>
    <s v="Fisher 06-662-4 o marca equivalente."/>
    <s v="Unidad"/>
    <x v="0"/>
    <x v="1"/>
    <n v="7"/>
    <n v="1053349.92"/>
    <n v="7373449.4399999995"/>
    <n v="2"/>
    <n v="2106699.84"/>
    <m/>
    <n v="0"/>
    <n v="1"/>
    <n v="1053349.92"/>
    <m/>
    <n v="0"/>
    <n v="4"/>
    <n v="4213399.68"/>
    <m/>
    <n v="0"/>
    <m/>
    <n v="0"/>
    <m/>
    <n v="0"/>
    <m/>
    <n v="0"/>
  </r>
  <r>
    <n v="417"/>
    <s v="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_x000a_Con certificado de calibración emitido por un laboratorio certificado por el ONAC."/>
    <s v="Cualquier marca"/>
    <s v="Unidad "/>
    <x v="0"/>
    <x v="1"/>
    <n v="9"/>
    <n v="1358951.44"/>
    <n v="12230562.959999999"/>
    <m/>
    <n v="0"/>
    <m/>
    <n v="0"/>
    <n v="1"/>
    <n v="1358951.44"/>
    <n v="2"/>
    <n v="2717902.88"/>
    <n v="4"/>
    <n v="5435805.7599999998"/>
    <m/>
    <n v="0"/>
    <m/>
    <n v="0"/>
    <n v="2"/>
    <n v="2717902.88"/>
    <m/>
    <n v="0"/>
  </r>
  <r>
    <n v="418"/>
    <s v="Termohigrometro Digital, con Sensor Rango Temperatura: -40°C to +70°C.Resolución: 0,1°C;  Rango Humedad Relativa: 0-1 to 99-100%HR. Resolución: 0,1%HR. Con certificado de calibración de ente acreditado o laboratorio nacional reconocido. _x000a_Con certificado de calibración emitido por un laboratorio certificado por el ONAC."/>
    <s v="Cualquier marca"/>
    <s v="Unidad "/>
    <x v="0"/>
    <x v="1"/>
    <n v="1"/>
    <n v="1270782.1503999999"/>
    <n v="1270782.1503999999"/>
    <m/>
    <n v="0"/>
    <n v="1"/>
    <n v="1270782.1503999999"/>
    <m/>
    <n v="0"/>
    <m/>
    <n v="0"/>
    <m/>
    <n v="0"/>
    <m/>
    <n v="0"/>
    <m/>
    <n v="0"/>
    <m/>
    <n v="0"/>
    <m/>
    <n v="0"/>
  </r>
  <r>
    <n v="419"/>
    <s v="Termómetro digital con 4 sensores termopar de 2m de longitud, con capacidad de grabar y almacenar hasta 16000 datos, Pantalla LCD con iluminacion de fondo, que indique los datos de las 4 sondas simultaneamente. Division de escala 0,01°C. Rango de medicion de -100°C a 300°C.  Alimentación con adapatador de Voltaje y baterias. Con certificado de calibración emitido por un laboratorio acreditado por ONAC. Calibrado en los siguientes puntos calibrados:  -80°C,-20°C, 0°C, 5°C, 20°C."/>
    <s v="Cualquier marca"/>
    <s v="Unidad "/>
    <x v="0"/>
    <x v="3"/>
    <n v="2"/>
    <n v="1308220.3855999999"/>
    <n v="2616440.7711999998"/>
    <m/>
    <n v="0"/>
    <m/>
    <n v="0"/>
    <m/>
    <n v="0"/>
    <m/>
    <n v="0"/>
    <m/>
    <n v="0"/>
    <m/>
    <n v="0"/>
    <n v="1"/>
    <n v="1308220.3855999999"/>
    <n v="1"/>
    <n v="1308220.3855999999"/>
    <m/>
    <n v="0"/>
  </r>
  <r>
    <n v="420"/>
    <s v="Termómetro digital con rango de -50 a 70°C con una exactitud de +/- 1°C o de mejor exactitud. Con dos sensores externos.  Con certificado de calibración emitido por un laboratorio acreditado por ONAC. "/>
    <s v="Fridge-Freezer o equivalente"/>
    <s v="Unidad"/>
    <x v="0"/>
    <x v="3"/>
    <n v="4"/>
    <n v="937571.03839999996"/>
    <n v="3750284.1535999998"/>
    <m/>
    <n v="0"/>
    <m/>
    <n v="0"/>
    <m/>
    <n v="0"/>
    <m/>
    <n v="0"/>
    <n v="4"/>
    <n v="3750284.1535999998"/>
    <m/>
    <n v="0"/>
    <m/>
    <n v="0"/>
    <m/>
    <n v="0"/>
    <m/>
    <n v="0"/>
  </r>
  <r>
    <n v="421"/>
    <s v="Termometro digital con sensor externo para ultracongelador_x000a_Con certificado de calibración emitido por un laboratorio acreditado por ONAC."/>
    <s v="Fisher Scientific 15-081-108 o equivalente"/>
    <s v="Unidad"/>
    <x v="0"/>
    <x v="0"/>
    <n v="2"/>
    <n v="1495496.8"/>
    <n v="2990993.6"/>
    <m/>
    <n v="0"/>
    <m/>
    <n v="0"/>
    <m/>
    <n v="0"/>
    <m/>
    <n v="0"/>
    <n v="2"/>
    <n v="2990993.6"/>
    <m/>
    <n v="0"/>
    <m/>
    <n v="0"/>
    <m/>
    <n v="0"/>
    <m/>
    <n v="0"/>
  </r>
  <r>
    <n v="422"/>
    <s v="Termometro digital con sensor externo, rango de 0 a 100°C. Con certificado de calibración emitido por un laboratorio acreditado por ONAC."/>
    <s v="Cualquier marca"/>
    <s v="Unidad"/>
    <x v="0"/>
    <x v="3"/>
    <n v="2"/>
    <n v="1190498.5056"/>
    <n v="2380997.0112000001"/>
    <n v="2"/>
    <n v="2380997.0112000001"/>
    <m/>
    <n v="0"/>
    <m/>
    <n v="0"/>
    <m/>
    <n v="0"/>
    <m/>
    <n v="0"/>
    <m/>
    <n v="0"/>
    <m/>
    <n v="0"/>
    <m/>
    <n v="0"/>
    <m/>
    <n v="0"/>
  </r>
  <r>
    <n v="423"/>
    <s v="Termómetro digital con sensor externo. Conexión, bulbo, caja y aro de acero inoxidable. Visor de vidrio. Cuadrante de aluminio con impresiones en negro. Totalmente hermético. Ø del bulbo: 6.35 mm. largo 150 mm. carátula de 4”. Escala de 0° a 100°C. Longitud sonda 30 cm. Con certificado de calibración emitido por un laboratorio acreditado por ONAC."/>
    <s v="Cualquier marca"/>
    <s v="Unidad "/>
    <x v="0"/>
    <x v="3"/>
    <n v="1"/>
    <n v="1010447.6848"/>
    <n v="1010447.6848"/>
    <n v="1"/>
    <n v="1010447.6848"/>
    <m/>
    <n v="0"/>
    <m/>
    <n v="0"/>
    <m/>
    <n v="0"/>
    <m/>
    <n v="0"/>
    <m/>
    <n v="0"/>
    <m/>
    <n v="0"/>
    <m/>
    <n v="0"/>
    <m/>
    <n v="0"/>
  </r>
  <r>
    <n v="424"/>
    <s v="Termómetro digital con sensor interno y externo in/out, con alarma, calibrado por laboratorio acreditado ante ONAC. Ajuste de alarma para temperaturas altas/bajas al aire libre Memoria de temperatura para Max/Min, que puede ser reseteada en cualquier momento Display que muestra la temperatura interior o exterior Cambio entre °C y °F Pantalla digital grande y claro Sensor exterior a prueba de agua Fijación magnética Cinta mágica velcro Especificaciones: Rango: -5°C ~ 50 C/ 14°F ~ 122°F (Indoor) -50°C ~ 70°C/-58°F ~ 158°F (outdoor) Precisión: ± 1°C / ± 1.8° F  Resolución: 0,1°C Tiempo de respuesta: 10 Segundos Longitud del sensor outdoor: 3 m Tamaño: 60-100 x 60-100 x 10-20 mm. Se entrega certificado de calibración NIST expedido por la fábrica y certificado de vericación. Garantía: Un año por defectos de fabricación._x000a_Con certificado de calibración emitido por un laboratorio acreditado por ONAC."/>
    <s v="Cualquier marca"/>
    <s v="Unidad"/>
    <x v="0"/>
    <x v="1"/>
    <n v="1"/>
    <n v="841769.63359999994"/>
    <n v="841769.63359999994"/>
    <m/>
    <n v="0"/>
    <m/>
    <n v="0"/>
    <n v="1"/>
    <n v="841769.63359999994"/>
    <m/>
    <n v="0"/>
    <m/>
    <n v="0"/>
    <m/>
    <n v="0"/>
    <m/>
    <n v="0"/>
    <m/>
    <n v="0"/>
    <m/>
    <n v="0"/>
  </r>
  <r>
    <n v="425"/>
    <s v="Termómetro digital con sensor para inmersión tipo PT100_x000a_Resolución: 0,1 °C_x000a_Rango de medición: -10 °C a 50 °C_x000a_Diámetro: 5 mm_x000a_Longitud de la sonda: 50 mm_x000a_Con 3 juegos de baterías_x000a_Con certificado de calibración emitido por un laboratorio acreditado por ONAC."/>
    <s v="Cualquier marca"/>
    <s v="Unidad"/>
    <x v="0"/>
    <x v="3"/>
    <n v="1"/>
    <n v="2340777.6"/>
    <n v="2340777.6"/>
    <m/>
    <n v="0"/>
    <m/>
    <n v="0"/>
    <m/>
    <n v="0"/>
    <n v="1"/>
    <n v="2340777.6"/>
    <m/>
    <n v="0"/>
    <m/>
    <n v="0"/>
    <m/>
    <n v="0"/>
    <m/>
    <n v="0"/>
    <m/>
    <n v="0"/>
  </r>
  <r>
    <n v="426"/>
    <s v="Tijera de 13 - 15  cm en acero inoxidable punta recta"/>
    <s v="Dimeda o equivalente"/>
    <s v="Unidad"/>
    <x v="0"/>
    <x v="9"/>
    <n v="110"/>
    <n v="68518.559999999998"/>
    <n v="7537041.5999999996"/>
    <m/>
    <n v="0"/>
    <n v="15"/>
    <n v="1027778.3999999999"/>
    <m/>
    <n v="0"/>
    <m/>
    <n v="0"/>
    <n v="8"/>
    <n v="548148.47999999998"/>
    <n v="1"/>
    <n v="68518.559999999998"/>
    <m/>
    <n v="0"/>
    <n v="20"/>
    <n v="1370371.2"/>
    <n v="66"/>
    <n v="4522224.96"/>
  </r>
  <r>
    <n v="427"/>
    <s v="Tijera de 13 - 15 cm en acero inoxidable punta curva"/>
    <s v="Dimeda o equivalente"/>
    <s v="Unidad"/>
    <x v="0"/>
    <x v="1"/>
    <n v="82"/>
    <n v="73864.537599999996"/>
    <n v="6056892.0831999993"/>
    <n v="5"/>
    <n v="369322.68799999997"/>
    <n v="7"/>
    <n v="517051.76319999999"/>
    <m/>
    <n v="0"/>
    <m/>
    <n v="0"/>
    <n v="4"/>
    <n v="295458.15039999998"/>
    <m/>
    <n v="0"/>
    <m/>
    <n v="0"/>
    <m/>
    <n v="0"/>
    <n v="66"/>
    <n v="4875059.4815999996"/>
  </r>
  <r>
    <n v="428"/>
    <s v="Tijera de disección micro tijera tipo pinza 7.5 o 12,5 cm  punta recta"/>
    <s v="Cualquier marca"/>
    <s v="Unidad"/>
    <x v="0"/>
    <x v="9"/>
    <n v="39"/>
    <n v="66770.080000000002"/>
    <n v="2604033.12"/>
    <m/>
    <n v="0"/>
    <n v="7"/>
    <n v="467390.56"/>
    <m/>
    <n v="0"/>
    <m/>
    <n v="0"/>
    <m/>
    <n v="0"/>
    <m/>
    <n v="0"/>
    <m/>
    <n v="0"/>
    <m/>
    <n v="0"/>
    <n v="32"/>
    <n v="2136642.5600000001"/>
  </r>
  <r>
    <n v="429"/>
    <s v="Tijera de mayo recta en acero inoxidable 15 -16 cm"/>
    <s v="Cualquier marca"/>
    <s v="Unidad"/>
    <x v="0"/>
    <x v="1"/>
    <n v="7"/>
    <n v="89989.894400000005"/>
    <n v="629929.26080000005"/>
    <m/>
    <n v="0"/>
    <n v="7"/>
    <n v="629929.26080000005"/>
    <m/>
    <n v="0"/>
    <m/>
    <n v="0"/>
    <m/>
    <n v="0"/>
    <m/>
    <n v="0"/>
    <m/>
    <n v="0"/>
    <m/>
    <n v="0"/>
    <m/>
    <n v="0"/>
  </r>
  <r>
    <n v="430"/>
    <s v="Tijera iris para microcirugía en acero inoxidable de 11 cm de longitud, con punta extradelgada y hoja inferior aserrada"/>
    <s v="Westcott o equivalente"/>
    <s v="Unidad"/>
    <x v="0"/>
    <x v="1"/>
    <n v="4"/>
    <n v="426801.78240000003"/>
    <n v="1707207.1296000001"/>
    <m/>
    <n v="0"/>
    <n v="4"/>
    <n v="1707207.1296000001"/>
    <m/>
    <n v="0"/>
    <m/>
    <n v="0"/>
    <m/>
    <n v="0"/>
    <m/>
    <n v="0"/>
    <m/>
    <n v="0"/>
    <m/>
    <n v="0"/>
    <m/>
    <n v="0"/>
  </r>
  <r>
    <n v="431"/>
    <s v="Tijera para tejidos curva Metzembaum de 15 cm "/>
    <s v="Cualquier marca"/>
    <s v="Unidad"/>
    <x v="0"/>
    <x v="9"/>
    <n v="2"/>
    <n v="227630.24"/>
    <n v="455260.48"/>
    <m/>
    <n v="0"/>
    <n v="2"/>
    <n v="455260.48"/>
    <m/>
    <n v="0"/>
    <m/>
    <n v="0"/>
    <m/>
    <n v="0"/>
    <m/>
    <n v="0"/>
    <m/>
    <n v="0"/>
    <m/>
    <n v="0"/>
    <m/>
    <n v="0"/>
  </r>
  <r>
    <n v="432"/>
    <s v="Tijera trincha aves en acero inoxidable de 9.5&quot;"/>
    <s v="Tramontina o equivalente"/>
    <s v="Unidad"/>
    <x v="0"/>
    <x v="9"/>
    <n v="4"/>
    <n v="160969.44"/>
    <n v="643877.76"/>
    <m/>
    <n v="0"/>
    <n v="4"/>
    <n v="643877.76"/>
    <m/>
    <n v="0"/>
    <m/>
    <n v="0"/>
    <m/>
    <n v="0"/>
    <m/>
    <n v="0"/>
    <m/>
    <n v="0"/>
    <m/>
    <n v="0"/>
    <m/>
    <n v="0"/>
  </r>
  <r>
    <n v="433"/>
    <s v="Tijera Wescott para microcirugía en acero inoxidable de 11 cm de longitud, con punta extradelgada y hoja inferior aserrada"/>
    <s v="Cualquier marca"/>
    <s v="Unidad"/>
    <x v="0"/>
    <x v="3"/>
    <n v="2"/>
    <n v="412912.29440000001"/>
    <n v="825824.58880000003"/>
    <m/>
    <n v="0"/>
    <m/>
    <n v="0"/>
    <m/>
    <n v="0"/>
    <m/>
    <n v="0"/>
    <n v="2"/>
    <n v="825824.58880000003"/>
    <m/>
    <n v="0"/>
    <m/>
    <n v="0"/>
    <m/>
    <n v="0"/>
    <m/>
    <n v="0"/>
  </r>
  <r>
    <n v="434"/>
    <s v="Tijeras para necropsia de aves"/>
    <s v="Avinstrumentosmentos o equivalente"/>
    <s v="Unidad"/>
    <x v="0"/>
    <x v="1"/>
    <n v="39"/>
    <n v="305601.52"/>
    <n v="11918459.280000001"/>
    <m/>
    <n v="0"/>
    <n v="4"/>
    <n v="1222406.08"/>
    <m/>
    <n v="0"/>
    <m/>
    <n v="0"/>
    <m/>
    <n v="0"/>
    <m/>
    <n v="0"/>
    <m/>
    <n v="0"/>
    <m/>
    <n v="0"/>
    <n v="35"/>
    <n v="10696053.200000001"/>
  </r>
  <r>
    <n v="435"/>
    <s v="Timer digital 4 canales"/>
    <s v="Cualquier marca"/>
    <s v="Unidad"/>
    <x v="0"/>
    <x v="1"/>
    <n v="10"/>
    <n v="326018.30239999999"/>
    <n v="3260183.0239999997"/>
    <n v="2"/>
    <n v="652036.60479999997"/>
    <n v="2"/>
    <n v="652036.60479999997"/>
    <n v="1"/>
    <n v="326018.30239999999"/>
    <m/>
    <n v="0"/>
    <n v="5"/>
    <n v="1630091.5119999999"/>
    <m/>
    <n v="0"/>
    <m/>
    <n v="0"/>
    <m/>
    <n v="0"/>
    <m/>
    <n v="0"/>
  </r>
  <r>
    <n v="436"/>
    <s v="Tinta brady (TLS 2200/TLS PC Link portable thermal Ribbons Black )"/>
    <s v="R4310 Ptr Ribbon o equivalente"/>
    <s v="Unidad"/>
    <x v="0"/>
    <x v="1"/>
    <n v="1"/>
    <n v="823043.41280000005"/>
    <n v="823043.41280000005"/>
    <m/>
    <n v="0"/>
    <n v="1"/>
    <n v="823043.41280000005"/>
    <m/>
    <n v="0"/>
    <m/>
    <n v="0"/>
    <m/>
    <n v="0"/>
    <m/>
    <n v="0"/>
    <m/>
    <n v="0"/>
    <m/>
    <n v="0"/>
    <m/>
    <n v="0"/>
  </r>
  <r>
    <n v="437"/>
    <s v="Tira indicadora de pH 0-14"/>
    <s v="Merck o equivalente"/>
    <s v="Tira"/>
    <x v="0"/>
    <x v="1"/>
    <n v="10"/>
    <n v="133424.32320000001"/>
    <n v="1334243.2320000001"/>
    <m/>
    <n v="0"/>
    <n v="5"/>
    <n v="667121.61600000004"/>
    <n v="5"/>
    <n v="667121.61600000004"/>
    <m/>
    <n v="0"/>
    <m/>
    <n v="0"/>
    <m/>
    <n v="0"/>
    <m/>
    <n v="0"/>
    <m/>
    <n v="0"/>
    <m/>
    <n v="0"/>
  </r>
  <r>
    <n v="438"/>
    <s v="Toalla absorbente multiusos reutilizable, presentación en rollo por mínimo 58 toallas  "/>
    <s v="Scott, familia o equivalente"/>
    <s v="Rollo"/>
    <x v="0"/>
    <x v="1"/>
    <n v="790"/>
    <n v="57479.094400000002"/>
    <n v="45408484.576000005"/>
    <n v="30"/>
    <n v="1724372.8319999999"/>
    <n v="30"/>
    <n v="1724372.8319999999"/>
    <n v="30"/>
    <n v="1724372.8319999999"/>
    <m/>
    <n v="0"/>
    <n v="50"/>
    <n v="2873954.72"/>
    <m/>
    <n v="0"/>
    <m/>
    <n v="0"/>
    <n v="300"/>
    <n v="17243728.32"/>
    <n v="350"/>
    <n v="20117683.039999999"/>
  </r>
  <r>
    <n v="439"/>
    <s v="Toalla de manos doblada en Z Natural Triple hoja"/>
    <s v="Familia 73547 o equivalente"/>
    <s v="Caja x 24 paquetes"/>
    <x v="0"/>
    <x v="1"/>
    <n v="14"/>
    <n v="341623.48639999999"/>
    <n v="4782728.8096000003"/>
    <n v="2"/>
    <n v="683246.97279999999"/>
    <n v="5"/>
    <n v="1708117.432"/>
    <n v="5"/>
    <n v="1708117.432"/>
    <m/>
    <n v="0"/>
    <n v="2"/>
    <n v="683246.97279999999"/>
    <m/>
    <n v="0"/>
    <m/>
    <n v="0"/>
    <m/>
    <n v="0"/>
    <m/>
    <n v="0"/>
  </r>
  <r>
    <n v="440"/>
    <s v="Tubo cónico de 0,5ml  en polipropileno grado médico, libre de RNasas y DNasas, esterilizables. Resistentes fuerza centrífuga hasta x 30000g autoclavables, libres de pirógenos, resistentes a temperaturas de -80 hasta 121 °C"/>
    <s v="Eppendorf o equivalente"/>
    <s v="Bolsa x 500"/>
    <x v="0"/>
    <x v="12"/>
    <n v="34"/>
    <n v="143047.51999999999"/>
    <n v="4863615.68"/>
    <m/>
    <n v="0"/>
    <n v="2"/>
    <n v="286095.03999999998"/>
    <m/>
    <n v="0"/>
    <m/>
    <n v="0"/>
    <n v="8"/>
    <n v="1144380.1599999999"/>
    <n v="24"/>
    <n v="3433140.4799999995"/>
    <m/>
    <n v="0"/>
    <m/>
    <n v="0"/>
    <m/>
    <n v="0"/>
  </r>
  <r>
    <n v="441"/>
    <s v="Tubo cónico de 1,5 ml en polipropileno grado médico, libre de RNasas y DNasas, estériles o no estériles. Resistentes fuerza centrífuga hasta x  30000g o superior, autoclavables, libres de pirógenos, resistentes a temperaturas de -80 hasta 121 °C "/>
    <s v="Fisher 05-408-129, Axygen o equivalente"/>
    <s v="Bolsa x 500"/>
    <x v="0"/>
    <x v="1"/>
    <n v="30"/>
    <n v="207939.07680000001"/>
    <n v="6238172.3040000005"/>
    <n v="2"/>
    <n v="415878.15360000002"/>
    <n v="5"/>
    <n v="1039695.3840000001"/>
    <m/>
    <n v="0"/>
    <m/>
    <n v="0"/>
    <n v="22"/>
    <n v="4574659.6896000002"/>
    <m/>
    <n v="0"/>
    <m/>
    <n v="0"/>
    <n v="1"/>
    <n v="207939.07680000001"/>
    <m/>
    <n v="0"/>
  </r>
  <r>
    <n v="442"/>
    <s v="Tubo de centrífuga de 15 ml en polipropileno, estéril, tapa rosca, fondo cónico, velocidad de centrífugación 12000 RPM, autoclavable (sin la tapa), rango de temperatura de -40 a +80ºC, con graduación impresa."/>
    <s v="Falcon 352095 Fisher 11889640, _x000a_Corning_x000a_o equivalente"/>
    <s v="Caja x 500"/>
    <x v="0"/>
    <x v="1"/>
    <n v="119"/>
    <n v="1052699.7039999999"/>
    <n v="125271264.77599999"/>
    <n v="4"/>
    <n v="4210798.8159999996"/>
    <n v="20"/>
    <n v="21053994.079999998"/>
    <n v="10"/>
    <n v="10526997.039999999"/>
    <m/>
    <n v="0"/>
    <m/>
    <n v="0"/>
    <m/>
    <n v="0"/>
    <m/>
    <n v="0"/>
    <n v="10"/>
    <n v="10526997.039999999"/>
    <n v="75"/>
    <n v="78952477.799999997"/>
  </r>
  <r>
    <n v="443"/>
    <s v="Tubo de centrífuga de 50 ml en polipropileno con tapa y sello de tapón, fondo cónico, estéril, graduado, velocidad de centrífugación 12000 RPM, autoclavable (sin la tapa), rango de temperatura de -40 a +80º C, con graduación impresa."/>
    <s v="Corning 430290 o equivalente"/>
    <s v="Caja x 500"/>
    <x v="0"/>
    <x v="5"/>
    <n v="81"/>
    <n v="985727.45600000001"/>
    <n v="79843923.936000004"/>
    <n v="10"/>
    <n v="9857274.5600000005"/>
    <m/>
    <n v="0"/>
    <n v="5"/>
    <n v="4928637.28"/>
    <m/>
    <n v="0"/>
    <n v="6"/>
    <n v="5914364.7359999996"/>
    <n v="10"/>
    <n v="9857274.5600000005"/>
    <m/>
    <n v="0"/>
    <n v="50"/>
    <n v="49286372.799999997"/>
    <m/>
    <n v="0"/>
  </r>
  <r>
    <n v="444"/>
    <s v="Tubo de ensayo de vidrio 13x75 mm, sin reborde"/>
    <s v="Pyrex, Brand 9820 o equivalente"/>
    <s v="Paquete x 72"/>
    <x v="0"/>
    <x v="6"/>
    <n v="10"/>
    <n v="351116.64"/>
    <n v="3511166.4000000004"/>
    <m/>
    <n v="0"/>
    <m/>
    <n v="0"/>
    <n v="10"/>
    <n v="3511166.4000000004"/>
    <m/>
    <n v="0"/>
    <m/>
    <n v="0"/>
    <m/>
    <n v="0"/>
    <m/>
    <n v="0"/>
    <m/>
    <n v="0"/>
    <m/>
    <n v="0"/>
  </r>
  <r>
    <n v="445"/>
    <s v="Tubo de microdilución de 1.1 ml"/>
    <s v="Thermo o equivalente"/>
    <s v="Bolsa x 960"/>
    <x v="0"/>
    <x v="1"/>
    <n v="9"/>
    <n v="1202899.6000000001"/>
    <n v="10826096.4"/>
    <m/>
    <n v="0"/>
    <n v="4"/>
    <n v="4811598.4000000004"/>
    <n v="5"/>
    <n v="6014498"/>
    <m/>
    <n v="0"/>
    <m/>
    <n v="0"/>
    <m/>
    <n v="0"/>
    <m/>
    <n v="0"/>
    <m/>
    <n v="0"/>
    <m/>
    <n v="0"/>
  </r>
  <r>
    <n v="446"/>
    <s v="Tubo de vidrio refractario tapa rosca 16x150 mm capacidad 20 ml "/>
    <s v="Cualquier marca"/>
    <s v="Caja x 100"/>
    <x v="0"/>
    <x v="1"/>
    <n v="3"/>
    <n v="788061.79200000002"/>
    <n v="2364185.3760000002"/>
    <m/>
    <n v="0"/>
    <m/>
    <n v="0"/>
    <n v="3"/>
    <n v="2364185.3760000002"/>
    <m/>
    <n v="0"/>
    <m/>
    <n v="0"/>
    <m/>
    <n v="0"/>
    <m/>
    <n v="0"/>
    <m/>
    <n v="0"/>
    <m/>
    <n v="0"/>
  </r>
  <r>
    <n v="447"/>
    <s v="Tubo de vidrio tapa rosca 13x100 mm"/>
    <s v="Pyrex Plus, Sigma o equivalente"/>
    <s v="Unidad"/>
    <x v="0"/>
    <x v="1"/>
    <n v="20"/>
    <n v="2990.9935999999998"/>
    <n v="59819.871999999996"/>
    <m/>
    <n v="0"/>
    <n v="20"/>
    <n v="59819.871999999996"/>
    <m/>
    <n v="0"/>
    <m/>
    <n v="0"/>
    <m/>
    <n v="0"/>
    <m/>
    <n v="0"/>
    <m/>
    <n v="0"/>
    <m/>
    <n v="0"/>
    <m/>
    <n v="0"/>
  </r>
  <r>
    <n v="448"/>
    <s v="Tubo de vidrio tapa rosca 9 ml"/>
    <s v="Enthos o Bioequipos o equivalente"/>
    <s v="Caja x 100"/>
    <x v="0"/>
    <x v="1"/>
    <n v="2"/>
    <n v="605871.26879999996"/>
    <n v="1211742.5375999999"/>
    <m/>
    <n v="0"/>
    <n v="1"/>
    <n v="605871.26879999996"/>
    <n v="1"/>
    <n v="605871.26879999996"/>
    <m/>
    <n v="0"/>
    <m/>
    <n v="0"/>
    <m/>
    <n v="0"/>
    <m/>
    <n v="0"/>
    <m/>
    <n v="0"/>
    <m/>
    <n v="0"/>
  </r>
  <r>
    <n v="449"/>
    <s v="Tubo de vidrio tapa rosca x 10 ml"/>
    <s v="Pyrex, Cole Parmer, Brand PZ-06324-60 o equivalente"/>
    <s v="Paquete x 10"/>
    <x v="0"/>
    <x v="0"/>
    <n v="1"/>
    <n v="1027341.28"/>
    <n v="1027341.28"/>
    <m/>
    <n v="0"/>
    <n v="1"/>
    <n v="1027341.28"/>
    <m/>
    <n v="0"/>
    <m/>
    <n v="0"/>
    <m/>
    <n v="0"/>
    <m/>
    <n v="0"/>
    <m/>
    <n v="0"/>
    <m/>
    <n v="0"/>
    <m/>
    <n v="0"/>
  </r>
  <r>
    <n v="450"/>
    <s v="Tubo microhematocrito sin heparina"/>
    <s v="Marienfeld o equivalente"/>
    <s v="Frasco x 100"/>
    <x v="0"/>
    <x v="1"/>
    <n v="5"/>
    <n v="245781.64799999999"/>
    <n v="1228908.24"/>
    <m/>
    <n v="0"/>
    <n v="5"/>
    <n v="1228908.24"/>
    <m/>
    <n v="0"/>
    <m/>
    <n v="0"/>
    <m/>
    <n v="0"/>
    <m/>
    <n v="0"/>
    <m/>
    <n v="0"/>
    <m/>
    <n v="0"/>
    <m/>
    <n v="0"/>
  </r>
  <r>
    <n v="451"/>
    <s v="Tubo para microcentrífuga de 1,7 con tapa ,libres de Rnasas, Dnasas y pirógenos"/>
    <s v="Sorenson o equivalente"/>
    <s v="Bolsa x 500"/>
    <x v="0"/>
    <x v="1"/>
    <n v="23"/>
    <n v="312103.67999999999"/>
    <n v="7178384.6399999997"/>
    <m/>
    <n v="0"/>
    <m/>
    <n v="0"/>
    <n v="20"/>
    <n v="6242073.5999999996"/>
    <m/>
    <n v="0"/>
    <n v="3"/>
    <n v="936311.04"/>
    <m/>
    <n v="0"/>
    <m/>
    <n v="0"/>
    <m/>
    <n v="0"/>
    <m/>
    <n v="0"/>
  </r>
  <r>
    <n v="452"/>
    <s v="Tubo para PCR 0.2 ml con tapa plana libres de Dnasas y RNAsas "/>
    <s v="Thermo Scientific, VWR, Brand, Axygen o equivalente"/>
    <s v="Bolsa x 1000"/>
    <x v="0"/>
    <x v="1"/>
    <n v="41"/>
    <n v="431483.33759999997"/>
    <n v="17690816.841599997"/>
    <m/>
    <n v="0"/>
    <m/>
    <n v="0"/>
    <m/>
    <n v="0"/>
    <m/>
    <n v="0"/>
    <n v="16"/>
    <n v="6903733.4015999995"/>
    <n v="25"/>
    <n v="10787083.439999999"/>
    <m/>
    <n v="0"/>
    <m/>
    <n v="0"/>
    <m/>
    <n v="0"/>
  </r>
  <r>
    <n v="453"/>
    <s v="Tubos cónico de 2 ml, tapa plana de borde largo, libres de Rnasas, Dnasa y pirógenos, color Natural, Ultra Transparentes, rótulo esmerilado, graduados,"/>
    <s v="Eppendorf  o equivalente"/>
    <s v="Bolsa x 500"/>
    <x v="0"/>
    <x v="1"/>
    <n v="245"/>
    <n v="445528.00319999998"/>
    <n v="109154360.78399999"/>
    <n v="3"/>
    <n v="1336584.0096"/>
    <n v="2"/>
    <n v="891056.00639999995"/>
    <n v="4"/>
    <n v="1782112.0127999999"/>
    <m/>
    <n v="0"/>
    <n v="24"/>
    <n v="10692672.0768"/>
    <n v="12"/>
    <n v="5346336.0384"/>
    <m/>
    <n v="0"/>
    <m/>
    <n v="0"/>
    <n v="200"/>
    <n v="89105600.640000001"/>
  </r>
  <r>
    <n v="454"/>
    <s v="Tubos conicos de 15ml "/>
    <s v="MP BIOMEDICALS  116930000, no puede ser equivalente"/>
    <s v="Bolsa x 50"/>
    <x v="0"/>
    <x v="1"/>
    <n v="13"/>
    <n v="726161.22880000004"/>
    <n v="9440095.9744000006"/>
    <m/>
    <n v="0"/>
    <m/>
    <n v="0"/>
    <n v="7"/>
    <n v="5083128.6016000006"/>
    <m/>
    <n v="0"/>
    <n v="1"/>
    <n v="726161.22880000004"/>
    <n v="5"/>
    <n v="3630806.1440000003"/>
    <m/>
    <n v="0"/>
    <m/>
    <n v="0"/>
    <m/>
    <n v="0"/>
  </r>
  <r>
    <n v="455"/>
    <s v="Tubos de ensayo para destilación Ø42x300 mm, 250 mL, vidrio, para destilación equipo VELP UDK 169 "/>
    <s v="Velp Ref código A00001080 o  tecator de las dimensiones requeridas"/>
    <s v="Paquete x 3 unidades (120 tubos)"/>
    <x v="0"/>
    <x v="1"/>
    <n v="40"/>
    <n v="606261.39839999995"/>
    <n v="24250455.935999997"/>
    <m/>
    <n v="0"/>
    <m/>
    <n v="0"/>
    <m/>
    <n v="0"/>
    <m/>
    <n v="0"/>
    <m/>
    <n v="0"/>
    <m/>
    <n v="0"/>
    <m/>
    <n v="0"/>
    <n v="40"/>
    <n v="24250455.935999997"/>
    <m/>
    <n v="0"/>
  </r>
  <r>
    <n v="456"/>
    <s v="Tubos para centrífuga de alta velocidad, PPCO, fondo redondo, resistentes al cloroformo,  autoclavalbles, 50,000 x G, tapon de rosca, capacidad 250 ml- Diámetro de . 62×128 mm"/>
    <s v="Thermo - Nalgene   catalogo VWR 525-2311 o equivalente "/>
    <s v="Caja x 4"/>
    <x v="0"/>
    <x v="1"/>
    <n v="6"/>
    <n v="1163236.4239999999"/>
    <n v="6979418.5439999998"/>
    <n v="6"/>
    <n v="6979418.5439999998"/>
    <m/>
    <n v="0"/>
    <m/>
    <n v="0"/>
    <m/>
    <n v="0"/>
    <m/>
    <n v="0"/>
    <m/>
    <n v="0"/>
    <m/>
    <n v="0"/>
    <m/>
    <n v="0"/>
    <m/>
    <n v="0"/>
  </r>
  <r>
    <n v="457"/>
    <s v="Tubos tipo eppendorf 600 ul en polipropileno grado médico, libre de RNasas y DNasas, estériles. Resistentes fuerza centrífuga hasta x  30000g autoclavables, libres de pirógenos, resistentes a temperaturas de -80 hasta 121 °C "/>
    <s v="Cualquier marca"/>
    <s v="Bolsa x 100"/>
    <x v="0"/>
    <x v="1"/>
    <n v="3"/>
    <n v="711596.39040000003"/>
    <n v="2134789.1712000002"/>
    <m/>
    <n v="0"/>
    <m/>
    <n v="0"/>
    <n v="1"/>
    <n v="711596.39040000003"/>
    <m/>
    <n v="0"/>
    <n v="2"/>
    <n v="1423192.7808000001"/>
    <m/>
    <n v="0"/>
    <m/>
    <n v="0"/>
    <m/>
    <n v="0"/>
    <m/>
    <n v="0"/>
  </r>
  <r>
    <n v="458"/>
    <s v="Tungsten VIS lamp. For Agilent G1315A/B/C/D and G1365A/B/C/D diode array detectors, and 8453A diode array spectrophotometer "/>
    <s v="Agilent ref. G1103-6001 o equivalente"/>
    <s v="Unidad"/>
    <x v="0"/>
    <x v="7"/>
    <n v="1"/>
    <n v="1475313.8768"/>
    <n v="1475313.8768"/>
    <n v="1"/>
    <n v="1475313.8768"/>
    <m/>
    <n v="0"/>
    <m/>
    <n v="0"/>
    <m/>
    <n v="0"/>
    <m/>
    <n v="0"/>
    <m/>
    <n v="0"/>
    <m/>
    <n v="0"/>
    <m/>
    <n v="0"/>
    <m/>
    <n v="0"/>
  </r>
  <r>
    <n v="459"/>
    <s v="Unidades de Filtración para jeringa 0.22 µm estériles. (Ø=25mm), SFCA (Surfactant-free cellulose acetate) o similar acorde para filtración de aditivos de medios de cultivo microbiológicos "/>
    <s v="Sterile Millex Millipore o equivalente"/>
    <s v="Paquete x 50"/>
    <x v="0"/>
    <x v="3"/>
    <n v="2"/>
    <n v="1467865.352"/>
    <n v="2935730.7039999999"/>
    <m/>
    <n v="0"/>
    <n v="2"/>
    <n v="2935730.7039999999"/>
    <m/>
    <n v="0"/>
    <m/>
    <n v="0"/>
    <m/>
    <n v="0"/>
    <m/>
    <n v="0"/>
    <m/>
    <n v="0"/>
    <m/>
    <n v="0"/>
    <m/>
    <n v="0"/>
  </r>
  <r>
    <n v="460"/>
    <s v="Vara para retirar varillas magnéticas, con núcleo magnético completamente encapsulado en PTFE. _x000a_Longitud 300 - 350 mm. Ø: 8 mm"/>
    <s v="Brand 137720 o equivalente"/>
    <s v="Unidad"/>
    <x v="0"/>
    <x v="1"/>
    <n v="2"/>
    <n v="220423.22399999999"/>
    <n v="440846.44799999997"/>
    <n v="2"/>
    <n v="440846.44799999997"/>
    <m/>
    <n v="0"/>
    <m/>
    <n v="0"/>
    <m/>
    <n v="0"/>
    <m/>
    <n v="0"/>
    <m/>
    <n v="0"/>
    <m/>
    <n v="0"/>
    <m/>
    <n v="0"/>
    <m/>
    <n v="0"/>
  </r>
  <r>
    <n v="461"/>
    <s v="Varilla de vidrio 7 mm"/>
    <s v="Cualquier marca"/>
    <s v="Varilla por 100 cm"/>
    <x v="0"/>
    <x v="1"/>
    <n v="2"/>
    <n v="16125.3568"/>
    <n v="32250.713599999999"/>
    <m/>
    <n v="0"/>
    <n v="2"/>
    <n v="32250.713599999999"/>
    <m/>
    <n v="0"/>
    <m/>
    <n v="0"/>
    <m/>
    <n v="0"/>
    <m/>
    <n v="0"/>
    <m/>
    <n v="0"/>
    <m/>
    <n v="0"/>
    <m/>
    <n v="0"/>
  </r>
  <r>
    <n v="462"/>
    <s v="Varilla para agitación de vidrio 300mm"/>
    <s v="Cualquier marca"/>
    <s v="unidad"/>
    <x v="0"/>
    <x v="1"/>
    <n v="3"/>
    <n v="15735.227199999999"/>
    <n v="47205.681599999996"/>
    <m/>
    <n v="0"/>
    <n v="3"/>
    <n v="47205.681599999996"/>
    <m/>
    <n v="0"/>
    <m/>
    <n v="0"/>
    <m/>
    <n v="0"/>
    <m/>
    <n v="0"/>
    <m/>
    <n v="0"/>
    <m/>
    <n v="0"/>
    <m/>
    <n v="0"/>
  </r>
  <r>
    <n v="463"/>
    <s v="Vaso copplin con 4 o 5 o 10 divisiones"/>
    <s v="Cualquier marca"/>
    <s v="Unidad"/>
    <x v="0"/>
    <x v="1"/>
    <n v="2"/>
    <n v="105465.0352"/>
    <n v="210930.0704"/>
    <m/>
    <n v="0"/>
    <n v="2"/>
    <n v="210930.0704"/>
    <m/>
    <n v="0"/>
    <m/>
    <n v="0"/>
    <m/>
    <n v="0"/>
    <m/>
    <n v="0"/>
    <m/>
    <n v="0"/>
    <m/>
    <n v="0"/>
    <m/>
    <n v="0"/>
  </r>
  <r>
    <n v="464"/>
    <s v="Vaso de precipitado de 5000 ml vidrio forma baja con escala Boro silicato 3.3"/>
    <s v="Schott, Pirex, glassco"/>
    <s v="Unidad "/>
    <x v="0"/>
    <x v="1"/>
    <n v="2"/>
    <n v="480379.5808"/>
    <n v="960759.16159999999"/>
    <m/>
    <n v="0"/>
    <m/>
    <n v="0"/>
    <m/>
    <n v="0"/>
    <m/>
    <n v="0"/>
    <m/>
    <n v="0"/>
    <m/>
    <n v="0"/>
    <m/>
    <n v="0"/>
    <n v="2"/>
    <n v="960759.16159999999"/>
    <m/>
    <n v="0"/>
  </r>
  <r>
    <n v="465"/>
    <s v="Vaso de precipitado de forma baja, vidrio claro de 100 ml. Borosilicato 3.3, impresión en cerámica, que cumpla con las normas DIN 12331/ISO3819 e ISO 12 600 o ASTM E960, requisitos Tipo I y USP Tipo I y ASTM E438, Tipo I. "/>
    <s v="Pyrex , Corning, Kymax, Brand, Duran, Brand o equivalente"/>
    <s v="Unidad "/>
    <x v="0"/>
    <x v="1"/>
    <n v="15"/>
    <n v="25098.337599999999"/>
    <n v="376475.06400000001"/>
    <m/>
    <n v="0"/>
    <n v="7"/>
    <n v="175688.36319999999"/>
    <m/>
    <n v="0"/>
    <m/>
    <n v="0"/>
    <n v="8"/>
    <n v="200786.70079999999"/>
    <m/>
    <n v="0"/>
    <m/>
    <n v="0"/>
    <m/>
    <n v="0"/>
    <m/>
    <n v="0"/>
  </r>
  <r>
    <n v="466"/>
    <s v="Vaso de precipitado de forma baja, vidrio claro de 50 ml. Borosilicato 3.3, impresión en cerámica, que cumpla con las normas DIN12331/ISO3819 e ISO12 600 o ASTM E960, requisitos Tipo I y USP Tipo I y ASTM E438, Tipo I."/>
    <s v="Pyrex , Corning, Kymax, Brand, Duran, Brand o equivalente"/>
    <s v="Unidad"/>
    <x v="0"/>
    <x v="2"/>
    <n v="7"/>
    <n v="24708.207999999999"/>
    <n v="172957.45600000001"/>
    <m/>
    <n v="0"/>
    <n v="5"/>
    <n v="123541.04"/>
    <m/>
    <n v="0"/>
    <m/>
    <n v="0"/>
    <n v="2"/>
    <n v="49416.415999999997"/>
    <m/>
    <n v="0"/>
    <m/>
    <n v="0"/>
    <m/>
    <n v="0"/>
    <m/>
    <n v="0"/>
  </r>
  <r>
    <n v="467"/>
    <s v="Vaso de precipitado de forma baja, vidrio claro de 600 ml. Borosilicato 3.3, impresión en cerámica, que cumpla con las normas DIN12331/ISO3819 e ISO12 600 o ASTM E960, requisitos Tipo I y USP Tipo I y ASTM E438, Tipo I."/>
    <s v="Pyrex , Corning, Kymax, Brand, Duran, Brand o equivalente"/>
    <s v="Unidad"/>
    <x v="0"/>
    <x v="1"/>
    <n v="6"/>
    <n v="38622.830399999999"/>
    <n v="231736.98239999998"/>
    <m/>
    <n v="0"/>
    <n v="6"/>
    <n v="231736.98239999998"/>
    <m/>
    <n v="0"/>
    <m/>
    <n v="0"/>
    <m/>
    <n v="0"/>
    <m/>
    <n v="0"/>
    <m/>
    <n v="0"/>
    <m/>
    <n v="0"/>
    <m/>
    <n v="0"/>
  </r>
  <r>
    <n v="468"/>
    <s v="Vaso de precipitado en polipropileno de 250 ml "/>
    <s v="Nalgene o equivalente"/>
    <s v="Paquete x 6"/>
    <x v="0"/>
    <x v="2"/>
    <n v="5"/>
    <n v="122500.69439999999"/>
    <n v="612503.47199999995"/>
    <m/>
    <n v="0"/>
    <n v="5"/>
    <n v="612503.47199999995"/>
    <m/>
    <n v="0"/>
    <m/>
    <n v="0"/>
    <m/>
    <n v="0"/>
    <m/>
    <n v="0"/>
    <m/>
    <n v="0"/>
    <m/>
    <n v="0"/>
    <m/>
    <n v="0"/>
  </r>
  <r>
    <n v="469"/>
    <s v="Vaso de precipitado en polipropileno de 30 ml "/>
    <s v="Nalgene o equivalente"/>
    <s v="unidad"/>
    <x v="0"/>
    <x v="10"/>
    <n v="11"/>
    <n v="10381.6"/>
    <n v="114197.6"/>
    <m/>
    <n v="0"/>
    <n v="11"/>
    <n v="114197.6"/>
    <m/>
    <n v="0"/>
    <m/>
    <n v="0"/>
    <m/>
    <n v="0"/>
    <m/>
    <n v="0"/>
    <m/>
    <n v="0"/>
    <m/>
    <n v="0"/>
    <m/>
    <n v="0"/>
  </r>
  <r>
    <n v="470"/>
    <s v="Vaso de precipitado en polipropileno de 400 ml"/>
    <s v="Nalgene o equivalente"/>
    <s v="Paquete x 5 "/>
    <x v="0"/>
    <x v="1"/>
    <n v="6"/>
    <n v="125101.55839999999"/>
    <n v="750609.3504"/>
    <m/>
    <n v="0"/>
    <n v="6"/>
    <n v="750609.3504"/>
    <m/>
    <n v="0"/>
    <m/>
    <n v="0"/>
    <m/>
    <n v="0"/>
    <m/>
    <n v="0"/>
    <m/>
    <n v="0"/>
    <m/>
    <n v="0"/>
    <m/>
    <n v="0"/>
  </r>
  <r>
    <n v="471"/>
    <s v="Vaso de precipitado en polipropileno de 5000 ml Rigido traslucido o traslucido trasparente con escala"/>
    <s v="kartell, corning, vitlab, nalgene o equivalente"/>
    <s v="Unidad"/>
    <x v="0"/>
    <x v="1"/>
    <n v="4"/>
    <n v="226145.12479999999"/>
    <n v="904580.49919999996"/>
    <m/>
    <n v="0"/>
    <n v="2"/>
    <n v="452290.24959999998"/>
    <m/>
    <n v="0"/>
    <m/>
    <n v="0"/>
    <m/>
    <n v="0"/>
    <m/>
    <n v="0"/>
    <m/>
    <n v="0"/>
    <n v="2"/>
    <n v="452290.24959999998"/>
    <m/>
    <n v="0"/>
  </r>
  <r>
    <n v="472"/>
    <s v="Vaso de precipitado en polipropileno de 600 ml"/>
    <s v="Nalgene o equivalente"/>
    <s v="Paquete x 4 "/>
    <x v="0"/>
    <x v="1"/>
    <n v="5"/>
    <n v="143047.51999999999"/>
    <n v="715237.6"/>
    <m/>
    <n v="0"/>
    <n v="5"/>
    <n v="715237.6"/>
    <m/>
    <n v="0"/>
    <m/>
    <n v="0"/>
    <m/>
    <n v="0"/>
    <m/>
    <n v="0"/>
    <m/>
    <n v="0"/>
    <m/>
    <n v="0"/>
    <m/>
    <n v="0"/>
  </r>
  <r>
    <n v="473"/>
    <s v="Vaso de precipitado en vidrio claro de 1000 ml, en borosilicato 3.3, forma alta con graduación y pico. _x000a_Diámetro x Altura 95 x 180 mm, impresión en cerámica, DIN12331/ISO3819 e ISO12 600 o ASTM E960, requisitos Tipo I y USP Tipo I y ASTM E438, Tipo I."/>
    <s v="Pyrex , Corning, Kymax, Brand, Duran, Brand o equivalente"/>
    <s v="Unidad"/>
    <x v="0"/>
    <x v="0"/>
    <n v="6"/>
    <n v="65021.599999999999"/>
    <n v="390129.6"/>
    <m/>
    <n v="0"/>
    <n v="6"/>
    <n v="390129.6"/>
    <m/>
    <n v="0"/>
    <m/>
    <n v="0"/>
    <m/>
    <n v="0"/>
    <m/>
    <n v="0"/>
    <m/>
    <n v="0"/>
    <m/>
    <n v="0"/>
    <m/>
    <n v="0"/>
  </r>
  <r>
    <n v="474"/>
    <s v="Vaso de precipitado en vidrio claro de 2000 ml. Borosilicato 3.3, impresión en cerámica, DIN12331/ISO3819 e ISO12 600 o ASTM E960, requisitos Tipo I y USP Tipo I y ASTM E438, Tipo I."/>
    <s v="Pyrex , Corning, Kymax, Brand, Duran, Brand o equivalente"/>
    <s v="Unidad"/>
    <x v="0"/>
    <x v="1"/>
    <n v="6"/>
    <n v="104424.6896"/>
    <n v="626548.13760000002"/>
    <m/>
    <n v="0"/>
    <n v="6"/>
    <n v="626548.13760000002"/>
    <m/>
    <n v="0"/>
    <m/>
    <n v="0"/>
    <m/>
    <n v="0"/>
    <m/>
    <n v="0"/>
    <m/>
    <n v="0"/>
    <m/>
    <n v="0"/>
    <m/>
    <n v="0"/>
  </r>
  <r>
    <n v="475"/>
    <s v="Vaso de precipitado en vidrio claro de 4000 ml. Borosilicato 3.3, impresión en cerámica"/>
    <s v="Pyrex , Corning, Kymax, Brand, Duran, Brand o equivalente"/>
    <s v="Unidad"/>
    <x v="0"/>
    <x v="3"/>
    <n v="2"/>
    <n v="436524.424"/>
    <n v="873048.848"/>
    <n v="1"/>
    <n v="436524.424"/>
    <m/>
    <n v="0"/>
    <m/>
    <n v="0"/>
    <m/>
    <n v="0"/>
    <m/>
    <n v="0"/>
    <m/>
    <n v="0"/>
    <m/>
    <n v="0"/>
    <n v="1"/>
    <n v="436524.424"/>
    <m/>
    <n v="0"/>
  </r>
  <r>
    <n v="476"/>
    <s v="Vaso de precipitado vidrio claro de 10 ml. Borosilicato 3.3, impresión en cerámica, que cumpla con las normas DIN12331/ISO3819 e ISO12 600 o ASTM E960, requisitos Tipo I y USP Tipo I y ASTM E438, Tipo I."/>
    <s v="Pyrex , Corning, Kymax, Brand, Duran, Brand o equivalente"/>
    <s v="Unidad"/>
    <x v="0"/>
    <x v="1"/>
    <n v="9"/>
    <n v="23277.732800000002"/>
    <n v="209499.59520000001"/>
    <m/>
    <n v="0"/>
    <n v="9"/>
    <n v="209499.59520000001"/>
    <m/>
    <n v="0"/>
    <m/>
    <n v="0"/>
    <m/>
    <n v="0"/>
    <m/>
    <n v="0"/>
    <m/>
    <n v="0"/>
    <m/>
    <n v="0"/>
    <m/>
    <n v="0"/>
  </r>
  <r>
    <n v="477"/>
    <s v="Vial ámbar 50 ml"/>
    <s v="Cualquier marca"/>
    <s v="Unidad"/>
    <x v="0"/>
    <x v="0"/>
    <n v="10"/>
    <n v="7802.5919999999996"/>
    <n v="78025.919999999998"/>
    <m/>
    <n v="0"/>
    <m/>
    <n v="0"/>
    <m/>
    <n v="0"/>
    <m/>
    <n v="0"/>
    <n v="10"/>
    <n v="78025.919999999998"/>
    <m/>
    <n v="0"/>
    <m/>
    <n v="0"/>
    <m/>
    <n v="0"/>
    <m/>
    <n v="0"/>
  </r>
  <r>
    <n v="478"/>
    <s v="Vial ámbar de vidrio  con tapa, con zona de escritura de 2.0 ml, díametro de la tapa rosca 9mm"/>
    <s v="Cualquier marca"/>
    <s v="Caja x 100"/>
    <x v="0"/>
    <x v="1"/>
    <n v="2"/>
    <n v="512370.20799999998"/>
    <n v="1024740.416"/>
    <m/>
    <n v="0"/>
    <n v="2"/>
    <n v="1024740.416"/>
    <m/>
    <n v="0"/>
    <m/>
    <n v="0"/>
    <m/>
    <n v="0"/>
    <m/>
    <n v="0"/>
    <m/>
    <n v="0"/>
    <m/>
    <n v="0"/>
    <m/>
    <n v="0"/>
  </r>
  <r>
    <n v="479"/>
    <s v="Vial ámbar de 2 ml con tapa y septa, volumen de llenado 1,7 diámetro de la tapa rosca de 9mm "/>
    <s v="cualquier marca"/>
    <s v="Caja x 100"/>
    <x v="0"/>
    <x v="1"/>
    <n v="1"/>
    <n v="474137.50719999999"/>
    <n v="474137.50719999999"/>
    <m/>
    <n v="0"/>
    <n v="1"/>
    <n v="474137.50719999999"/>
    <m/>
    <n v="0"/>
    <m/>
    <n v="0"/>
    <m/>
    <n v="0"/>
    <m/>
    <n v="0"/>
    <m/>
    <n v="0"/>
    <m/>
    <n v="0"/>
    <m/>
    <n v="0"/>
  </r>
  <r>
    <n v="480"/>
    <s v="Vial ámbar de 25 ml, tapa rosca solida con tapón plástico"/>
    <s v="Referencia 1225MLTR o equivalente"/>
    <s v="Caja x 50_x000a_"/>
    <x v="0"/>
    <x v="3"/>
    <n v="1"/>
    <n v="1078987.0079999999"/>
    <n v="1078987.0079999999"/>
    <m/>
    <n v="0"/>
    <n v="1"/>
    <n v="1078987.0079999999"/>
    <m/>
    <n v="0"/>
    <m/>
    <n v="0"/>
    <m/>
    <n v="0"/>
    <m/>
    <n v="0"/>
    <m/>
    <n v="0"/>
    <m/>
    <n v="0"/>
    <m/>
    <n v="0"/>
  </r>
  <r>
    <n v="481"/>
    <s v="Vial ámbar de 4ml, Tapa rosca solida con tapón plástico"/>
    <s v="Cualquier marca"/>
    <s v="Caja x 100_x000a_"/>
    <x v="0"/>
    <x v="7"/>
    <n v="1"/>
    <n v="383525.80959999998"/>
    <n v="383525.80959999998"/>
    <m/>
    <n v="0"/>
    <n v="1"/>
    <n v="383525.80959999998"/>
    <m/>
    <n v="0"/>
    <m/>
    <n v="0"/>
    <m/>
    <n v="0"/>
    <m/>
    <n v="0"/>
    <m/>
    <n v="0"/>
    <m/>
    <n v="0"/>
    <m/>
    <n v="0"/>
  </r>
  <r>
    <n v="482"/>
    <s v="Vial ámbar de 50 ml, tapa rosca  solida con tapón plástico"/>
    <s v="Cualquier marca"/>
    <s v="Caja x 50"/>
    <x v="0"/>
    <x v="3"/>
    <n v="1"/>
    <n v="855405.59199999995"/>
    <n v="855405.59199999995"/>
    <m/>
    <n v="0"/>
    <n v="1"/>
    <n v="855405.59199999995"/>
    <m/>
    <n v="0"/>
    <m/>
    <n v="0"/>
    <m/>
    <n v="0"/>
    <m/>
    <n v="0"/>
    <m/>
    <n v="0"/>
    <m/>
    <n v="0"/>
    <m/>
    <n v="0"/>
  </r>
  <r>
    <n v="483"/>
    <s v="Vial ámbar de 5ml, Tapa rosca solida con tapón plástico"/>
    <s v="Referencia 1205MLTR o equivalente"/>
    <s v="Caja x 200_x000a_"/>
    <x v="0"/>
    <x v="3"/>
    <n v="1"/>
    <n v="743114.92799999996"/>
    <n v="743114.92799999996"/>
    <m/>
    <n v="0"/>
    <n v="1"/>
    <n v="743114.92799999996"/>
    <m/>
    <n v="0"/>
    <m/>
    <n v="0"/>
    <m/>
    <n v="0"/>
    <m/>
    <n v="0"/>
    <m/>
    <n v="0"/>
    <m/>
    <n v="0"/>
    <m/>
    <n v="0"/>
  </r>
  <r>
    <n v="484"/>
    <s v="Vial de cromatografia en vidrio claro. Con tapa tipo rosca, de volumen de 2 ml, certificado para LCMS,  con Septum con hendidura y PTFE/silicone. "/>
    <s v="REF:60000C68CV de WATERS o equivalente"/>
    <s v="Caja x 100/Unidades"/>
    <x v="0"/>
    <x v="1"/>
    <n v="73"/>
    <n v="877921.64320000005"/>
    <n v="64088279.953600004"/>
    <n v="8"/>
    <n v="7023373.1456000004"/>
    <m/>
    <n v="0"/>
    <m/>
    <n v="0"/>
    <m/>
    <n v="0"/>
    <m/>
    <n v="0"/>
    <m/>
    <n v="0"/>
    <m/>
    <n v="0"/>
    <n v="65"/>
    <n v="57064906.808000006"/>
    <m/>
    <n v="0"/>
  </r>
  <r>
    <n v="485"/>
    <s v="Vial de cromatografia en vidrio claro. Con tapa tipo rosca, de volumen de 2 ml, tipo USP o con certificado para LCMS,  con Septum con hendidura y PTFE/silicone. "/>
    <s v="REF: 5182-0553 de Agilent Technologies o equivalente"/>
    <s v="Caja x 100/Unidades"/>
    <x v="0"/>
    <x v="1"/>
    <n v="8"/>
    <n v="838778.64"/>
    <n v="6710229.1200000001"/>
    <n v="8"/>
    <n v="6710229.1200000001"/>
    <m/>
    <n v="0"/>
    <m/>
    <n v="0"/>
    <m/>
    <n v="0"/>
    <m/>
    <n v="0"/>
    <m/>
    <n v="0"/>
    <m/>
    <n v="0"/>
    <m/>
    <n v="0"/>
    <m/>
    <n v="0"/>
  </r>
  <r>
    <n v="486"/>
    <s v="Vial para cromatografía de 2 mL de volumen, con inserto incluido de 250-300 µl, con tapa rosca de 9 mm 0 12 mm de diámetro."/>
    <s v="Waters o equivalente"/>
    <s v="Paquete por 100"/>
    <x v="0"/>
    <x v="1"/>
    <n v="8"/>
    <n v="812770"/>
    <n v="6502160"/>
    <n v="8"/>
    <n v="6502160"/>
    <m/>
    <n v="0"/>
    <m/>
    <n v="0"/>
    <m/>
    <n v="0"/>
    <m/>
    <n v="0"/>
    <m/>
    <n v="0"/>
    <m/>
    <n v="0"/>
    <m/>
    <n v="0"/>
    <m/>
    <n v="0"/>
  </r>
  <r>
    <n v="487"/>
    <s v="Vial transparentes 12 x 32 mm , 9 mm/425 Thd Finish ; con tapa 9 mm"/>
    <s v="Cualquier marca"/>
    <s v="Caja x 100"/>
    <x v="0"/>
    <x v="1"/>
    <n v="2"/>
    <n v="567508.52480000001"/>
    <n v="1135017.0496"/>
    <m/>
    <n v="0"/>
    <n v="2"/>
    <n v="1135017.0496"/>
    <m/>
    <n v="0"/>
    <m/>
    <n v="0"/>
    <m/>
    <n v="0"/>
    <m/>
    <n v="0"/>
    <m/>
    <n v="0"/>
    <m/>
    <n v="0"/>
    <m/>
    <n v="0"/>
  </r>
  <r>
    <n v="488"/>
    <s v="Vidrio Reloj 50 mm de diámetro"/>
    <s v="Cualquier marca"/>
    <s v="Unidad"/>
    <x v="0"/>
    <x v="2"/>
    <n v="4"/>
    <n v="7802.5919999999996"/>
    <n v="31210.367999999999"/>
    <m/>
    <n v="0"/>
    <m/>
    <n v="0"/>
    <m/>
    <n v="0"/>
    <m/>
    <n v="0"/>
    <n v="4"/>
    <n v="31210.367999999999"/>
    <m/>
    <n v="0"/>
    <m/>
    <n v="0"/>
    <m/>
    <n v="0"/>
    <m/>
    <n v="0"/>
  </r>
  <r>
    <n v="489"/>
    <s v="Vinipel"/>
    <s v="Nacional"/>
    <s v="Rollo x 300 m"/>
    <x v="0"/>
    <x v="9"/>
    <n v="193"/>
    <n v="111837.152"/>
    <n v="21584570.335999999"/>
    <m/>
    <n v="0"/>
    <n v="15"/>
    <n v="1677557.28"/>
    <n v="8"/>
    <n v="894697.21600000001"/>
    <m/>
    <n v="0"/>
    <n v="20"/>
    <n v="2236743.04"/>
    <m/>
    <n v="0"/>
    <m/>
    <n v="0"/>
    <m/>
    <n v="0"/>
    <n v="150"/>
    <n v="16775572.800000001"/>
  </r>
  <r>
    <n v="1"/>
    <s v="Adaptador de celular para lentes microscópicos"/>
    <s v="SOLOMARK, Swift, CitoHelper o equivalente"/>
    <s v="Unidad "/>
    <x v="0"/>
    <x v="14"/>
    <n v="0"/>
    <n v="1072864.0496"/>
    <n v="0"/>
    <m/>
    <n v="0"/>
    <m/>
    <n v="0"/>
    <m/>
    <n v="0"/>
    <m/>
    <n v="0"/>
    <m/>
    <n v="0"/>
    <m/>
    <n v="0"/>
    <m/>
    <n v="0"/>
    <m/>
    <n v="0"/>
    <m/>
    <n v="0"/>
  </r>
  <r>
    <n v="3"/>
    <s v="Adhesivos para microplacas"/>
    <s v="Whatman 7704-0001 o equivalente"/>
    <s v="Caja x 100 "/>
    <x v="0"/>
    <x v="14"/>
    <n v="0"/>
    <n v="1698591.4944"/>
    <n v="0"/>
    <m/>
    <n v="0"/>
    <m/>
    <n v="0"/>
    <m/>
    <n v="0"/>
    <m/>
    <n v="0"/>
    <m/>
    <n v="0"/>
    <m/>
    <n v="0"/>
    <m/>
    <n v="0"/>
    <m/>
    <n v="0"/>
    <m/>
    <n v="0"/>
  </r>
  <r>
    <n v="12"/>
    <s v="Agujas desechables No 27 x ½&quot; "/>
    <s v="BD, Vacutest o equivalente"/>
    <s v="Caja x 100"/>
    <x v="0"/>
    <x v="14"/>
    <n v="0"/>
    <n v="42827.924800000001"/>
    <n v="0"/>
    <m/>
    <n v="0"/>
    <m/>
    <n v="0"/>
    <m/>
    <n v="0"/>
    <m/>
    <n v="0"/>
    <m/>
    <n v="0"/>
    <m/>
    <n v="0"/>
    <m/>
    <n v="0"/>
    <m/>
    <n v="0"/>
    <m/>
    <n v="0"/>
  </r>
  <r>
    <n v="13"/>
    <s v="Agujas polipropileno o PTFE para  manifold de vacío para preparación de muestras (Polipropylen outlet needles)"/>
    <s v="Thermo scientific, Baker, Ciro"/>
    <s v="Bolsa x 24"/>
    <x v="0"/>
    <x v="14"/>
    <n v="0"/>
    <n v="3241619.6304000001"/>
    <n v="0"/>
    <m/>
    <n v="0"/>
    <m/>
    <n v="0"/>
    <m/>
    <n v="0"/>
    <m/>
    <n v="0"/>
    <m/>
    <n v="0"/>
    <m/>
    <n v="0"/>
    <m/>
    <n v="0"/>
    <m/>
    <n v="0"/>
    <m/>
    <n v="0"/>
  </r>
  <r>
    <n v="21"/>
    <s v="Anillo de hierro para soporte universal Diametro de 75 milímetros"/>
    <s v="Cualquier marca"/>
    <s v="Unidad"/>
    <x v="0"/>
    <x v="14"/>
    <n v="0"/>
    <n v="39607.443200000002"/>
    <n v="0"/>
    <m/>
    <n v="0"/>
    <m/>
    <n v="0"/>
    <m/>
    <n v="0"/>
    <m/>
    <n v="0"/>
    <m/>
    <n v="0"/>
    <m/>
    <n v="0"/>
    <m/>
    <n v="0"/>
    <m/>
    <n v="0"/>
    <m/>
    <n v="0"/>
  </r>
  <r>
    <n v="35"/>
    <s v="Balde con Escurridor 25 litros Amarillo Dimensiones: 45 a 50 cm x 38 a 42 cm x 41 a 43 cm (Largo x Ancho x Alto)"/>
    <s v="Rubbermaid o equivalente"/>
    <s v="Unidad"/>
    <x v="0"/>
    <x v="14"/>
    <n v="0"/>
    <n v="613845.43039999995"/>
    <n v="0"/>
    <m/>
    <n v="0"/>
    <m/>
    <n v="0"/>
    <m/>
    <n v="0"/>
    <m/>
    <n v="0"/>
    <m/>
    <n v="0"/>
    <m/>
    <n v="0"/>
    <m/>
    <n v="0"/>
    <m/>
    <n v="0"/>
    <m/>
    <n v="0"/>
  </r>
  <r>
    <n v="37"/>
    <s v="Balón aforado de 100 ml clase A, fondo plano, con esmerilado  normalizado , con marca de aforo, tapón 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4"/>
    <n v="0"/>
    <n v="95393.790399999998"/>
    <n v="0"/>
    <m/>
    <n v="0"/>
    <m/>
    <n v="0"/>
    <m/>
    <n v="0"/>
    <m/>
    <n v="0"/>
    <m/>
    <n v="0"/>
    <m/>
    <n v="0"/>
    <m/>
    <n v="0"/>
    <m/>
    <n v="0"/>
    <m/>
    <n v="0"/>
  </r>
  <r>
    <n v="39"/>
    <s v="Balon aforado de 200 ml clase B en vidrio con tapa, normatividad ASTM E-438 o DIN EN ISO 1042 "/>
    <s v="Brand, Pyrex, Corning, Kymax o equivalente"/>
    <s v="Unidad"/>
    <x v="0"/>
    <x v="14"/>
    <n v="0"/>
    <n v="130070.52"/>
    <n v="0"/>
    <m/>
    <n v="0"/>
    <m/>
    <n v="0"/>
    <m/>
    <n v="0"/>
    <m/>
    <n v="0"/>
    <m/>
    <n v="0"/>
    <m/>
    <n v="0"/>
    <m/>
    <n v="0"/>
    <m/>
    <n v="0"/>
    <m/>
    <n v="0"/>
  </r>
  <r>
    <n v="41"/>
    <s v="Balón aforado de 25 ml clase A. Ambar, fondo plano, con esmerilado  normalizado , con marca de aforo, tapón de vidrio o  en polietileno, certificado de fábrica (calidad y rastreabilidad), borosilicato 3.3  que cumpla con los estándares DIN/ISO3585, DIN 12 664  en ISO 1042, e impresion en ceramica que cumpla con norma iso 12600. Control y garantia NCA ( o equivalente)  certificación del fabricante que resiste temperaturas hasta 250°C. "/>
    <s v="Brand, Pyrex, Corning, Kymax o equivalente"/>
    <s v="Unidad"/>
    <x v="0"/>
    <x v="14"/>
    <n v="0"/>
    <n v="143564.41440000001"/>
    <n v="0"/>
    <m/>
    <n v="0"/>
    <m/>
    <n v="0"/>
    <m/>
    <n v="0"/>
    <m/>
    <n v="0"/>
    <m/>
    <n v="0"/>
    <m/>
    <n v="0"/>
    <m/>
    <n v="0"/>
    <m/>
    <n v="0"/>
    <m/>
    <n v="0"/>
  </r>
  <r>
    <n v="42"/>
    <s v="Balón aforado de 5 ml clase A . Ambar, borosilicato 3.3 que cumpla con los estándares DIN en ISO 1042, impresión en cerámica que cumpla con la norma ISO4796-1:2000. NCA menor o igual a 0,4 y certificación del fabricante que resiste temperaturas hasta de 250°C sin perder la volumetria."/>
    <s v="Brand, Pyrex, Corning, Kymax o equivalente"/>
    <s v="Unidad"/>
    <x v="0"/>
    <x v="14"/>
    <n v="0"/>
    <n v="172206.70240000001"/>
    <n v="0"/>
    <m/>
    <n v="0"/>
    <m/>
    <n v="0"/>
    <m/>
    <n v="0"/>
    <m/>
    <n v="0"/>
    <m/>
    <n v="0"/>
    <m/>
    <n v="0"/>
    <m/>
    <n v="0"/>
    <m/>
    <n v="0"/>
    <m/>
    <n v="0"/>
  </r>
  <r>
    <n v="43"/>
    <s v="Balón aforado de 5 ml clase A tra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4"/>
    <n v="0"/>
    <n v="86092.969599999997"/>
    <n v="0"/>
    <m/>
    <n v="0"/>
    <m/>
    <n v="0"/>
    <m/>
    <n v="0"/>
    <m/>
    <n v="0"/>
    <m/>
    <n v="0"/>
    <m/>
    <n v="0"/>
    <m/>
    <n v="0"/>
    <m/>
    <n v="0"/>
    <m/>
    <n v="0"/>
  </r>
  <r>
    <n v="45"/>
    <s v="Balón volumétrico clase A certificado de lote 2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4"/>
    <n v="0"/>
    <n v="135688.6048"/>
    <n v="0"/>
    <m/>
    <n v="0"/>
    <m/>
    <n v="0"/>
    <m/>
    <n v="0"/>
    <m/>
    <n v="0"/>
    <m/>
    <n v="0"/>
    <m/>
    <n v="0"/>
    <m/>
    <n v="0"/>
    <m/>
    <n v="0"/>
    <m/>
    <n v="0"/>
  </r>
  <r>
    <n v="46"/>
    <s v="Balón volumétrico clase A certificado de lote 25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s v="Brand, Pyrex, Corning, Kymax o equivalente"/>
    <s v="unidad"/>
    <x v="0"/>
    <x v="14"/>
    <n v="0"/>
    <n v="112715.7632"/>
    <n v="0"/>
    <m/>
    <n v="0"/>
    <m/>
    <n v="0"/>
    <m/>
    <n v="0"/>
    <m/>
    <n v="0"/>
    <m/>
    <n v="0"/>
    <m/>
    <n v="0"/>
    <m/>
    <n v="0"/>
    <m/>
    <n v="0"/>
    <m/>
    <n v="0"/>
  </r>
  <r>
    <n v="47"/>
    <s v="Balón volumetrico clase A de 10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Con aforo bien marcado con tapón y boca esmerilada."/>
    <s v="Brand, Pyrex, Corning, Kymax o equivalente"/>
    <s v="Unidad"/>
    <x v="0"/>
    <x v="14"/>
    <n v="0"/>
    <n v="229647.54879999999"/>
    <n v="0"/>
    <m/>
    <n v="0"/>
    <m/>
    <n v="0"/>
    <m/>
    <n v="0"/>
    <m/>
    <n v="0"/>
    <m/>
    <n v="0"/>
    <m/>
    <n v="0"/>
    <m/>
    <n v="0"/>
    <m/>
    <n v="0"/>
    <m/>
    <n v="0"/>
  </r>
  <r>
    <n v="49"/>
    <s v="Balones de fondo redondo de 250 mL con cabeza de vidrio esmerilado boca 24/40, material vidrio borosilicato 3.3, resistentes al calor y a casi todos los productos químicos según DIN en ISO 4797"/>
    <s v="Cualquier marca"/>
    <s v="Unidad"/>
    <x v="0"/>
    <x v="14"/>
    <n v="0"/>
    <n v="110766.208"/>
    <n v="0"/>
    <m/>
    <n v="0"/>
    <m/>
    <n v="0"/>
    <m/>
    <n v="0"/>
    <m/>
    <n v="0"/>
    <m/>
    <n v="0"/>
    <m/>
    <n v="0"/>
    <m/>
    <n v="0"/>
    <m/>
    <n v="0"/>
    <m/>
    <n v="0"/>
  </r>
  <r>
    <n v="76"/>
    <s v="Bolsa esteril para recolección de sangre con anticoagulante  EDTA"/>
    <s v="Baxter o similar"/>
    <s v="Caja x 64"/>
    <x v="0"/>
    <x v="14"/>
    <n v="0"/>
    <n v="1560518.4"/>
    <n v="0"/>
    <m/>
    <n v="0"/>
    <m/>
    <n v="0"/>
    <m/>
    <n v="0"/>
    <m/>
    <n v="0"/>
    <m/>
    <n v="0"/>
    <m/>
    <n v="0"/>
    <m/>
    <n v="0"/>
    <m/>
    <n v="0"/>
    <m/>
    <n v="0"/>
  </r>
  <r>
    <n v="77"/>
    <s v="Bolsa estéril para stomacher  de 3500 ml"/>
    <s v="Whirlpack, Seward o equivalente"/>
    <s v="paquete x 200 bolsas"/>
    <x v="0"/>
    <x v="14"/>
    <n v="0"/>
    <n v="3668072.8095999998"/>
    <n v="0"/>
    <m/>
    <n v="0"/>
    <m/>
    <n v="0"/>
    <m/>
    <n v="0"/>
    <m/>
    <n v="0"/>
    <m/>
    <n v="0"/>
    <m/>
    <n v="0"/>
    <m/>
    <n v="0"/>
    <m/>
    <n v="0"/>
    <m/>
    <n v="0"/>
  </r>
  <r>
    <n v="78"/>
    <s v="Bolsa estéril para stomacher con filtro de 400 ml"/>
    <s v="Whirlpack, Seward o equivalente"/>
    <s v="paquete x 200 bolsas"/>
    <x v="0"/>
    <x v="14"/>
    <n v="0"/>
    <n v="2532050.3840000001"/>
    <n v="0"/>
    <m/>
    <n v="0"/>
    <m/>
    <n v="0"/>
    <m/>
    <n v="0"/>
    <m/>
    <n v="0"/>
    <m/>
    <n v="0"/>
    <m/>
    <n v="0"/>
    <m/>
    <n v="0"/>
    <m/>
    <n v="0"/>
    <m/>
    <n v="0"/>
  </r>
  <r>
    <n v="91"/>
    <s v="Bolsas para vivero 40 x 40 negra "/>
    <s v="Cualquier marca"/>
    <s v="Paquete x 100 Unidades"/>
    <x v="0"/>
    <x v="14"/>
    <n v="0"/>
    <n v="69605.895999999993"/>
    <n v="0"/>
    <m/>
    <n v="0"/>
    <m/>
    <n v="0"/>
    <m/>
    <n v="0"/>
    <m/>
    <n v="0"/>
    <m/>
    <n v="0"/>
    <m/>
    <n v="0"/>
    <m/>
    <n v="0"/>
    <m/>
    <n v="0"/>
    <m/>
    <n v="0"/>
  </r>
  <r>
    <n v="94"/>
    <s v="Botellon con espiga redondo para agua en polipropileno x 4L o 5L"/>
    <s v="Nalgene 02-963AA o equivalente"/>
    <s v="Unidad"/>
    <x v="0"/>
    <x v="14"/>
    <n v="0"/>
    <n v="2256790.4559999998"/>
    <n v="0"/>
    <m/>
    <n v="0"/>
    <m/>
    <n v="0"/>
    <m/>
    <n v="0"/>
    <m/>
    <n v="0"/>
    <m/>
    <n v="0"/>
    <m/>
    <n v="0"/>
    <m/>
    <n v="0"/>
    <m/>
    <n v="0"/>
    <m/>
    <n v="0"/>
  </r>
  <r>
    <n v="97"/>
    <s v="Caffeine standards kit, for LC/MS. Includes caffeine at 0.5, 1, 5, 25, 50 µg/mL in water, 5 ampoules "/>
    <s v="Agilent Ref. 85006917  o equivalente"/>
    <s v="paquete"/>
    <x v="0"/>
    <x v="14"/>
    <n v="0"/>
    <n v="2496228.4"/>
    <n v="0"/>
    <m/>
    <n v="0"/>
    <m/>
    <n v="0"/>
    <m/>
    <n v="0"/>
    <m/>
    <n v="0"/>
    <m/>
    <n v="0"/>
    <m/>
    <n v="0"/>
    <m/>
    <n v="0"/>
    <m/>
    <n v="0"/>
    <m/>
    <n v="0"/>
  </r>
  <r>
    <n v="105"/>
    <s v="Caja de petri vidrio de 4 cm de diámetro, fabricadas en vidrio borosilicato. Grosor del vidrio 1,9 (± 0,2). Dimensiones : 40X12 mm Base 34,5 mm (+ 1,5) X 8,4 mm (+ 1,6) Tapa 33,0 mm (+ 1,0) X 12,0 mm (+ 1,0) 1,2 mm"/>
    <s v="Duran/Pyrex o equivalente"/>
    <s v="Unidad"/>
    <x v="0"/>
    <x v="14"/>
    <n v="0"/>
    <n v="16290.3696"/>
    <n v="0"/>
    <m/>
    <n v="0"/>
    <m/>
    <n v="0"/>
    <m/>
    <n v="0"/>
    <m/>
    <n v="0"/>
    <m/>
    <n v="0"/>
    <m/>
    <n v="0"/>
    <m/>
    <n v="0"/>
    <m/>
    <n v="0"/>
    <m/>
    <n v="0"/>
  </r>
  <r>
    <n v="109"/>
    <s v="Caja Germinación Acrílico 25x16x8  (largo, ancho, alto) "/>
    <s v="Cualquier marca"/>
    <s v="Unidad"/>
    <x v="0"/>
    <x v="14"/>
    <n v="0"/>
    <n v="249553.99359999999"/>
    <n v="0"/>
    <m/>
    <n v="0"/>
    <m/>
    <n v="0"/>
    <m/>
    <n v="0"/>
    <m/>
    <n v="0"/>
    <m/>
    <n v="0"/>
    <m/>
    <n v="0"/>
    <m/>
    <n v="0"/>
    <m/>
    <n v="0"/>
    <m/>
    <n v="0"/>
  </r>
  <r>
    <n v="110"/>
    <s v="Caja organizadora 3 niveles (3 en 1) 24-28 cm x 14-17 cm x 5-7 cm (Largo x ancho x alto)"/>
    <s v="Cualquier marca"/>
    <s v="Unidad"/>
    <x v="0"/>
    <x v="14"/>
    <n v="0"/>
    <n v="210018.6752"/>
    <n v="0"/>
    <m/>
    <n v="0"/>
    <m/>
    <n v="0"/>
    <m/>
    <n v="0"/>
    <m/>
    <n v="0"/>
    <m/>
    <n v="0"/>
    <m/>
    <n v="0"/>
    <m/>
    <n v="0"/>
    <m/>
    <n v="0"/>
    <m/>
    <n v="0"/>
  </r>
  <r>
    <n v="111"/>
    <s v="Caja organizadora de plástico con tapa y cierre hermetico de 45-50 cm x 35-38 cm x 20-23 cm (Largo x ancho x alto)"/>
    <s v="Vaniplast, Estra o Equivalente"/>
    <s v="Unidad"/>
    <x v="0"/>
    <x v="14"/>
    <n v="0"/>
    <n v="176120.01920000001"/>
    <n v="0"/>
    <m/>
    <n v="0"/>
    <m/>
    <n v="0"/>
    <m/>
    <n v="0"/>
    <m/>
    <n v="0"/>
    <m/>
    <n v="0"/>
    <m/>
    <n v="0"/>
    <m/>
    <n v="0"/>
    <m/>
    <n v="0"/>
    <m/>
    <n v="0"/>
  </r>
  <r>
    <n v="116"/>
    <s v="Caja plastica organizadora largo con broche de cierre en par, de 20 L de capacidad,  medidas: 36 cm x 29 cm x 24 cm (largo x ancho x alto)"/>
    <s v="Estra o equivalente"/>
    <s v="Unidad"/>
    <x v="0"/>
    <x v="14"/>
    <n v="0"/>
    <n v="148586.92319999999"/>
    <n v="0"/>
    <m/>
    <n v="0"/>
    <m/>
    <n v="0"/>
    <m/>
    <n v="0"/>
    <m/>
    <n v="0"/>
    <m/>
    <n v="0"/>
    <m/>
    <n v="0"/>
    <m/>
    <n v="0"/>
    <m/>
    <n v="0"/>
    <m/>
    <n v="0"/>
  </r>
  <r>
    <n v="121"/>
    <s v="Campana de Durham 6x35 mm"/>
    <s v="Cualquier marca"/>
    <s v="Bolsa x 100 unidades"/>
    <x v="0"/>
    <x v="14"/>
    <n v="0"/>
    <n v="326248.88319999998"/>
    <n v="0"/>
    <m/>
    <n v="0"/>
    <m/>
    <n v="0"/>
    <m/>
    <n v="0"/>
    <m/>
    <n v="0"/>
    <m/>
    <n v="0"/>
    <m/>
    <n v="0"/>
    <m/>
    <n v="0"/>
    <m/>
    <n v="0"/>
    <m/>
    <n v="0"/>
  </r>
  <r>
    <n v="122"/>
    <s v="Canasta Plastica Multiusos dimensiones: 53-55 cm largo x  30-35 cm ancho x 30-35 cm alto"/>
    <s v="Cualquier marca"/>
    <s v="Unidad"/>
    <x v="0"/>
    <x v="14"/>
    <n v="0"/>
    <n v="188026.07519999999"/>
    <n v="0"/>
    <m/>
    <n v="0"/>
    <m/>
    <n v="0"/>
    <m/>
    <n v="0"/>
    <m/>
    <n v="0"/>
    <m/>
    <n v="0"/>
    <m/>
    <n v="0"/>
    <m/>
    <n v="0"/>
    <m/>
    <n v="0"/>
    <m/>
    <n v="0"/>
  </r>
  <r>
    <n v="126"/>
    <s v="Cartridge for active inlet valve,400 bar. "/>
    <s v="Agilent Ref.: 5062-8562 o equivalente"/>
    <s v="Unidad"/>
    <x v="0"/>
    <x v="14"/>
    <n v="0"/>
    <n v="3462980.4767999998"/>
    <n v="0"/>
    <m/>
    <n v="0"/>
    <m/>
    <n v="0"/>
    <m/>
    <n v="0"/>
    <m/>
    <n v="0"/>
    <m/>
    <n v="0"/>
    <m/>
    <n v="0"/>
    <m/>
    <n v="0"/>
    <m/>
    <n v="0"/>
    <m/>
    <n v="0"/>
  </r>
  <r>
    <n v="128"/>
    <s v="Cartuchos de Na2SO4 anhidro para  secado de muestras _x000a_CHROMAFIX® Dry SPE cartridges, 1.8 mL, 2800 mg"/>
    <s v="Catalogo Thomas Scientific   REF_x000a_1151Q04_x000a_Mfr. No. 731854 o equivalente"/>
    <s v="Paquete /50 Unidades"/>
    <x v="0"/>
    <x v="14"/>
    <n v="0"/>
    <n v="2694332.2768000001"/>
    <n v="0"/>
    <m/>
    <n v="0"/>
    <m/>
    <n v="0"/>
    <m/>
    <n v="0"/>
    <m/>
    <n v="0"/>
    <m/>
    <n v="0"/>
    <m/>
    <n v="0"/>
    <m/>
    <n v="0"/>
    <m/>
    <n v="0"/>
    <m/>
    <n v="0"/>
  </r>
  <r>
    <n v="136"/>
    <s v="Celdas de quarzo  de 10 mm x 10 mm "/>
    <s v="Cualquier marca"/>
    <s v="Unidad"/>
    <x v="0"/>
    <x v="14"/>
    <n v="0"/>
    <n v="823279.45759999997"/>
    <n v="0"/>
    <m/>
    <n v="0"/>
    <m/>
    <n v="0"/>
    <m/>
    <n v="0"/>
    <m/>
    <n v="0"/>
    <m/>
    <n v="0"/>
    <m/>
    <n v="0"/>
    <m/>
    <n v="0"/>
    <m/>
    <n v="0"/>
    <m/>
    <n v="0"/>
  </r>
  <r>
    <n v="137"/>
    <s v="Celdas para la lectura en UV 220 nm - 900 nm, compatible con solventes organicos, ácidos, alcalis, alcoholes, volumen de llenado 1,5- 3ml. Semimicro, trayecto óptico de 10 mm. En material plastico . Incluir caja para su almacenamiento, por lo menos de 16 posiciones"/>
    <s v="Brand 759150 o equivalente"/>
    <s v="Paquete x 100"/>
    <x v="0"/>
    <x v="14"/>
    <n v="0"/>
    <n v="595477.64800000004"/>
    <n v="0"/>
    <m/>
    <n v="0"/>
    <m/>
    <n v="0"/>
    <m/>
    <n v="0"/>
    <m/>
    <n v="0"/>
    <m/>
    <n v="0"/>
    <m/>
    <n v="0"/>
    <m/>
    <n v="0"/>
    <m/>
    <n v="0"/>
    <m/>
    <n v="0"/>
  </r>
  <r>
    <n v="140"/>
    <s v="Cepillo para limpieza de botellas con cabeza pivotante, longitud total 40-42 cm"/>
    <s v="Fisher Scientific 06-670-30 o equivalente"/>
    <s v="Unidad"/>
    <x v="0"/>
    <x v="14"/>
    <n v="0"/>
    <n v="399723.29119999998"/>
    <n v="0"/>
    <m/>
    <n v="0"/>
    <m/>
    <n v="0"/>
    <m/>
    <n v="0"/>
    <m/>
    <n v="0"/>
    <m/>
    <n v="0"/>
    <m/>
    <n v="0"/>
    <m/>
    <n v="0"/>
    <m/>
    <n v="0"/>
    <m/>
    <n v="0"/>
  </r>
  <r>
    <n v="148"/>
    <s v="Cincel para madera 25mm mango recto antideslizante (punta en acero inoxidable)"/>
    <s v="Cualquier marca"/>
    <s v="Unidad"/>
    <x v="0"/>
    <x v="14"/>
    <n v="0"/>
    <n v="125527.7504"/>
    <n v="0"/>
    <m/>
    <n v="0"/>
    <m/>
    <n v="0"/>
    <m/>
    <n v="0"/>
    <m/>
    <n v="0"/>
    <m/>
    <n v="0"/>
    <m/>
    <n v="0"/>
    <m/>
    <n v="0"/>
    <m/>
    <n v="0"/>
    <m/>
    <n v="0"/>
  </r>
  <r>
    <n v="156"/>
    <s v="Clips para ajuste de bolsas tipo stomacher"/>
    <s v="VWR o equivalente"/>
    <s v="Caja por 200 unidades"/>
    <x v="0"/>
    <x v="14"/>
    <n v="0"/>
    <n v="1514839.36"/>
    <n v="0"/>
    <m/>
    <n v="0"/>
    <m/>
    <n v="0"/>
    <m/>
    <n v="0"/>
    <m/>
    <n v="0"/>
    <m/>
    <n v="0"/>
    <m/>
    <n v="0"/>
    <m/>
    <n v="0"/>
    <m/>
    <n v="0"/>
    <m/>
    <n v="0"/>
  </r>
  <r>
    <n v="160"/>
    <s v="Columna capilar Rtx-1, 30m*0,32mm, 0,25µm"/>
    <s v="Restek o equivalente"/>
    <s v="Columna para CG"/>
    <x v="0"/>
    <x v="14"/>
    <n v="0"/>
    <n v="6624453.0624000002"/>
    <n v="0"/>
    <m/>
    <n v="0"/>
    <m/>
    <n v="0"/>
    <m/>
    <n v="0"/>
    <m/>
    <n v="0"/>
    <m/>
    <n v="0"/>
    <m/>
    <n v="0"/>
    <m/>
    <n v="0"/>
    <m/>
    <n v="0"/>
    <m/>
    <n v="0"/>
  </r>
  <r>
    <n v="161"/>
    <s v="Columna cromatografia C18- 250mm   0,5 um Merck o similar"/>
    <s v="Merck o similar"/>
    <s v="UNIDAD"/>
    <x v="0"/>
    <x v="14"/>
    <n v="0"/>
    <n v="5912964.8591999998"/>
    <n v="0"/>
    <m/>
    <n v="0"/>
    <m/>
    <n v="0"/>
    <m/>
    <n v="0"/>
    <m/>
    <n v="0"/>
    <m/>
    <n v="0"/>
    <m/>
    <n v="0"/>
    <m/>
    <n v="0"/>
    <m/>
    <n v="0"/>
    <m/>
    <n v="0"/>
  </r>
  <r>
    <n v="164"/>
    <s v="Columna SAX (100 mm x 4,6 x 5 µm)"/>
    <s v="cualquier marca "/>
    <s v="Unidad"/>
    <x v="0"/>
    <x v="14"/>
    <n v="0"/>
    <n v="8119200.2016000003"/>
    <n v="0"/>
    <m/>
    <n v="0"/>
    <m/>
    <n v="0"/>
    <m/>
    <n v="0"/>
    <m/>
    <n v="0"/>
    <m/>
    <n v="0"/>
    <m/>
    <n v="0"/>
    <m/>
    <n v="0"/>
    <m/>
    <n v="0"/>
    <m/>
    <n v="0"/>
  </r>
  <r>
    <n v="166"/>
    <s v="Columnas C18 (150 mm x 4,6 x 5 µ)"/>
    <s v="Cualquier marca"/>
    <s v="Unidad"/>
    <x v="0"/>
    <x v="14"/>
    <n v="0"/>
    <n v="6622413.8975999998"/>
    <n v="0"/>
    <m/>
    <n v="0"/>
    <m/>
    <n v="0"/>
    <m/>
    <n v="0"/>
    <m/>
    <n v="0"/>
    <m/>
    <n v="0"/>
    <m/>
    <n v="0"/>
    <m/>
    <n v="0"/>
    <m/>
    <n v="0"/>
    <m/>
    <n v="0"/>
  </r>
  <r>
    <n v="167"/>
    <s v="Columnas C8 (150 mm x 4,6 x 5 µ)"/>
    <s v="Cualquier marca"/>
    <s v="Unidad"/>
    <x v="0"/>
    <x v="14"/>
    <n v="0"/>
    <n v="6109761.7472000001"/>
    <n v="0"/>
    <m/>
    <n v="0"/>
    <m/>
    <n v="0"/>
    <m/>
    <n v="0"/>
    <m/>
    <n v="0"/>
    <m/>
    <n v="0"/>
    <m/>
    <n v="0"/>
    <m/>
    <n v="0"/>
    <m/>
    <n v="0"/>
    <m/>
    <n v="0"/>
  </r>
  <r>
    <n v="168"/>
    <s v="Columnas capilares (5% fenilo/ 95% dimetilpolisiloxano) Dimensiones: 30 metros de longitud - 0,25 mm de Diámetro interno y (0,22 um a 0,25um) de grosor de fase estacionaria o film. "/>
    <s v="Restek, Phenomenex, Agilent, Thermo o equivalente"/>
    <s v="Unidad"/>
    <x v="0"/>
    <x v="14"/>
    <n v="0"/>
    <n v="5916943.7439999999"/>
    <n v="0"/>
    <m/>
    <n v="0"/>
    <m/>
    <n v="0"/>
    <m/>
    <n v="0"/>
    <m/>
    <n v="0"/>
    <m/>
    <n v="0"/>
    <m/>
    <n v="0"/>
    <m/>
    <n v="0"/>
    <m/>
    <n v="0"/>
    <m/>
    <n v="0"/>
  </r>
  <r>
    <n v="169"/>
    <s v="Columnas RP18e (5um) LichoCART 250-4"/>
    <s v="Merck  o equivalente"/>
    <s v="Unidad"/>
    <x v="0"/>
    <x v="14"/>
    <n v="0"/>
    <n v="10628359.704"/>
    <n v="0"/>
    <m/>
    <n v="0"/>
    <m/>
    <n v="0"/>
    <m/>
    <n v="0"/>
    <m/>
    <n v="0"/>
    <m/>
    <n v="0"/>
    <m/>
    <n v="0"/>
    <m/>
    <n v="0"/>
    <m/>
    <n v="0"/>
    <m/>
    <n v="0"/>
  </r>
  <r>
    <n v="172"/>
    <s v="Cooler con tapa para tubos de 1.5 a 2.0 ml -20 °C para 32 tubos"/>
    <s v="Cualquier marca"/>
    <s v="Unidad"/>
    <x v="0"/>
    <x v="14"/>
    <n v="0"/>
    <n v="3947606.6784000001"/>
    <n v="0"/>
    <m/>
    <n v="0"/>
    <m/>
    <n v="0"/>
    <m/>
    <n v="0"/>
    <m/>
    <n v="0"/>
    <m/>
    <n v="0"/>
    <m/>
    <n v="0"/>
    <m/>
    <n v="0"/>
    <m/>
    <n v="0"/>
    <m/>
    <n v="0"/>
  </r>
  <r>
    <n v="188"/>
    <s v="Cubeta plastica rectangular de laboratorio  528-536 x 630-636 x 138-142 mm (largo x ancho x alto)"/>
    <s v="Cualquier marca"/>
    <s v="Unidad"/>
    <x v="0"/>
    <x v="14"/>
    <n v="0"/>
    <n v="372014.25439999998"/>
    <n v="0"/>
    <m/>
    <n v="0"/>
    <m/>
    <n v="0"/>
    <m/>
    <n v="0"/>
    <m/>
    <n v="0"/>
    <m/>
    <n v="0"/>
    <m/>
    <n v="0"/>
    <m/>
    <n v="0"/>
    <m/>
    <n v="0"/>
    <m/>
    <n v="0"/>
  </r>
  <r>
    <n v="198"/>
    <s v="Cuchillo para disección cacha blanca en polipropileno en acero inoxidable pequeño (130 mm)"/>
    <s v="Tramontina o equivalente"/>
    <s v="Unidad"/>
    <x v="0"/>
    <x v="14"/>
    <n v="0"/>
    <n v="107822.20479999999"/>
    <n v="0"/>
    <m/>
    <n v="0"/>
    <m/>
    <n v="0"/>
    <m/>
    <n v="0"/>
    <m/>
    <n v="0"/>
    <m/>
    <n v="0"/>
    <m/>
    <n v="0"/>
    <m/>
    <n v="0"/>
    <m/>
    <n v="0"/>
    <m/>
    <n v="0"/>
  </r>
  <r>
    <n v="203"/>
    <s v="Dispensador  de 5-50 mL, volumen variable, graduación de 1 ml, exactitud ± 0,5%, reproducibilidad ≤ 0,1%; vidrio borosilicato. Cerámica, platino-iridio, ETFE, FEP, PFA, YPP (caperuza de cierre de la canula);  apto para bases, acidos, soluciones acuosas y solventes organicos. "/>
    <s v="Brand 4700 161 o equivalente"/>
    <s v="Unidad"/>
    <x v="0"/>
    <x v="14"/>
    <n v="0"/>
    <n v="3039556.5392"/>
    <n v="0"/>
    <m/>
    <n v="0"/>
    <m/>
    <n v="0"/>
    <m/>
    <n v="0"/>
    <m/>
    <n v="0"/>
    <m/>
    <n v="0"/>
    <m/>
    <n v="0"/>
    <m/>
    <n v="0"/>
    <m/>
    <n v="0"/>
    <m/>
    <n v="0"/>
  </r>
  <r>
    <n v="204"/>
    <s v="Dispensador  volumen 10-100mL o  de 20-100 ml; etapas de dosificacion 2,00mL, error sistematico ≤ a ± 0.5%; error accidental CV ≤ a 0,1% apto para buffer para extracciones de DNA y RNA. "/>
    <s v="Brand o equivalente"/>
    <s v="Unidad"/>
    <x v="0"/>
    <x v="14"/>
    <n v="0"/>
    <n v="3785392.5392"/>
    <n v="0"/>
    <m/>
    <n v="0"/>
    <m/>
    <n v="0"/>
    <m/>
    <n v="0"/>
    <m/>
    <n v="0"/>
    <m/>
    <n v="0"/>
    <m/>
    <n v="0"/>
    <m/>
    <n v="0"/>
    <m/>
    <n v="0"/>
    <m/>
    <n v="0"/>
  </r>
  <r>
    <n v="205"/>
    <s v="Doble nuez para aro soporte universal Metálica"/>
    <s v="Cualquier marca"/>
    <s v="Unidad"/>
    <x v="0"/>
    <x v="14"/>
    <n v="0"/>
    <n v="57021.211199999998"/>
    <n v="0"/>
    <m/>
    <n v="0"/>
    <m/>
    <n v="0"/>
    <m/>
    <n v="0"/>
    <m/>
    <n v="0"/>
    <m/>
    <n v="0"/>
    <m/>
    <n v="0"/>
    <m/>
    <n v="0"/>
    <m/>
    <n v="0"/>
    <m/>
    <n v="0"/>
  </r>
  <r>
    <n v="223"/>
    <s v="Erlenmeyer de 5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
    <s v="Pyrex, Corning, Brand, Duran o equivalente"/>
    <s v="Unidad"/>
    <x v="0"/>
    <x v="14"/>
    <n v="0"/>
    <n v="687581.01760000002"/>
    <n v="0"/>
    <m/>
    <n v="0"/>
    <m/>
    <n v="0"/>
    <m/>
    <n v="0"/>
    <m/>
    <n v="0"/>
    <m/>
    <n v="0"/>
    <m/>
    <n v="0"/>
    <m/>
    <n v="0"/>
    <m/>
    <n v="0"/>
    <m/>
    <n v="0"/>
  </r>
  <r>
    <n v="224"/>
    <s v="Erlenmeyer en vidrio boca angosta 25ml"/>
    <s v="Duran o equivalente"/>
    <s v="Unidad"/>
    <x v="0"/>
    <x v="14"/>
    <n v="0"/>
    <n v="49343.198400000001"/>
    <n v="0"/>
    <m/>
    <n v="0"/>
    <m/>
    <n v="0"/>
    <m/>
    <n v="0"/>
    <m/>
    <n v="0"/>
    <m/>
    <n v="0"/>
    <m/>
    <n v="0"/>
    <m/>
    <n v="0"/>
    <m/>
    <n v="0"/>
    <m/>
    <n v="0"/>
  </r>
  <r>
    <n v="226"/>
    <s v="Esferas de ceramica de 1/4&quot;"/>
    <s v="MP BIOMEDICALS ref 116540424, no puede ser equivalente"/>
    <s v="100 each"/>
    <x v="0"/>
    <x v="14"/>
    <n v="0"/>
    <n v="1173035.5615999999"/>
    <n v="0"/>
    <m/>
    <n v="0"/>
    <m/>
    <n v="0"/>
    <m/>
    <n v="0"/>
    <m/>
    <n v="0"/>
    <m/>
    <n v="0"/>
    <m/>
    <n v="0"/>
    <m/>
    <n v="0"/>
    <m/>
    <n v="0"/>
    <m/>
    <n v="0"/>
  </r>
  <r>
    <n v="238"/>
    <s v="Estibas plásticas 120 x 100 x 15 cm (largo x ancho x alto) Capacidad 1000 kg"/>
    <s v="Cualquier marca"/>
    <s v="Unidad"/>
    <x v="0"/>
    <x v="14"/>
    <n v="0"/>
    <n v="1352567.3023999999"/>
    <n v="0"/>
    <m/>
    <n v="0"/>
    <m/>
    <n v="0"/>
    <m/>
    <n v="0"/>
    <m/>
    <n v="0"/>
    <m/>
    <n v="0"/>
    <m/>
    <n v="0"/>
    <m/>
    <n v="0"/>
    <m/>
    <n v="0"/>
    <m/>
    <n v="0"/>
  </r>
  <r>
    <n v="241"/>
    <s v="Etiquetas térmicas para impresora Zebra GC4201 2 X 1,5 mm Rollo x 3 etiquetas por fila"/>
    <s v="Zebra o equivalente"/>
    <s v="Rollo"/>
    <x v="0"/>
    <x v="14"/>
    <n v="0"/>
    <n v="341939.30560000002"/>
    <n v="0"/>
    <m/>
    <n v="0"/>
    <m/>
    <n v="0"/>
    <m/>
    <n v="0"/>
    <m/>
    <n v="0"/>
    <m/>
    <n v="0"/>
    <m/>
    <n v="0"/>
    <m/>
    <n v="0"/>
    <m/>
    <n v="0"/>
    <m/>
    <n v="0"/>
  </r>
  <r>
    <n v="242"/>
    <s v="Etiquetas térmicas para impresora Zebra GC4201 32 X 15 mm Rollo x 3 etiquetas por fila"/>
    <s v="Zebra o equivalente"/>
    <s v="Rollo"/>
    <x v="0"/>
    <x v="14"/>
    <n v="0"/>
    <n v="204924.0416"/>
    <n v="0"/>
    <m/>
    <n v="0"/>
    <m/>
    <n v="0"/>
    <m/>
    <n v="0"/>
    <m/>
    <n v="0"/>
    <m/>
    <n v="0"/>
    <m/>
    <n v="0"/>
    <m/>
    <n v="0"/>
    <m/>
    <n v="0"/>
    <m/>
    <n v="0"/>
  </r>
  <r>
    <n v="243"/>
    <s v="Etiquetas termicas para impresora Zebra GC4201 50 X 20 mm Rollo x 2 etiquetas por fila"/>
    <s v="Zebra o equivalente"/>
    <s v="Rollo"/>
    <x v="0"/>
    <x v="14"/>
    <n v="0"/>
    <n v="204924.0416"/>
    <n v="0"/>
    <m/>
    <n v="0"/>
    <m/>
    <n v="0"/>
    <m/>
    <n v="0"/>
    <m/>
    <n v="0"/>
    <m/>
    <n v="0"/>
    <m/>
    <n v="0"/>
    <m/>
    <n v="0"/>
    <m/>
    <n v="0"/>
    <m/>
    <n v="0"/>
  </r>
  <r>
    <n v="249"/>
    <s v="Filtro para micropipeta monocanal de 0,5 - 5 mL marca brand"/>
    <s v="Brand 7046 52 o equivalente"/>
    <s v="Bolsa x 25"/>
    <x v="0"/>
    <x v="14"/>
    <n v="0"/>
    <n v="745545.31519999995"/>
    <n v="0"/>
    <m/>
    <n v="0"/>
    <m/>
    <n v="0"/>
    <m/>
    <n v="0"/>
    <m/>
    <n v="0"/>
    <m/>
    <n v="0"/>
    <m/>
    <n v="0"/>
    <m/>
    <n v="0"/>
    <m/>
    <n v="0"/>
    <m/>
    <n v="0"/>
  </r>
  <r>
    <n v="251"/>
    <s v="Frasco compotero de vidrio; altura 6,5 diametro 5,5"/>
    <s v="Cualquier marca"/>
    <s v="Caja con 24 piezas"/>
    <x v="0"/>
    <x v="14"/>
    <n v="0"/>
    <n v="120305.2592"/>
    <n v="0"/>
    <m/>
    <n v="0"/>
    <m/>
    <n v="0"/>
    <m/>
    <n v="0"/>
    <m/>
    <n v="0"/>
    <m/>
    <n v="0"/>
    <m/>
    <n v="0"/>
    <m/>
    <n v="0"/>
    <m/>
    <n v="0"/>
    <m/>
    <n v="0"/>
  </r>
  <r>
    <n v="254"/>
    <s v="Frasco de vidrio ambar de 2000 ml tapa rosca con graduación, resistente a esterilización con autoclave y anillo de vertido en PP. "/>
    <s v="Pyrex , Corning, Kymax, Brand, Duran, Schott o equivalente "/>
    <s v="Unidad"/>
    <x v="0"/>
    <x v="14"/>
    <n v="0"/>
    <n v="352139.50079999998"/>
    <n v="0"/>
    <m/>
    <n v="0"/>
    <m/>
    <n v="0"/>
    <m/>
    <n v="0"/>
    <m/>
    <n v="0"/>
    <m/>
    <n v="0"/>
    <m/>
    <n v="0"/>
    <m/>
    <n v="0"/>
    <m/>
    <n v="0"/>
    <m/>
    <n v="0"/>
  </r>
  <r>
    <n v="276"/>
    <s v="Frasco para cultivo celular con tapa sin filtro, plug seal, estéril, cuello inclinado y no pirogénica de 150 cm²"/>
    <s v="Corning, Costar, Falcon o equivalente"/>
    <s v="Caja x 50"/>
    <x v="0"/>
    <x v="14"/>
    <n v="0"/>
    <n v="1664639.2912000001"/>
    <n v="0"/>
    <m/>
    <n v="0"/>
    <m/>
    <n v="0"/>
    <m/>
    <n v="0"/>
    <m/>
    <n v="0"/>
    <m/>
    <n v="0"/>
    <m/>
    <n v="0"/>
    <m/>
    <n v="0"/>
    <m/>
    <n v="0"/>
    <m/>
    <n v="0"/>
  </r>
  <r>
    <n v="279"/>
    <s v="Frasco plástico con tapa rosca boca ancha de 4000 ml"/>
    <s v="Cualquier marca"/>
    <s v="Unidad "/>
    <x v="0"/>
    <x v="14"/>
    <n v="0"/>
    <n v="36409.910400000001"/>
    <n v="0"/>
    <m/>
    <n v="0"/>
    <m/>
    <n v="0"/>
    <m/>
    <n v="0"/>
    <m/>
    <n v="0"/>
    <m/>
    <n v="0"/>
    <m/>
    <n v="0"/>
    <m/>
    <n v="0"/>
    <m/>
    <n v="0"/>
    <m/>
    <n v="0"/>
  </r>
  <r>
    <n v="280"/>
    <s v="Frasco plástico con tapa rosca graduados autoclavables en polipropileno PP  de 100 ml diametro 48mm, altura 105mm,  y boca 24mm"/>
    <s v="KARTELL  (Referencia 1623)"/>
    <s v="unidad"/>
    <x v="0"/>
    <x v="14"/>
    <n v="0"/>
    <n v="21899.712"/>
    <n v="0"/>
    <m/>
    <n v="0"/>
    <m/>
    <n v="0"/>
    <m/>
    <n v="0"/>
    <m/>
    <n v="0"/>
    <m/>
    <n v="0"/>
    <m/>
    <n v="0"/>
    <m/>
    <n v="0"/>
    <m/>
    <n v="0"/>
    <m/>
    <n v="0"/>
  </r>
  <r>
    <n v="286"/>
    <s v="Gancho carnicero con mango plástico antibacteriano 15 cm de largo"/>
    <s v="Cualquier marca"/>
    <s v="Unidad"/>
    <x v="0"/>
    <x v="14"/>
    <n v="0"/>
    <n v="242214.7488"/>
    <n v="0"/>
    <m/>
    <n v="0"/>
    <m/>
    <n v="0"/>
    <m/>
    <n v="0"/>
    <m/>
    <n v="0"/>
    <m/>
    <n v="0"/>
    <m/>
    <n v="0"/>
    <m/>
    <n v="0"/>
    <m/>
    <n v="0"/>
    <m/>
    <n v="0"/>
  </r>
  <r>
    <n v="291"/>
    <s v="Glass wool washed qp"/>
    <s v="Cualquier marca"/>
    <s v="Frasco x 100gr"/>
    <x v="0"/>
    <x v="14"/>
    <n v="0"/>
    <n v="961896.76639999996"/>
    <n v="0"/>
    <m/>
    <n v="0"/>
    <m/>
    <n v="0"/>
    <m/>
    <n v="0"/>
    <m/>
    <n v="0"/>
    <m/>
    <n v="0"/>
    <m/>
    <n v="0"/>
    <m/>
    <n v="0"/>
    <m/>
    <n v="0"/>
    <m/>
    <n v="0"/>
  </r>
  <r>
    <n v="302"/>
    <s v="Gradilla para pipeta de vidrio, Para soportar desde 20 o 50 pipetas. Esta gradilla debe permitir que las puntas de las pipetas no estén en contacto con la superficie de la mesa."/>
    <s v="Cualquier marca"/>
    <s v="Unidad"/>
    <x v="0"/>
    <x v="14"/>
    <n v="0"/>
    <n v="213593.22399999999"/>
    <n v="0"/>
    <m/>
    <n v="0"/>
    <m/>
    <n v="0"/>
    <m/>
    <n v="0"/>
    <m/>
    <n v="0"/>
    <m/>
    <n v="0"/>
    <m/>
    <n v="0"/>
    <m/>
    <n v="0"/>
    <m/>
    <n v="0"/>
    <m/>
    <n v="0"/>
  </r>
  <r>
    <n v="305"/>
    <s v="Grasa lubricante para micropipetas "/>
    <s v="Eppendorf o equivalente"/>
    <s v="Frasco de 20 Grs"/>
    <x v="0"/>
    <x v="14"/>
    <n v="0"/>
    <n v="376457.57919999998"/>
    <n v="0"/>
    <m/>
    <n v="0"/>
    <m/>
    <n v="0"/>
    <m/>
    <n v="0"/>
    <m/>
    <n v="0"/>
    <m/>
    <n v="0"/>
    <m/>
    <n v="0"/>
    <m/>
    <n v="0"/>
    <m/>
    <n v="0"/>
    <m/>
    <n v="0"/>
  </r>
  <r>
    <n v="311"/>
    <s v="Hisopos con medio de transporte AMIES, sin carbono "/>
    <s v="Cualquier marca"/>
    <s v="Caja x 500 "/>
    <x v="0"/>
    <x v="14"/>
    <n v="0"/>
    <n v="4291425.5999999996"/>
    <n v="0"/>
    <m/>
    <n v="0"/>
    <m/>
    <n v="0"/>
    <m/>
    <n v="0"/>
    <m/>
    <n v="0"/>
    <m/>
    <n v="0"/>
    <m/>
    <n v="0"/>
    <m/>
    <n v="0"/>
    <m/>
    <n v="0"/>
    <m/>
    <n v="0"/>
  </r>
  <r>
    <n v="312"/>
    <s v="InfinityLab long-life deuterium DAD/MWD lamp, with RFID tag. "/>
    <s v="Agilent Ref.:2140-08-20 o equivalente"/>
    <s v="Unidad"/>
    <x v="0"/>
    <x v="14"/>
    <n v="0"/>
    <n v="9128679.6655999999"/>
    <n v="0"/>
    <m/>
    <n v="0"/>
    <m/>
    <n v="0"/>
    <m/>
    <n v="0"/>
    <m/>
    <n v="0"/>
    <m/>
    <n v="0"/>
    <m/>
    <n v="0"/>
    <m/>
    <n v="0"/>
    <m/>
    <n v="0"/>
    <m/>
    <n v="0"/>
  </r>
  <r>
    <n v="314"/>
    <s v="Ion injector, 180 mm, 0.6 mm id, dielectric Ref. G7604-60000"/>
    <s v="Agilent o equivalente"/>
    <s v="Unidad"/>
    <x v="0"/>
    <x v="14"/>
    <n v="0"/>
    <n v="19212426.097599998"/>
    <n v="0"/>
    <m/>
    <n v="0"/>
    <m/>
    <n v="0"/>
    <m/>
    <n v="0"/>
    <m/>
    <n v="0"/>
    <m/>
    <n v="0"/>
    <m/>
    <n v="0"/>
    <m/>
    <n v="0"/>
    <m/>
    <n v="0"/>
    <m/>
    <n v="0"/>
  </r>
  <r>
    <n v="319"/>
    <s v="Jaula para captura de murcielagos en acero inoxidable"/>
    <s v="Cualquier marca"/>
    <s v="Unidad"/>
    <x v="0"/>
    <x v="14"/>
    <n v="0"/>
    <n v="687802.85600000003"/>
    <n v="0"/>
    <m/>
    <n v="0"/>
    <m/>
    <n v="0"/>
    <m/>
    <n v="0"/>
    <m/>
    <n v="0"/>
    <m/>
    <n v="0"/>
    <m/>
    <n v="0"/>
    <m/>
    <n v="0"/>
    <m/>
    <n v="0"/>
    <m/>
    <n v="0"/>
  </r>
  <r>
    <n v="328"/>
    <s v="Juego de batería acero inoxidable para coloración de hematoxilina "/>
    <s v="Cualquier marca"/>
    <s v="Juego x 16 cajas"/>
    <x v="0"/>
    <x v="14"/>
    <n v="0"/>
    <n v="1742384.3615999999"/>
    <n v="0"/>
    <m/>
    <n v="0"/>
    <m/>
    <n v="0"/>
    <m/>
    <n v="0"/>
    <m/>
    <n v="0"/>
    <m/>
    <n v="0"/>
    <m/>
    <n v="0"/>
    <m/>
    <n v="0"/>
    <m/>
    <n v="0"/>
    <m/>
    <n v="0"/>
  </r>
  <r>
    <n v="329"/>
    <s v="Juego de masas patrón E2 de 1mg, 2mg, 5mg, 10 mg, 20mg, 50mg, 100mg, 500mg con certificado de calibración de Laboratorio de acreditado nacional o internacional, trazable al SI con declaración de incertidumbre. En Acero inoxidable antimagnéticas"/>
    <s v="Kern o equivalente"/>
    <s v="Kit "/>
    <x v="0"/>
    <x v="14"/>
    <n v="0"/>
    <n v="4837502.1311999997"/>
    <n v="0"/>
    <m/>
    <n v="0"/>
    <m/>
    <n v="0"/>
    <m/>
    <n v="0"/>
    <m/>
    <n v="0"/>
    <m/>
    <n v="0"/>
    <m/>
    <n v="0"/>
    <m/>
    <n v="0"/>
    <m/>
    <n v="0"/>
    <m/>
    <n v="0"/>
  </r>
  <r>
    <n v="330"/>
    <s v="Juego de pesas patrón en acero inoxidable, antimagnéticas clase F1,  Seis piezas de las denominaciones: (2) 10 mg, 20 mg, 50 mg, 100 mg  y 200 mg. Con certificado de calibración emitido por un laboratorio acreditado."/>
    <s v="Cualquier marca"/>
    <s v="Juego x 16 cajas"/>
    <x v="0"/>
    <x v="14"/>
    <n v="0"/>
    <n v="7531038.8496000003"/>
    <n v="0"/>
    <m/>
    <n v="0"/>
    <m/>
    <n v="0"/>
    <m/>
    <n v="0"/>
    <m/>
    <n v="0"/>
    <m/>
    <n v="0"/>
    <m/>
    <n v="0"/>
    <m/>
    <n v="0"/>
    <m/>
    <n v="0"/>
    <m/>
    <n v="0"/>
  </r>
  <r>
    <n v="331"/>
    <s v="Juego de pesas patrón en acero inoxidable, antimagnéticas clase F1, Cinco piezas de las denominaciones: 1 g, 10 g, 50 g, 100 g  y 500 g. Con certificado de calibración emitido por un laboratorio acreditado."/>
    <s v="SB  o equivalente"/>
    <s v="Set"/>
    <x v="0"/>
    <x v="14"/>
    <n v="0"/>
    <n v="6870079.5328000002"/>
    <n v="0"/>
    <m/>
    <n v="0"/>
    <m/>
    <n v="0"/>
    <m/>
    <n v="0"/>
    <m/>
    <n v="0"/>
    <m/>
    <n v="0"/>
    <m/>
    <n v="0"/>
    <m/>
    <n v="0"/>
    <m/>
    <n v="0"/>
    <m/>
    <n v="0"/>
  </r>
  <r>
    <n v="334"/>
    <s v="Cargador pilas AA y AAA"/>
    <s v="cualquier marca"/>
    <s v="Kit"/>
    <x v="0"/>
    <x v="14"/>
    <n v="0"/>
    <n v="1181503.6688000001"/>
    <n v="0"/>
    <m/>
    <n v="0"/>
    <m/>
    <n v="0"/>
    <m/>
    <n v="0"/>
    <m/>
    <n v="0"/>
    <m/>
    <n v="0"/>
    <m/>
    <n v="0"/>
    <m/>
    <n v="0"/>
    <m/>
    <n v="0"/>
    <m/>
    <n v="0"/>
  </r>
  <r>
    <n v="335"/>
    <s v="Kit de Emergencia - Equipo de emergencia vesiculares compuesto por: 4 narigueras automaticas para bovino;  2  manilas de 1/2&quot; X 10 metros cada una;  2 axiales largos para cerdos en acero inoxidable tipo guaya de 30 cm, sin freno mango y sujetador antideslizante;  2 abrebocas para bovino; 4 cepillos de cerda dura;  2 pinzas con garra de 14,5 cm en acero inoxidable;  2 pinzas sin garra de 14,5 cm en acero inoxidable; 2 tijeras  de mayo una  recta punta roma y una recta  punta fina de 14 cm en acero inoxidable;  2 tijeras de mayo curva punta roma de 14 cm en acero inoxidable; 1 cepillo lavado instrumental de cerda dura plastica; 1 juego de copas probang de 3 tamaños diferentes en acero inoxidable; caja organizadora en plastico donde los anteriores elementos se puedan guardar con dimensiones mínimo de largo 60 cm, ancho 26 cm, alto 24 cm con bandeja siempre que cuente con espacio suficiente para almecenas los anteriores elementos.  _x000a_Se requiere anexar muestras de copas probang."/>
    <s v="Cualquier marca"/>
    <s v="Unidad"/>
    <x v="0"/>
    <x v="14"/>
    <n v="0"/>
    <n v="3071387.6176"/>
    <n v="0"/>
    <m/>
    <n v="0"/>
    <m/>
    <n v="0"/>
    <m/>
    <n v="0"/>
    <m/>
    <n v="0"/>
    <m/>
    <n v="0"/>
    <m/>
    <n v="0"/>
    <m/>
    <n v="0"/>
    <m/>
    <n v="0"/>
    <m/>
    <n v="0"/>
  </r>
  <r>
    <n v="345"/>
    <s v="Laminilla  de quarzo  de 10 mm x 10 mm "/>
    <s v="Cualquier marca"/>
    <s v="Caja x 100"/>
    <x v="0"/>
    <x v="14"/>
    <n v="0"/>
    <n v="0"/>
    <n v="0"/>
    <m/>
    <n v="0"/>
    <m/>
    <n v="0"/>
    <m/>
    <n v="0"/>
    <m/>
    <n v="0"/>
    <m/>
    <n v="0"/>
    <m/>
    <n v="0"/>
    <m/>
    <n v="0"/>
    <m/>
    <n v="0"/>
    <m/>
    <n v="0"/>
  </r>
  <r>
    <n v="356"/>
    <s v="Llave en polipropileno quick-action Spigot"/>
    <s v="Thermo Ref 6422-0010"/>
    <s v="Recipiente x 20 l"/>
    <x v="0"/>
    <x v="14"/>
    <n v="0"/>
    <n v="1000742.528"/>
    <n v="0"/>
    <m/>
    <n v="0"/>
    <m/>
    <n v="0"/>
    <m/>
    <n v="0"/>
    <m/>
    <n v="0"/>
    <m/>
    <n v="0"/>
    <m/>
    <n v="0"/>
    <m/>
    <n v="0"/>
    <m/>
    <n v="0"/>
    <m/>
    <n v="0"/>
  </r>
  <r>
    <n v="358"/>
    <s v="Lupa para celular de 60X.  Lente de microscopio con ampliación zoom 60X, lentes de micro lentes de video.  Clip universal, material ABS, metal, rápida y abrazadera fácil de conectar a la cámara del teléfono.  Compatible con teléfonos Android, series de iPhone, iPad, etc. Luz LED brillante de la lupa debe proporcionar suficiente luz en cualquier condición tenue. Interruptor giratorio para luz LED o luz UV. LED alimentados por 3 baterías LR1130 (incluidas). Tamaño del producto 60 mm x 22 mm x 65 mm. Portátil y conveniente. Paquete incluido: Microscopia 60X; 1 Clip de sonrisa u8niversal; 1 Bolsa de transporte."/>
    <s v="Cualquier marca"/>
    <s v="Unidad"/>
    <x v="0"/>
    <x v="14"/>
    <n v="0"/>
    <n v="350038.04639999999"/>
    <n v="0"/>
    <m/>
    <n v="0"/>
    <m/>
    <n v="0"/>
    <m/>
    <n v="0"/>
    <m/>
    <n v="0"/>
    <m/>
    <n v="0"/>
    <m/>
    <n v="0"/>
    <m/>
    <n v="0"/>
    <m/>
    <n v="0"/>
    <m/>
    <n v="0"/>
  </r>
  <r>
    <n v="359"/>
    <s v="Lysing Matrix A Bulk (Garnet)"/>
    <s v="MP Biomedicals  Ref 116540423"/>
    <s v="Frasco x 200 g"/>
    <x v="0"/>
    <x v="14"/>
    <n v="0"/>
    <n v="3141492.9232000001"/>
    <n v="0"/>
    <m/>
    <n v="0"/>
    <m/>
    <n v="0"/>
    <m/>
    <n v="0"/>
    <m/>
    <n v="0"/>
    <m/>
    <n v="0"/>
    <m/>
    <n v="0"/>
    <m/>
    <n v="0"/>
    <m/>
    <n v="0"/>
    <m/>
    <n v="0"/>
  </r>
  <r>
    <n v="360"/>
    <s v="LYSING MATRIX A, 4,5 mL Tube"/>
    <s v="MP Biomedicals  116970050 "/>
    <s v="Bolsa x 51"/>
    <x v="0"/>
    <x v="14"/>
    <n v="0"/>
    <n v="4710376.7072000001"/>
    <n v="0"/>
    <m/>
    <n v="0"/>
    <m/>
    <n v="0"/>
    <m/>
    <n v="0"/>
    <m/>
    <n v="0"/>
    <m/>
    <n v="0"/>
    <m/>
    <n v="0"/>
    <m/>
    <n v="0"/>
    <m/>
    <n v="0"/>
    <m/>
    <n v="0"/>
  </r>
  <r>
    <n v="362"/>
    <s v="Mallas para captura de aves_x000a_Punta: 2.5 pulgadas / 5 centímetros aproximadamente. Apertura Malla: 2.30 - 2.50 metros. Paño o Seno: 150 centímetros aproximadamente. Peso: 6 libras aproximadas. Nylon: grosor 1400/3 (#9-3 hebras). NO Plomos. SI Cadena. Estuche o tula para transportar malla cómodamente. La cadena debe ir sujeta al perímetro de la apertura de la malla, debe ser cadena eslabonada, inoxidable y galvanizada de 1/8 de pulgada"/>
    <s v="Cualquier marca"/>
    <s v="Unidad"/>
    <x v="0"/>
    <x v="14"/>
    <n v="0"/>
    <n v="641597.08640000003"/>
    <n v="0"/>
    <m/>
    <n v="0"/>
    <m/>
    <n v="0"/>
    <m/>
    <n v="0"/>
    <m/>
    <n v="0"/>
    <m/>
    <n v="0"/>
    <m/>
    <n v="0"/>
    <m/>
    <n v="0"/>
    <m/>
    <n v="0"/>
    <m/>
    <n v="0"/>
  </r>
  <r>
    <n v="369"/>
    <s v="Membrana de filtración para remover partículas finas de soluciones orgánicas y acuosas ; EMD Millipore™, Agilent  Filtros de jeringa no estériles Millex™ GV de 25 - 33 mm y 0,22um: membrana de PVDF Durapore™  No esteriles filter unit."/>
    <s v="Merck Millipore _x000a_Agilent o equivalente"/>
    <s v="Paquete x 100"/>
    <x v="0"/>
    <x v="14"/>
    <n v="0"/>
    <n v="1311257.2768000001"/>
    <n v="0"/>
    <m/>
    <n v="0"/>
    <m/>
    <n v="0"/>
    <m/>
    <n v="0"/>
    <m/>
    <n v="0"/>
    <m/>
    <n v="0"/>
    <m/>
    <n v="0"/>
    <m/>
    <n v="0"/>
    <m/>
    <n v="0"/>
    <m/>
    <n v="0"/>
  </r>
  <r>
    <n v="370"/>
    <s v="Membranas de filtración para solventes de 0,45 µm, de PVDF o PTFE de 47 mm de diámetro hidrofílicas"/>
    <s v="Sartorius MINISART SRP 15 O EQUIVALENTES"/>
    <s v="Bolsa x 50 Unidades"/>
    <x v="0"/>
    <x v="14"/>
    <n v="0"/>
    <n v="1685611.216"/>
    <n v="0"/>
    <m/>
    <n v="0"/>
    <m/>
    <n v="0"/>
    <m/>
    <n v="0"/>
    <m/>
    <n v="0"/>
    <m/>
    <n v="0"/>
    <m/>
    <n v="0"/>
    <m/>
    <n v="0"/>
    <m/>
    <n v="0"/>
    <m/>
    <n v="0"/>
  </r>
  <r>
    <n v="374"/>
    <s v="Micropipeta de 1000-10000 µl _x000a_con certificado de calibración y trazabilidad expedida por laboratorio acreditado ante el ONAC"/>
    <s v="Transferpette Brand 7047 84 o equivalente"/>
    <s v="Unidad"/>
    <x v="0"/>
    <x v="14"/>
    <n v="0"/>
    <n v="2871611.7568000001"/>
    <n v="0"/>
    <m/>
    <n v="0"/>
    <m/>
    <n v="0"/>
    <m/>
    <n v="0"/>
    <m/>
    <n v="0"/>
    <m/>
    <n v="0"/>
    <m/>
    <n v="0"/>
    <m/>
    <n v="0"/>
    <m/>
    <n v="0"/>
    <m/>
    <n v="0"/>
  </r>
  <r>
    <n v="378"/>
    <s v="Micropipeta de 1-5 ml _x000a_con certificado de calibración y trazabilidad expedida por laboratorio acreditado ante el ONAC"/>
    <s v="Finnpipette Labsystems 4642100 o equivalente"/>
    <s v="Unidad"/>
    <x v="0"/>
    <x v="14"/>
    <n v="0"/>
    <n v="3016645.9871999999"/>
    <n v="0"/>
    <m/>
    <n v="0"/>
    <m/>
    <n v="0"/>
    <m/>
    <n v="0"/>
    <m/>
    <n v="0"/>
    <m/>
    <n v="0"/>
    <m/>
    <n v="0"/>
    <m/>
    <n v="0"/>
    <m/>
    <n v="0"/>
    <m/>
    <n v="0"/>
  </r>
  <r>
    <n v="381"/>
    <s v="Micropipeta Electrónica de 300 ul (volumén mínimo entre  10 a  30 ul, volúmen máximo de  300 µl_x000a_con certificado de calibración y trazabilidad expedida por laboratorio acreditado ante el ONAC"/>
    <s v="BRAND, Sartorios. Thermo scientifics, Socorex, , o  equivalente"/>
    <s v="Unidad"/>
    <x v="0"/>
    <x v="14"/>
    <n v="0"/>
    <n v="5085660.6191999996"/>
    <n v="0"/>
    <m/>
    <n v="0"/>
    <m/>
    <n v="0"/>
    <m/>
    <n v="0"/>
    <m/>
    <n v="0"/>
    <m/>
    <n v="0"/>
    <m/>
    <n v="0"/>
    <m/>
    <n v="0"/>
    <m/>
    <n v="0"/>
    <m/>
    <n v="0"/>
  </r>
  <r>
    <n v="382"/>
    <s v="Micropipeta monocanal 10-300 u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_x000a_Con certificado de calibración y trazabilidad expedida por laboratorio acreditado ante el ONAC"/>
    <s v="Integra o equivalente"/>
    <s v="Unidad"/>
    <x v="0"/>
    <x v="14"/>
    <n v="0"/>
    <n v="5833600.2592000002"/>
    <n v="0"/>
    <m/>
    <n v="0"/>
    <m/>
    <n v="0"/>
    <m/>
    <n v="0"/>
    <m/>
    <n v="0"/>
    <m/>
    <n v="0"/>
    <m/>
    <n v="0"/>
    <m/>
    <n v="0"/>
    <m/>
    <n v="0"/>
    <m/>
    <n v="0"/>
  </r>
  <r>
    <n v="383"/>
    <s v="Micropipeta monocanal de 20-200 µl Finnpipette _x000a_Con certificado de calibración y trazabilidad expedida por laboratorio acreditado ante el ONAC"/>
    <s v="Finnpipette Labsystem o equivalente"/>
    <s v="Unidad"/>
    <x v="0"/>
    <x v="14"/>
    <n v="0"/>
    <n v="2625020.344"/>
    <n v="0"/>
    <m/>
    <n v="0"/>
    <m/>
    <n v="0"/>
    <m/>
    <n v="0"/>
    <m/>
    <n v="0"/>
    <m/>
    <n v="0"/>
    <m/>
    <n v="0"/>
    <m/>
    <n v="0"/>
    <m/>
    <n v="0"/>
    <m/>
    <n v="0"/>
  </r>
  <r>
    <n v="384"/>
    <s v="Micropipeta monocanal electrónica 0,5 - 12,5 µ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_x000a_Con certificado de calibración y trazabilidad expedida por laboratorio acreditado ante el ONAC   "/>
    <s v="Integra o equivalente"/>
    <s v="Unidad"/>
    <x v="0"/>
    <x v="14"/>
    <n v="0"/>
    <n v="7319226.8896000003"/>
    <n v="0"/>
    <m/>
    <n v="0"/>
    <m/>
    <n v="0"/>
    <m/>
    <n v="0"/>
    <m/>
    <n v="0"/>
    <m/>
    <n v="0"/>
    <m/>
    <n v="0"/>
    <m/>
    <n v="0"/>
    <m/>
    <n v="0"/>
    <m/>
    <n v="0"/>
  </r>
  <r>
    <n v="385"/>
    <s v="Micropipeta monocanal electrónica 2-50 µ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_x000a_Con certificado de calibración y trazabilidad expedida por laboratorio acreditado ante el ONAC "/>
    <s v="Integra o equivalente"/>
    <s v="Unidad"/>
    <x v="0"/>
    <x v="14"/>
    <n v="0"/>
    <n v="6954062.3055999996"/>
    <n v="0"/>
    <m/>
    <n v="0"/>
    <m/>
    <n v="0"/>
    <m/>
    <n v="0"/>
    <m/>
    <n v="0"/>
    <m/>
    <n v="0"/>
    <m/>
    <n v="0"/>
    <m/>
    <n v="0"/>
    <m/>
    <n v="0"/>
    <m/>
    <n v="0"/>
  </r>
  <r>
    <n v="386"/>
    <s v="Micropipeta monocanal electrónica 5-125 µ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_x000a_Con certificado de calibración emitido por un laboratorio acreditado ante el ONAC      "/>
    <s v="Integra o equivalente"/>
    <s v="Unidad"/>
    <x v="0"/>
    <x v="14"/>
    <n v="0"/>
    <n v="7008825.7920000004"/>
    <n v="0"/>
    <m/>
    <n v="0"/>
    <m/>
    <n v="0"/>
    <m/>
    <n v="0"/>
    <m/>
    <n v="0"/>
    <m/>
    <n v="0"/>
    <m/>
    <n v="0"/>
    <m/>
    <n v="0"/>
    <m/>
    <n v="0"/>
    <m/>
    <n v="0"/>
  </r>
  <r>
    <n v="387"/>
    <s v="Micropipeta multicanal 12 canales 15-300µl electrónica. División en µl 0,5. Exactitud≤ ± 0,6% - 1,8µl. Coeficiente de variación ≤ 0,25 % - 0,75 µl.  _x000a_Con certificado de calibración y trazabilidad expedida por laboratorio acreditado ante el ONAC"/>
    <s v="Transferpette ® 12 electronic Brand 7054 76 o equivalente"/>
    <s v="Unidad"/>
    <x v="0"/>
    <x v="14"/>
    <n v="0"/>
    <n v="11302662.1088"/>
    <n v="0"/>
    <m/>
    <n v="0"/>
    <m/>
    <n v="0"/>
    <m/>
    <n v="0"/>
    <m/>
    <n v="0"/>
    <m/>
    <n v="0"/>
    <m/>
    <n v="0"/>
    <m/>
    <n v="0"/>
    <m/>
    <n v="0"/>
    <m/>
    <n v="0"/>
  </r>
  <r>
    <n v="388"/>
    <s v="Micropipeta Multicanal 12 canales 20-200 µl _x000a_Con certificado de calibración y trazabilidad expedida por laboratorio acreditado ante el ONAC"/>
    <s v="Finnpipette o equivalente"/>
    <s v="Unidad"/>
    <x v="0"/>
    <x v="14"/>
    <n v="0"/>
    <n v="7618918.5471999999"/>
    <n v="0"/>
    <m/>
    <n v="0"/>
    <m/>
    <n v="0"/>
    <m/>
    <n v="0"/>
    <m/>
    <n v="0"/>
    <m/>
    <n v="0"/>
    <m/>
    <n v="0"/>
    <m/>
    <n v="0"/>
    <m/>
    <n v="0"/>
    <m/>
    <n v="0"/>
  </r>
  <r>
    <n v="389"/>
    <s v="Micropipeta multicanal 12 canales de 10-100 µl _x000a_Con certificado de calibración y trazabilidad expedida por laboratorio acreditado ante el ONAC"/>
    <s v="Eppendorf, Neogen, Finnpipette, Brand o equivalente"/>
    <s v="Unidad"/>
    <x v="0"/>
    <x v="14"/>
    <n v="0"/>
    <n v="10308770.344000001"/>
    <n v="0"/>
    <m/>
    <n v="0"/>
    <m/>
    <n v="0"/>
    <m/>
    <n v="0"/>
    <m/>
    <n v="0"/>
    <m/>
    <n v="0"/>
    <m/>
    <n v="0"/>
    <m/>
    <n v="0"/>
    <m/>
    <n v="0"/>
    <m/>
    <n v="0"/>
  </r>
  <r>
    <n v="390"/>
    <s v="Micropipeta multicanal 12 canales de 5-50 µl _x000a_Con certificado de calibración y trazabilidad expedida por laboratorio acreditado ante el ONAC"/>
    <s v="Eppendorf, Neogen, Finnpipette, Brand o equivalente"/>
    <s v="Unidad"/>
    <x v="0"/>
    <x v="14"/>
    <n v="0"/>
    <n v="8586583.1119999997"/>
    <n v="0"/>
    <m/>
    <n v="0"/>
    <m/>
    <n v="0"/>
    <m/>
    <n v="0"/>
    <m/>
    <n v="0"/>
    <m/>
    <n v="0"/>
    <m/>
    <n v="0"/>
    <m/>
    <n v="0"/>
    <m/>
    <n v="0"/>
    <m/>
    <n v="0"/>
  </r>
  <r>
    <n v="391"/>
    <s v="Micropipeta multicanal 8 canales 100-500 µl _x000a_Con certificado de calibración y trazabilidad expedida por laboratorio acreditado ante el ONAC"/>
    <s v="Eppendorf, Neogen, Finnpipette, Brand o equivalente"/>
    <s v="Unidad"/>
    <x v="0"/>
    <x v="14"/>
    <n v="0"/>
    <n v="11227915.681600001"/>
    <n v="0"/>
    <m/>
    <n v="0"/>
    <m/>
    <n v="0"/>
    <m/>
    <n v="0"/>
    <m/>
    <n v="0"/>
    <m/>
    <n v="0"/>
    <m/>
    <n v="0"/>
    <m/>
    <n v="0"/>
    <m/>
    <n v="0"/>
    <m/>
    <n v="0"/>
  </r>
  <r>
    <n v="392"/>
    <s v="Micropipeta Multicanal 8 canales 20-200 µl _x000a_Con certificado de calibración y trazabilidad expedida por laboratorio acreditado ante el ONAC"/>
    <s v="Finnpipette o equivalente"/>
    <s v="Unidad"/>
    <x v="0"/>
    <x v="14"/>
    <n v="0"/>
    <n v="7563842.5199999996"/>
    <n v="0"/>
    <m/>
    <n v="0"/>
    <m/>
    <n v="0"/>
    <m/>
    <n v="0"/>
    <m/>
    <n v="0"/>
    <m/>
    <n v="0"/>
    <m/>
    <n v="0"/>
    <m/>
    <n v="0"/>
    <m/>
    <n v="0"/>
    <m/>
    <n v="0"/>
  </r>
  <r>
    <n v="393"/>
    <s v="Micropipeta Multicanal 8 canales 5-50 µl Finnpipette _x000a_Con certificado de calibración y trazabilidad expedida por laboratorio acreditado ante el ONAC"/>
    <s v="Finnpipette Labsystems  o equivalente"/>
    <s v="Unidad"/>
    <x v="0"/>
    <x v="14"/>
    <n v="0"/>
    <n v="7411990.3103999998"/>
    <n v="0"/>
    <m/>
    <n v="0"/>
    <m/>
    <n v="0"/>
    <m/>
    <n v="0"/>
    <m/>
    <n v="0"/>
    <m/>
    <n v="0"/>
    <m/>
    <n v="0"/>
    <m/>
    <n v="0"/>
    <m/>
    <n v="0"/>
    <m/>
    <n v="0"/>
  </r>
  <r>
    <n v="394"/>
    <s v="Micropipeta S tipo digital de volumen variable de 1-10 ml, Error menor o igual a 0,6%, coeficiente de variacion menor o igual a 0,2%,  division de uL 10, con certificado de conformidad según norma DIN 12600_x000a_Con certificado de calibración y trazabilidad expedida por laboratorio acreditado ante el ONAC"/>
    <s v="Brand cat 7047 84 o equivalente"/>
    <s v="Unidad"/>
    <x v="0"/>
    <x v="14"/>
    <n v="0"/>
    <n v="3261129.3887999998"/>
    <n v="0"/>
    <m/>
    <n v="0"/>
    <m/>
    <n v="0"/>
    <m/>
    <n v="0"/>
    <m/>
    <n v="0"/>
    <m/>
    <n v="0"/>
    <m/>
    <n v="0"/>
    <m/>
    <n v="0"/>
    <m/>
    <n v="0"/>
    <m/>
    <n v="0"/>
  </r>
  <r>
    <n v="395"/>
    <s v="Micropipeta S tipo digital de volumen variable de 500-5000 µl, Error menor o igual a 0,6%, coeficiente de variacion menor o igual a 0,2%, division de 500 uL,con certificado de conformidad según norma DIN 12600_x000a_Con certificado de calibración y trazabilidad expedida por laboratorio acreditado ante el ONAC"/>
    <s v="Brand cat 7047 82 o equivalente"/>
    <s v="Unidad"/>
    <x v="0"/>
    <x v="14"/>
    <n v="0"/>
    <n v="3438989.1455999999"/>
    <n v="0"/>
    <m/>
    <n v="0"/>
    <m/>
    <n v="0"/>
    <m/>
    <n v="0"/>
    <m/>
    <n v="0"/>
    <m/>
    <n v="0"/>
    <m/>
    <n v="0"/>
    <m/>
    <n v="0"/>
    <m/>
    <n v="0"/>
    <m/>
    <n v="0"/>
  </r>
  <r>
    <n v="396"/>
    <s v="Microplaca de 24 pozos con fondo plano con tapa estériles"/>
    <s v="Costar 734-1584"/>
    <s v="Caja x 24 "/>
    <x v="0"/>
    <x v="14"/>
    <n v="0"/>
    <n v="4363132.9504000004"/>
    <n v="0"/>
    <m/>
    <n v="0"/>
    <m/>
    <n v="0"/>
    <m/>
    <n v="0"/>
    <m/>
    <n v="0"/>
    <m/>
    <n v="0"/>
    <m/>
    <n v="0"/>
    <m/>
    <n v="0"/>
    <m/>
    <n v="0"/>
    <m/>
    <n v="0"/>
  </r>
  <r>
    <n v="397"/>
    <s v="Microplaca de 6 pozos para cultivo celular"/>
    <s v="VWR o equivalente"/>
    <s v="Caja x 100"/>
    <x v="0"/>
    <x v="14"/>
    <n v="0"/>
    <n v="2639810.2991999998"/>
    <n v="0"/>
    <m/>
    <n v="0"/>
    <m/>
    <n v="0"/>
    <m/>
    <n v="0"/>
    <m/>
    <n v="0"/>
    <m/>
    <n v="0"/>
    <m/>
    <n v="0"/>
    <m/>
    <n v="0"/>
    <m/>
    <n v="0"/>
    <m/>
    <n v="0"/>
  </r>
  <r>
    <n v="404"/>
    <s v="Microplaca para cultivo celular de 96 pozos fondo plano, estéril con tapa. En empaque individual, transparente , en poliestireno. Area de cultivo 0,32  cm2."/>
    <s v="Corning  3595 o equivalente"/>
    <s v="Caja x 50"/>
    <x v="0"/>
    <x v="14"/>
    <n v="0"/>
    <n v="2072069.0079999999"/>
    <n v="0"/>
    <m/>
    <n v="0"/>
    <m/>
    <n v="0"/>
    <m/>
    <n v="0"/>
    <m/>
    <n v="0"/>
    <m/>
    <n v="0"/>
    <m/>
    <n v="0"/>
    <m/>
    <n v="0"/>
    <m/>
    <n v="0"/>
    <m/>
    <n v="0"/>
  </r>
  <r>
    <n v="407"/>
    <s v="Moldes de base metálico para inclusión 30x24"/>
    <s v="Simport, leica o equivalente"/>
    <s v="Paquete x 12"/>
    <x v="0"/>
    <x v="14"/>
    <n v="0"/>
    <n v="2798220.4016"/>
    <n v="0"/>
    <m/>
    <n v="0"/>
    <m/>
    <n v="0"/>
    <m/>
    <n v="0"/>
    <m/>
    <n v="0"/>
    <m/>
    <n v="0"/>
    <m/>
    <n v="0"/>
    <m/>
    <n v="0"/>
    <m/>
    <n v="0"/>
    <m/>
    <n v="0"/>
  </r>
  <r>
    <n v="408"/>
    <s v="Moldes de base metálico para inclusión 7x7"/>
    <s v="Simport, leica o equivalente"/>
    <s v="Paquete x 12"/>
    <x v="0"/>
    <x v="14"/>
    <n v="0"/>
    <n v="2449742.8736"/>
    <n v="0"/>
    <m/>
    <n v="0"/>
    <m/>
    <n v="0"/>
    <m/>
    <n v="0"/>
    <m/>
    <n v="0"/>
    <m/>
    <n v="0"/>
    <m/>
    <n v="0"/>
    <m/>
    <n v="0"/>
    <m/>
    <n v="0"/>
    <m/>
    <n v="0"/>
  </r>
  <r>
    <n v="411"/>
    <s v="Navaja barbero de acero inoxidable con hoja intercambiable y mango plástico"/>
    <s v="Cualquier marca"/>
    <s v="Unidad"/>
    <x v="0"/>
    <x v="14"/>
    <n v="0"/>
    <n v="268921.68800000002"/>
    <n v="0"/>
    <m/>
    <n v="0"/>
    <m/>
    <n v="0"/>
    <m/>
    <n v="0"/>
    <m/>
    <n v="0"/>
    <m/>
    <n v="0"/>
    <m/>
    <n v="0"/>
    <m/>
    <n v="0"/>
    <m/>
    <n v="0"/>
    <m/>
    <n v="0"/>
  </r>
  <r>
    <n v="433"/>
    <s v="Papel osmótico negro"/>
    <s v="Cualquier marca"/>
    <s v="Rollo"/>
    <x v="0"/>
    <x v="14"/>
    <n v="0"/>
    <n v="46484.433599999997"/>
    <n v="0"/>
    <m/>
    <n v="0"/>
    <m/>
    <n v="0"/>
    <m/>
    <n v="0"/>
    <m/>
    <n v="0"/>
    <m/>
    <n v="0"/>
    <m/>
    <n v="0"/>
    <m/>
    <n v="0"/>
    <m/>
    <n v="0"/>
    <m/>
    <n v="0"/>
  </r>
  <r>
    <n v="442"/>
    <s v="Pincel No. 00000"/>
    <s v="Cualquier marca"/>
    <s v="Unidad"/>
    <x v="0"/>
    <x v="14"/>
    <n v="0"/>
    <n v="66355.908800000005"/>
    <n v="0"/>
    <m/>
    <n v="0"/>
    <m/>
    <n v="0"/>
    <m/>
    <n v="0"/>
    <m/>
    <n v="0"/>
    <m/>
    <n v="0"/>
    <m/>
    <n v="0"/>
    <m/>
    <n v="0"/>
    <m/>
    <n v="0"/>
    <m/>
    <n v="0"/>
  </r>
  <r>
    <n v="443"/>
    <s v="Pincel pelo de marta No. 0"/>
    <s v="Cualquier marca"/>
    <s v="Unidad"/>
    <x v="0"/>
    <x v="14"/>
    <n v="0"/>
    <n v="41543.8848"/>
    <n v="0"/>
    <m/>
    <n v="0"/>
    <m/>
    <n v="0"/>
    <m/>
    <n v="0"/>
    <m/>
    <n v="0"/>
    <m/>
    <n v="0"/>
    <m/>
    <n v="0"/>
    <m/>
    <n v="0"/>
    <m/>
    <n v="0"/>
    <m/>
    <n v="0"/>
  </r>
  <r>
    <n v="451"/>
    <s v="Pinza de punta antiestática de acero inoxidable resistente a ácidos ST 11"/>
    <s v="Cualquier marca"/>
    <s v="Unidad"/>
    <x v="0"/>
    <x v="14"/>
    <n v="0"/>
    <n v="82827.683199999999"/>
    <n v="0"/>
    <m/>
    <n v="0"/>
    <m/>
    <n v="0"/>
    <m/>
    <n v="0"/>
    <m/>
    <n v="0"/>
    <m/>
    <n v="0"/>
    <m/>
    <n v="0"/>
    <m/>
    <n v="0"/>
    <m/>
    <n v="0"/>
    <m/>
    <n v="0"/>
  </r>
  <r>
    <n v="458"/>
    <s v="Pinza para crisoles en acero inoxidable longitud  50 cm"/>
    <s v="Cualquier marca"/>
    <s v="Unidad"/>
    <x v="0"/>
    <x v="14"/>
    <n v="0"/>
    <n v="115172.37759999999"/>
    <n v="0"/>
    <m/>
    <n v="0"/>
    <m/>
    <n v="0"/>
    <m/>
    <n v="0"/>
    <m/>
    <n v="0"/>
    <m/>
    <n v="0"/>
    <m/>
    <n v="0"/>
    <m/>
    <n v="0"/>
    <m/>
    <n v="0"/>
    <m/>
    <n v="0"/>
  </r>
  <r>
    <n v="459"/>
    <s v="Pinza punta pala para mariposas en acero inoxidable"/>
    <s v="Cualquier marca"/>
    <s v="Unidad"/>
    <x v="0"/>
    <x v="14"/>
    <n v="0"/>
    <n v="179503.32800000001"/>
    <n v="0"/>
    <m/>
    <n v="0"/>
    <m/>
    <n v="0"/>
    <m/>
    <n v="0"/>
    <m/>
    <n v="0"/>
    <m/>
    <n v="0"/>
    <m/>
    <n v="0"/>
    <m/>
    <n v="0"/>
    <m/>
    <n v="0"/>
    <m/>
    <n v="0"/>
  </r>
  <r>
    <n v="460"/>
    <s v="Pinzas de presión tipo Mohr"/>
    <s v="Cualquier marca"/>
    <s v="Unidad"/>
    <x v="0"/>
    <x v="14"/>
    <n v="0"/>
    <n v="67703.331200000001"/>
    <n v="0"/>
    <m/>
    <n v="0"/>
    <m/>
    <n v="0"/>
    <m/>
    <n v="0"/>
    <m/>
    <n v="0"/>
    <m/>
    <n v="0"/>
    <m/>
    <n v="0"/>
    <m/>
    <n v="0"/>
    <m/>
    <n v="0"/>
    <m/>
    <n v="0"/>
  </r>
  <r>
    <n v="461"/>
    <s v="Pipeta aforada de 2 ml Clase A/AS, impresión en cerámica cumpliendo norma ISO 12 600 (opcional) donde se indique: volumen nominal, fabricante, símbolo de Unidad, temperatura de referencia, clase y que cumpla con la norma DIN en ISO 648. Con certificado de fábrica."/>
    <s v="Pyrex , Corning, Kymax, Brand, Duran o marcas equivalentes"/>
    <s v="Unidad"/>
    <x v="0"/>
    <x v="14"/>
    <n v="0"/>
    <n v="31551.321599999999"/>
    <n v="0"/>
    <m/>
    <n v="0"/>
    <m/>
    <n v="0"/>
    <m/>
    <n v="0"/>
    <m/>
    <n v="0"/>
    <m/>
    <n v="0"/>
    <m/>
    <n v="0"/>
    <m/>
    <n v="0"/>
    <m/>
    <n v="0"/>
    <m/>
    <n v="0"/>
  </r>
  <r>
    <n v="462"/>
    <s v="Pipeta aforada de 20 ml Clase A/AS, impresión en cerámica cumpliendo norma ISO 12 600  (opcional) donde se indique: volumen nominal, fabricante, símbolo de Unidad, temperatura de referencia, clase y que cumpla con la norma DIN en ISO 648. Con certificado de fábrica."/>
    <s v="Pyrex , Corning, Kymax, Brand, Duran o marcas equivalentes"/>
    <s v="Unidad"/>
    <x v="0"/>
    <x v="14"/>
    <n v="0"/>
    <n v="51675.2336"/>
    <n v="0"/>
    <m/>
    <n v="0"/>
    <m/>
    <n v="0"/>
    <m/>
    <n v="0"/>
    <m/>
    <n v="0"/>
    <m/>
    <n v="0"/>
    <m/>
    <n v="0"/>
    <m/>
    <n v="0"/>
    <m/>
    <n v="0"/>
    <m/>
    <n v="0"/>
  </r>
  <r>
    <n v="463"/>
    <s v="Pipeta aforada de 25 ml Clase A/AS, impresión en cerámica cumpliendo norma ISO 12 600  (opcional) donde se indique: volumen nominal, fabricante, símbolo de Unidad, temperatura de referencia, clase y que cumpla con la norma DIN en ISO 648. Con certificado de fábrica."/>
    <s v="Pyrex , Corning, Kymax, Brand, Duran o marca equivalente"/>
    <s v="Unidad"/>
    <x v="0"/>
    <x v="14"/>
    <n v="0"/>
    <n v="49129.009599999998"/>
    <n v="0"/>
    <m/>
    <n v="0"/>
    <m/>
    <n v="0"/>
    <m/>
    <n v="0"/>
    <m/>
    <n v="0"/>
    <m/>
    <n v="0"/>
    <m/>
    <n v="0"/>
    <m/>
    <n v="0"/>
    <m/>
    <n v="0"/>
    <m/>
    <n v="0"/>
  </r>
  <r>
    <n v="474"/>
    <s v="Pipetas pasteur en polietileno desechables estériles  de 7 ml de capacidad, graduadas hasta 3 ml de 5,3 cm de largo."/>
    <s v="Cualquier marca"/>
    <s v="Caja x 500"/>
    <x v="0"/>
    <x v="14"/>
    <n v="0"/>
    <n v="699346.10239999997"/>
    <n v="0"/>
    <m/>
    <n v="0"/>
    <m/>
    <n v="0"/>
    <m/>
    <n v="0"/>
    <m/>
    <n v="0"/>
    <m/>
    <n v="0"/>
    <m/>
    <n v="0"/>
    <m/>
    <n v="0"/>
    <m/>
    <n v="0"/>
    <m/>
    <n v="0"/>
  </r>
  <r>
    <n v="477"/>
    <s v="Pipeteador manual, Profiller manual 435"/>
    <s v="Socorex 435.1000 o equivalente"/>
    <s v="Unidad"/>
    <x v="0"/>
    <x v="14"/>
    <n v="0"/>
    <n v="2607657.9375999998"/>
    <n v="0"/>
    <m/>
    <n v="0"/>
    <m/>
    <n v="0"/>
    <m/>
    <n v="0"/>
    <m/>
    <n v="0"/>
    <m/>
    <n v="0"/>
    <m/>
    <n v="0"/>
    <m/>
    <n v="0"/>
    <m/>
    <n v="0"/>
    <m/>
    <n v="0"/>
  </r>
  <r>
    <n v="479"/>
    <s v="Pistilo de porcelana para mortero "/>
    <s v="Fisher Scientific 12-949-4 o equivalente"/>
    <s v="Unidad"/>
    <x v="0"/>
    <x v="14"/>
    <n v="0"/>
    <n v="363801.86239999998"/>
    <n v="0"/>
    <m/>
    <n v="0"/>
    <m/>
    <n v="0"/>
    <m/>
    <n v="0"/>
    <m/>
    <n v="0"/>
    <m/>
    <n v="0"/>
    <m/>
    <n v="0"/>
    <m/>
    <n v="0"/>
    <m/>
    <n v="0"/>
    <m/>
    <n v="0"/>
  </r>
  <r>
    <n v="480"/>
    <s v="Placa de porcelana (Placa para tinción por nueve o seis cavidades de largo 8-9 cm ancho 5- 6 cm alto 1-2  cm)."/>
    <s v="Cualquier marca"/>
    <s v="Caja por 24 und"/>
    <x v="0"/>
    <x v="14"/>
    <n v="0"/>
    <n v="1036458.5104"/>
    <n v="0"/>
    <m/>
    <n v="0"/>
    <m/>
    <n v="0"/>
    <m/>
    <n v="0"/>
    <m/>
    <n v="0"/>
    <m/>
    <n v="0"/>
    <m/>
    <n v="0"/>
    <m/>
    <n v="0"/>
    <m/>
    <n v="0"/>
    <m/>
    <n v="0"/>
  </r>
  <r>
    <n v="481"/>
    <s v="Placa de vidrio rectangular de 40cm x 25 con cuadricula internas de 3cm x 3cm para Rosa de Bengala "/>
    <s v="Cualquier marca"/>
    <s v="Unidad"/>
    <x v="0"/>
    <x v="14"/>
    <n v="0"/>
    <n v="0"/>
    <n v="0"/>
    <m/>
    <n v="0"/>
    <m/>
    <n v="0"/>
    <m/>
    <n v="0"/>
    <m/>
    <n v="0"/>
    <m/>
    <n v="0"/>
    <m/>
    <n v="0"/>
    <m/>
    <n v="0"/>
    <m/>
    <n v="0"/>
    <m/>
    <n v="0"/>
  </r>
  <r>
    <n v="491"/>
    <s v="Probeta de 50 ml clase B"/>
    <s v="Pyrex , Corning, Kymax, Brand, Duran, Schott o equvalente"/>
    <s v="Unidad"/>
    <x v="0"/>
    <x v="14"/>
    <n v="0"/>
    <n v="51075.286399999997"/>
    <n v="0"/>
    <m/>
    <n v="0"/>
    <m/>
    <n v="0"/>
    <m/>
    <n v="0"/>
    <m/>
    <n v="0"/>
    <m/>
    <n v="0"/>
    <m/>
    <n v="0"/>
    <m/>
    <n v="0"/>
    <m/>
    <n v="0"/>
    <m/>
    <n v="0"/>
  </r>
  <r>
    <n v="508"/>
    <s v="Punta 1,25 ml combitip para pipeta repetidora "/>
    <s v="Thermo Scientific 9404180 o equivalente"/>
    <s v="Caja x 100"/>
    <x v="0"/>
    <x v="14"/>
    <n v="0"/>
    <n v="1408295.7312"/>
    <n v="0"/>
    <m/>
    <n v="0"/>
    <m/>
    <n v="0"/>
    <m/>
    <n v="0"/>
    <m/>
    <n v="0"/>
    <m/>
    <n v="0"/>
    <m/>
    <n v="0"/>
    <m/>
    <n v="0"/>
    <m/>
    <n v="0"/>
    <m/>
    <n v="0"/>
  </r>
  <r>
    <n v="514"/>
    <s v="Punta 12,5 mL combitip para finnpipette Thermo 454000 "/>
    <s v="Thermo Scientific  9404210 o equivalente"/>
    <s v="Bolsa x 50"/>
    <x v="0"/>
    <x v="14"/>
    <n v="0"/>
    <n v="857463.33440000005"/>
    <n v="0"/>
    <m/>
    <n v="0"/>
    <m/>
    <n v="0"/>
    <m/>
    <n v="0"/>
    <m/>
    <n v="0"/>
    <m/>
    <n v="0"/>
    <m/>
    <n v="0"/>
    <m/>
    <n v="0"/>
    <m/>
    <n v="0"/>
    <m/>
    <n v="0"/>
  </r>
  <r>
    <n v="516"/>
    <s v="Punta 20 µl Finntip 20"/>
    <s v="Labsystems 9400610 o equivalente"/>
    <s v="Caja x 10 racks x 384 "/>
    <x v="0"/>
    <x v="14"/>
    <n v="0"/>
    <n v="3353263.3568000002"/>
    <n v="0"/>
    <m/>
    <n v="0"/>
    <m/>
    <n v="0"/>
    <m/>
    <n v="0"/>
    <m/>
    <n v="0"/>
    <m/>
    <n v="0"/>
    <m/>
    <n v="0"/>
    <m/>
    <n v="0"/>
    <m/>
    <n v="0"/>
    <m/>
    <n v="0"/>
  </r>
  <r>
    <n v="523"/>
    <s v="Punta 300 µl con filtro Finntip_x000a_Compatibles con micropipetas Eppendorf, Jencons, Boeco, Brand, Fisherbrand, Finnpipette, NICHIRYO"/>
    <s v="Labsystems 94052350 o equivalente"/>
    <s v="Caja x 10 racks x 96"/>
    <x v="0"/>
    <x v="14"/>
    <n v="0"/>
    <n v="1363393.672"/>
    <n v="0"/>
    <m/>
    <n v="0"/>
    <m/>
    <n v="0"/>
    <m/>
    <n v="0"/>
    <m/>
    <n v="0"/>
    <m/>
    <n v="0"/>
    <m/>
    <n v="0"/>
    <m/>
    <n v="0"/>
    <m/>
    <n v="0"/>
    <m/>
    <n v="0"/>
  </r>
  <r>
    <n v="525"/>
    <s v="Punta combitip 12,5 mL para finnpipette thermo"/>
    <s v="Thermo Scientific  9404210 o equivalente"/>
    <s v="Paquete x 50"/>
    <x v="0"/>
    <x v="14"/>
    <n v="0"/>
    <n v="860095.88959999999"/>
    <n v="0"/>
    <m/>
    <n v="0"/>
    <m/>
    <n v="0"/>
    <m/>
    <n v="0"/>
    <m/>
    <n v="0"/>
    <m/>
    <n v="0"/>
    <m/>
    <n v="0"/>
    <m/>
    <n v="0"/>
    <m/>
    <n v="0"/>
    <m/>
    <n v="0"/>
  </r>
  <r>
    <n v="526"/>
    <s v="Punta PD, capacidad 25 ml, sin esterilizar, de desplazamiento directo para dispensador manual Brand "/>
    <s v="Brand 7023 80 o equivalente"/>
    <s v="Bolsa x 50"/>
    <x v="0"/>
    <x v="14"/>
    <n v="0"/>
    <n v="453043.1888"/>
    <n v="0"/>
    <m/>
    <n v="0"/>
    <m/>
    <n v="0"/>
    <m/>
    <n v="0"/>
    <m/>
    <n v="0"/>
    <m/>
    <n v="0"/>
    <m/>
    <n v="0"/>
    <m/>
    <n v="0"/>
    <m/>
    <n v="0"/>
    <m/>
    <n v="0"/>
  </r>
  <r>
    <n v="527"/>
    <s v="Punta PD, Capacidad 50 ml, sin esterilizar, desplazamiento directo, para dispensador manual Brand "/>
    <s v="Brand 7023 82 o equivalente"/>
    <s v="Bolsa x 25"/>
    <x v="0"/>
    <x v="14"/>
    <n v="0"/>
    <n v="312409.66399999999"/>
    <n v="0"/>
    <m/>
    <n v="0"/>
    <m/>
    <n v="0"/>
    <m/>
    <n v="0"/>
    <m/>
    <n v="0"/>
    <m/>
    <n v="0"/>
    <m/>
    <n v="0"/>
    <m/>
    <n v="0"/>
    <m/>
    <n v="0"/>
    <m/>
    <n v="0"/>
  </r>
  <r>
    <n v="528"/>
    <s v="Rack para almacenamiento de puntas de 10 ml Tip box; con plataforma vacía "/>
    <s v="Brand Ref 7026 08 o equivalente"/>
    <s v="UInidad"/>
    <x v="0"/>
    <x v="14"/>
    <n v="0"/>
    <n v="321874.40480000002"/>
    <n v="0"/>
    <m/>
    <n v="0"/>
    <m/>
    <n v="0"/>
    <m/>
    <n v="0"/>
    <m/>
    <n v="0"/>
    <m/>
    <n v="0"/>
    <m/>
    <n v="0"/>
    <m/>
    <n v="0"/>
    <m/>
    <n v="0"/>
    <m/>
    <n v="0"/>
  </r>
  <r>
    <n v="529"/>
    <s v="Rack para almacenamiento de puntas de 100 µl con plataforma vacía "/>
    <s v="Brand o equivalente"/>
    <s v="Unidad"/>
    <x v="0"/>
    <x v="14"/>
    <n v="0"/>
    <n v="71401.366399999999"/>
    <n v="0"/>
    <m/>
    <n v="0"/>
    <m/>
    <n v="0"/>
    <m/>
    <n v="0"/>
    <m/>
    <n v="0"/>
    <m/>
    <n v="0"/>
    <m/>
    <n v="0"/>
    <m/>
    <n v="0"/>
    <m/>
    <n v="0"/>
    <m/>
    <n v="0"/>
  </r>
  <r>
    <n v="530"/>
    <s v="Rack para almacenamiento de puntas de 1000 µl con plataforma vacía "/>
    <s v="Brand o equivalente"/>
    <s v="Unidad"/>
    <x v="0"/>
    <x v="14"/>
    <n v="0"/>
    <n v="88285.126399999994"/>
    <n v="0"/>
    <m/>
    <n v="0"/>
    <m/>
    <n v="0"/>
    <m/>
    <n v="0"/>
    <m/>
    <n v="0"/>
    <m/>
    <n v="0"/>
    <m/>
    <n v="0"/>
    <m/>
    <n v="0"/>
    <m/>
    <n v="0"/>
    <m/>
    <n v="0"/>
  </r>
  <r>
    <n v="532"/>
    <s v="Racks para tubos de PCR. Material: polipropileno ; Especificación: para 96 pozos, con tapa, dimensiones (12,5 * 8,6 * 3,3)"/>
    <s v="cualquier marca"/>
    <s v="Paquetes de 5 Unidades"/>
    <x v="0"/>
    <x v="14"/>
    <n v="0"/>
    <n v="442579.62880000001"/>
    <n v="0"/>
    <m/>
    <n v="0"/>
    <m/>
    <n v="0"/>
    <m/>
    <n v="0"/>
    <m/>
    <n v="0"/>
    <m/>
    <n v="0"/>
    <m/>
    <n v="0"/>
    <m/>
    <n v="0"/>
    <m/>
    <n v="0"/>
    <m/>
    <n v="0"/>
  </r>
  <r>
    <n v="534"/>
    <s v="Recipiente familiar  No. 3"/>
    <s v="Cualquier marca"/>
    <s v="Unidad x 1,8 L"/>
    <x v="0"/>
    <x v="14"/>
    <n v="0"/>
    <n v="54806.105600000003"/>
    <n v="0"/>
    <m/>
    <n v="0"/>
    <m/>
    <n v="0"/>
    <m/>
    <n v="0"/>
    <m/>
    <n v="0"/>
    <m/>
    <n v="0"/>
    <m/>
    <n v="0"/>
    <m/>
    <n v="0"/>
    <m/>
    <n v="0"/>
    <m/>
    <n v="0"/>
  </r>
  <r>
    <n v="535"/>
    <s v="Recipiente familiar  No. 4"/>
    <s v="Cualquier marca"/>
    <s v="Unidad x 4 L"/>
    <x v="0"/>
    <x v="14"/>
    <n v="0"/>
    <n v="51638.078399999999"/>
    <n v="0"/>
    <m/>
    <n v="0"/>
    <m/>
    <n v="0"/>
    <m/>
    <n v="0"/>
    <m/>
    <n v="0"/>
    <m/>
    <n v="0"/>
    <m/>
    <n v="0"/>
    <m/>
    <n v="0"/>
    <m/>
    <n v="0"/>
    <m/>
    <n v="0"/>
  </r>
  <r>
    <n v="543"/>
    <s v="Sobre Entomológico dimensiones 8 x 15 cm."/>
    <s v="Enthos o equivalente"/>
    <s v="Paquete x 50 und"/>
    <x v="0"/>
    <x v="14"/>
    <n v="0"/>
    <n v="195064.8"/>
    <n v="0"/>
    <m/>
    <n v="0"/>
    <m/>
    <n v="0"/>
    <m/>
    <n v="0"/>
    <m/>
    <n v="0"/>
    <m/>
    <n v="0"/>
    <m/>
    <n v="0"/>
    <m/>
    <n v="0"/>
    <m/>
    <n v="0"/>
    <m/>
    <n v="0"/>
  </r>
  <r>
    <n v="544"/>
    <s v="Sonda de conductividad con cuerpo de vidrio, para su uso con medidores de conductividad Jenway™: 4510"/>
    <s v="Cualquier marca"/>
    <s v="Unidad"/>
    <x v="0"/>
    <x v="14"/>
    <n v="0"/>
    <n v="4551512"/>
    <n v="0"/>
    <m/>
    <n v="0"/>
    <m/>
    <n v="0"/>
    <m/>
    <n v="0"/>
    <m/>
    <n v="0"/>
    <m/>
    <n v="0"/>
    <m/>
    <n v="0"/>
    <m/>
    <n v="0"/>
    <m/>
    <n v="0"/>
    <m/>
    <n v="0"/>
  </r>
  <r>
    <n v="548"/>
    <s v="Soporte universal de laboratorio con varilla 50 cm"/>
    <s v="Brand o equivalente"/>
    <s v="Unidad"/>
    <x v="0"/>
    <x v="14"/>
    <n v="0"/>
    <n v="241516.44959999999"/>
    <n v="0"/>
    <m/>
    <n v="0"/>
    <m/>
    <n v="0"/>
    <m/>
    <n v="0"/>
    <m/>
    <n v="0"/>
    <m/>
    <n v="0"/>
    <m/>
    <n v="0"/>
    <m/>
    <n v="0"/>
    <m/>
    <n v="0"/>
    <m/>
    <n v="0"/>
  </r>
  <r>
    <n v="550"/>
    <s v="Tabla de disección de polipropileno"/>
    <s v="Leica biosystems o equivalente "/>
    <s v="Unidad"/>
    <x v="0"/>
    <x v="14"/>
    <n v="0"/>
    <n v="2286828.2496000002"/>
    <n v="0"/>
    <m/>
    <n v="0"/>
    <m/>
    <n v="0"/>
    <m/>
    <n v="0"/>
    <m/>
    <n v="0"/>
    <m/>
    <n v="0"/>
    <m/>
    <n v="0"/>
    <m/>
    <n v="0"/>
    <m/>
    <n v="0"/>
    <m/>
    <n v="0"/>
  </r>
  <r>
    <n v="551"/>
    <s v="Tamices metálicos con luz de malla de 4, 2, 1, y 0,5 mm; más tapa y base"/>
    <s v="Pinzuar o equivalente"/>
    <s v="Unidad"/>
    <x v="0"/>
    <x v="14"/>
    <n v="0"/>
    <n v="3546700.9775999999"/>
    <n v="0"/>
    <m/>
    <n v="0"/>
    <m/>
    <n v="0"/>
    <m/>
    <n v="0"/>
    <m/>
    <n v="0"/>
    <m/>
    <n v="0"/>
    <m/>
    <n v="0"/>
    <m/>
    <n v="0"/>
    <m/>
    <n v="0"/>
    <m/>
    <n v="0"/>
  </r>
  <r>
    <n v="552"/>
    <s v="Tamiz malla 35 - 0,5 mm  con marco de acero inoxidable, con malla de acero inoxidable que cumple con la norma ASTM E11.  Con tapa y base"/>
    <s v="Pinzuar o equivalente"/>
    <s v="Unidad"/>
    <x v="0"/>
    <x v="14"/>
    <n v="0"/>
    <n v="1165544.4176"/>
    <n v="0"/>
    <m/>
    <n v="0"/>
    <m/>
    <n v="0"/>
    <m/>
    <n v="0"/>
    <m/>
    <n v="0"/>
    <m/>
    <n v="0"/>
    <m/>
    <n v="0"/>
    <m/>
    <n v="0"/>
    <m/>
    <n v="0"/>
    <m/>
    <n v="0"/>
  </r>
  <r>
    <n v="553"/>
    <s v="Tamiz malla 600 µm con marco de acero inoxidable de 8 pulgadas de diámetro por 2 Pulgadas de altura con malla de acero inoxidable que cumple con la norma ASTM E11. "/>
    <s v="Pinzuar o equivalente"/>
    <s v="Unidad"/>
    <x v="0"/>
    <x v="14"/>
    <n v="0"/>
    <n v="834426.01760000002"/>
    <n v="0"/>
    <m/>
    <n v="0"/>
    <m/>
    <n v="0"/>
    <m/>
    <n v="0"/>
    <m/>
    <n v="0"/>
    <m/>
    <n v="0"/>
    <m/>
    <n v="0"/>
    <m/>
    <n v="0"/>
    <m/>
    <n v="0"/>
    <m/>
    <n v="0"/>
  </r>
  <r>
    <n v="554"/>
    <s v="Tamiz malla No. 18 con marco de acero inoxidable de 8 pulgadas de diámetro por 2 Pulgadas de altura con malla de acero inoxidable que cumple con la norma ASTM E11. "/>
    <s v="Pinzuar o equivalente"/>
    <s v="Unidad"/>
    <x v="0"/>
    <x v="14"/>
    <n v="0"/>
    <n v="744415.36"/>
    <n v="0"/>
    <m/>
    <n v="0"/>
    <m/>
    <n v="0"/>
    <m/>
    <n v="0"/>
    <m/>
    <n v="0"/>
    <m/>
    <n v="0"/>
    <m/>
    <n v="0"/>
    <m/>
    <n v="0"/>
    <m/>
    <n v="0"/>
    <m/>
    <n v="0"/>
  </r>
  <r>
    <n v="557"/>
    <s v="Tamiz malla No. 60 con marco de acero inoxidable de 8 pulgadas de diámetro por 2 Pulgadas de altura con malla de acero inoxidable que cumple con la norma ASTM E11. "/>
    <s v="Pinzuar o equivalente"/>
    <s v="Unidad"/>
    <x v="0"/>
    <x v="14"/>
    <n v="0"/>
    <n v="670880.848"/>
    <n v="0"/>
    <m/>
    <n v="0"/>
    <m/>
    <n v="0"/>
    <m/>
    <n v="0"/>
    <m/>
    <n v="0"/>
    <m/>
    <n v="0"/>
    <m/>
    <n v="0"/>
    <m/>
    <n v="0"/>
    <m/>
    <n v="0"/>
    <m/>
    <n v="0"/>
  </r>
  <r>
    <n v="558"/>
    <s v="Tanque de almacenamiento de Nitrogeno  capacidad para 30 a 41 lt"/>
    <s v="cualquier marca"/>
    <s v="unidad"/>
    <x v="0"/>
    <x v="14"/>
    <n v="0"/>
    <n v="3736601.2047999999"/>
    <n v="0"/>
    <m/>
    <n v="0"/>
    <m/>
    <n v="0"/>
    <m/>
    <n v="0"/>
    <m/>
    <n v="0"/>
    <m/>
    <n v="0"/>
    <m/>
    <n v="0"/>
    <m/>
    <n v="0"/>
    <m/>
    <n v="0"/>
    <m/>
    <n v="0"/>
  </r>
  <r>
    <n v="559"/>
    <s v="Tanque de almacenamiento de Nitrogeno capacidad para 10 lt"/>
    <s v="Cualquier marca"/>
    <s v="Unidad"/>
    <x v="0"/>
    <x v="14"/>
    <n v="0"/>
    <n v="4338201.8112000003"/>
    <n v="0"/>
    <m/>
    <n v="0"/>
    <m/>
    <n v="0"/>
    <m/>
    <n v="0"/>
    <m/>
    <n v="0"/>
    <m/>
    <n v="0"/>
    <m/>
    <n v="0"/>
    <m/>
    <n v="0"/>
    <m/>
    <n v="0"/>
    <m/>
    <n v="0"/>
  </r>
  <r>
    <n v="564"/>
    <s v="Tapa de 9 mm BLK CAP TFE/SIL para viales  transparentes 12 x 32 mm , 9 mm/425 Thd Finish, con septa. "/>
    <s v="Shimadzu o equivalente"/>
    <s v="Bolsa x 100"/>
    <x v="0"/>
    <x v="14"/>
    <n v="0"/>
    <n v="633584.67680000002"/>
    <n v="0"/>
    <m/>
    <n v="0"/>
    <m/>
    <n v="0"/>
    <m/>
    <n v="0"/>
    <m/>
    <n v="0"/>
    <m/>
    <n v="0"/>
    <m/>
    <n v="0"/>
    <m/>
    <n v="0"/>
    <m/>
    <n v="0"/>
    <m/>
    <n v="0"/>
  </r>
  <r>
    <n v="565"/>
    <s v="Tapa para vial con septa preperforada 9mm JGF ROY CAP T/S SLIT"/>
    <s v="Cualquier marca"/>
    <s v="Bolsa  x 100 tapas "/>
    <x v="0"/>
    <x v="14"/>
    <n v="0"/>
    <n v="367353.46240000002"/>
    <n v="0"/>
    <m/>
    <n v="0"/>
    <m/>
    <n v="0"/>
    <m/>
    <n v="0"/>
    <m/>
    <n v="0"/>
    <m/>
    <n v="0"/>
    <m/>
    <n v="0"/>
    <m/>
    <n v="0"/>
    <m/>
    <n v="0"/>
    <m/>
    <n v="0"/>
  </r>
  <r>
    <n v="566"/>
    <s v="Tapones de inyección de caucho de butilo de color gris de 20 MM"/>
    <s v="Cualquier marca"/>
    <s v="Paquete x 1000 "/>
    <x v="0"/>
    <x v="14"/>
    <n v="0"/>
    <n v="250688.32"/>
    <n v="0"/>
    <m/>
    <n v="0"/>
    <m/>
    <n v="0"/>
    <m/>
    <n v="0"/>
    <m/>
    <n v="0"/>
    <m/>
    <n v="0"/>
    <m/>
    <n v="0"/>
    <m/>
    <n v="0"/>
    <m/>
    <n v="0"/>
    <m/>
    <n v="0"/>
  </r>
  <r>
    <n v="567"/>
    <s v="Termohigrobarómetro Datalogger _x000a_Humedad relativa: 10 % - 90 %. Resolución: 0,1 %_x000a_Temperatura: 0 °C - 50 °C. Resolución:  0,1 ºC_x000a_Presión barométrica: 1000 hPa - 1100 hPa. Resolución: 0,1 hPa_x000a_Pantalla LCD grande._x000a_Descarga de datos de interfaz USB, SD._x000a_Adaptador de voltaje._x000a_Intervalo de registro de 5 segundos -600 segundos - o automático._x000a_Con certificado de calibración emitido por un laboratorio certificado por el ONAC."/>
    <s v="Cualquier marca"/>
    <s v="Unidad"/>
    <x v="0"/>
    <x v="14"/>
    <n v="0"/>
    <n v="1726622.9072"/>
    <n v="0"/>
    <m/>
    <n v="0"/>
    <m/>
    <n v="0"/>
    <m/>
    <n v="0"/>
    <m/>
    <n v="0"/>
    <m/>
    <n v="0"/>
    <m/>
    <n v="0"/>
    <m/>
    <n v="0"/>
    <m/>
    <n v="0"/>
    <m/>
    <n v="0"/>
  </r>
  <r>
    <n v="572"/>
    <s v="Termómetro Datalogger con display USB. TI-5433.  4 Dígitos indicador bateria, memoria, alarma, horario. Rango de medición -20°C ~ 85°C, Resolución: 0.1 °C. Exactitud ± 1.0°C (0°C ~ 50 °C, ± 2.0°C (-20°C ~ 85 °C). Alta Capacidad de lecturas: 64,000. Muestreo: Ajustable, desde 2 segundos, 24 horas. Vida de batería 1 año, reemplazable por el usuario. Alarma Min / Max LED visible programable. Display con lectura en tiempo real. Dimensiones: 89 mm X 19 mm X 29 mm.  Software GRATIS para Windows XP,Vista y Windows 7_x000a_Con certificado de calibración emitido por un laboratorio acreditado por ONAC."/>
    <s v="Cualquier marca"/>
    <s v="Unidad"/>
    <x v="0"/>
    <x v="14"/>
    <n v="0"/>
    <n v="1277149.8959999999"/>
    <n v="0"/>
    <m/>
    <n v="0"/>
    <m/>
    <n v="0"/>
    <m/>
    <n v="0"/>
    <m/>
    <n v="0"/>
    <m/>
    <n v="0"/>
    <m/>
    <n v="0"/>
    <m/>
    <n v="0"/>
    <m/>
    <n v="0"/>
    <m/>
    <n v="0"/>
  </r>
  <r>
    <n v="575"/>
    <s v="Termómetro digital con sensor externo de 0 a 50°C con resolución de 0.1°C Con certificado de calibración emitido por un laboratorio acreditado por ONAC."/>
    <s v="Cualquier marca"/>
    <s v="Unidad"/>
    <x v="0"/>
    <x v="14"/>
    <n v="0"/>
    <n v="1074645.3136"/>
    <n v="0"/>
    <m/>
    <n v="0"/>
    <m/>
    <n v="0"/>
    <m/>
    <n v="0"/>
    <m/>
    <n v="0"/>
    <m/>
    <n v="0"/>
    <m/>
    <n v="0"/>
    <m/>
    <n v="0"/>
    <m/>
    <n v="0"/>
    <m/>
    <n v="0"/>
  </r>
  <r>
    <n v="577"/>
    <s v="Termómetro digital con sensor externo, datalogger. Rango: 0-50°C, resolución de 0.1°C._x000a_Con certificado de calibración emitido por un laboratorio acreditado por ONAC."/>
    <s v="Cualquier marca"/>
    <s v="Unidad"/>
    <x v="0"/>
    <x v="14"/>
    <n v="0"/>
    <n v="1049591.7808000001"/>
    <n v="0"/>
    <m/>
    <n v="0"/>
    <m/>
    <n v="0"/>
    <m/>
    <n v="0"/>
    <m/>
    <n v="0"/>
    <m/>
    <n v="0"/>
    <m/>
    <n v="0"/>
    <m/>
    <n v="0"/>
    <m/>
    <n v="0"/>
    <m/>
    <n v="0"/>
  </r>
  <r>
    <n v="578"/>
    <s v="Termómetro digital con sensor externo, para toma de temperatura en grandes animales. Resolución de 0,1 °C. Con certificado de calibración emitido por un laboratorio acreditado por ONAC."/>
    <s v="Cualquier marca"/>
    <s v="Unidad"/>
    <x v="0"/>
    <x v="14"/>
    <n v="0"/>
    <n v="938208.14080000005"/>
    <n v="0"/>
    <m/>
    <n v="0"/>
    <m/>
    <n v="0"/>
    <m/>
    <n v="0"/>
    <m/>
    <n v="0"/>
    <m/>
    <n v="0"/>
    <m/>
    <n v="0"/>
    <m/>
    <n v="0"/>
    <m/>
    <n v="0"/>
    <m/>
    <n v="0"/>
  </r>
  <r>
    <n v="583"/>
    <s v="Termómetro digital datalogger_x000a_Resolución: 0,01 °C;_x000a_Rango de medición: -50 a 160 °C_x000a_Exactitud: 0,05 °C_x000a_Sensor tipo PT100 de 4 hilos_x000a_Diámetro: 5 mm_x000a_Longitud de la sonda: 100  mm_x000a_Datalogger _x000a_Con 3 juegos de baterías, adaptador y estuche                                                                             _x000a_Con certificado de calibración emitido por un laboratorio acreditado por ONAC. _x000a_Calibración en 8 puntos de temperatura (-25 °C, 0 °C, 8 °C, 20 °C, 37 °C, 42 °C, 60°C,  80°C)"/>
    <s v="Cualquier marca"/>
    <s v="Unidad"/>
    <x v="0"/>
    <x v="14"/>
    <n v="0"/>
    <n v="1756988.5408000001"/>
    <n v="0"/>
    <m/>
    <n v="0"/>
    <m/>
    <n v="0"/>
    <m/>
    <n v="0"/>
    <m/>
    <n v="0"/>
    <m/>
    <n v="0"/>
    <m/>
    <n v="0"/>
    <m/>
    <n v="0"/>
    <m/>
    <n v="0"/>
    <m/>
    <n v="0"/>
  </r>
  <r>
    <n v="584"/>
    <s v="Termómetro portátil registrador de temperatura_x000a_Tipo de sensor: 100 ohm platino RTD o Termistor_x000a_Intervalo de medición: -20 °C a 140 ° C_x000a_Resolución: 0,01 ° C_x000a_Precisión: ± 1 °C _x000a_Velocidad de lectura: 1 lectura cada segundo hasta 24 horas_x000a_Memoria: Mínimo 16.000 lecturas_x000a_Hora de inicio programable_x000a_Tiempo de parada programable_x000a_Sonda con punta tipo bullet (bala), sumergible._x000a_Material: Acero inoxidable_x000a_Con software e interfaz para trasmisión de datos, compatible con Windows (32 y 64 bits) con capacidad para exportar datos a Excel_x000a_Con batería de repuesto y que pueda ser sustituida por el propio usuario, e indicador de duración de batería_x000a_Con certificado de calibración emitido por un laboratorio acreditado por ONAC, en 8 puntos diferentes de temperatura._x000a_"/>
    <s v="Cualquier marca"/>
    <s v="Unidad"/>
    <x v="0"/>
    <x v="14"/>
    <n v="0"/>
    <n v="1869260.6272"/>
    <n v="0"/>
    <m/>
    <n v="0"/>
    <m/>
    <n v="0"/>
    <m/>
    <n v="0"/>
    <m/>
    <n v="0"/>
    <m/>
    <n v="0"/>
    <m/>
    <n v="0"/>
    <m/>
    <n v="0"/>
    <m/>
    <n v="0"/>
    <m/>
    <n v="0"/>
  </r>
  <r>
    <n v="603"/>
    <s v="Tubo de centrífuga de 50 ml Oak Ridge,  fondo redondo, traslúcidos resistente a ácidos, bases y disolventes, capacidad para soportar fuerzas de hasta 50000xg, esterilizable en autoclave, 29,0*107,2 mm,  centrifigue FEP"/>
    <s v="Nalgene® 10384831 o equivalente"/>
    <s v="Bolsa  x 10 "/>
    <x v="0"/>
    <x v="14"/>
    <n v="0"/>
    <n v="1978715.4752"/>
    <n v="0"/>
    <m/>
    <n v="0"/>
    <m/>
    <n v="0"/>
    <m/>
    <n v="0"/>
    <m/>
    <n v="0"/>
    <m/>
    <n v="0"/>
    <m/>
    <n v="0"/>
    <m/>
    <n v="0"/>
    <m/>
    <n v="0"/>
    <m/>
    <n v="0"/>
  </r>
  <r>
    <n v="605"/>
    <s v="Tubo de ensayo de vidrio Plain Disposable Borosilicate 16x100 mm"/>
    <s v="Fisherbrand 03-341-4 o equivalente"/>
    <s v="Caja x 1000"/>
    <x v="0"/>
    <x v="14"/>
    <n v="0"/>
    <n v="2025194.4447999999"/>
    <n v="0"/>
    <m/>
    <n v="0"/>
    <m/>
    <n v="0"/>
    <m/>
    <n v="0"/>
    <m/>
    <n v="0"/>
    <m/>
    <n v="0"/>
    <m/>
    <n v="0"/>
    <m/>
    <n v="0"/>
    <m/>
    <n v="0"/>
    <m/>
    <n v="0"/>
  </r>
  <r>
    <n v="610"/>
    <s v="Tubo de vidrio tapa rosca base plana de 100mm de longitud por 15 mm de diámetro "/>
    <s v="Cualquier marca"/>
    <s v="Unidad"/>
    <x v="0"/>
    <x v="14"/>
    <n v="0"/>
    <n v="5251.9967999999999"/>
    <n v="0"/>
    <m/>
    <n v="0"/>
    <m/>
    <n v="0"/>
    <m/>
    <n v="0"/>
    <m/>
    <n v="0"/>
    <m/>
    <n v="0"/>
    <m/>
    <n v="0"/>
    <m/>
    <n v="0"/>
    <m/>
    <n v="0"/>
    <m/>
    <n v="0"/>
  </r>
  <r>
    <n v="611"/>
    <s v="Tubo de vidrio tapa rosca desde 20 ml"/>
    <s v="Fisherbrand 03-339-25F  o equivalente"/>
    <s v="Caja x 144 "/>
    <x v="0"/>
    <x v="14"/>
    <n v="0"/>
    <n v="1170237.9935999999"/>
    <n v="0"/>
    <m/>
    <n v="0"/>
    <m/>
    <n v="0"/>
    <m/>
    <n v="0"/>
    <m/>
    <n v="0"/>
    <m/>
    <n v="0"/>
    <m/>
    <n v="0"/>
    <m/>
    <n v="0"/>
    <m/>
    <n v="0"/>
    <m/>
    <n v="0"/>
  </r>
  <r>
    <n v="613"/>
    <s v="Tubo de vidrio, de 15 ml, graduado, fondo cónico de 17x130mm tapa rosca"/>
    <s v="Fisher Scientific 05-538-32B o equivalente"/>
    <s v="Paquete x 12"/>
    <x v="0"/>
    <x v="14"/>
    <n v="0"/>
    <n v="2937788.4463999998"/>
    <n v="0"/>
    <m/>
    <n v="0"/>
    <m/>
    <n v="0"/>
    <m/>
    <n v="0"/>
    <m/>
    <n v="0"/>
    <m/>
    <n v="0"/>
    <m/>
    <n v="0"/>
    <m/>
    <n v="0"/>
    <m/>
    <n v="0"/>
    <m/>
    <n v="0"/>
  </r>
  <r>
    <n v="616"/>
    <s v="Tubo para muestra de sangre SSTTM Suero con Gel Separador 8.5 ml. con fecha de vencimiento minimo de un año a partir de la fecha de entrega."/>
    <s v="Vacutest o equivalente"/>
    <s v="Paquete x 100 "/>
    <x v="0"/>
    <x v="14"/>
    <n v="0"/>
    <n v="139973.4736"/>
    <n v="0"/>
    <m/>
    <n v="0"/>
    <m/>
    <n v="0"/>
    <m/>
    <n v="0"/>
    <m/>
    <n v="0"/>
    <m/>
    <n v="0"/>
    <m/>
    <n v="0"/>
    <m/>
    <n v="0"/>
    <m/>
    <n v="0"/>
    <m/>
    <n v="0"/>
  </r>
  <r>
    <n v="621"/>
    <s v="Tubo para toma de sangre al vacío tapón lila. Plástico, tapón hemogard de 9.0 ml. Aditivo siliconizado, con fecha de vencimiento minimo de un año a partir de la fecha de entrega."/>
    <s v="Vacutest Kima 11030 o equivalente"/>
    <s v="Caja x 100"/>
    <x v="0"/>
    <x v="14"/>
    <n v="0"/>
    <n v="247248.1856"/>
    <n v="0"/>
    <m/>
    <n v="0"/>
    <m/>
    <n v="0"/>
    <m/>
    <n v="0"/>
    <m/>
    <n v="0"/>
    <m/>
    <n v="0"/>
    <m/>
    <n v="0"/>
    <m/>
    <n v="0"/>
    <m/>
    <n v="0"/>
    <m/>
    <n v="0"/>
  </r>
  <r>
    <n v="622"/>
    <s v="Tubos colorimétricos de 0,1 -100 ppm"/>
    <s v="Drager, MSA AUER ó equivalente"/>
    <s v="Caja x 10 Unidades"/>
    <x v="0"/>
    <x v="14"/>
    <n v="0"/>
    <n v="0"/>
    <n v="0"/>
    <m/>
    <n v="0"/>
    <m/>
    <n v="0"/>
    <m/>
    <n v="0"/>
    <m/>
    <n v="0"/>
    <m/>
    <n v="0"/>
    <m/>
    <n v="0"/>
    <m/>
    <n v="0"/>
    <m/>
    <n v="0"/>
    <m/>
    <n v="0"/>
  </r>
  <r>
    <n v="623"/>
    <s v="Tubos colorimétricos de 50-2000 ppm"/>
    <s v="Drager, MSA AUER ó equivalente"/>
    <s v="Caja x 10 Unidades"/>
    <x v="0"/>
    <x v="14"/>
    <n v="0"/>
    <n v="0"/>
    <n v="0"/>
    <m/>
    <n v="0"/>
    <m/>
    <n v="0"/>
    <m/>
    <n v="0"/>
    <m/>
    <n v="0"/>
    <m/>
    <n v="0"/>
    <m/>
    <n v="0"/>
    <m/>
    <n v="0"/>
    <m/>
    <n v="0"/>
    <m/>
    <n v="0"/>
  </r>
  <r>
    <n v="636"/>
    <s v="Vaso de precipitado de 5ml"/>
    <s v="Schott, duran o equivalente"/>
    <s v="Unidad"/>
    <x v="0"/>
    <x v="14"/>
    <n v="0"/>
    <n v="28707.856"/>
    <n v="0"/>
    <m/>
    <n v="0"/>
    <m/>
    <n v="0"/>
    <m/>
    <n v="0"/>
    <m/>
    <n v="0"/>
    <m/>
    <n v="0"/>
    <m/>
    <n v="0"/>
    <m/>
    <n v="0"/>
    <m/>
    <n v="0"/>
    <m/>
    <n v="0"/>
  </r>
  <r>
    <n v="640"/>
    <s v="Vaso de precipitado en acero inoxidable"/>
    <s v="Cualquier marca"/>
    <s v="Unidad"/>
    <x v="0"/>
    <x v="14"/>
    <n v="0"/>
    <n v="1385684.6063999999"/>
    <n v="0"/>
    <m/>
    <n v="0"/>
    <m/>
    <n v="0"/>
    <m/>
    <n v="0"/>
    <m/>
    <n v="0"/>
    <m/>
    <n v="0"/>
    <m/>
    <n v="0"/>
    <m/>
    <n v="0"/>
    <m/>
    <n v="0"/>
    <m/>
    <n v="0"/>
  </r>
  <r>
    <n v="650"/>
    <s v="Vaso de precipitado vidrio claro de 25 ml. Borosilicato 3.3, impresión en cerámica, que cumpla con las normas DIN12331/ISO3819 e ISO12 600 o ASTM E960, requisitos Tipo I y USP Tipo I y ASTM E438, Tipo I."/>
    <s v="Pyrex , Corning, Kymax, Brand, Duran, Brand o equivalente"/>
    <s v="Unidad"/>
    <x v="0"/>
    <x v="14"/>
    <n v="0"/>
    <n v="28523.1728"/>
    <n v="0"/>
    <m/>
    <n v="0"/>
    <m/>
    <n v="0"/>
    <m/>
    <n v="0"/>
    <m/>
    <n v="0"/>
    <m/>
    <n v="0"/>
    <m/>
    <n v="0"/>
    <m/>
    <n v="0"/>
    <m/>
    <n v="0"/>
    <m/>
    <n v="0"/>
  </r>
  <r>
    <n v="651"/>
    <s v="Vaso de precipitado vidrio claro de 250 ml. Borosilicato 3.3, impresión en cerámica, que cumpla con las normas DIN12331/ISO3819 e ISO12 600 o ASTM E960, requisitos Tipo I y USP Tipo I y ASTM E438, Tipo I._x000a_ Reforzado Heavy Duty Forma Baja"/>
    <s v="Pyrex , Corning, Kymax, Brand, Duran, Brand o equivalente"/>
    <s v="Unidad"/>
    <x v="0"/>
    <x v="14"/>
    <n v="0"/>
    <n v="32614.615999999998"/>
    <n v="0"/>
    <m/>
    <n v="0"/>
    <m/>
    <n v="0"/>
    <m/>
    <n v="0"/>
    <m/>
    <n v="0"/>
    <m/>
    <n v="0"/>
    <m/>
    <n v="0"/>
    <m/>
    <n v="0"/>
    <m/>
    <n v="0"/>
    <m/>
    <n v="0"/>
  </r>
  <r>
    <n v="652"/>
    <s v="Vaso de precipitado vidrio claro de 400 ml. Borosilicato 3.3, impresión en cerámica, que cumpla con las normas DIN12331/ISO3819 e ISO12 600 o ASTM E960, requisitos Tipo I y USP Tipo I y ASTM E438, Tipo I."/>
    <s v="Pyrex , Corning, Kymax, Brand, Duran, Brand o equivalente"/>
    <s v="Unidad"/>
    <x v="0"/>
    <x v="14"/>
    <n v="0"/>
    <n v="39490.513599999998"/>
    <n v="0"/>
    <m/>
    <n v="0"/>
    <m/>
    <n v="0"/>
    <m/>
    <n v="0"/>
    <m/>
    <n v="0"/>
    <m/>
    <n v="0"/>
    <m/>
    <n v="0"/>
    <m/>
    <n v="0"/>
    <m/>
    <n v="0"/>
    <m/>
    <n v="0"/>
  </r>
  <r>
    <n v="653"/>
    <s v="Vaso de precipitado vidrio claro de 500 ml. Borosilicato 3.3, impresión en cerámica, con pico que cumpla con las normas Reforzado Heavy Duty Forma Baja"/>
    <s v="Pyrex, Corning, Kymax, Brand, Duran, Brand o equivalente"/>
    <s v="Unidad"/>
    <x v="0"/>
    <x v="14"/>
    <n v="0"/>
    <n v="44915.1728"/>
    <n v="0"/>
    <m/>
    <n v="0"/>
    <m/>
    <n v="0"/>
    <m/>
    <n v="0"/>
    <m/>
    <n v="0"/>
    <m/>
    <n v="0"/>
    <m/>
    <n v="0"/>
    <m/>
    <n v="0"/>
    <m/>
    <n v="0"/>
    <m/>
    <n v="0"/>
  </r>
  <r>
    <n v="661"/>
    <s v="Vial de color ámbar para cromatografía 2 ml con tapa y septa"/>
    <s v="cualquier marca"/>
    <s v="Caja x 100 viales"/>
    <x v="0"/>
    <x v="14"/>
    <n v="0"/>
    <n v="504376.37599999999"/>
    <n v="0"/>
    <m/>
    <n v="0"/>
    <m/>
    <n v="0"/>
    <m/>
    <n v="0"/>
    <m/>
    <n v="0"/>
    <m/>
    <n v="0"/>
    <m/>
    <n v="0"/>
    <m/>
    <n v="0"/>
    <m/>
    <n v="0"/>
    <m/>
    <n v="0"/>
  </r>
  <r>
    <n v="664"/>
    <s v="Vial de vidrio tranparente con tapa plástica blanca de cierre tipo agrafe de 10ml. _x000a_Dimensiones 20mm diametro x 50 mm alto"/>
    <s v="Cualquier marca"/>
    <s v="Unidad"/>
    <x v="0"/>
    <x v="14"/>
    <n v="0"/>
    <n v="846066.52319999994"/>
    <n v="0"/>
    <m/>
    <n v="0"/>
    <m/>
    <n v="0"/>
    <m/>
    <n v="0"/>
    <m/>
    <n v="0"/>
    <m/>
    <n v="0"/>
    <m/>
    <n v="0"/>
    <m/>
    <n v="0"/>
    <m/>
    <n v="0"/>
    <m/>
    <n v="0"/>
  </r>
  <r>
    <n v="665"/>
    <s v="Vial en vidrio 4ml, Tapa rosca con orificio central y septa "/>
    <s v="Thermo Scientific o equivalente"/>
    <s v="Caja x 100 unidades"/>
    <x v="0"/>
    <x v="14"/>
    <n v="0"/>
    <n v="738665.04639999999"/>
    <n v="0"/>
    <m/>
    <n v="0"/>
    <m/>
    <n v="0"/>
    <m/>
    <n v="0"/>
    <m/>
    <n v="0"/>
    <m/>
    <n v="0"/>
    <m/>
    <n v="0"/>
    <m/>
    <n v="0"/>
    <m/>
    <n v="0"/>
    <m/>
    <n v="0"/>
  </r>
  <r>
    <n v="667"/>
    <s v="Vial para cromatografia de 2 ml, vidrio con tapa plástica, 9 mm"/>
    <s v="Cualquier marca"/>
    <s v="Caja x 100"/>
    <x v="0"/>
    <x v="14"/>
    <n v="0"/>
    <n v="542659.3456"/>
    <n v="0"/>
    <m/>
    <n v="0"/>
    <m/>
    <n v="0"/>
    <m/>
    <n v="0"/>
    <m/>
    <n v="0"/>
    <m/>
    <n v="0"/>
    <m/>
    <n v="0"/>
    <m/>
    <n v="0"/>
    <m/>
    <n v="0"/>
    <m/>
    <n v="0"/>
  </r>
  <r>
    <n v="671"/>
    <s v="Xenon FDL flash lamp for G1321A/B/C &amp; G7121 A/B fluorescence detector. "/>
    <s v="Agilent Ref. 2140-0600 o equivalente"/>
    <s v="Unidad"/>
    <x v="0"/>
    <x v="14"/>
    <n v="0"/>
    <n v="7072020.2303999998"/>
    <n v="0"/>
    <m/>
    <n v="0"/>
    <m/>
    <n v="0"/>
    <m/>
    <n v="0"/>
    <m/>
    <n v="0"/>
    <m/>
    <n v="0"/>
    <m/>
    <n v="0"/>
    <m/>
    <n v="0"/>
    <m/>
    <n v="0"/>
    <m/>
    <n v="0"/>
  </r>
  <r>
    <n v="672"/>
    <s v="Yumbolon de 1 cm grueso, 1m ancho "/>
    <s v="Cualquiera"/>
    <s v="Metro"/>
    <x v="0"/>
    <x v="14"/>
    <n v="0"/>
    <n v="282894.22879999998"/>
    <n v="0"/>
    <m/>
    <n v="0"/>
    <m/>
    <n v="0"/>
    <m/>
    <n v="0"/>
    <m/>
    <n v="0"/>
    <m/>
    <n v="0"/>
    <m/>
    <n v="0"/>
    <m/>
    <n v="0"/>
    <m/>
    <n v="0"/>
    <m/>
    <n v="0"/>
  </r>
  <r>
    <n v="15"/>
    <s v="Microtubes, 1.5ml Intended for use with several nucleic acid purification systems V1231"/>
    <m/>
    <n v="1000"/>
    <x v="1"/>
    <x v="15"/>
    <n v="10"/>
    <n v="677525.07200000004"/>
    <n v="6775250.7200000007"/>
    <m/>
    <n v="0"/>
    <m/>
    <n v="0"/>
    <m/>
    <n v="0"/>
    <m/>
    <n v="0"/>
    <n v="10"/>
    <n v="6775250.7200000007"/>
    <m/>
    <n v="0"/>
    <m/>
    <n v="0"/>
    <m/>
    <n v="0"/>
    <m/>
    <n v="0"/>
  </r>
  <r>
    <n v="19"/>
    <s v="Puntas de micropipeta BIOLOG No Catálogo 320"/>
    <m/>
    <s v="Caja"/>
    <x v="1"/>
    <x v="15"/>
    <n v="2"/>
    <n v="1684059.44"/>
    <n v="3368118.88"/>
    <m/>
    <n v="0"/>
    <m/>
    <n v="0"/>
    <m/>
    <n v="0"/>
    <m/>
    <n v="0"/>
    <n v="1"/>
    <n v="1684059.44"/>
    <m/>
    <n v="0"/>
    <m/>
    <n v="0"/>
    <n v="1"/>
    <n v="1684059.44"/>
    <m/>
    <n v="0"/>
  </r>
  <r>
    <n v="9"/>
    <s v="RIDA® C18 columns. "/>
    <s v=" R2002"/>
    <s v="Unidad "/>
    <x v="1"/>
    <x v="16"/>
    <n v="8"/>
    <n v="1648297.56"/>
    <n v="13186380.48"/>
    <n v="8"/>
    <n v="13186380.48"/>
    <m/>
    <n v="0"/>
    <m/>
    <n v="0"/>
    <m/>
    <n v="0"/>
    <m/>
    <n v="0"/>
    <m/>
    <n v="0"/>
    <m/>
    <n v="0"/>
    <m/>
    <n v="0"/>
    <m/>
    <n v="0"/>
  </r>
  <r>
    <n v="20"/>
    <s v="EASI-EXTRACT® Aflatoxin "/>
    <s v="RBRRP70N "/>
    <s v="Unidad "/>
    <x v="1"/>
    <x v="16"/>
    <n v="1"/>
    <n v="4655939.9680000003"/>
    <n v="4655939.9680000003"/>
    <n v="1"/>
    <n v="4655939.9680000003"/>
    <m/>
    <n v="0"/>
    <m/>
    <n v="0"/>
    <m/>
    <n v="0"/>
    <m/>
    <n v="0"/>
    <m/>
    <n v="0"/>
    <m/>
    <n v="0"/>
    <m/>
    <n v="0"/>
    <m/>
    <n v="0"/>
  </r>
  <r>
    <n v="21"/>
    <s v="DONPREP®"/>
    <s v="RBRP50B"/>
    <s v="Unidad"/>
    <x v="1"/>
    <x v="16"/>
    <n v="1"/>
    <n v="5726807.4720000001"/>
    <n v="5726807.4720000001"/>
    <n v="1"/>
    <n v="5726807.4720000001"/>
    <m/>
    <n v="0"/>
    <m/>
    <n v="0"/>
    <m/>
    <n v="0"/>
    <m/>
    <n v="0"/>
    <m/>
    <n v="0"/>
    <m/>
    <n v="0"/>
    <m/>
    <n v="0"/>
    <m/>
    <n v="0"/>
  </r>
  <r>
    <n v="1"/>
    <s v="Optical Flat 8-Cap Strips. BIORADTiras de 8 tapas ópticas planas para tubos De 0,2ml, placas de PCR y reacciones ópticas, ultra-transparentes. CAT #: TCS0803"/>
    <m/>
    <s v="120 unidades"/>
    <x v="1"/>
    <x v="17"/>
    <n v="144"/>
    <n v="360219.66399999999"/>
    <n v="51871631.615999997"/>
    <n v="5"/>
    <n v="1801098.3199999998"/>
    <n v="5"/>
    <n v="1801098.3199999998"/>
    <n v="7"/>
    <n v="2521537.648"/>
    <m/>
    <n v="0"/>
    <n v="66"/>
    <n v="23774497.824000001"/>
    <n v="61"/>
    <n v="21973399.504000001"/>
    <m/>
    <n v="0"/>
    <m/>
    <n v="0"/>
    <m/>
    <n v="0"/>
  </r>
  <r>
    <n v="2"/>
    <s v="0.2 ml 8-Tube Strips without Caps, low-profile. BIORAD Tiras de 8 tubos low-profile de 0.2 ml sin tapa, de pared delgada de polipropileno para PCR y reacciones de bajo volumen. Tubos blancos. Paquete por 120 tiras (960 tubos). CAT #: TLS0851 "/>
    <m/>
    <s v="960 tubos"/>
    <x v="1"/>
    <x v="17"/>
    <n v="151"/>
    <n v="931109.31200000003"/>
    <n v="140597506.11200002"/>
    <n v="4"/>
    <n v="3724437.2480000001"/>
    <n v="5"/>
    <n v="4655546.5600000005"/>
    <n v="7"/>
    <n v="6517765.1840000004"/>
    <m/>
    <n v="0"/>
    <n v="70"/>
    <n v="65177651.840000004"/>
    <n v="65"/>
    <n v="60522105.280000001"/>
    <m/>
    <n v="0"/>
    <m/>
    <n v="0"/>
    <m/>
    <n v="0"/>
  </r>
  <r>
    <n v="3"/>
    <s v="1.5 ml EZ Micro Test Tubes. Tested to be negative for DNases, RNases, and human DNA. CAT #: 2239480"/>
    <m/>
    <s v="Pkg of 500"/>
    <x v="1"/>
    <x v="17"/>
    <n v="17"/>
    <n v="399232.62400000001"/>
    <n v="6786954.608"/>
    <n v="5"/>
    <n v="1996163.12"/>
    <n v="5"/>
    <n v="1996163.12"/>
    <n v="7"/>
    <n v="2794628.3680000002"/>
    <m/>
    <n v="0"/>
    <n v="0"/>
    <n v="0"/>
    <m/>
    <n v="0"/>
    <m/>
    <n v="0"/>
    <m/>
    <n v="0"/>
    <m/>
    <n v="0"/>
  </r>
  <r>
    <n v="4"/>
    <s v="1250 µL, 5 Racks of 96 , Non-Sterile. BIORAD-INTEGRA Contiene 5 racks color azul cada uno con 96 puntas no-estériles. Para uso exclusivo con las pipetas VIAFLO de 1000 y 1250µl. CAT #: 4443"/>
    <m/>
    <s v="5 racks de 96 puntas"/>
    <x v="1"/>
    <x v="17"/>
    <n v="2"/>
    <n v="503267.18400000001"/>
    <n v="1006534.368"/>
    <m/>
    <n v="0"/>
    <m/>
    <n v="0"/>
    <n v="2"/>
    <n v="1006534.368"/>
    <m/>
    <n v="0"/>
    <n v="0"/>
    <n v="0"/>
    <m/>
    <n v="0"/>
    <m/>
    <n v="0"/>
    <m/>
    <n v="0"/>
    <m/>
    <n v="0"/>
  </r>
  <r>
    <n v="5"/>
    <s v="50/125 µL, 5 Racks of 384, Non-Sterile. BIORAD-INTEGRA Contiene 5 racks color amarillo_x000a_cada uno con 384 puntas no estériles. Para uso exclusivo con las pipetas VIAFLO de 50,100, 125µl. CAT #: 4423 "/>
    <m/>
    <s v="5 racks de 384 puntas"/>
    <x v="1"/>
    <x v="17"/>
    <n v="2"/>
    <n v="1252316.0160000001"/>
    <n v="2504632.0320000001"/>
    <m/>
    <n v="0"/>
    <m/>
    <n v="0"/>
    <n v="2"/>
    <n v="2504632.0320000001"/>
    <m/>
    <n v="0"/>
    <n v="0"/>
    <n v="0"/>
    <m/>
    <n v="0"/>
    <m/>
    <n v="0"/>
    <m/>
    <n v="0"/>
    <m/>
    <n v="0"/>
  </r>
  <r>
    <n v="6"/>
    <s v="2-12,5 µL, Non-Sterile. BIORAD-INTEGRA._x000a_Los GripTips nunca se desprenden y siempre se alinean a la perfección con la micropipeta. Esto proporciona unos resultados de exactitud y precisión superiores al momento de pipetear. CAT #: 4403"/>
    <m/>
    <s v="Racks"/>
    <x v="1"/>
    <x v="17"/>
    <n v="2"/>
    <n v="1252316.0160000001"/>
    <n v="2504632.0320000001"/>
    <m/>
    <n v="0"/>
    <m/>
    <n v="0"/>
    <n v="2"/>
    <n v="2504632.0320000001"/>
    <m/>
    <n v="0"/>
    <n v="0"/>
    <n v="0"/>
    <m/>
    <n v="0"/>
    <m/>
    <n v="0"/>
    <m/>
    <n v="0"/>
    <m/>
    <n v="0"/>
  </r>
  <r>
    <n v="7"/>
    <s v="iTaq™ Universal Probes One-Step Kit, 100 rxns. 1 ml (1 x 1 ml). BIORAD. CAT #: 1725140"/>
    <m/>
    <s v="kit"/>
    <x v="1"/>
    <x v="17"/>
    <n v="3"/>
    <n v="3001397.0559999999"/>
    <n v="9004191.1679999996"/>
    <n v="1"/>
    <n v="3001397.0559999999"/>
    <n v="1"/>
    <n v="3001397.0559999999"/>
    <n v="1"/>
    <n v="3001397.0559999999"/>
    <m/>
    <n v="0"/>
    <n v="0"/>
    <n v="0"/>
    <m/>
    <n v="0"/>
    <m/>
    <n v="0"/>
    <m/>
    <n v="0"/>
    <m/>
    <n v="0"/>
  </r>
  <r>
    <n v="8"/>
    <s v="Mini incubation Trays .CAT #: 1703903 "/>
    <m/>
    <n v="100"/>
    <x v="1"/>
    <x v="17"/>
    <n v="2"/>
    <n v="7932635.2000000002"/>
    <n v="15865270.4"/>
    <m/>
    <n v="0"/>
    <n v="1"/>
    <n v="7932635.2000000002"/>
    <n v="1"/>
    <n v="7932635.2000000002"/>
    <m/>
    <n v="0"/>
    <n v="0"/>
    <n v="0"/>
    <m/>
    <n v="0"/>
    <m/>
    <n v="0"/>
    <m/>
    <n v="0"/>
    <m/>
    <n v="0"/>
  </r>
  <r>
    <n v="13"/>
    <s v="Cat TBC0802 TUBE&amp;CAP STRIPS-8,20PKS,12EA. BIORAD Paquete de 20 bolsas. Cada bolsa contiene 12 tiras de 8 tubos tubos de polipropileno de pared delgada y 12 tiras de 8 tapas en domo para PCR. Color natural (Total: 1920 tubos y 1920 tapas)"/>
    <m/>
    <s v="Paquetede 20 bolsas"/>
    <x v="1"/>
    <x v="17"/>
    <n v="2"/>
    <n v="3022203.9679999999"/>
    <n v="6044407.9359999998"/>
    <m/>
    <n v="0"/>
    <m/>
    <n v="0"/>
    <m/>
    <n v="0"/>
    <m/>
    <n v="0"/>
    <n v="0"/>
    <n v="0"/>
    <n v="2"/>
    <n v="6044407.9359999998"/>
    <m/>
    <n v="0"/>
    <m/>
    <n v="0"/>
    <m/>
    <n v="0"/>
  </r>
  <r>
    <m/>
    <s v="A partir de esta linea agregar nuevos íte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r>
    <m/>
    <m/>
    <m/>
    <m/>
    <x v="2"/>
    <x v="14"/>
    <n v="0"/>
    <m/>
    <n v="0"/>
    <m/>
    <n v="0"/>
    <m/>
    <n v="0"/>
    <m/>
    <n v="0"/>
    <m/>
    <n v="0"/>
    <m/>
    <n v="0"/>
    <m/>
    <n v="0"/>
    <m/>
    <n v="0"/>
    <m/>
    <n v="0"/>
    <m/>
    <n v="0"/>
  </r>
</pivotCacheRecords>
</file>

<file path=xl/pivotCache/pivotCacheRecords2.xml><?xml version="1.0" encoding="utf-8"?>
<pivotCacheRecords xmlns="http://schemas.openxmlformats.org/spreadsheetml/2006/main" xmlns:r="http://schemas.openxmlformats.org/officeDocument/2006/relationships" count="117">
  <r>
    <n v="1"/>
    <s v="Agitador de placas"/>
    <m/>
    <m/>
    <n v="2"/>
    <x v="0"/>
    <x v="0"/>
    <n v="16829120"/>
    <n v="33658240"/>
    <n v="0"/>
    <n v="0"/>
    <n v="2"/>
    <n v="33658240"/>
    <n v="0"/>
    <m/>
    <n v="0"/>
    <n v="0"/>
    <n v="0"/>
    <n v="0"/>
    <n v="0"/>
    <n v="0"/>
    <n v="0"/>
    <m/>
    <n v="0"/>
    <m/>
    <n v="0"/>
    <n v="0"/>
  </r>
  <r>
    <n v="2"/>
    <s v="Agitador orbital con incubación Shaker"/>
    <m/>
    <m/>
    <n v="1"/>
    <x v="0"/>
    <x v="0"/>
    <n v="24041600"/>
    <n v="24041600"/>
    <n v="0"/>
    <n v="0"/>
    <n v="0"/>
    <n v="0"/>
    <n v="0"/>
    <m/>
    <n v="0"/>
    <n v="0"/>
    <n v="0"/>
    <n v="0"/>
    <n v="0"/>
    <n v="0"/>
    <n v="1"/>
    <m/>
    <n v="0"/>
    <m/>
    <n v="0"/>
    <n v="0"/>
  </r>
  <r>
    <n v="3"/>
    <s v="Agitador Vortex"/>
    <s v="VELP"/>
    <s v="TX4"/>
    <n v="3"/>
    <x v="0"/>
    <x v="1"/>
    <n v="3641209.6"/>
    <n v="10923628.800000001"/>
    <n v="2"/>
    <n v="7282419.2000000002"/>
    <n v="0"/>
    <n v="0"/>
    <n v="0"/>
    <n v="0"/>
    <n v="0"/>
    <n v="0"/>
    <n v="1"/>
    <n v="3641209.6"/>
    <n v="0"/>
    <n v="0"/>
    <n v="0"/>
    <n v="0"/>
    <n v="0"/>
    <n v="0"/>
    <n v="0"/>
    <n v="0"/>
  </r>
  <r>
    <n v="4"/>
    <s v="Autoclave de mesa de 80-85 litros"/>
    <s v="TUTTNAUER "/>
    <s v="3870EL-D"/>
    <n v="4"/>
    <x v="0"/>
    <x v="1"/>
    <n v="154361278.40000001"/>
    <n v="617445113.60000002"/>
    <n v="2"/>
    <n v="308722556.80000001"/>
    <n v="0"/>
    <n v="0"/>
    <n v="0"/>
    <n v="0"/>
    <n v="0"/>
    <n v="0"/>
    <n v="0"/>
    <n v="0"/>
    <n v="0"/>
    <n v="0"/>
    <n v="2"/>
    <n v="308722556.80000001"/>
    <n v="0"/>
    <n v="0"/>
    <n v="0"/>
    <n v="0"/>
  </r>
  <r>
    <n v="5"/>
    <s v="Autoclave semiautomático de 45 L "/>
    <m/>
    <m/>
    <n v="0"/>
    <x v="0"/>
    <x v="0"/>
    <n v="74528960"/>
    <n v="0"/>
    <n v="0"/>
    <n v="0"/>
    <n v="0"/>
    <n v="0"/>
    <n v="0"/>
    <m/>
    <n v="0"/>
    <n v="0"/>
    <n v="0"/>
    <n v="0"/>
    <n v="0"/>
    <n v="0"/>
    <n v="0"/>
    <m/>
    <n v="0"/>
    <m/>
    <n v="0"/>
    <n v="0"/>
  </r>
  <r>
    <n v="6"/>
    <s v="Bactoincinerador "/>
    <m/>
    <m/>
    <n v="0"/>
    <x v="0"/>
    <x v="0"/>
    <n v="2404160"/>
    <n v="0"/>
    <n v="0"/>
    <n v="0"/>
    <n v="0"/>
    <n v="0"/>
    <n v="0"/>
    <m/>
    <n v="0"/>
    <n v="0"/>
    <n v="0"/>
    <n v="0"/>
    <n v="0"/>
    <n v="0"/>
    <n v="0"/>
    <m/>
    <n v="0"/>
    <m/>
    <n v="0"/>
    <n v="0"/>
  </r>
  <r>
    <n v="7"/>
    <s v="Balanza Analítica de 220 gr"/>
    <s v="RADWAG"/>
    <s v="AS 220.X2 PLUS"/>
    <n v="1"/>
    <x v="0"/>
    <x v="1"/>
    <n v="18076004.800000001"/>
    <n v="18076004.800000001"/>
    <n v="1"/>
    <n v="18076004.800000001"/>
    <n v="0"/>
    <n v="0"/>
    <n v="0"/>
    <n v="0"/>
    <n v="0"/>
    <n v="0"/>
    <n v="0"/>
    <n v="0"/>
    <n v="0"/>
    <n v="0"/>
    <n v="0"/>
    <n v="0"/>
    <n v="0"/>
    <n v="0"/>
    <n v="0"/>
    <n v="0"/>
  </r>
  <r>
    <n v="8"/>
    <s v="Balanza Analítica de 5 cifras"/>
    <m/>
    <m/>
    <n v="1"/>
    <x v="0"/>
    <x v="0"/>
    <n v="36062400"/>
    <n v="36062400"/>
    <n v="0"/>
    <n v="0"/>
    <n v="1"/>
    <n v="36062400"/>
    <n v="0"/>
    <m/>
    <n v="0"/>
    <n v="0"/>
    <n v="0"/>
    <n v="0"/>
    <n v="0"/>
    <n v="0"/>
    <n v="0"/>
    <m/>
    <n v="0"/>
    <m/>
    <n v="0"/>
    <n v="0"/>
  </r>
  <r>
    <n v="9"/>
    <s v="Balanza de plato externo"/>
    <m/>
    <m/>
    <n v="0"/>
    <x v="0"/>
    <x v="0"/>
    <n v="27647840"/>
    <n v="0"/>
    <n v="0"/>
    <n v="0"/>
    <n v="0"/>
    <n v="0"/>
    <n v="0"/>
    <m/>
    <n v="0"/>
    <n v="0"/>
    <n v="0"/>
    <n v="0"/>
    <n v="0"/>
    <n v="0"/>
    <n v="0"/>
    <m/>
    <n v="0"/>
    <m/>
    <n v="0"/>
    <n v="0"/>
  </r>
  <r>
    <n v="10"/>
    <s v="Balanza de precisión de 2000gr"/>
    <s v="RADWAG"/>
    <s v="PS 2100.X2.M"/>
    <n v="0"/>
    <x v="0"/>
    <x v="1"/>
    <n v="14161704.48"/>
    <n v="0"/>
    <n v="0"/>
    <n v="0"/>
    <n v="0"/>
    <n v="0"/>
    <n v="0"/>
    <n v="0"/>
    <n v="0"/>
    <n v="0"/>
    <n v="0"/>
    <n v="0"/>
    <n v="0"/>
    <n v="0"/>
    <n v="0"/>
    <n v="0"/>
    <n v="0"/>
    <n v="0"/>
    <n v="0"/>
    <n v="0"/>
  </r>
  <r>
    <n v="11"/>
    <s v="Balanza de precisión Resolución 0,01 de 1000g"/>
    <m/>
    <m/>
    <n v="1"/>
    <x v="0"/>
    <x v="0"/>
    <n v="15627040"/>
    <n v="15627040"/>
    <n v="0"/>
    <n v="0"/>
    <n v="1"/>
    <n v="15627040"/>
    <n v="0"/>
    <m/>
    <n v="0"/>
    <n v="0"/>
    <n v="0"/>
    <n v="0"/>
    <n v="0"/>
    <n v="0"/>
    <n v="0"/>
    <m/>
    <n v="0"/>
    <m/>
    <n v="0"/>
    <n v="0"/>
  </r>
  <r>
    <n v="12"/>
    <s v="Balanza de precisión Resolución 0,01 hasta 20g"/>
    <m/>
    <m/>
    <n v="0"/>
    <x v="0"/>
    <x v="0"/>
    <n v="15627040"/>
    <n v="0"/>
    <n v="0"/>
    <n v="0"/>
    <n v="0"/>
    <n v="0"/>
    <n v="0"/>
    <m/>
    <n v="0"/>
    <n v="0"/>
    <n v="0"/>
    <n v="0"/>
    <n v="0"/>
    <n v="0"/>
    <n v="0"/>
    <m/>
    <n v="0"/>
    <m/>
    <n v="0"/>
    <n v="0"/>
  </r>
  <r>
    <n v="13"/>
    <s v="Baño de calibración refrigerado / calentado"/>
    <s v="POLYSIENCE"/>
    <s v="AP15RCAL-A11B 15L"/>
    <n v="0"/>
    <x v="0"/>
    <x v="1"/>
    <n v="136545360"/>
    <n v="0"/>
    <n v="0"/>
    <n v="0"/>
    <n v="0"/>
    <n v="0"/>
    <n v="0"/>
    <n v="0"/>
    <n v="0"/>
    <n v="0"/>
    <n v="0"/>
    <n v="0"/>
    <n v="0"/>
    <n v="0"/>
    <n v="0"/>
    <n v="0"/>
    <n v="0"/>
    <n v="0"/>
    <n v="0"/>
    <n v="0"/>
  </r>
  <r>
    <n v="14"/>
    <s v="Baño para tratamiento hidrotermico"/>
    <m/>
    <m/>
    <n v="0"/>
    <x v="0"/>
    <x v="0"/>
    <n v="204353600"/>
    <n v="0"/>
    <n v="0"/>
    <n v="0"/>
    <n v="0"/>
    <n v="0"/>
    <n v="0"/>
    <m/>
    <n v="0"/>
    <n v="0"/>
    <n v="0"/>
    <n v="0"/>
    <n v="0"/>
    <n v="0"/>
    <n v="0"/>
    <m/>
    <n v="0"/>
    <m/>
    <n v="0"/>
    <n v="0"/>
  </r>
  <r>
    <n v="15"/>
    <s v="Baño serológico"/>
    <s v="THERMO SCIENTIFIC"/>
    <s v="TSGP20"/>
    <n v="3"/>
    <x v="0"/>
    <x v="2"/>
    <n v="12464367.52"/>
    <n v="37393102.560000002"/>
    <n v="2"/>
    <n v="24928735.039999999"/>
    <n v="1"/>
    <n v="12464367.52"/>
    <n v="0"/>
    <n v="0"/>
    <n v="0"/>
    <n v="0"/>
    <n v="0"/>
    <n v="0"/>
    <n v="0"/>
    <n v="0"/>
    <n v="0"/>
    <n v="0"/>
    <n v="0"/>
    <n v="0"/>
    <n v="0"/>
    <n v="0"/>
  </r>
  <r>
    <n v="16"/>
    <s v="Baño serológico seco o Bloque Seco"/>
    <s v="THERMO SCIENTIFIC"/>
    <n v="88870002"/>
    <n v="0"/>
    <x v="0"/>
    <x v="1"/>
    <n v="7802592"/>
    <n v="0"/>
    <n v="0"/>
    <n v="0"/>
    <n v="0"/>
    <n v="0"/>
    <n v="0"/>
    <n v="0"/>
    <n v="0"/>
    <n v="0"/>
    <n v="0"/>
    <n v="0"/>
    <n v="0"/>
    <n v="0"/>
    <n v="0"/>
    <n v="0"/>
    <n v="0"/>
    <n v="0"/>
    <n v="0"/>
    <n v="0"/>
  </r>
  <r>
    <n v="17"/>
    <s v="Baño termostatado con ultrasonido"/>
    <m/>
    <m/>
    <n v="1"/>
    <x v="0"/>
    <x v="3"/>
    <n v="7675204.3039999995"/>
    <n v="7675204.3039999995"/>
    <n v="0"/>
    <n v="0"/>
    <n v="0"/>
    <n v="0"/>
    <n v="1"/>
    <n v="7675204.3039999995"/>
    <n v="0"/>
    <n v="0"/>
    <n v="0"/>
    <n v="0"/>
    <n v="0"/>
    <n v="0"/>
    <n v="0"/>
    <n v="0"/>
    <n v="0"/>
    <n v="0"/>
    <n v="0"/>
    <n v="0"/>
  </r>
  <r>
    <n v="18"/>
    <s v="Bomba automatizada para dispensar medios de cultivos"/>
    <m/>
    <m/>
    <n v="1"/>
    <x v="0"/>
    <x v="0"/>
    <n v="15299200"/>
    <n v="15299200"/>
    <n v="0"/>
    <n v="0"/>
    <n v="0"/>
    <n v="0"/>
    <n v="0"/>
    <m/>
    <n v="0"/>
    <n v="0"/>
    <n v="0"/>
    <n v="0"/>
    <n v="0"/>
    <n v="0"/>
    <n v="1"/>
    <m/>
    <n v="0"/>
    <m/>
    <n v="0"/>
    <n v="0"/>
  </r>
  <r>
    <n v="19"/>
    <s v="Bomba de vacío"/>
    <s v="ROCKER"/>
    <s v="ROCKER-400"/>
    <n v="0"/>
    <x v="0"/>
    <x v="1"/>
    <n v="9090019.6799999997"/>
    <n v="0"/>
    <n v="0"/>
    <n v="0"/>
    <n v="0"/>
    <n v="0"/>
    <n v="0"/>
    <n v="0"/>
    <n v="0"/>
    <n v="0"/>
    <n v="0"/>
    <n v="0"/>
    <n v="0"/>
    <n v="0"/>
    <n v="0"/>
    <n v="0"/>
    <n v="0"/>
    <n v="0"/>
    <n v="0"/>
    <n v="0"/>
  </r>
  <r>
    <n v="20"/>
    <s v="Cabina De Bioseguridad clase II tipo A2 "/>
    <m/>
    <m/>
    <n v="5"/>
    <x v="0"/>
    <x v="3"/>
    <n v="82845987.599999994"/>
    <n v="414229938"/>
    <n v="1"/>
    <n v="82845987.599999994"/>
    <n v="0"/>
    <n v="0"/>
    <n v="0"/>
    <n v="0"/>
    <n v="0"/>
    <n v="0"/>
    <n v="0"/>
    <n v="0"/>
    <n v="1"/>
    <n v="82845987.599999994"/>
    <n v="3"/>
    <n v="248537962.79999998"/>
    <n v="0"/>
    <n v="0"/>
    <n v="0"/>
    <n v="0"/>
  </r>
  <r>
    <n v="21"/>
    <s v="Cabina de extracción"/>
    <s v="LABCONCO"/>
    <s v="XSTREAM"/>
    <n v="1"/>
    <x v="0"/>
    <x v="1"/>
    <n v="127312292.8"/>
    <n v="127312292.8"/>
    <n v="0"/>
    <n v="0"/>
    <n v="0"/>
    <n v="0"/>
    <n v="0"/>
    <n v="0"/>
    <n v="0"/>
    <n v="0"/>
    <n v="0"/>
    <n v="0"/>
    <n v="0"/>
    <n v="0"/>
    <n v="1"/>
    <n v="127312292.8"/>
    <n v="0"/>
    <n v="0"/>
    <n v="0"/>
    <n v="0"/>
  </r>
  <r>
    <n v="22"/>
    <s v="Cabina de PCR"/>
    <s v="LABCONCO"/>
    <n v="3970302"/>
    <n v="1"/>
    <x v="0"/>
    <x v="1"/>
    <n v="64332371.039999999"/>
    <n v="64332371.039999999"/>
    <n v="1"/>
    <n v="64332371.039999999"/>
    <n v="0"/>
    <n v="0"/>
    <n v="0"/>
    <n v="0"/>
    <n v="0"/>
    <n v="0"/>
    <n v="0"/>
    <n v="0"/>
    <n v="0"/>
    <n v="0"/>
    <n v="0"/>
    <n v="0"/>
    <n v="0"/>
    <n v="0"/>
    <n v="0"/>
    <n v="0"/>
  </r>
  <r>
    <n v="23"/>
    <s v="Cámara climatica Calibración de termohigrómetros"/>
    <m/>
    <m/>
    <n v="0"/>
    <x v="0"/>
    <x v="0"/>
    <n v="150260000"/>
    <n v="0"/>
    <n v="0"/>
    <n v="0"/>
    <n v="0"/>
    <n v="0"/>
    <n v="0"/>
    <m/>
    <n v="0"/>
    <n v="0"/>
    <n v="0"/>
    <n v="0"/>
    <n v="0"/>
    <n v="0"/>
    <n v="0"/>
    <m/>
    <n v="0"/>
    <m/>
    <n v="0"/>
    <n v="0"/>
  </r>
  <r>
    <n v="24"/>
    <s v="Cámara compatible con estereo-microscopio NIKON"/>
    <m/>
    <m/>
    <n v="0"/>
    <x v="0"/>
    <x v="0"/>
    <n v="81741440"/>
    <n v="0"/>
    <n v="0"/>
    <n v="0"/>
    <n v="0"/>
    <n v="0"/>
    <n v="0"/>
    <m/>
    <n v="0"/>
    <n v="0"/>
    <n v="0"/>
    <n v="0"/>
    <n v="0"/>
    <n v="0"/>
    <n v="0"/>
    <m/>
    <n v="0"/>
    <m/>
    <n v="0"/>
    <n v="0"/>
  </r>
  <r>
    <n v="25"/>
    <s v="Cámara de exposición UV"/>
    <m/>
    <m/>
    <n v="1"/>
    <x v="0"/>
    <x v="0"/>
    <n v="40870720"/>
    <n v="40870720"/>
    <n v="0"/>
    <n v="0"/>
    <n v="1"/>
    <n v="40870720"/>
    <n v="0"/>
    <m/>
    <n v="0"/>
    <n v="0"/>
    <n v="0"/>
    <n v="0"/>
    <n v="0"/>
    <n v="0"/>
    <n v="0"/>
    <m/>
    <n v="0"/>
    <m/>
    <n v="0"/>
    <n v="0"/>
  </r>
  <r>
    <n v="26"/>
    <s v="Camara de Fumigación"/>
    <m/>
    <m/>
    <n v="1"/>
    <x v="0"/>
    <x v="0"/>
    <n v="360624000"/>
    <n v="360624000"/>
    <n v="0"/>
    <n v="0"/>
    <n v="1"/>
    <n v="360624000"/>
    <n v="0"/>
    <m/>
    <n v="0"/>
    <n v="0"/>
    <n v="0"/>
    <n v="0"/>
    <n v="0"/>
    <n v="0"/>
    <n v="0"/>
    <m/>
    <n v="0"/>
    <m/>
    <n v="0"/>
    <n v="0"/>
  </r>
  <r>
    <n v="27"/>
    <s v="Centrifuga de mesa no refrigerada"/>
    <s v="Thermo Scientific- Sorvall"/>
    <s v="75009240_x000a_75003181 075003655+ 75003656+ 75003682"/>
    <n v="0"/>
    <x v="0"/>
    <x v="1"/>
    <n v="64891556.799999997"/>
    <n v="0"/>
    <n v="0"/>
    <n v="0"/>
    <n v="0"/>
    <n v="0"/>
    <n v="0"/>
    <n v="0"/>
    <n v="0"/>
    <n v="0"/>
    <n v="0"/>
    <n v="0"/>
    <n v="0"/>
    <n v="0"/>
    <n v="0"/>
    <n v="0"/>
    <n v="0"/>
    <n v="0"/>
    <n v="0"/>
    <n v="0"/>
  </r>
  <r>
    <n v="28"/>
    <s v="Centrífuga de mesa no refrigerada"/>
    <m/>
    <m/>
    <n v="0"/>
    <x v="0"/>
    <x v="3"/>
    <n v="16365321.4736"/>
    <n v="0"/>
    <n v="0"/>
    <n v="0"/>
    <n v="0"/>
    <n v="0"/>
    <n v="0"/>
    <m/>
    <n v="0"/>
    <n v="0"/>
    <n v="0"/>
    <n v="0"/>
    <n v="0"/>
    <n v="0"/>
    <n v="0"/>
    <m/>
    <n v="0"/>
    <m/>
    <n v="0"/>
    <n v="0"/>
  </r>
  <r>
    <n v="29"/>
    <s v="Centrífuga de mesa refrigerada "/>
    <s v="THERMO SCIENTIFIC"/>
    <s v="75009381 +   75003652 +   75003694  +  75005808"/>
    <n v="0"/>
    <x v="0"/>
    <x v="1"/>
    <n v="111707108.8"/>
    <n v="0"/>
    <n v="0"/>
    <n v="0"/>
    <n v="0"/>
    <n v="0"/>
    <n v="0"/>
    <n v="0"/>
    <n v="0"/>
    <n v="0"/>
    <n v="0"/>
    <n v="0"/>
    <n v="0"/>
    <n v="0"/>
    <n v="0"/>
    <n v="0"/>
    <n v="0"/>
    <n v="0"/>
    <n v="0"/>
    <n v="0"/>
  </r>
  <r>
    <n v="30"/>
    <s v="Centrífuga de mesa refrigerada (nivel 3) _x000a_Rotores para tubos de 50 y de 10 "/>
    <m/>
    <m/>
    <n v="2"/>
    <x v="0"/>
    <x v="0"/>
    <n v="96166400"/>
    <n v="192332800"/>
    <n v="0"/>
    <n v="0"/>
    <n v="0"/>
    <n v="0"/>
    <n v="1"/>
    <m/>
    <n v="0"/>
    <n v="0"/>
    <n v="0"/>
    <n v="0"/>
    <n v="0"/>
    <n v="0"/>
    <n v="1"/>
    <m/>
    <n v="0"/>
    <m/>
    <n v="0"/>
    <n v="0"/>
  </r>
  <r>
    <n v="31"/>
    <s v="Centrífuga de mesa refrigerada molecular"/>
    <m/>
    <m/>
    <n v="2"/>
    <x v="0"/>
    <x v="0"/>
    <n v="136767682.5104"/>
    <n v="273535365.02079999"/>
    <n v="1"/>
    <n v="136767682.5104"/>
    <n v="0"/>
    <n v="0"/>
    <n v="0"/>
    <m/>
    <n v="0"/>
    <n v="0"/>
    <n v="0"/>
    <n v="0"/>
    <n v="0"/>
    <n v="0"/>
    <n v="1"/>
    <m/>
    <n v="0"/>
    <m/>
    <n v="0"/>
    <n v="0"/>
  </r>
  <r>
    <n v="32"/>
    <s v="Centrífuga de mesa refrigerada para placas "/>
    <m/>
    <m/>
    <n v="1"/>
    <x v="0"/>
    <x v="0"/>
    <n v="39394572.316799998"/>
    <n v="39394572.316799998"/>
    <n v="0"/>
    <n v="0"/>
    <n v="0"/>
    <n v="0"/>
    <n v="0"/>
    <m/>
    <n v="0"/>
    <n v="0"/>
    <n v="0"/>
    <n v="0"/>
    <n v="1"/>
    <n v="39394572.316799998"/>
    <n v="0"/>
    <m/>
    <n v="0"/>
    <m/>
    <n v="0"/>
    <n v="0"/>
  </r>
  <r>
    <n v="33"/>
    <s v="Centrifuga de piso refrigerada"/>
    <m/>
    <m/>
    <n v="0"/>
    <x v="0"/>
    <x v="0"/>
    <n v="264457600"/>
    <n v="0"/>
    <n v="0"/>
    <n v="0"/>
    <n v="0"/>
    <n v="0"/>
    <n v="0"/>
    <m/>
    <n v="0"/>
    <n v="0"/>
    <n v="0"/>
    <n v="0"/>
    <n v="0"/>
    <n v="0"/>
    <n v="0"/>
    <m/>
    <n v="0"/>
    <m/>
    <n v="0"/>
    <n v="0"/>
  </r>
  <r>
    <n v="34"/>
    <s v="Centrífuga de placas"/>
    <s v="VWR"/>
    <s v="89184-608_x000a_89184-608+89184-612"/>
    <n v="0"/>
    <x v="0"/>
    <x v="1"/>
    <n v="32120670.399999999"/>
    <n v="0"/>
    <n v="0"/>
    <n v="0"/>
    <n v="0"/>
    <n v="0"/>
    <n v="0"/>
    <n v="0"/>
    <n v="0"/>
    <n v="0"/>
    <n v="0"/>
    <n v="0"/>
    <n v="0"/>
    <n v="0"/>
    <n v="0"/>
    <n v="0"/>
    <n v="0"/>
    <n v="0"/>
    <n v="0"/>
    <n v="0"/>
  </r>
  <r>
    <n v="35"/>
    <s v="Conductivimetro pórtatil"/>
    <m/>
    <m/>
    <n v="0"/>
    <x v="0"/>
    <x v="0"/>
    <n v="3606240"/>
    <n v="0"/>
    <n v="0"/>
    <n v="0"/>
    <n v="0"/>
    <n v="0"/>
    <n v="0"/>
    <m/>
    <n v="0"/>
    <n v="0"/>
    <n v="0"/>
    <n v="0"/>
    <n v="0"/>
    <n v="0"/>
    <n v="0"/>
    <m/>
    <n v="0"/>
    <m/>
    <n v="0"/>
    <n v="0"/>
  </r>
  <r>
    <n v="36"/>
    <s v="Congelador de alto rendimiento para laboratorio "/>
    <s v="PHCBI "/>
    <s v="MDF-U731-PA "/>
    <n v="5"/>
    <x v="0"/>
    <x v="1"/>
    <n v="71003587.200000003"/>
    <n v="355017936"/>
    <n v="1"/>
    <n v="71003587.200000003"/>
    <n v="0"/>
    <n v="0"/>
    <n v="1"/>
    <n v="71003587.200000003"/>
    <n v="0"/>
    <n v="0"/>
    <n v="3"/>
    <n v="213010761.60000002"/>
    <n v="0"/>
    <n v="0"/>
    <n v="0"/>
    <n v="0"/>
    <n v="0"/>
    <n v="0"/>
    <n v="0"/>
    <n v="0"/>
  </r>
  <r>
    <n v="37"/>
    <s v="Contador de colonias digital con luz LED"/>
    <m/>
    <m/>
    <n v="0"/>
    <x v="0"/>
    <x v="3"/>
    <n v="16648723.8544"/>
    <n v="0"/>
    <n v="0"/>
    <n v="0"/>
    <n v="0"/>
    <n v="0"/>
    <n v="0"/>
    <n v="0"/>
    <n v="0"/>
    <n v="0"/>
    <n v="0"/>
    <n v="0"/>
    <n v="0"/>
    <n v="0"/>
    <n v="0"/>
    <n v="0"/>
    <n v="0"/>
    <n v="0"/>
    <n v="0"/>
    <n v="0"/>
  </r>
  <r>
    <n v="38"/>
    <s v="Cromatografo GC-MS/MS "/>
    <m/>
    <m/>
    <n v="0"/>
    <x v="0"/>
    <x v="0"/>
    <n v="1803120000"/>
    <n v="0"/>
    <n v="0"/>
    <n v="0"/>
    <n v="0"/>
    <n v="0"/>
    <n v="0"/>
    <m/>
    <n v="0"/>
    <n v="0"/>
    <n v="0"/>
    <n v="0"/>
    <n v="0"/>
    <n v="0"/>
    <n v="0"/>
    <m/>
    <n v="0"/>
    <m/>
    <n v="0"/>
    <n v="0"/>
  </r>
  <r>
    <n v="39"/>
    <s v="Cromatografo LC-MS/MS "/>
    <m/>
    <m/>
    <n v="1"/>
    <x v="0"/>
    <x v="0"/>
    <n v="2404160000"/>
    <n v="2404160000"/>
    <n v="0"/>
    <n v="0"/>
    <n v="0"/>
    <n v="0"/>
    <n v="1"/>
    <m/>
    <n v="0"/>
    <n v="0"/>
    <n v="0"/>
    <n v="0"/>
    <n v="0"/>
    <n v="0"/>
    <n v="0"/>
    <m/>
    <n v="0"/>
    <m/>
    <n v="0"/>
    <n v="0"/>
  </r>
  <r>
    <n v="40"/>
    <s v="Cromotografo líquido  con detector DAD de alta resolución"/>
    <m/>
    <m/>
    <n v="0"/>
    <x v="0"/>
    <x v="0"/>
    <n v="737262555.62240005"/>
    <n v="0"/>
    <n v="0"/>
    <n v="0"/>
    <n v="0"/>
    <n v="0"/>
    <n v="0"/>
    <m/>
    <n v="0"/>
    <n v="0"/>
    <n v="0"/>
    <n v="0"/>
    <n v="0"/>
    <n v="0"/>
    <n v="0"/>
    <m/>
    <n v="0"/>
    <m/>
    <n v="0"/>
    <n v="0"/>
  </r>
  <r>
    <n v="41"/>
    <s v="Cromotografo líquido UPLC"/>
    <m/>
    <m/>
    <n v="0"/>
    <x v="0"/>
    <x v="0"/>
    <n v="1202080000"/>
    <n v="0"/>
    <n v="0"/>
    <n v="0"/>
    <n v="0"/>
    <n v="0"/>
    <n v="0"/>
    <m/>
    <n v="0"/>
    <n v="0"/>
    <n v="0"/>
    <n v="0"/>
    <n v="0"/>
    <n v="0"/>
    <n v="0"/>
    <m/>
    <n v="0"/>
    <m/>
    <n v="0"/>
    <n v="0"/>
  </r>
  <r>
    <n v="42"/>
    <s v="Cuantificador de ácidos nucléicos y proteinas por espectofotometría"/>
    <s v="THERMO-SCIENTIFIC NANODROP"/>
    <s v="912A1099"/>
    <n v="3"/>
    <x v="0"/>
    <x v="2"/>
    <n v="112145212.31999999"/>
    <n v="336435636.95999998"/>
    <n v="1"/>
    <n v="112145212.31999999"/>
    <n v="2"/>
    <n v="224290424.63999999"/>
    <n v="0"/>
    <n v="0"/>
    <n v="0"/>
    <n v="0"/>
    <n v="0"/>
    <n v="0"/>
    <n v="0"/>
    <n v="0"/>
    <n v="0"/>
    <n v="0"/>
    <n v="0"/>
    <n v="0"/>
    <n v="0"/>
    <n v="0"/>
  </r>
  <r>
    <n v="43"/>
    <s v="Cuarto congelador de -20°C"/>
    <m/>
    <m/>
    <n v="1"/>
    <x v="0"/>
    <x v="0"/>
    <n v="360624000"/>
    <n v="360624000"/>
    <n v="0"/>
    <n v="0"/>
    <n v="0"/>
    <n v="0"/>
    <n v="1"/>
    <m/>
    <n v="0"/>
    <n v="0"/>
    <n v="0"/>
    <n v="0"/>
    <n v="0"/>
    <n v="0"/>
    <n v="0"/>
    <m/>
    <n v="0"/>
    <m/>
    <n v="0"/>
    <n v="0"/>
  </r>
  <r>
    <n v="44"/>
    <s v="Cuarto congelador de -30°C"/>
    <m/>
    <m/>
    <n v="0"/>
    <x v="0"/>
    <x v="0"/>
    <n v="721248000"/>
    <n v="0"/>
    <n v="0"/>
    <n v="0"/>
    <n v="0"/>
    <n v="0"/>
    <n v="0"/>
    <m/>
    <n v="0"/>
    <n v="0"/>
    <n v="0"/>
    <n v="0"/>
    <n v="0"/>
    <n v="0"/>
    <n v="0"/>
    <m/>
    <n v="0"/>
    <m/>
    <n v="0"/>
    <n v="0"/>
  </r>
  <r>
    <n v="45"/>
    <s v="Cuarto de Germinación"/>
    <s v="TEMPING "/>
    <s v="SM-AC 20A45"/>
    <n v="0"/>
    <x v="0"/>
    <x v="1"/>
    <n v="191163504"/>
    <n v="0"/>
    <n v="0"/>
    <n v="0"/>
    <n v="0"/>
    <n v="0"/>
    <n v="0"/>
    <n v="0"/>
    <n v="0"/>
    <n v="0"/>
    <n v="0"/>
    <n v="0"/>
    <n v="0"/>
    <n v="0"/>
    <n v="0"/>
    <n v="0"/>
    <n v="0"/>
    <n v="0"/>
    <n v="0"/>
    <n v="0"/>
  </r>
  <r>
    <n v="46"/>
    <s v="Cuarto frío"/>
    <m/>
    <m/>
    <n v="3"/>
    <x v="0"/>
    <x v="0"/>
    <n v="360624000"/>
    <n v="1081872000"/>
    <n v="0"/>
    <n v="0"/>
    <n v="0"/>
    <n v="0"/>
    <n v="0"/>
    <m/>
    <n v="0"/>
    <n v="0"/>
    <n v="0"/>
    <n v="0"/>
    <n v="0"/>
    <n v="0"/>
    <n v="3"/>
    <m/>
    <n v="0"/>
    <m/>
    <n v="0"/>
    <n v="0"/>
  </r>
  <r>
    <n v="47"/>
    <s v="Datalogger inalámbricos para validación de autoclaves con 4 sensores de temperatura y uno de presión"/>
    <s v="MAGDETECH "/>
    <s v="AVS140-6"/>
    <n v="0"/>
    <x v="0"/>
    <x v="1"/>
    <n v="86478728"/>
    <n v="0"/>
    <n v="0"/>
    <n v="0"/>
    <n v="0"/>
    <n v="0"/>
    <n v="0"/>
    <n v="0"/>
    <n v="0"/>
    <n v="0"/>
    <n v="0"/>
    <n v="0"/>
    <n v="0"/>
    <n v="0"/>
    <n v="0"/>
    <n v="0"/>
    <n v="0"/>
    <n v="0"/>
    <n v="0"/>
    <n v="0"/>
  </r>
  <r>
    <n v="48"/>
    <s v="Densimetro con automuestrador "/>
    <m/>
    <m/>
    <n v="1"/>
    <x v="0"/>
    <x v="0"/>
    <n v="163482880"/>
    <n v="163482880"/>
    <n v="0"/>
    <n v="0"/>
    <n v="0"/>
    <n v="0"/>
    <n v="1"/>
    <m/>
    <n v="0"/>
    <n v="0"/>
    <n v="0"/>
    <n v="0"/>
    <n v="0"/>
    <n v="0"/>
    <n v="0"/>
    <m/>
    <n v="0"/>
    <m/>
    <n v="0"/>
    <n v="0"/>
  </r>
  <r>
    <n v="49"/>
    <s v="Descascarador de arroz"/>
    <m/>
    <m/>
    <n v="1"/>
    <x v="0"/>
    <x v="0"/>
    <n v="24041600"/>
    <n v="24041600"/>
    <n v="0"/>
    <n v="0"/>
    <n v="0"/>
    <n v="0"/>
    <n v="0"/>
    <m/>
    <n v="1"/>
    <n v="24041600"/>
    <n v="0"/>
    <n v="0"/>
    <n v="0"/>
    <n v="0"/>
    <n v="0"/>
    <m/>
    <n v="0"/>
    <m/>
    <n v="0"/>
    <n v="0"/>
  </r>
  <r>
    <n v="50"/>
    <s v="Dispensador de parafina para histotecnia con 5 litros de capacidad"/>
    <m/>
    <m/>
    <n v="0"/>
    <x v="0"/>
    <x v="0"/>
    <n v="19233280"/>
    <n v="0"/>
    <n v="0"/>
    <n v="0"/>
    <n v="0"/>
    <n v="0"/>
    <n v="0"/>
    <m/>
    <n v="0"/>
    <n v="0"/>
    <n v="0"/>
    <n v="0"/>
    <n v="0"/>
    <n v="0"/>
    <n v="0"/>
    <m/>
    <n v="0"/>
    <m/>
    <n v="0"/>
    <n v="0"/>
  </r>
  <r>
    <n v="51"/>
    <s v="Enfriador de agua para fisicoquimicos "/>
    <m/>
    <m/>
    <n v="1"/>
    <x v="0"/>
    <x v="0"/>
    <n v="81741440"/>
    <n v="81741440"/>
    <n v="0"/>
    <n v="0"/>
    <n v="0"/>
    <n v="0"/>
    <n v="0"/>
    <m/>
    <n v="0"/>
    <n v="0"/>
    <n v="0"/>
    <n v="0"/>
    <n v="0"/>
    <n v="0"/>
    <n v="1"/>
    <m/>
    <n v="0"/>
    <m/>
    <n v="0"/>
    <n v="0"/>
  </r>
  <r>
    <n v="52"/>
    <s v="Equipo automatizado para detección de patogenos con inmunoensayo"/>
    <m/>
    <m/>
    <n v="1"/>
    <x v="0"/>
    <x v="0"/>
    <n v="80867200"/>
    <n v="80867200"/>
    <n v="0"/>
    <n v="0"/>
    <n v="0"/>
    <n v="0"/>
    <n v="0"/>
    <m/>
    <n v="0"/>
    <n v="0"/>
    <n v="0"/>
    <n v="0"/>
    <n v="0"/>
    <n v="0"/>
    <n v="1"/>
    <m/>
    <n v="0"/>
    <m/>
    <n v="0"/>
    <n v="0"/>
  </r>
  <r>
    <n v="53"/>
    <s v="Equipo automatizado para determinación de ID/AST"/>
    <m/>
    <m/>
    <n v="1"/>
    <x v="0"/>
    <x v="0"/>
    <n v="177033600"/>
    <n v="177033600"/>
    <n v="0"/>
    <n v="0"/>
    <n v="0"/>
    <n v="0"/>
    <n v="0"/>
    <m/>
    <n v="0"/>
    <n v="0"/>
    <n v="0"/>
    <n v="0"/>
    <n v="0"/>
    <n v="0"/>
    <n v="1"/>
    <m/>
    <n v="0"/>
    <m/>
    <n v="0"/>
    <n v="0"/>
  </r>
  <r>
    <n v="54"/>
    <s v="Equipo automatizado para recuento de indicadores de calidad para alimentos"/>
    <m/>
    <m/>
    <n v="1"/>
    <x v="0"/>
    <x v="0"/>
    <n v="156270400"/>
    <n v="156270400"/>
    <n v="0"/>
    <n v="0"/>
    <n v="0"/>
    <n v="0"/>
    <n v="0"/>
    <m/>
    <n v="0"/>
    <n v="0"/>
    <n v="0"/>
    <n v="0"/>
    <n v="0"/>
    <n v="0"/>
    <n v="1"/>
    <m/>
    <n v="0"/>
    <m/>
    <n v="0"/>
    <n v="0"/>
  </r>
  <r>
    <n v="55"/>
    <s v="Equipo de dilución automatizado "/>
    <m/>
    <m/>
    <n v="1"/>
    <x v="0"/>
    <x v="0"/>
    <n v="27320000"/>
    <n v="27320000"/>
    <n v="0"/>
    <n v="0"/>
    <n v="0"/>
    <n v="0"/>
    <n v="0"/>
    <m/>
    <n v="0"/>
    <n v="0"/>
    <n v="0"/>
    <n v="0"/>
    <n v="0"/>
    <n v="0"/>
    <n v="1"/>
    <m/>
    <n v="0"/>
    <m/>
    <n v="0"/>
    <n v="0"/>
  </r>
  <r>
    <n v="56"/>
    <s v="Equipo de Filtración al vacio con bomba "/>
    <m/>
    <m/>
    <n v="1"/>
    <x v="0"/>
    <x v="0"/>
    <n v="9616640"/>
    <n v="9616640"/>
    <n v="0"/>
    <n v="0"/>
    <n v="0"/>
    <n v="0"/>
    <n v="1"/>
    <m/>
    <n v="0"/>
    <n v="0"/>
    <n v="0"/>
    <n v="0"/>
    <n v="0"/>
    <n v="0"/>
    <n v="0"/>
    <m/>
    <n v="0"/>
    <m/>
    <n v="0"/>
    <n v="0"/>
  </r>
  <r>
    <n v="57"/>
    <s v="Equipo de Rayos X para semillas"/>
    <m/>
    <m/>
    <n v="0"/>
    <x v="0"/>
    <x v="0"/>
    <n v="60104000"/>
    <n v="0"/>
    <n v="0"/>
    <n v="0"/>
    <n v="0"/>
    <n v="0"/>
    <n v="0"/>
    <m/>
    <n v="0"/>
    <n v="0"/>
    <n v="0"/>
    <n v="0"/>
    <n v="0"/>
    <n v="0"/>
    <n v="0"/>
    <m/>
    <n v="0"/>
    <m/>
    <n v="0"/>
    <n v="0"/>
  </r>
  <r>
    <n v="58"/>
    <s v="Equipo serotipificacion de salmonella "/>
    <m/>
    <m/>
    <n v="0"/>
    <x v="0"/>
    <x v="0"/>
    <n v="240416000"/>
    <n v="0"/>
    <n v="0"/>
    <n v="0"/>
    <n v="0"/>
    <n v="0"/>
    <n v="0"/>
    <m/>
    <n v="0"/>
    <n v="0"/>
    <n v="0"/>
    <n v="0"/>
    <n v="0"/>
    <n v="0"/>
    <n v="0"/>
    <m/>
    <n v="0"/>
    <m/>
    <n v="0"/>
    <n v="0"/>
  </r>
  <r>
    <n v="59"/>
    <s v="Espectrofotómetro de emisión con plasma acoplado inductivamente ICP-OES"/>
    <s v="Agilent"/>
    <s v="Agilent 5800"/>
    <n v="0"/>
    <x v="0"/>
    <x v="4"/>
    <n v="1150882320"/>
    <n v="0"/>
    <n v="0"/>
    <n v="0"/>
    <n v="0"/>
    <n v="0"/>
    <n v="0"/>
    <n v="0"/>
    <n v="0"/>
    <n v="0"/>
    <n v="0"/>
    <n v="0"/>
    <n v="0"/>
    <n v="0"/>
    <n v="0"/>
    <n v="0"/>
    <n v="0"/>
    <n v="0"/>
    <n v="0"/>
    <n v="0"/>
  </r>
  <r>
    <n v="60"/>
    <s v="Espectrofotometro UV"/>
    <m/>
    <m/>
    <n v="0"/>
    <x v="0"/>
    <x v="0"/>
    <n v="163482880"/>
    <n v="0"/>
    <n v="0"/>
    <n v="0"/>
    <n v="0"/>
    <n v="0"/>
    <n v="0"/>
    <m/>
    <n v="0"/>
    <n v="0"/>
    <n v="0"/>
    <n v="0"/>
    <n v="0"/>
    <n v="0"/>
    <n v="0"/>
    <m/>
    <n v="0"/>
    <m/>
    <n v="0"/>
    <n v="0"/>
  </r>
  <r>
    <n v="61"/>
    <s v="Estación de trabajo protectora"/>
    <s v="LABCONCO"/>
    <s v="3930001 + KIT"/>
    <n v="1"/>
    <x v="0"/>
    <x v="1"/>
    <n v="94541406.400000006"/>
    <n v="94541406.400000006"/>
    <n v="1"/>
    <n v="94541406.400000006"/>
    <n v="0"/>
    <n v="0"/>
    <n v="0"/>
    <n v="0"/>
    <n v="0"/>
    <n v="0"/>
    <n v="0"/>
    <n v="0"/>
    <n v="0"/>
    <n v="0"/>
    <n v="0"/>
    <n v="0"/>
    <n v="0"/>
    <n v="0"/>
    <n v="0"/>
    <n v="0"/>
  </r>
  <r>
    <n v="62"/>
    <s v="Estereo-microscopio"/>
    <m/>
    <m/>
    <n v="6"/>
    <x v="0"/>
    <x v="3"/>
    <n v="158212443.29280001"/>
    <n v="949274659.75680006"/>
    <n v="4"/>
    <n v="632849773.17120004"/>
    <n v="2"/>
    <n v="316424886.58560002"/>
    <n v="0"/>
    <n v="0"/>
    <n v="0"/>
    <n v="0"/>
    <n v="0"/>
    <n v="0"/>
    <n v="0"/>
    <n v="0"/>
    <n v="0"/>
    <n v="0"/>
    <n v="0"/>
    <n v="0"/>
    <n v="0"/>
    <n v="0"/>
  </r>
  <r>
    <n v="63"/>
    <s v="Evaporador de Nitrogeno"/>
    <s v="THERMO SCIENTIFIC  "/>
    <s v=" TS-18826  + TS-18817 "/>
    <n v="1"/>
    <x v="0"/>
    <x v="1"/>
    <n v="46945595.200000003"/>
    <n v="46945595.200000003"/>
    <n v="0"/>
    <n v="0"/>
    <n v="0"/>
    <n v="0"/>
    <n v="1"/>
    <n v="46945595.200000003"/>
    <n v="0"/>
    <n v="0"/>
    <n v="0"/>
    <n v="0"/>
    <n v="0"/>
    <n v="0"/>
    <n v="0"/>
    <n v="0"/>
    <n v="0"/>
    <n v="0"/>
    <n v="0"/>
    <n v="0"/>
  </r>
  <r>
    <n v="64"/>
    <s v="Firbetec"/>
    <m/>
    <m/>
    <n v="0"/>
    <x v="0"/>
    <x v="0"/>
    <n v="217576480"/>
    <n v="0"/>
    <n v="0"/>
    <n v="0"/>
    <n v="0"/>
    <n v="0"/>
    <n v="0"/>
    <m/>
    <n v="0"/>
    <n v="0"/>
    <n v="0"/>
    <n v="0"/>
    <n v="0"/>
    <n v="0"/>
    <n v="0"/>
    <m/>
    <n v="0"/>
    <m/>
    <n v="0"/>
    <n v="0"/>
  </r>
  <r>
    <n v="65"/>
    <s v="Fitotrón"/>
    <m/>
    <m/>
    <n v="0"/>
    <x v="0"/>
    <x v="0"/>
    <n v="120208000"/>
    <n v="0"/>
    <n v="0"/>
    <n v="0"/>
    <n v="0"/>
    <n v="0"/>
    <n v="0"/>
    <m/>
    <n v="0"/>
    <n v="0"/>
    <n v="0"/>
    <n v="0"/>
    <n v="0"/>
    <n v="0"/>
    <n v="0"/>
    <m/>
    <n v="0"/>
    <m/>
    <n v="0"/>
    <n v="0"/>
  </r>
  <r>
    <n v="66"/>
    <s v="Germinador"/>
    <m/>
    <m/>
    <n v="2"/>
    <x v="0"/>
    <x v="0"/>
    <n v="68518560"/>
    <n v="137037120"/>
    <n v="0"/>
    <n v="0"/>
    <n v="0"/>
    <n v="0"/>
    <n v="0"/>
    <m/>
    <n v="2"/>
    <n v="137037120"/>
    <n v="0"/>
    <n v="0"/>
    <n v="0"/>
    <n v="0"/>
    <n v="0"/>
    <m/>
    <n v="0"/>
    <m/>
    <n v="0"/>
    <n v="0"/>
  </r>
  <r>
    <n v="67"/>
    <s v="Homogeneizador de tejidos"/>
    <s v="Spex Sample Prep"/>
    <s v="Geno Grinder 2010"/>
    <n v="1"/>
    <x v="0"/>
    <x v="5"/>
    <n v="137845792"/>
    <n v="137845792"/>
    <n v="0"/>
    <n v="0"/>
    <n v="1"/>
    <n v="137845792"/>
    <n v="0"/>
    <n v="0"/>
    <n v="0"/>
    <n v="0"/>
    <n v="0"/>
    <n v="0"/>
    <n v="0"/>
    <n v="0"/>
    <n v="0"/>
    <n v="0"/>
    <n v="0"/>
    <n v="0"/>
    <n v="0"/>
    <n v="0"/>
  </r>
  <r>
    <n v="68"/>
    <s v="Horno de secado"/>
    <s v="MEMMERT"/>
    <s v="UN160"/>
    <n v="4"/>
    <x v="0"/>
    <x v="1"/>
    <n v="28154352.800000001"/>
    <n v="112617411.2"/>
    <n v="0"/>
    <n v="0"/>
    <n v="1"/>
    <n v="28154352.800000001"/>
    <n v="1"/>
    <n v="28154352.800000001"/>
    <n v="0"/>
    <n v="0"/>
    <n v="1"/>
    <n v="28154352.800000001"/>
    <n v="0"/>
    <n v="0"/>
    <n v="1"/>
    <n v="28154352.800000001"/>
    <n v="0"/>
    <n v="0"/>
    <n v="0"/>
    <n v="0"/>
  </r>
  <r>
    <n v="69"/>
    <s v="Incubadora  de Convección dual"/>
    <m/>
    <m/>
    <n v="3"/>
    <x v="0"/>
    <x v="3"/>
    <n v="33655127.705600001"/>
    <n v="100965383.11680001"/>
    <n v="1"/>
    <n v="33655127.705600001"/>
    <n v="1"/>
    <n v="33655127.705600001"/>
    <n v="0"/>
    <n v="0"/>
    <n v="0"/>
    <n v="0"/>
    <n v="0"/>
    <n v="0"/>
    <n v="1"/>
    <n v="33655127.705600001"/>
    <n v="0"/>
    <n v="0"/>
    <n v="0"/>
    <n v="0"/>
    <n v="0"/>
    <n v="0"/>
  </r>
  <r>
    <n v="70"/>
    <s v="Incubadora  de Convección natural"/>
    <s v="BINDER"/>
    <s v="9010-0326"/>
    <n v="1"/>
    <x v="0"/>
    <x v="1"/>
    <n v="27179028.800000001"/>
    <n v="27179028.800000001"/>
    <n v="0"/>
    <n v="0"/>
    <n v="1"/>
    <n v="27179028.800000001"/>
    <n v="0"/>
    <n v="0"/>
    <n v="0"/>
    <n v="0"/>
    <n v="0"/>
    <n v="0"/>
    <n v="0"/>
    <n v="0"/>
    <n v="0"/>
    <n v="0"/>
    <n v="0"/>
    <n v="0"/>
    <n v="0"/>
    <n v="0"/>
  </r>
  <r>
    <n v="71"/>
    <s v="Lavador automático de Microplacas de ELISA"/>
    <s v="Agilent Biotek"/>
    <s v="50 TS"/>
    <n v="0"/>
    <x v="0"/>
    <x v="1"/>
    <n v="77245660.799999997"/>
    <n v="0"/>
    <n v="0"/>
    <n v="0"/>
    <n v="0"/>
    <n v="0"/>
    <n v="0"/>
    <n v="0"/>
    <n v="0"/>
    <n v="0"/>
    <n v="0"/>
    <n v="0"/>
    <n v="0"/>
    <n v="0"/>
    <n v="0"/>
    <n v="0"/>
    <n v="0"/>
    <n v="0"/>
    <n v="0"/>
    <n v="0"/>
  </r>
  <r>
    <n v="72"/>
    <s v="Lector de Mircoplacas de ELISA con incubación"/>
    <s v="BIOTEK "/>
    <s v=" 800TSI "/>
    <n v="0"/>
    <x v="0"/>
    <x v="1"/>
    <n v="71393716.799999997"/>
    <n v="0"/>
    <n v="0"/>
    <n v="0"/>
    <n v="0"/>
    <n v="0"/>
    <n v="0"/>
    <n v="0"/>
    <n v="0"/>
    <n v="0"/>
    <n v="0"/>
    <n v="0"/>
    <n v="0"/>
    <n v="0"/>
    <n v="0"/>
    <n v="0"/>
    <n v="0"/>
    <n v="0"/>
    <n v="0"/>
    <n v="0"/>
  </r>
  <r>
    <n v="73"/>
    <s v="Lector Híbrido multimodal con módulo de dispensado dual"/>
    <s v="BIOTEK "/>
    <s v=" SH1F "/>
    <n v="0"/>
    <x v="0"/>
    <x v="1"/>
    <n v="290906638.39999998"/>
    <n v="0"/>
    <n v="0"/>
    <n v="0"/>
    <n v="0"/>
    <n v="0"/>
    <n v="0"/>
    <n v="0"/>
    <n v="0"/>
    <n v="0"/>
    <n v="0"/>
    <n v="0"/>
    <n v="0"/>
    <n v="0"/>
    <n v="0"/>
    <n v="0"/>
    <n v="0"/>
    <n v="0"/>
    <n v="0"/>
    <n v="0"/>
  </r>
  <r>
    <n v="74"/>
    <s v="Liofilizador "/>
    <m/>
    <m/>
    <n v="2"/>
    <x v="0"/>
    <x v="0"/>
    <n v="144249600"/>
    <n v="288499200"/>
    <n v="0"/>
    <n v="0"/>
    <n v="1"/>
    <n v="144249600"/>
    <n v="0"/>
    <m/>
    <n v="0"/>
    <n v="0"/>
    <n v="0"/>
    <n v="0"/>
    <n v="1"/>
    <n v="144249600"/>
    <n v="0"/>
    <m/>
    <n v="0"/>
    <m/>
    <n v="0"/>
    <n v="0"/>
  </r>
  <r>
    <n v="75"/>
    <s v="Medidor de CO2"/>
    <m/>
    <m/>
    <n v="0"/>
    <x v="0"/>
    <x v="0"/>
    <n v="9616640"/>
    <n v="0"/>
    <n v="0"/>
    <n v="0"/>
    <n v="0"/>
    <n v="0"/>
    <n v="0"/>
    <m/>
    <n v="0"/>
    <n v="0"/>
    <n v="0"/>
    <n v="0"/>
    <n v="0"/>
    <n v="0"/>
    <n v="0"/>
    <m/>
    <n v="0"/>
    <m/>
    <n v="0"/>
    <n v="0"/>
  </r>
  <r>
    <n v="76"/>
    <s v="Medidor de Gases (fosfina)"/>
    <m/>
    <m/>
    <n v="1"/>
    <x v="0"/>
    <x v="0"/>
    <n v="14424960"/>
    <n v="14424960"/>
    <n v="0"/>
    <n v="0"/>
    <n v="1"/>
    <n v="14424960"/>
    <n v="0"/>
    <m/>
    <n v="0"/>
    <n v="0"/>
    <n v="0"/>
    <n v="0"/>
    <n v="0"/>
    <n v="0"/>
    <n v="0"/>
    <m/>
    <n v="0"/>
    <m/>
    <n v="0"/>
    <n v="0"/>
  </r>
  <r>
    <n v="77"/>
    <s v="Microcentrífuga no refrigerada "/>
    <s v="THERMO SCIENTIFIC"/>
    <n v="75004081"/>
    <n v="2"/>
    <x v="0"/>
    <x v="1"/>
    <n v="8855941.9199999999"/>
    <n v="17711883.84"/>
    <n v="0"/>
    <n v="0"/>
    <n v="0"/>
    <n v="0"/>
    <n v="0"/>
    <n v="0"/>
    <n v="0"/>
    <n v="0"/>
    <n v="2"/>
    <n v="17711883.84"/>
    <n v="0"/>
    <n v="0"/>
    <n v="0"/>
    <n v="0"/>
    <n v="0"/>
    <n v="0"/>
    <n v="0"/>
    <n v="0"/>
  </r>
  <r>
    <n v="78"/>
    <s v="Microscopio de contraste de fases con cámara especializada"/>
    <m/>
    <m/>
    <n v="2"/>
    <x v="0"/>
    <x v="3"/>
    <n v="195472551"/>
    <n v="390945102"/>
    <n v="2"/>
    <n v="390945102"/>
    <n v="0"/>
    <n v="0"/>
    <n v="0"/>
    <n v="0"/>
    <n v="0"/>
    <n v="0"/>
    <n v="0"/>
    <n v="0"/>
    <n v="0"/>
    <n v="0"/>
    <n v="0"/>
    <n v="0"/>
    <n v="0"/>
    <n v="0"/>
    <n v="0"/>
    <n v="0"/>
  </r>
  <r>
    <n v="79"/>
    <s v="Microscopio de contraste de fases con técnica IC y cámara especializada"/>
    <m/>
    <m/>
    <n v="1"/>
    <x v="0"/>
    <x v="0"/>
    <n v="215019806.6464"/>
    <n v="215019806.6464"/>
    <n v="0"/>
    <n v="0"/>
    <n v="1"/>
    <n v="215019806.6464"/>
    <n v="0"/>
    <m/>
    <n v="0"/>
    <n v="0"/>
    <n v="0"/>
    <n v="0"/>
    <n v="0"/>
    <n v="0"/>
    <n v="0"/>
    <m/>
    <n v="0"/>
    <m/>
    <n v="0"/>
    <n v="0"/>
  </r>
  <r>
    <n v="80"/>
    <s v="Microscopio invertido de contraste fases"/>
    <m/>
    <m/>
    <n v="1"/>
    <x v="0"/>
    <x v="0"/>
    <n v="84145600"/>
    <n v="84145600"/>
    <n v="0"/>
    <n v="0"/>
    <n v="0"/>
    <n v="0"/>
    <n v="0"/>
    <m/>
    <n v="0"/>
    <n v="0"/>
    <n v="0"/>
    <n v="0"/>
    <n v="0"/>
    <n v="0"/>
    <n v="1"/>
    <m/>
    <n v="0"/>
    <m/>
    <n v="0"/>
    <n v="0"/>
  </r>
  <r>
    <n v="81"/>
    <s v="Microtomo electrónico motorizado"/>
    <m/>
    <m/>
    <n v="0"/>
    <x v="0"/>
    <x v="0"/>
    <n v="168291200"/>
    <n v="0"/>
    <n v="0"/>
    <n v="0"/>
    <n v="0"/>
    <n v="0"/>
    <n v="0"/>
    <m/>
    <n v="0"/>
    <n v="0"/>
    <n v="0"/>
    <n v="0"/>
    <n v="0"/>
    <n v="0"/>
    <n v="0"/>
    <m/>
    <n v="0"/>
    <m/>
    <n v="0"/>
    <n v="0"/>
  </r>
  <r>
    <n v="82"/>
    <s v="Patrón de masa Clase E2"/>
    <m/>
    <m/>
    <n v="1"/>
    <x v="0"/>
    <x v="0"/>
    <n v="39668640"/>
    <n v="39668640"/>
    <n v="0"/>
    <n v="0"/>
    <n v="1"/>
    <n v="39668640"/>
    <n v="0"/>
    <m/>
    <n v="0"/>
    <n v="0"/>
    <n v="0"/>
    <n v="0"/>
    <n v="0"/>
    <n v="0"/>
    <n v="0"/>
    <m/>
    <n v="0"/>
    <m/>
    <n v="0"/>
    <n v="0"/>
  </r>
  <r>
    <n v="83"/>
    <s v="Patrón de masa Clase F1"/>
    <m/>
    <m/>
    <n v="0"/>
    <x v="0"/>
    <x v="0"/>
    <n v="24041600"/>
    <n v="0"/>
    <n v="0"/>
    <n v="0"/>
    <n v="0"/>
    <n v="0"/>
    <n v="0"/>
    <m/>
    <n v="0"/>
    <n v="0"/>
    <n v="0"/>
    <n v="0"/>
    <n v="0"/>
    <n v="0"/>
    <n v="0"/>
    <m/>
    <n v="0"/>
    <m/>
    <n v="0"/>
    <n v="0"/>
  </r>
  <r>
    <n v="84"/>
    <s v="Placa de Imanes para Kits de aislamiento de ARN basado en perlas magneticas"/>
    <s v="INVITROGEN"/>
    <s v="AM10027"/>
    <n v="0"/>
    <x v="0"/>
    <x v="2"/>
    <n v="3299381.76"/>
    <n v="0"/>
    <n v="0"/>
    <n v="0"/>
    <n v="0"/>
    <n v="0"/>
    <n v="0"/>
    <n v="0"/>
    <n v="0"/>
    <n v="0"/>
    <n v="0"/>
    <n v="0"/>
    <n v="0"/>
    <n v="0"/>
    <n v="0"/>
    <n v="0"/>
    <n v="0"/>
    <n v="0"/>
    <n v="0"/>
    <n v="0"/>
  </r>
  <r>
    <n v="85"/>
    <s v="Plancha de calentamiento con agitación magnética"/>
    <s v="VELP"/>
    <s v="REF F20510551"/>
    <n v="5"/>
    <x v="0"/>
    <x v="1"/>
    <n v="5188723.68"/>
    <n v="25943618.399999999"/>
    <n v="1"/>
    <n v="5188723.68"/>
    <n v="0"/>
    <n v="0"/>
    <n v="4"/>
    <n v="20754894.719999999"/>
    <n v="0"/>
    <n v="0"/>
    <n v="0"/>
    <n v="0"/>
    <n v="0"/>
    <n v="0"/>
    <n v="0"/>
    <n v="0"/>
    <n v="0"/>
    <n v="0"/>
    <n v="0"/>
    <n v="0"/>
  </r>
  <r>
    <n v="86"/>
    <s v="Plancha de Calentamiento de cuatro puestos"/>
    <s v="VELP SCIENTIFICA"/>
    <s v="AM4 DIGITAL PRO SA20500425"/>
    <n v="0"/>
    <x v="0"/>
    <x v="2"/>
    <n v="23000478.511999998"/>
    <n v="0"/>
    <n v="0"/>
    <n v="0"/>
    <n v="0"/>
    <n v="0"/>
    <n v="0"/>
    <n v="0"/>
    <n v="0"/>
    <n v="0"/>
    <n v="0"/>
    <n v="0"/>
    <n v="0"/>
    <n v="0"/>
    <n v="0"/>
    <n v="0"/>
    <n v="0"/>
    <n v="0"/>
    <n v="0"/>
    <n v="0"/>
  </r>
  <r>
    <n v="87"/>
    <s v="Potenciómetro"/>
    <s v="THERMO SCIENTIFIC"/>
    <s v="ORION STARA2119"/>
    <n v="7"/>
    <x v="0"/>
    <x v="1"/>
    <n v="17295745.600000001"/>
    <n v="121070219.20000002"/>
    <n v="1"/>
    <n v="17295745.600000001"/>
    <n v="2"/>
    <n v="34591491.200000003"/>
    <n v="0"/>
    <n v="0"/>
    <n v="1"/>
    <n v="17295745.600000001"/>
    <n v="3"/>
    <n v="51887236.800000004"/>
    <n v="0"/>
    <n v="0"/>
    <n v="0"/>
    <n v="0"/>
    <n v="0"/>
    <n v="0"/>
    <n v="0"/>
    <n v="0"/>
  </r>
  <r>
    <n v="88"/>
    <s v="Procesador de alimentos de alta capacidad"/>
    <m/>
    <m/>
    <n v="1"/>
    <x v="0"/>
    <x v="0"/>
    <n v="137037120"/>
    <n v="137037120"/>
    <n v="0"/>
    <n v="0"/>
    <n v="0"/>
    <n v="0"/>
    <n v="1"/>
    <m/>
    <n v="0"/>
    <n v="0"/>
    <n v="0"/>
    <n v="0"/>
    <n v="0"/>
    <n v="0"/>
    <n v="0"/>
    <m/>
    <n v="0"/>
    <m/>
    <n v="0"/>
    <n v="0"/>
  </r>
  <r>
    <n v="89"/>
    <s v="Refrigerador para laboratorio de alto rendimiento "/>
    <s v="THERMO SCIENTIFIC"/>
    <s v="TSX2305GY"/>
    <n v="5"/>
    <x v="0"/>
    <x v="2"/>
    <n v="59675622.399999999"/>
    <n v="298378112"/>
    <n v="4"/>
    <n v="238702489.59999999"/>
    <n v="1"/>
    <n v="59675622.399999999"/>
    <n v="0"/>
    <n v="0"/>
    <n v="0"/>
    <n v="0"/>
    <n v="0"/>
    <n v="0"/>
    <n v="0"/>
    <n v="0"/>
    <n v="0"/>
    <n v="0"/>
    <n v="0"/>
    <n v="0"/>
    <n v="0"/>
    <n v="0"/>
  </r>
  <r>
    <n v="90"/>
    <s v="Secuenciador de ADN en formato llave USB "/>
    <m/>
    <m/>
    <n v="0"/>
    <x v="0"/>
    <x v="0"/>
    <n v="7212480"/>
    <n v="0"/>
    <n v="0"/>
    <n v="0"/>
    <n v="0"/>
    <n v="0"/>
    <n v="0"/>
    <m/>
    <n v="0"/>
    <n v="0"/>
    <n v="0"/>
    <n v="0"/>
    <n v="0"/>
    <n v="0"/>
    <n v="0"/>
    <m/>
    <n v="0"/>
    <m/>
    <n v="0"/>
    <n v="0"/>
  </r>
  <r>
    <n v="91"/>
    <s v="Sensor de temperatura tipo bala"/>
    <m/>
    <m/>
    <n v="0"/>
    <x v="0"/>
    <x v="0"/>
    <n v="2404160"/>
    <n v="0"/>
    <n v="0"/>
    <n v="0"/>
    <n v="0"/>
    <n v="0"/>
    <n v="0"/>
    <m/>
    <n v="0"/>
    <n v="0"/>
    <n v="0"/>
    <n v="0"/>
    <n v="0"/>
    <n v="0"/>
    <n v="0"/>
    <m/>
    <n v="0"/>
    <m/>
    <n v="0"/>
    <n v="0"/>
  </r>
  <r>
    <n v="92"/>
    <s v="Sistema de cromatografía líquida HPLC- DAD con detector de fluorescencia"/>
    <s v="THERMO SCIENTIFIC"/>
    <s v="Vanquish Flex"/>
    <n v="0"/>
    <x v="0"/>
    <x v="6"/>
    <n v="647803438.55359995"/>
    <n v="0"/>
    <n v="0"/>
    <n v="0"/>
    <n v="0"/>
    <n v="0"/>
    <n v="0"/>
    <n v="0"/>
    <n v="0"/>
    <n v="0"/>
    <n v="0"/>
    <n v="0"/>
    <n v="0"/>
    <n v="0"/>
    <n v="0"/>
    <n v="0"/>
    <n v="0"/>
    <n v="0"/>
    <n v="0"/>
    <n v="0"/>
  </r>
  <r>
    <n v="93"/>
    <s v="Sistema de documentación de geles"/>
    <s v="BIO-RAD"/>
    <n v="12009077"/>
    <n v="1"/>
    <x v="0"/>
    <x v="7"/>
    <n v="113462692"/>
    <n v="113462692"/>
    <n v="1"/>
    <n v="113462692"/>
    <n v="0"/>
    <n v="0"/>
    <n v="0"/>
    <n v="0"/>
    <n v="0"/>
    <n v="0"/>
    <n v="0"/>
    <n v="0"/>
    <n v="0"/>
    <n v="0"/>
    <n v="0"/>
    <n v="0"/>
    <n v="0"/>
    <n v="0"/>
    <n v="0"/>
    <n v="0"/>
  </r>
  <r>
    <n v="94"/>
    <s v="Sistema de electroforesis con fuente de poder de dos cámaras independientes _x000a_"/>
    <s v="BIO-RAD"/>
    <s v="170SUB-GT"/>
    <n v="5"/>
    <x v="0"/>
    <x v="7"/>
    <n v="14239730.4"/>
    <n v="71198652"/>
    <n v="4"/>
    <n v="56958921.600000001"/>
    <n v="1"/>
    <n v="14239730.4"/>
    <n v="0"/>
    <n v="0"/>
    <n v="0"/>
    <n v="0"/>
    <n v="0"/>
    <n v="0"/>
    <n v="0"/>
    <n v="0"/>
    <n v="0"/>
    <n v="0"/>
    <n v="0"/>
    <n v="0"/>
    <n v="0"/>
    <n v="0"/>
  </r>
  <r>
    <n v="95"/>
    <s v="Sistema de extracción"/>
    <m/>
    <m/>
    <n v="0"/>
    <x v="0"/>
    <x v="0"/>
    <n v="204353600"/>
    <n v="0"/>
    <n v="0"/>
    <n v="0"/>
    <n v="0"/>
    <n v="0"/>
    <n v="0"/>
    <m/>
    <n v="0"/>
    <n v="0"/>
    <n v="0"/>
    <n v="0"/>
    <n v="0"/>
    <n v="0"/>
    <n v="0"/>
    <m/>
    <n v="0"/>
    <m/>
    <n v="0"/>
    <n v="0"/>
  </r>
  <r>
    <n v="96"/>
    <s v="Sistema de purificación para agua tipo 1 "/>
    <s v="Merck"/>
    <s v="ZRQSVP300 + SPR00SIA1 + MPGL04GK2 + PRETRATAM + SMPMILLIQ + SIEQUIPOTIPOI + CABLEPODER + CT01 + 155109-43 + CT05"/>
    <n v="2"/>
    <x v="0"/>
    <x v="1"/>
    <n v="65541772.799999997"/>
    <n v="131083545.59999999"/>
    <n v="0"/>
    <n v="0"/>
    <n v="1"/>
    <n v="65541772.799999997"/>
    <n v="0"/>
    <n v="0"/>
    <n v="0"/>
    <n v="0"/>
    <n v="1"/>
    <n v="65541772.799999997"/>
    <n v="0"/>
    <n v="0"/>
    <n v="0"/>
    <n v="0"/>
    <n v="0"/>
    <n v="0"/>
    <n v="0"/>
    <n v="0"/>
  </r>
  <r>
    <n v="97"/>
    <s v="Sistema de purificación para agua tipo 1 con tanque de almacenamiento de 100 litros"/>
    <m/>
    <m/>
    <n v="0"/>
    <x v="0"/>
    <x v="0"/>
    <n v="144249600"/>
    <n v="0"/>
    <n v="0"/>
    <n v="0"/>
    <n v="0"/>
    <n v="0"/>
    <n v="0"/>
    <m/>
    <n v="0"/>
    <n v="0"/>
    <n v="0"/>
    <n v="0"/>
    <n v="0"/>
    <n v="0"/>
    <n v="0"/>
    <m/>
    <n v="0"/>
    <m/>
    <n v="0"/>
    <n v="0"/>
  </r>
  <r>
    <n v="98"/>
    <s v="Sistema de secuenciación de genoma completo"/>
    <m/>
    <m/>
    <n v="0"/>
    <x v="0"/>
    <x v="0"/>
    <n v="2732000000"/>
    <n v="0"/>
    <n v="0"/>
    <n v="0"/>
    <n v="0"/>
    <n v="0"/>
    <n v="0"/>
    <m/>
    <n v="0"/>
    <n v="0"/>
    <n v="0"/>
    <n v="0"/>
    <n v="0"/>
    <n v="0"/>
    <n v="0"/>
    <m/>
    <n v="0"/>
    <m/>
    <n v="0"/>
    <n v="0"/>
  </r>
  <r>
    <n v="99"/>
    <s v="Sistema Digestor Microondas con dos rotores"/>
    <s v="Milestone"/>
    <s v="ETHOS UP"/>
    <n v="0"/>
    <x v="0"/>
    <x v="6"/>
    <n v="326863583.19999999"/>
    <n v="0"/>
    <n v="0"/>
    <n v="0"/>
    <n v="0"/>
    <n v="0"/>
    <n v="0"/>
    <n v="0"/>
    <n v="0"/>
    <n v="0"/>
    <n v="0"/>
    <n v="0"/>
    <n v="0"/>
    <n v="0"/>
    <n v="0"/>
    <n v="0"/>
    <n v="0"/>
    <n v="0"/>
    <n v="0"/>
    <n v="0"/>
  </r>
  <r>
    <n v="100"/>
    <s v="Subdestilador de ácidos para ICP "/>
    <s v="Milestone"/>
    <s v="duoPUR Quartz Acid Purification System"/>
    <n v="0"/>
    <x v="0"/>
    <x v="6"/>
    <n v="103816000"/>
    <n v="0"/>
    <n v="0"/>
    <n v="0"/>
    <n v="0"/>
    <n v="0"/>
    <n v="0"/>
    <n v="0"/>
    <n v="0"/>
    <n v="0"/>
    <n v="0"/>
    <n v="0"/>
    <n v="0"/>
    <n v="0"/>
    <n v="0"/>
    <n v="0"/>
    <n v="0"/>
    <n v="0"/>
    <n v="0"/>
    <n v="0"/>
  </r>
  <r>
    <n v="101"/>
    <s v="Tamizadora"/>
    <m/>
    <m/>
    <n v="0"/>
    <x v="0"/>
    <x v="0"/>
    <n v="46665677.758400001"/>
    <n v="0"/>
    <n v="0"/>
    <n v="0"/>
    <n v="0"/>
    <n v="0"/>
    <n v="0"/>
    <m/>
    <n v="0"/>
    <n v="0"/>
    <n v="0"/>
    <n v="0"/>
    <n v="0"/>
    <n v="0"/>
    <n v="0"/>
    <m/>
    <n v="0"/>
    <m/>
    <n v="0"/>
    <n v="0"/>
  </r>
  <r>
    <n v="102"/>
    <s v="Tamizadora digital"/>
    <s v="ORTO ALRESA"/>
    <s v="OASS203 TA 006"/>
    <n v="0"/>
    <x v="0"/>
    <x v="5"/>
    <n v="26008640"/>
    <n v="0"/>
    <n v="0"/>
    <n v="0"/>
    <n v="0"/>
    <n v="0"/>
    <n v="0"/>
    <n v="0"/>
    <n v="0"/>
    <n v="0"/>
    <n v="0"/>
    <n v="0"/>
    <n v="0"/>
    <n v="0"/>
    <n v="0"/>
    <n v="0"/>
    <n v="0"/>
    <n v="0"/>
    <n v="0"/>
    <n v="0"/>
  </r>
  <r>
    <n v="103"/>
    <s v="Termociclador de PCR en tiempo Real"/>
    <s v="BIO-RAD"/>
    <n v="17005940"/>
    <n v="0"/>
    <x v="0"/>
    <x v="7"/>
    <n v="246782980.63999999"/>
    <n v="0"/>
    <n v="0"/>
    <n v="0"/>
    <n v="0"/>
    <n v="0"/>
    <n v="0"/>
    <n v="0"/>
    <n v="0"/>
    <n v="0"/>
    <n v="0"/>
    <n v="0"/>
    <n v="0"/>
    <n v="0"/>
    <n v="0"/>
    <n v="0"/>
    <n v="0"/>
    <n v="0"/>
    <n v="0"/>
    <n v="0"/>
  </r>
  <r>
    <n v="104"/>
    <s v="Termociclador digital"/>
    <m/>
    <m/>
    <n v="0"/>
    <x v="0"/>
    <x v="3"/>
    <n v="696432052.84800005"/>
    <n v="0"/>
    <n v="0"/>
    <n v="0"/>
    <n v="0"/>
    <n v="0"/>
    <n v="0"/>
    <n v="0"/>
    <n v="0"/>
    <n v="0"/>
    <n v="0"/>
    <n v="0"/>
    <n v="0"/>
    <n v="0"/>
    <n v="0"/>
    <n v="0"/>
    <n v="0"/>
    <n v="0"/>
    <n v="0"/>
    <n v="0"/>
  </r>
  <r>
    <n v="105"/>
    <s v="Termociclador PCR de punto final con bloques múltiples"/>
    <s v="BIO-RAD"/>
    <n v="1851148"/>
    <n v="0"/>
    <x v="0"/>
    <x v="7"/>
    <n v="85369459.503999993"/>
    <n v="0"/>
    <n v="0"/>
    <n v="0"/>
    <n v="0"/>
    <n v="0"/>
    <n v="0"/>
    <n v="0"/>
    <n v="0"/>
    <n v="0"/>
    <n v="0"/>
    <n v="0"/>
    <n v="0"/>
    <n v="0"/>
    <n v="0"/>
    <n v="0"/>
    <n v="0"/>
    <n v="0"/>
    <n v="0"/>
    <n v="0"/>
  </r>
  <r>
    <n v="106"/>
    <s v="Termohigrobarometro patrón"/>
    <m/>
    <m/>
    <n v="0"/>
    <x v="0"/>
    <x v="0"/>
    <n v="55295680"/>
    <n v="0"/>
    <n v="0"/>
    <n v="0"/>
    <n v="0"/>
    <n v="0"/>
    <n v="0"/>
    <m/>
    <n v="0"/>
    <n v="0"/>
    <n v="0"/>
    <n v="0"/>
    <n v="0"/>
    <n v="0"/>
    <n v="0"/>
    <m/>
    <n v="0"/>
    <m/>
    <n v="0"/>
    <n v="0"/>
  </r>
  <r>
    <n v="107"/>
    <s v="Termohigrometro datalogger"/>
    <m/>
    <m/>
    <n v="0"/>
    <x v="0"/>
    <x v="0"/>
    <n v="7813520"/>
    <n v="0"/>
    <n v="0"/>
    <n v="0"/>
    <n v="0"/>
    <n v="0"/>
    <n v="0"/>
    <m/>
    <n v="0"/>
    <n v="0"/>
    <n v="0"/>
    <n v="0"/>
    <n v="0"/>
    <n v="0"/>
    <n v="0"/>
    <m/>
    <n v="0"/>
    <m/>
    <n v="0"/>
    <n v="0"/>
  </r>
  <r>
    <n v="108"/>
    <s v="Termohigrometro patrón "/>
    <m/>
    <m/>
    <n v="0"/>
    <x v="0"/>
    <x v="0"/>
    <n v="48083200"/>
    <n v="0"/>
    <n v="0"/>
    <n v="0"/>
    <n v="0"/>
    <n v="0"/>
    <n v="0"/>
    <m/>
    <n v="0"/>
    <n v="0"/>
    <n v="0"/>
    <n v="0"/>
    <n v="0"/>
    <n v="0"/>
    <n v="0"/>
    <m/>
    <n v="0"/>
    <m/>
    <n v="0"/>
    <n v="0"/>
  </r>
  <r>
    <n v="109"/>
    <s v="Termomixer"/>
    <m/>
    <m/>
    <n v="0"/>
    <x v="0"/>
    <x v="0"/>
    <n v="27647840"/>
    <n v="0"/>
    <n v="0"/>
    <n v="0"/>
    <n v="0"/>
    <n v="0"/>
    <n v="0"/>
    <m/>
    <n v="0"/>
    <n v="0"/>
    <n v="0"/>
    <n v="0"/>
    <n v="0"/>
    <n v="0"/>
    <n v="0"/>
    <m/>
    <n v="0"/>
    <m/>
    <n v="0"/>
    <n v="0"/>
  </r>
  <r>
    <n v="49"/>
    <s v="Ultracongelador de - 80°C"/>
    <s v="PHCBI "/>
    <s v="MDF-DU702VHA-PA + SDR-624P + MDF-7ID4-PW"/>
    <n v="3"/>
    <x v="0"/>
    <x v="1"/>
    <n v="164114518.40000001"/>
    <n v="492343555.20000005"/>
    <n v="2"/>
    <n v="328229036.80000001"/>
    <n v="0"/>
    <n v="0"/>
    <n v="1"/>
    <n v="164114518.40000001"/>
    <n v="0"/>
    <n v="0"/>
    <n v="0"/>
    <n v="0"/>
    <n v="0"/>
    <n v="0"/>
    <n v="0"/>
    <n v="0"/>
    <n v="0"/>
    <n v="0"/>
    <n v="0"/>
    <n v="0"/>
  </r>
  <r>
    <m/>
    <s v="A partir de esta linea agregar nuevos íte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r>
    <m/>
    <m/>
    <m/>
    <m/>
    <m/>
    <x v="0"/>
    <x v="0"/>
    <m/>
    <n v="0"/>
    <n v="0"/>
    <n v="0"/>
    <n v="0"/>
    <n v="0"/>
    <n v="0"/>
    <m/>
    <n v="0"/>
    <n v="0"/>
    <n v="0"/>
    <n v="0"/>
    <n v="0"/>
    <n v="0"/>
    <n v="0"/>
    <m/>
    <n v="0"/>
    <m/>
    <n v="0"/>
    <n v="0"/>
  </r>
</pivotCacheRecords>
</file>

<file path=xl/pivotCache/pivotCacheRecords3.xml><?xml version="1.0" encoding="utf-8"?>
<pivotCacheRecords xmlns="http://schemas.openxmlformats.org/spreadsheetml/2006/main" xmlns:r="http://schemas.openxmlformats.org/officeDocument/2006/relationships" count="911">
  <r>
    <s v="1-Methylimidazole 99% de pureza. Cas 616-47-7"/>
    <s v="SIGMA Aldrich Ref. M50834 "/>
    <s v="Frasco de 100g "/>
    <x v="0"/>
    <x v="0"/>
    <n v="2"/>
    <n v="280243.09600000002"/>
    <n v="560486.19200000004"/>
    <n v="2"/>
    <n v="560486.19200000004"/>
    <m/>
    <n v="0"/>
    <m/>
    <n v="0"/>
    <m/>
    <n v="0"/>
    <m/>
    <n v="0"/>
    <m/>
    <n v="0"/>
    <m/>
    <n v="0"/>
    <m/>
    <n v="0"/>
    <m/>
    <n v="0"/>
    <s v="No aplica"/>
  </r>
  <r>
    <s v="2-Mercaptoetanol (1.000X), 55mM en  D-PBS."/>
    <s v="Gibco_x000a_Ref: 21985023"/>
    <s v="Frasco x 50 ml"/>
    <x v="0"/>
    <x v="1"/>
    <n v="4"/>
    <n v="383887.52639999997"/>
    <n v="1535550.1055999999"/>
    <m/>
    <n v="0"/>
    <m/>
    <n v="0"/>
    <m/>
    <n v="0"/>
    <m/>
    <n v="0"/>
    <n v="4"/>
    <n v="1535550.1055999999"/>
    <m/>
    <n v="0"/>
    <m/>
    <n v="0"/>
    <m/>
    <n v="0"/>
    <m/>
    <n v="0"/>
    <s v="No aplica"/>
  </r>
  <r>
    <s v="2-Nitrobenzaldehido"/>
    <s v="Sigma N10802 o equivalente"/>
    <s v="Frasco x 2g"/>
    <x v="0"/>
    <x v="2"/>
    <n v="16"/>
    <n v="218146.9216"/>
    <n v="3490350.7456"/>
    <n v="2"/>
    <n v="436293.8432"/>
    <m/>
    <n v="0"/>
    <n v="2"/>
    <n v="436293.8432"/>
    <m/>
    <n v="0"/>
    <n v="12"/>
    <n v="2617763.0592"/>
    <m/>
    <n v="0"/>
    <m/>
    <n v="0"/>
    <m/>
    <n v="0"/>
    <m/>
    <n v="0"/>
    <s v="No aplica"/>
  </r>
  <r>
    <s v="3-AMINO-9-ETHYL-CARBAZOLE"/>
    <s v="SIGMA A5754-50G"/>
    <s v="FRASCO X 50g"/>
    <x v="0"/>
    <x v="0"/>
    <n v="1"/>
    <n v="1637634.0175999999"/>
    <n v="1637634.0175999999"/>
    <m/>
    <n v="0"/>
    <m/>
    <n v="0"/>
    <n v="1"/>
    <n v="1637634.0175999999"/>
    <m/>
    <n v="0"/>
    <m/>
    <n v="0"/>
    <m/>
    <n v="0"/>
    <m/>
    <n v="0"/>
    <m/>
    <n v="0"/>
    <m/>
    <n v="0"/>
    <s v="No aplica"/>
  </r>
  <r>
    <s v="AccuPower 2X GreenStar QPCR Master Mix "/>
    <s v="Bioneer K-6252"/>
    <s v="Kit de 2X Master Mix 0.625 ml x_x000a_8 tubos"/>
    <x v="0"/>
    <x v="3"/>
    <n v="4"/>
    <n v="3272936"/>
    <n v="13091744"/>
    <m/>
    <n v="0"/>
    <m/>
    <n v="0"/>
    <m/>
    <n v="0"/>
    <m/>
    <n v="0"/>
    <n v="4"/>
    <n v="13091744"/>
    <m/>
    <n v="0"/>
    <m/>
    <n v="0"/>
    <m/>
    <n v="0"/>
    <m/>
    <n v="0"/>
    <s v="No aplica"/>
  </r>
  <r>
    <s v="Aceite de clavo"/>
    <s v="ENTHOS "/>
    <s v="Frasco x 250 ml"/>
    <x v="0"/>
    <x v="0"/>
    <n v="40"/>
    <n v="168015.8144"/>
    <n v="6720632.5760000004"/>
    <m/>
    <n v="0"/>
    <n v="1"/>
    <n v="168015.8144"/>
    <m/>
    <n v="0"/>
    <m/>
    <n v="0"/>
    <n v="6"/>
    <n v="1008094.8864"/>
    <n v="1"/>
    <n v="168015.8144"/>
    <m/>
    <n v="0"/>
    <m/>
    <n v="0"/>
    <n v="32"/>
    <n v="5376506.0608000001"/>
    <s v="No aplica"/>
  </r>
  <r>
    <s v="Aceite de inmersión"/>
    <s v="Albor"/>
    <s v="Frasco x 100ml"/>
    <x v="0"/>
    <x v="4"/>
    <n v="26"/>
    <n v="174848"/>
    <n v="4546048"/>
    <n v="1"/>
    <n v="174848"/>
    <n v="15"/>
    <n v="2622720"/>
    <n v="2"/>
    <n v="349696"/>
    <m/>
    <n v="0"/>
    <n v="6"/>
    <n v="1049088"/>
    <m/>
    <n v="0"/>
    <m/>
    <n v="0"/>
    <n v="2"/>
    <n v="349696"/>
    <m/>
    <n v="0"/>
    <s v="No aplica"/>
  </r>
  <r>
    <s v="Aceite mineral"/>
    <s v="Nacional"/>
    <s v="Frasco x 50ml"/>
    <x v="0"/>
    <x v="5"/>
    <n v="14"/>
    <n v="91030.24"/>
    <n v="1274423.3600000001"/>
    <n v="1"/>
    <n v="91030.24"/>
    <n v="3"/>
    <n v="273090.72000000003"/>
    <n v="2"/>
    <n v="182060.48"/>
    <m/>
    <n v="0"/>
    <n v="6"/>
    <n v="546181.44000000006"/>
    <m/>
    <n v="0"/>
    <m/>
    <n v="0"/>
    <n v="2"/>
    <n v="182060.48"/>
    <m/>
    <n v="0"/>
    <s v="No aplica"/>
  </r>
  <r>
    <s v="Acetato de amonio grado masas"/>
    <s v="SCHARLAU"/>
    <s v="FRASCO X 50g"/>
    <x v="0"/>
    <x v="6"/>
    <n v="2"/>
    <n v="698331.98399999994"/>
    <n v="1396663.9679999999"/>
    <n v="2"/>
    <n v="1396663.9679999999"/>
    <m/>
    <n v="0"/>
    <m/>
    <n v="0"/>
    <m/>
    <n v="0"/>
    <m/>
    <n v="0"/>
    <m/>
    <n v="0"/>
    <m/>
    <n v="0"/>
    <m/>
    <n v="0"/>
    <m/>
    <n v="0"/>
    <s v="No aplica"/>
  </r>
  <r>
    <s v="Acetato de amonio grado RA"/>
    <s v="SCHARLAU"/>
    <s v="Frasco x 500g"/>
    <x v="0"/>
    <x v="6"/>
    <n v="1"/>
    <n v="189863.07199999999"/>
    <n v="189863.07199999999"/>
    <n v="1"/>
    <n v="189863.07199999999"/>
    <m/>
    <n v="0"/>
    <m/>
    <n v="0"/>
    <m/>
    <n v="0"/>
    <m/>
    <n v="0"/>
    <m/>
    <n v="0"/>
    <m/>
    <n v="0"/>
    <m/>
    <n v="0"/>
    <m/>
    <n v="0"/>
    <s v="No aplica"/>
  </r>
  <r>
    <s v="Acetato de etilo grado masas"/>
    <s v="SCHARLAU"/>
    <s v="Frasco x 2.5 litros"/>
    <x v="0"/>
    <x v="6"/>
    <n v="5"/>
    <n v="819272.16"/>
    <n v="4096360.8000000003"/>
    <n v="5"/>
    <n v="4096360.8000000003"/>
    <m/>
    <n v="0"/>
    <m/>
    <n v="0"/>
    <m/>
    <n v="0"/>
    <m/>
    <n v="0"/>
    <m/>
    <n v="0"/>
    <m/>
    <n v="0"/>
    <m/>
    <n v="0"/>
    <m/>
    <n v="0"/>
    <s v="SI"/>
  </r>
  <r>
    <s v="Acetato de etilo para análisis de residuos"/>
    <s v="SCHARLAU"/>
    <s v="Frasco x 4 litros"/>
    <x v="0"/>
    <x v="6"/>
    <n v="5"/>
    <n v="758151.85600000003"/>
    <n v="3790759.2800000003"/>
    <n v="5"/>
    <n v="3790759.2800000003"/>
    <m/>
    <n v="0"/>
    <m/>
    <n v="0"/>
    <m/>
    <n v="0"/>
    <m/>
    <n v="0"/>
    <m/>
    <n v="0"/>
    <m/>
    <n v="0"/>
    <m/>
    <n v="0"/>
    <m/>
    <n v="0"/>
    <s v="SI"/>
  </r>
  <r>
    <s v="Acetato de potasio"/>
    <s v="MOL LABS_x000a_Ref: R6805"/>
    <s v="Frasco x 500g"/>
    <x v="0"/>
    <x v="0"/>
    <n v="1"/>
    <n v="544490.87840000005"/>
    <n v="544490.87840000005"/>
    <m/>
    <n v="0"/>
    <m/>
    <n v="0"/>
    <m/>
    <n v="0"/>
    <m/>
    <n v="0"/>
    <n v="1"/>
    <n v="544490.87840000005"/>
    <m/>
    <n v="0"/>
    <m/>
    <n v="0"/>
    <m/>
    <n v="0"/>
    <m/>
    <n v="0"/>
    <s v="No aplica"/>
  </r>
  <r>
    <s v="Acetato de sodio anhidro"/>
    <s v="SUPELCO 106268"/>
    <s v="FRASCO X 50g"/>
    <x v="0"/>
    <x v="7"/>
    <n v="1"/>
    <n v="377125.27999999997"/>
    <n v="377125.27999999997"/>
    <m/>
    <n v="0"/>
    <m/>
    <n v="0"/>
    <n v="1"/>
    <n v="377125.27999999997"/>
    <m/>
    <n v="0"/>
    <m/>
    <n v="0"/>
    <m/>
    <n v="0"/>
    <m/>
    <n v="0"/>
    <m/>
    <n v="0"/>
    <m/>
    <n v="0"/>
    <s v="No aplica"/>
  </r>
  <r>
    <s v="Acetona grado reactivo"/>
    <s v="JT BAKER   CAS: 67-64-1"/>
    <s v="Frasco x 4 litros"/>
    <x v="0"/>
    <x v="0"/>
    <n v="3"/>
    <n v="377645.45279999997"/>
    <n v="1132936.3583999998"/>
    <n v="2"/>
    <n v="755290.90559999994"/>
    <m/>
    <n v="0"/>
    <n v="1"/>
    <n v="377645.45279999997"/>
    <m/>
    <n v="0"/>
    <m/>
    <n v="0"/>
    <m/>
    <n v="0"/>
    <m/>
    <n v="0"/>
    <m/>
    <n v="0"/>
    <m/>
    <n v="0"/>
    <s v="SI"/>
  </r>
  <r>
    <s v="Acetona HPLC"/>
    <s v="SCHARLAU"/>
    <s v="Frasco x 4 litros"/>
    <x v="0"/>
    <x v="6"/>
    <n v="5"/>
    <n v="384927.87199999997"/>
    <n v="1924639.3599999999"/>
    <n v="5"/>
    <n v="1924639.3599999999"/>
    <m/>
    <n v="0"/>
    <m/>
    <n v="0"/>
    <m/>
    <n v="0"/>
    <m/>
    <n v="0"/>
    <m/>
    <n v="0"/>
    <m/>
    <n v="0"/>
    <m/>
    <n v="0"/>
    <m/>
    <n v="0"/>
    <s v="SI"/>
  </r>
  <r>
    <s v="Acetonitrilo grado HPLC"/>
    <s v="FISHER SCIENTIFIC A998-4"/>
    <s v="Frasco x 4 litros"/>
    <x v="0"/>
    <x v="0"/>
    <n v="85"/>
    <n v="625247.70559999999"/>
    <n v="53146054.975999996"/>
    <n v="5"/>
    <n v="3126238.5279999999"/>
    <m/>
    <n v="0"/>
    <m/>
    <n v="0"/>
    <m/>
    <n v="0"/>
    <m/>
    <n v="0"/>
    <m/>
    <n v="0"/>
    <m/>
    <n v="0"/>
    <n v="80"/>
    <n v="50019816.447999999"/>
    <m/>
    <n v="0"/>
    <s v="No aplica"/>
  </r>
  <r>
    <s v="Acetonitrilo gradoHPLC isocrático "/>
    <s v="SCHARLAU"/>
    <s v="Frasco x 4 litros"/>
    <x v="0"/>
    <x v="6"/>
    <n v="5"/>
    <n v="332910.592"/>
    <n v="1664552.96"/>
    <n v="5"/>
    <n v="1664552.96"/>
    <m/>
    <n v="0"/>
    <m/>
    <n v="0"/>
    <m/>
    <n v="0"/>
    <m/>
    <n v="0"/>
    <m/>
    <n v="0"/>
    <m/>
    <n v="0"/>
    <m/>
    <n v="0"/>
    <m/>
    <n v="0"/>
    <s v="No aplica"/>
  </r>
  <r>
    <s v="Acetonitrilo LC/MS"/>
    <s v="SCHARLAU"/>
    <s v="Frasco x 2.5 litros"/>
    <x v="0"/>
    <x v="6"/>
    <n v="35"/>
    <n v="755550.99199999997"/>
    <n v="26444284.719999999"/>
    <n v="5"/>
    <n v="3777754.96"/>
    <m/>
    <n v="0"/>
    <m/>
    <n v="0"/>
    <m/>
    <n v="0"/>
    <m/>
    <n v="0"/>
    <m/>
    <n v="0"/>
    <m/>
    <n v="0"/>
    <n v="30"/>
    <n v="22666529.759999998"/>
    <m/>
    <n v="0"/>
    <s v="No aplica"/>
  </r>
  <r>
    <s v="Ácido acético glacial 96% PA"/>
    <s v="SCHARLAU"/>
    <s v="Frasco x 2.5 litros"/>
    <x v="0"/>
    <x v="6"/>
    <n v="9"/>
    <n v="182060.48"/>
    <n v="1638544.32"/>
    <n v="1"/>
    <n v="182060.48"/>
    <n v="1"/>
    <n v="182060.48"/>
    <n v="1"/>
    <n v="182060.48"/>
    <m/>
    <n v="0"/>
    <n v="1"/>
    <n v="182060.48"/>
    <m/>
    <n v="0"/>
    <m/>
    <n v="0"/>
    <n v="5"/>
    <n v="910302.4"/>
    <m/>
    <n v="0"/>
    <s v="No aplica"/>
  </r>
  <r>
    <s v="Ácido bórico granular grado reactivo"/>
    <s v="PANREAC CAS 10043-35-3"/>
    <s v="Frasco x 1Kg"/>
    <x v="0"/>
    <x v="0"/>
    <n v="11"/>
    <n v="491303.2096"/>
    <n v="5404335.3055999996"/>
    <n v="5"/>
    <n v="2456516.048"/>
    <n v="4"/>
    <n v="1965212.8384"/>
    <m/>
    <n v="0"/>
    <m/>
    <n v="0"/>
    <m/>
    <n v="0"/>
    <m/>
    <n v="0"/>
    <m/>
    <n v="0"/>
    <n v="2"/>
    <n v="982606.4192"/>
    <m/>
    <n v="0"/>
    <s v="No aplica"/>
  </r>
  <r>
    <s v="Ácido cítrico monohidratado"/>
    <s v="JT BAKER CAS: 5949-29-1"/>
    <s v="Frasco x 1Kg"/>
    <x v="0"/>
    <x v="0"/>
    <n v="3"/>
    <n v="551123.08160000003"/>
    <n v="1653369.2448"/>
    <n v="2"/>
    <n v="1102246.1632000001"/>
    <m/>
    <n v="0"/>
    <n v="1"/>
    <n v="551123.08160000003"/>
    <m/>
    <n v="0"/>
    <m/>
    <n v="0"/>
    <m/>
    <n v="0"/>
    <m/>
    <n v="0"/>
    <m/>
    <n v="0"/>
    <m/>
    <n v="0"/>
    <s v="No aplica"/>
  </r>
  <r>
    <s v="Acido clorhidrico 0.25M"/>
    <s v="SCHARLAU"/>
    <s v="Frasco x 1 litro"/>
    <x v="0"/>
    <x v="6"/>
    <n v="12"/>
    <n v="136545.35999999999"/>
    <n v="1638544.3199999998"/>
    <n v="10"/>
    <n v="1365453.5999999999"/>
    <m/>
    <n v="0"/>
    <m/>
    <n v="0"/>
    <m/>
    <n v="0"/>
    <n v="2"/>
    <n v="273090.71999999997"/>
    <m/>
    <n v="0"/>
    <m/>
    <n v="0"/>
    <m/>
    <n v="0"/>
    <m/>
    <n v="0"/>
    <s v="SI"/>
  </r>
  <r>
    <s v="Ácido clorhídrico 37 - 38%"/>
    <s v="SCHARLAU"/>
    <s v="Frasco x 2.5 litros"/>
    <x v="0"/>
    <x v="6"/>
    <n v="7"/>
    <n v="192463.93599999999"/>
    <n v="1347247.5519999999"/>
    <n v="5"/>
    <n v="962319.67999999993"/>
    <m/>
    <n v="0"/>
    <m/>
    <n v="0"/>
    <m/>
    <n v="0"/>
    <n v="2"/>
    <n v="384927.87199999997"/>
    <m/>
    <n v="0"/>
    <m/>
    <n v="0"/>
    <m/>
    <n v="0"/>
    <m/>
    <n v="0"/>
    <s v="SI"/>
  </r>
  <r>
    <s v="Ácido fórmico 98-100 % pureza"/>
    <s v="SCHARLAU"/>
    <s v="Frasco x 2.5 litros"/>
    <x v="0"/>
    <x v="6"/>
    <n v="2"/>
    <n v="382327.00799999997"/>
    <n v="764654.01599999995"/>
    <m/>
    <n v="0"/>
    <m/>
    <n v="0"/>
    <n v="1"/>
    <n v="382327.00799999997"/>
    <m/>
    <n v="0"/>
    <m/>
    <n v="0"/>
    <m/>
    <n v="0"/>
    <m/>
    <n v="0"/>
    <n v="1"/>
    <n v="382327.00799999997"/>
    <m/>
    <n v="0"/>
    <s v="No aplica"/>
  </r>
  <r>
    <s v="Acido fórmico para LC-MS"/>
    <s v="SCHARLAU"/>
    <s v="Frasco x 50 ml"/>
    <x v="0"/>
    <x v="6"/>
    <n v="4"/>
    <n v="136545.35999999999"/>
    <n v="546181.43999999994"/>
    <n v="4"/>
    <n v="546181.43999999994"/>
    <m/>
    <n v="0"/>
    <m/>
    <n v="0"/>
    <m/>
    <n v="0"/>
    <m/>
    <n v="0"/>
    <m/>
    <n v="0"/>
    <m/>
    <n v="0"/>
    <m/>
    <n v="0"/>
    <m/>
    <n v="0"/>
    <s v="No aplica"/>
  </r>
  <r>
    <s v="Ácido fosfomolibdico solución 2%"/>
    <s v="SUPELCO 1005320025"/>
    <s v="Frasco x 25g"/>
    <x v="0"/>
    <x v="7"/>
    <n v="1"/>
    <n v="760752.72"/>
    <n v="760752.72"/>
    <m/>
    <n v="0"/>
    <m/>
    <n v="0"/>
    <n v="1"/>
    <n v="760752.72"/>
    <m/>
    <n v="0"/>
    <m/>
    <n v="0"/>
    <m/>
    <n v="0"/>
    <m/>
    <n v="0"/>
    <m/>
    <n v="0"/>
    <m/>
    <n v="0"/>
    <s v="No aplica"/>
  </r>
  <r>
    <s v="Ácido láctico Cas 79-33-4"/>
    <s v="Aeros / JT Baker o equivalente"/>
    <s v="Frasco x 250ml"/>
    <x v="0"/>
    <x v="2"/>
    <n v="4"/>
    <n v="813871.54240000003"/>
    <n v="3255486.1696000001"/>
    <m/>
    <n v="0"/>
    <m/>
    <n v="0"/>
    <m/>
    <n v="0"/>
    <m/>
    <n v="0"/>
    <n v="4"/>
    <n v="3255486.1696000001"/>
    <m/>
    <n v="0"/>
    <m/>
    <n v="0"/>
    <m/>
    <n v="0"/>
    <m/>
    <n v="0"/>
    <m/>
  </r>
  <r>
    <s v="Ácido nítrico ACS 69-70%"/>
    <s v="JT BAKER "/>
    <s v="Frasco x 2.5  litros"/>
    <x v="0"/>
    <x v="0"/>
    <n v="12"/>
    <n v="603530.49120000005"/>
    <n v="7242365.8944000006"/>
    <n v="5"/>
    <n v="3017652.4560000002"/>
    <m/>
    <n v="0"/>
    <m/>
    <n v="0"/>
    <m/>
    <n v="0"/>
    <m/>
    <n v="0"/>
    <m/>
    <n v="0"/>
    <m/>
    <n v="0"/>
    <n v="7"/>
    <n v="4224713.4384000003"/>
    <m/>
    <n v="0"/>
    <s v="No aplica"/>
  </r>
  <r>
    <s v="Acido Oxálico Grado reactivo"/>
    <s v="CDH 597665"/>
    <s v="Frasco x 1Kg"/>
    <x v="0"/>
    <x v="8"/>
    <n v="2"/>
    <n v="520172.79999999999"/>
    <n v="1040345.6"/>
    <n v="1"/>
    <n v="520172.79999999999"/>
    <m/>
    <n v="0"/>
    <n v="1"/>
    <n v="520172.79999999999"/>
    <m/>
    <n v="0"/>
    <m/>
    <n v="0"/>
    <m/>
    <n v="0"/>
    <m/>
    <n v="0"/>
    <m/>
    <n v="0"/>
    <m/>
    <n v="0"/>
    <s v="No aplica"/>
  </r>
  <r>
    <s v="Acido perclórico, reactivo analítico, concentración 70 %"/>
    <s v="MACRON CAS: 7601-90-3"/>
    <s v="Frasco x 2.5 litros"/>
    <x v="0"/>
    <x v="0"/>
    <n v="1"/>
    <n v="3255111.3391999998"/>
    <n v="3255111.3391999998"/>
    <m/>
    <n v="0"/>
    <m/>
    <n v="0"/>
    <n v="1"/>
    <n v="3255111.3391999998"/>
    <m/>
    <n v="0"/>
    <m/>
    <n v="0"/>
    <m/>
    <n v="0"/>
    <m/>
    <n v="0"/>
    <m/>
    <n v="0"/>
    <m/>
    <n v="0"/>
    <s v="No aplica"/>
  </r>
  <r>
    <s v="Ácido peryódico"/>
    <s v="JT BAKER  CAS: 10450-60-9"/>
    <s v="Frasco x 25g"/>
    <x v="0"/>
    <x v="0"/>
    <n v="1"/>
    <n v="2293962.048"/>
    <n v="2293962.048"/>
    <m/>
    <n v="0"/>
    <m/>
    <n v="0"/>
    <n v="1"/>
    <n v="2293962.048"/>
    <m/>
    <n v="0"/>
    <m/>
    <n v="0"/>
    <m/>
    <n v="0"/>
    <m/>
    <n v="0"/>
    <m/>
    <n v="0"/>
    <m/>
    <n v="0"/>
    <s v="No aplica"/>
  </r>
  <r>
    <s v="Acido Pícrico"/>
    <s v="SIGMA 197378-100G"/>
    <s v="Frasco x  100 g"/>
    <x v="0"/>
    <x v="0"/>
    <n v="1"/>
    <n v="504957.74560000002"/>
    <n v="504957.74560000002"/>
    <m/>
    <n v="0"/>
    <m/>
    <n v="0"/>
    <n v="1"/>
    <n v="504957.74560000002"/>
    <m/>
    <n v="0"/>
    <m/>
    <n v="0"/>
    <m/>
    <n v="0"/>
    <m/>
    <n v="0"/>
    <m/>
    <n v="0"/>
    <m/>
    <n v="0"/>
    <s v="No aplica"/>
  </r>
  <r>
    <s v="Ácido sulfamico M.W 97,09"/>
    <s v="MOL LABS"/>
    <s v="Frasco x 100 g"/>
    <x v="0"/>
    <x v="0"/>
    <n v="1"/>
    <n v="564777.6176"/>
    <n v="564777.6176"/>
    <m/>
    <n v="0"/>
    <m/>
    <n v="0"/>
    <n v="1"/>
    <n v="564777.6176"/>
    <m/>
    <n v="0"/>
    <m/>
    <n v="0"/>
    <m/>
    <n v="0"/>
    <m/>
    <n v="0"/>
    <m/>
    <n v="0"/>
    <m/>
    <n v="0"/>
    <s v="No aplica"/>
  </r>
  <r>
    <s v="Ácido sulfúrico 97-98% analítico"/>
    <s v="CDH 650055"/>
    <s v="Frasco x 2.5 litros"/>
    <x v="0"/>
    <x v="8"/>
    <n v="11"/>
    <n v="243180.78399999999"/>
    <n v="2674988.6239999998"/>
    <n v="10"/>
    <n v="2431807.84"/>
    <m/>
    <n v="0"/>
    <n v="1"/>
    <n v="243180.78399999999"/>
    <m/>
    <n v="0"/>
    <m/>
    <n v="0"/>
    <m/>
    <n v="0"/>
    <m/>
    <n v="0"/>
    <m/>
    <n v="0"/>
    <m/>
    <n v="0"/>
    <s v="SI"/>
  </r>
  <r>
    <s v="Agar  MRS  "/>
    <s v="SCHARLAU"/>
    <s v="Frasco x 500 g"/>
    <x v="0"/>
    <x v="6"/>
    <n v="4"/>
    <n v="650216"/>
    <n v="2600864"/>
    <n v="2"/>
    <n v="1300432"/>
    <m/>
    <n v="0"/>
    <m/>
    <n v="0"/>
    <m/>
    <n v="0"/>
    <m/>
    <n v="0"/>
    <m/>
    <n v="0"/>
    <m/>
    <n v="0"/>
    <n v="2"/>
    <n v="1300432"/>
    <m/>
    <n v="0"/>
    <s v="No aplica"/>
  </r>
  <r>
    <s v="Agar Antibiótico # 8"/>
    <s v="CONDALAB 1004"/>
    <s v="Frasco x 500 g"/>
    <x v="0"/>
    <x v="0"/>
    <n v="3"/>
    <n v="965440.71679999994"/>
    <n v="2896322.1503999997"/>
    <n v="3"/>
    <n v="2896322.1503999997"/>
    <m/>
    <n v="0"/>
    <m/>
    <n v="0"/>
    <m/>
    <n v="0"/>
    <m/>
    <n v="0"/>
    <m/>
    <n v="0"/>
    <m/>
    <n v="0"/>
    <m/>
    <n v="0"/>
    <m/>
    <n v="0"/>
    <s v="No aplica"/>
  </r>
  <r>
    <s v="Agar antibiotico #1"/>
    <s v="CONDALAB 1520"/>
    <s v="Frasco x 500 g"/>
    <x v="0"/>
    <x v="0"/>
    <n v="1"/>
    <n v="842289.8064"/>
    <n v="842289.8064"/>
    <n v="1"/>
    <n v="842289.8064"/>
    <m/>
    <n v="0"/>
    <m/>
    <n v="0"/>
    <m/>
    <n v="0"/>
    <m/>
    <n v="0"/>
    <m/>
    <n v="0"/>
    <m/>
    <n v="0"/>
    <m/>
    <n v="0"/>
    <m/>
    <n v="0"/>
    <s v="No aplica"/>
  </r>
  <r>
    <s v="Agar antibiotico #11"/>
    <s v="CONDALAB 1528"/>
    <s v="Frasco x 500 g"/>
    <x v="0"/>
    <x v="0"/>
    <n v="1"/>
    <n v="1132286.1424"/>
    <n v="1132286.1424"/>
    <n v="1"/>
    <n v="1132286.1424"/>
    <m/>
    <n v="0"/>
    <m/>
    <n v="0"/>
    <m/>
    <n v="0"/>
    <m/>
    <n v="0"/>
    <m/>
    <n v="0"/>
    <m/>
    <n v="0"/>
    <m/>
    <n v="0"/>
    <m/>
    <n v="0"/>
    <s v="No aplica"/>
  </r>
  <r>
    <s v="Agar avena"/>
    <s v="CONDALAB_x000a_Ref: 2060"/>
    <s v="Frasco x 500g"/>
    <x v="0"/>
    <x v="0"/>
    <n v="2"/>
    <n v="718488.68"/>
    <n v="1436977.36"/>
    <m/>
    <n v="0"/>
    <m/>
    <n v="0"/>
    <m/>
    <n v="0"/>
    <m/>
    <n v="0"/>
    <n v="2"/>
    <n v="1436977.36"/>
    <m/>
    <n v="0"/>
    <m/>
    <n v="0"/>
    <m/>
    <n v="0"/>
    <m/>
    <n v="0"/>
    <s v="No aplica"/>
  </r>
  <r>
    <s v="Agar base Bacillus cereus"/>
    <s v="CONDALAB 1343"/>
    <s v="Frasco x 500g"/>
    <x v="0"/>
    <x v="0"/>
    <n v="2"/>
    <n v="700932.848"/>
    <n v="1401865.696"/>
    <m/>
    <n v="0"/>
    <m/>
    <n v="0"/>
    <n v="1"/>
    <n v="700932.848"/>
    <m/>
    <n v="0"/>
    <m/>
    <n v="0"/>
    <m/>
    <n v="0"/>
    <m/>
    <n v="0"/>
    <n v="1"/>
    <n v="700932.848"/>
    <m/>
    <n v="0"/>
    <s v="No aplica"/>
  </r>
  <r>
    <s v="Agar Bordet Gengou "/>
    <s v="CONDALAB 1107"/>
    <s v="Frasco x 500g"/>
    <x v="0"/>
    <x v="0"/>
    <n v="1"/>
    <n v="496765.02399999998"/>
    <n v="496765.02399999998"/>
    <m/>
    <n v="0"/>
    <m/>
    <n v="0"/>
    <n v="1"/>
    <n v="496765.02399999998"/>
    <m/>
    <n v="0"/>
    <m/>
    <n v="0"/>
    <m/>
    <n v="0"/>
    <m/>
    <n v="0"/>
    <m/>
    <n v="0"/>
    <m/>
    <n v="0"/>
    <s v="No aplica"/>
  </r>
  <r>
    <s v="Agar casman"/>
    <s v="CDH DM1201"/>
    <s v="Frasco x 500g"/>
    <x v="0"/>
    <x v="8"/>
    <n v="1"/>
    <n v="1801098.32"/>
    <n v="1801098.32"/>
    <m/>
    <n v="0"/>
    <m/>
    <n v="0"/>
    <n v="1"/>
    <n v="1801098.32"/>
    <m/>
    <n v="0"/>
    <m/>
    <n v="0"/>
    <m/>
    <n v="0"/>
    <m/>
    <n v="0"/>
    <m/>
    <n v="0"/>
    <m/>
    <n v="0"/>
    <s v="No aplica"/>
  </r>
  <r>
    <s v="Agar chocolate"/>
    <s v="CDH DM 1103"/>
    <s v="Frasco x 500 g"/>
    <x v="0"/>
    <x v="8"/>
    <n v="3"/>
    <n v="1152182.7520000001"/>
    <n v="3456548.2560000001"/>
    <n v="1"/>
    <n v="1152182.7520000001"/>
    <n v="1"/>
    <n v="1152182.7520000001"/>
    <n v="1"/>
    <n v="1152182.7520000001"/>
    <m/>
    <n v="0"/>
    <m/>
    <n v="0"/>
    <m/>
    <n v="0"/>
    <m/>
    <n v="0"/>
    <m/>
    <n v="0"/>
    <m/>
    <n v="0"/>
    <s v="No aplica"/>
  </r>
  <r>
    <s v="Agar EMB "/>
    <s v="SHARLAU 01-068"/>
    <s v="Frasco x 500 g"/>
    <x v="0"/>
    <x v="6"/>
    <n v="15"/>
    <n v="390129.6"/>
    <n v="5851944"/>
    <n v="10"/>
    <n v="3901296"/>
    <n v="3"/>
    <n v="1170388.7999999998"/>
    <n v="1"/>
    <n v="390129.6"/>
    <m/>
    <n v="0"/>
    <m/>
    <n v="0"/>
    <m/>
    <n v="0"/>
    <m/>
    <n v="0"/>
    <n v="1"/>
    <n v="390129.6"/>
    <m/>
    <n v="0"/>
    <s v="No aplica"/>
  </r>
  <r>
    <s v="Agar Extracto de levadura "/>
    <s v="CONDALAB_x000a_Ref: 1312"/>
    <s v="Frasco x 500g"/>
    <x v="0"/>
    <x v="0"/>
    <n v="5"/>
    <n v="907571.49280000001"/>
    <n v="4537857.4639999997"/>
    <m/>
    <n v="0"/>
    <m/>
    <n v="0"/>
    <n v="1"/>
    <n v="907571.49280000001"/>
    <m/>
    <n v="0"/>
    <n v="4"/>
    <n v="3630285.9712"/>
    <m/>
    <n v="0"/>
    <m/>
    <n v="0"/>
    <m/>
    <n v="0"/>
    <m/>
    <n v="0"/>
    <s v="No aplica"/>
  </r>
  <r>
    <s v="Agar Hugh- Leifson (OF)"/>
    <s v="CDH DM1826"/>
    <s v="Frasco x 500g"/>
    <x v="0"/>
    <x v="8"/>
    <n v="4"/>
    <n v="819512.576"/>
    <n v="3278050.304"/>
    <m/>
    <n v="0"/>
    <m/>
    <n v="0"/>
    <m/>
    <n v="0"/>
    <m/>
    <n v="0"/>
    <n v="4"/>
    <n v="3278050.304"/>
    <m/>
    <n v="0"/>
    <m/>
    <n v="0"/>
    <m/>
    <n v="0"/>
    <m/>
    <n v="0"/>
    <s v="No aplica"/>
  </r>
  <r>
    <s v="Agar leche descremada"/>
    <s v="Sigma - Merck o equivalente"/>
    <s v="Frasco x 100g"/>
    <x v="0"/>
    <x v="2"/>
    <n v="2"/>
    <n v="953610.06400000001"/>
    <n v="1907220.128"/>
    <m/>
    <n v="0"/>
    <m/>
    <n v="0"/>
    <n v="2"/>
    <n v="1907220.128"/>
    <m/>
    <n v="0"/>
    <m/>
    <n v="0"/>
    <m/>
    <n v="0"/>
    <m/>
    <n v="0"/>
    <m/>
    <n v="0"/>
    <m/>
    <n v="0"/>
    <s v="No aplica"/>
  </r>
  <r>
    <s v="Agar Listeria"/>
    <s v="CONDALAB 1141"/>
    <s v="Frasco x 500 g"/>
    <x v="0"/>
    <x v="0"/>
    <n v="5"/>
    <n v="2649630.2000000002"/>
    <n v="13248151"/>
    <n v="3"/>
    <n v="7948890.6000000006"/>
    <m/>
    <n v="0"/>
    <n v="1"/>
    <n v="2649630.2000000002"/>
    <m/>
    <n v="0"/>
    <m/>
    <n v="0"/>
    <m/>
    <n v="0"/>
    <m/>
    <n v="0"/>
    <n v="1"/>
    <n v="2649630.2000000002"/>
    <m/>
    <n v="0"/>
    <s v="No aplica"/>
  </r>
  <r>
    <s v="Agar MacConkey  "/>
    <s v="CONDALAB 1052"/>
    <s v="Frasco x 500 g"/>
    <x v="0"/>
    <x v="0"/>
    <n v="50"/>
    <n v="632270.03839999996"/>
    <n v="31613501.919999998"/>
    <n v="5"/>
    <n v="3161350.1919999998"/>
    <n v="26"/>
    <n v="16439020.998399999"/>
    <n v="14"/>
    <n v="8851780.5375999995"/>
    <m/>
    <n v="0"/>
    <n v="4"/>
    <n v="2529080.1535999998"/>
    <m/>
    <n v="0"/>
    <m/>
    <n v="0"/>
    <n v="1"/>
    <n v="632270.03839999996"/>
    <m/>
    <n v="0"/>
    <s v="No aplica"/>
  </r>
  <r>
    <s v="Agar MacConkey con sorbitol + BCGI."/>
    <s v="MILLIPORE"/>
    <s v="Frasco x 500 g"/>
    <x v="0"/>
    <x v="7"/>
    <n v="3"/>
    <n v="2022171.76"/>
    <n v="6066515.2800000003"/>
    <m/>
    <n v="0"/>
    <n v="2"/>
    <n v="4044343.52"/>
    <m/>
    <n v="0"/>
    <m/>
    <n v="0"/>
    <m/>
    <n v="0"/>
    <m/>
    <n v="0"/>
    <m/>
    <n v="0"/>
    <n v="1"/>
    <n v="2022171.76"/>
    <m/>
    <n v="0"/>
    <s v="No aplica"/>
  </r>
  <r>
    <s v="Agar Manitol"/>
    <s v="CONDALAB 1062"/>
    <s v="Frasco x 500 g"/>
    <x v="0"/>
    <x v="0"/>
    <n v="2"/>
    <n v="525244.48479999998"/>
    <n v="1050488.9696"/>
    <m/>
    <n v="0"/>
    <m/>
    <n v="0"/>
    <n v="2"/>
    <n v="1050488.9696"/>
    <m/>
    <n v="0"/>
    <m/>
    <n v="0"/>
    <m/>
    <n v="0"/>
    <m/>
    <n v="0"/>
    <m/>
    <n v="0"/>
    <m/>
    <n v="0"/>
    <s v="No aplica"/>
  </r>
  <r>
    <s v="Agar Mueller Hinton II (Cation-Adjusted)"/>
    <s v="LIOFILCHEM  610627"/>
    <s v="Frasco x 500g"/>
    <x v="0"/>
    <x v="6"/>
    <n v="4"/>
    <n v="663220.31999999995"/>
    <n v="2652881.2799999998"/>
    <m/>
    <n v="0"/>
    <n v="2"/>
    <n v="1326440.6399999999"/>
    <n v="2"/>
    <n v="1326440.6399999999"/>
    <m/>
    <n v="0"/>
    <m/>
    <n v="0"/>
    <m/>
    <n v="0"/>
    <m/>
    <n v="0"/>
    <m/>
    <n v="0"/>
    <m/>
    <n v="0"/>
    <s v="No aplica"/>
  </r>
  <r>
    <s v="Agar Noble"/>
    <s v="Sigma - Merkc o equivalente"/>
    <s v="Frasco x 250g"/>
    <x v="0"/>
    <x v="2"/>
    <n v="4"/>
    <n v="1917264.0527999999"/>
    <n v="7669056.2111999998"/>
    <m/>
    <n v="0"/>
    <n v="3"/>
    <n v="5751792.1584000001"/>
    <n v="1"/>
    <n v="1917264.0527999999"/>
    <m/>
    <n v="0"/>
    <m/>
    <n v="0"/>
    <m/>
    <n v="0"/>
    <m/>
    <n v="0"/>
    <m/>
    <n v="0"/>
    <m/>
    <n v="0"/>
    <s v="No aplica"/>
  </r>
  <r>
    <s v="Agar ROSA de  Bengala  y Cloranfenicol "/>
    <s v="CONDALAB"/>
    <s v="Frasco  x 500g "/>
    <x v="0"/>
    <x v="0"/>
    <n v="3"/>
    <n v="633180.34080000001"/>
    <n v="1899541.0224000001"/>
    <n v="1"/>
    <n v="633180.34080000001"/>
    <m/>
    <n v="0"/>
    <m/>
    <n v="0"/>
    <m/>
    <n v="0"/>
    <m/>
    <n v="0"/>
    <m/>
    <n v="0"/>
    <m/>
    <n v="0"/>
    <n v="2"/>
    <n v="1266360.6816"/>
    <m/>
    <n v="0"/>
    <s v="No aplica"/>
  </r>
  <r>
    <s v="Agar Saboureaud con Cloranfenicol"/>
    <s v="CONDALAB 1090"/>
    <s v="Frasco  x 500g "/>
    <x v="0"/>
    <x v="0"/>
    <n v="21"/>
    <n v="541239.79839999997"/>
    <n v="11366035.7664"/>
    <n v="1"/>
    <n v="541239.79839999997"/>
    <n v="10"/>
    <n v="5412397.9839999992"/>
    <n v="6"/>
    <n v="3247438.7903999998"/>
    <m/>
    <n v="0"/>
    <n v="2"/>
    <n v="1082479.5967999999"/>
    <m/>
    <n v="0"/>
    <m/>
    <n v="0"/>
    <n v="2"/>
    <n v="1082479.5967999999"/>
    <m/>
    <n v="0"/>
    <s v="No aplica"/>
  </r>
  <r>
    <s v="Agar SPS"/>
    <s v="CONDALAB 1082"/>
    <s v="Frasco x 500g"/>
    <x v="0"/>
    <x v="0"/>
    <n v="2"/>
    <n v="723170.2352"/>
    <n v="1446340.4704"/>
    <m/>
    <n v="0"/>
    <m/>
    <n v="0"/>
    <n v="1"/>
    <n v="723170.2352"/>
    <m/>
    <n v="0"/>
    <m/>
    <n v="0"/>
    <m/>
    <n v="0"/>
    <m/>
    <n v="0"/>
    <n v="1"/>
    <n v="723170.2352"/>
    <m/>
    <n v="0"/>
    <s v="No aplica"/>
  </r>
  <r>
    <s v="Agar TBX cromogenico para recuento de E. coli."/>
    <s v="CONDALAB 1151"/>
    <s v="Frasco x 500g"/>
    <x v="0"/>
    <x v="0"/>
    <n v="2"/>
    <n v="2645338.7744"/>
    <n v="5290677.5488"/>
    <n v="2"/>
    <n v="5290677.5488"/>
    <m/>
    <n v="0"/>
    <m/>
    <n v="0"/>
    <m/>
    <n v="0"/>
    <m/>
    <n v="0"/>
    <m/>
    <n v="0"/>
    <m/>
    <n v="0"/>
    <m/>
    <n v="0"/>
    <m/>
    <n v="0"/>
    <s v="No aplica"/>
  </r>
  <r>
    <s v="Agar TSN"/>
    <s v="CONDALAB 1075"/>
    <s v="Frasco x 500g"/>
    <x v="0"/>
    <x v="0"/>
    <n v="6"/>
    <n v="1512922.5888"/>
    <n v="9077535.5328000002"/>
    <n v="5"/>
    <n v="7564612.9440000001"/>
    <m/>
    <n v="0"/>
    <n v="1"/>
    <n v="1512922.5888"/>
    <m/>
    <n v="0"/>
    <m/>
    <n v="0"/>
    <m/>
    <n v="0"/>
    <m/>
    <n v="0"/>
    <m/>
    <n v="0"/>
    <m/>
    <n v="0"/>
    <s v="No aplica"/>
  </r>
  <r>
    <s v="Agar YGC"/>
    <s v="CONDALAB 1301"/>
    <s v="Frasco x 500 g"/>
    <x v="0"/>
    <x v="0"/>
    <n v="8"/>
    <n v="1581325.3119999999"/>
    <n v="12650602.495999999"/>
    <n v="5"/>
    <n v="7906626.5599999996"/>
    <n v="2"/>
    <n v="3162650.6239999998"/>
    <n v="1"/>
    <n v="1581325.3119999999"/>
    <m/>
    <n v="0"/>
    <m/>
    <n v="0"/>
    <m/>
    <n v="0"/>
    <m/>
    <n v="0"/>
    <m/>
    <n v="0"/>
    <m/>
    <n v="0"/>
    <s v="No aplica"/>
  </r>
  <r>
    <s v="Agarosa grado biología molecular"/>
    <s v="VWR LIFE SCIENCE_x000a_Ref: 97062-250"/>
    <s v="Frasco x 500g"/>
    <x v="0"/>
    <x v="0"/>
    <n v="12"/>
    <n v="4977403.4799999995"/>
    <n v="59728841.75999999"/>
    <m/>
    <n v="0"/>
    <n v="3"/>
    <n v="14932210.439999998"/>
    <m/>
    <n v="0"/>
    <m/>
    <n v="0"/>
    <n v="6"/>
    <n v="29864420.879999995"/>
    <n v="3"/>
    <n v="14932210.439999998"/>
    <m/>
    <n v="0"/>
    <m/>
    <n v="0"/>
    <m/>
    <n v="0"/>
    <s v="No aplica"/>
  </r>
  <r>
    <s v="AgPath-ID(TM) One-step RT-PCR Kit; (100 rxn);"/>
    <s v="Thermo Fisher  Apllied  AM1005"/>
    <s v="Kit x 100 rxn"/>
    <x v="0"/>
    <x v="1"/>
    <n v="42"/>
    <n v="1759484.496"/>
    <n v="73898348.832000002"/>
    <m/>
    <n v="0"/>
    <n v="25"/>
    <n v="43987112.399999999"/>
    <n v="17"/>
    <n v="29911236.432"/>
    <m/>
    <n v="0"/>
    <m/>
    <n v="0"/>
    <m/>
    <n v="0"/>
    <m/>
    <n v="0"/>
    <m/>
    <n v="0"/>
    <m/>
    <n v="0"/>
    <s v="No aplica"/>
  </r>
  <r>
    <s v="Agua estéril libre de nucleasas"/>
    <s v="VWR LIFE SCIENCE_x000a_Ref:97062"/>
    <s v="Caja x 5 frascos x 100ml"/>
    <x v="0"/>
    <x v="0"/>
    <n v="19"/>
    <n v="654637.46880000003"/>
    <n v="12438111.907200001"/>
    <m/>
    <n v="0"/>
    <n v="4"/>
    <n v="2618549.8752000001"/>
    <n v="5"/>
    <n v="3273187.344"/>
    <m/>
    <n v="0"/>
    <n v="10"/>
    <n v="6546374.6880000001"/>
    <m/>
    <n v="0"/>
    <m/>
    <n v="0"/>
    <m/>
    <n v="0"/>
    <m/>
    <n v="0"/>
    <s v="No aplica"/>
  </r>
  <r>
    <s v="Agua peptonada buferada"/>
    <s v="3M"/>
    <s v="Frasco x 500g"/>
    <x v="0"/>
    <x v="0"/>
    <n v="68"/>
    <n v="472837.07520000002"/>
    <n v="32152921.113600001"/>
    <n v="15"/>
    <n v="7092556.1280000005"/>
    <n v="31"/>
    <n v="14657949.3312"/>
    <n v="18"/>
    <n v="8511067.353600001"/>
    <m/>
    <n v="0"/>
    <m/>
    <n v="0"/>
    <m/>
    <n v="0"/>
    <m/>
    <n v="0"/>
    <n v="4"/>
    <n v="1891348.3008000001"/>
    <m/>
    <n v="0"/>
    <s v="No aplica"/>
  </r>
  <r>
    <s v="AGUA tratada con DEPC, para uso con RNA, es Incubada con 0.1% de DEPC, autoclavada y luego filtrada. "/>
    <s v="Invitrogen Ref. 750024"/>
    <s v="Caja x 4 frascos x 100 ml"/>
    <x v="0"/>
    <x v="1"/>
    <n v="8"/>
    <n v="725120.88320000004"/>
    <n v="5800967.0656000003"/>
    <m/>
    <n v="0"/>
    <m/>
    <n v="0"/>
    <m/>
    <n v="0"/>
    <m/>
    <n v="0"/>
    <n v="8"/>
    <n v="5800967.0656000003"/>
    <m/>
    <n v="0"/>
    <m/>
    <n v="0"/>
    <m/>
    <n v="0"/>
    <m/>
    <n v="0"/>
    <s v="No aplica"/>
  </r>
  <r>
    <s v="Agua ultrapura destilada para uso en Biología Molecular con certificado de libre de RNAsas y DNAsas"/>
    <s v="VWR LIFE SCIENCE_x000a_Ref: L0201-0500"/>
    <s v="Frasco x 500 ml"/>
    <x v="0"/>
    <x v="0"/>
    <n v="10"/>
    <n v="263337.48"/>
    <n v="2633374.7999999998"/>
    <m/>
    <n v="0"/>
    <m/>
    <n v="0"/>
    <m/>
    <n v="0"/>
    <m/>
    <n v="0"/>
    <n v="10"/>
    <n v="2633374.7999999998"/>
    <m/>
    <n v="0"/>
    <m/>
    <n v="0"/>
    <m/>
    <n v="0"/>
    <m/>
    <n v="0"/>
    <s v="No aplica"/>
  </r>
  <r>
    <s v="Alcohol ácido Ziehl Neelsen"/>
    <s v="Albor"/>
    <s v="Frasco x 1 litro"/>
    <x v="0"/>
    <x v="4"/>
    <n v="4"/>
    <n v="113651.2"/>
    <n v="454604.79999999999"/>
    <m/>
    <n v="0"/>
    <n v="1"/>
    <n v="113651.2"/>
    <n v="3"/>
    <n v="340953.59999999998"/>
    <m/>
    <n v="0"/>
    <m/>
    <n v="0"/>
    <m/>
    <n v="0"/>
    <m/>
    <n v="0"/>
    <m/>
    <n v="0"/>
    <m/>
    <n v="0"/>
    <s v="No aplica"/>
  </r>
  <r>
    <s v="Alcohol antiséptico al 70%"/>
    <s v="NACIONAL (OSA)"/>
    <s v="Frasco x 750 ml"/>
    <x v="0"/>
    <x v="4"/>
    <n v="803"/>
    <n v="9398.08"/>
    <n v="7546658.2400000002"/>
    <n v="56"/>
    <n v="526292.47999999998"/>
    <n v="150"/>
    <n v="1409712"/>
    <n v="74"/>
    <n v="695457.92"/>
    <m/>
    <n v="0"/>
    <n v="282"/>
    <n v="2650258.56"/>
    <n v="100"/>
    <n v="939808"/>
    <n v="61"/>
    <n v="573282.88"/>
    <n v="80"/>
    <n v="751846.40000000002"/>
    <m/>
    <n v="0"/>
    <s v="No aplica"/>
  </r>
  <r>
    <s v="Alcohol Etilico grado reactivo al 96 %"/>
    <s v="BIOQUIGEN"/>
    <s v="Frasco x 4 litros"/>
    <x v="0"/>
    <x v="0"/>
    <n v="38"/>
    <n v="351896.89919999999"/>
    <n v="13372082.169599999"/>
    <n v="15"/>
    <n v="5278453.4879999999"/>
    <n v="6"/>
    <n v="2111381.3952000001"/>
    <m/>
    <n v="0"/>
    <m/>
    <n v="0"/>
    <n v="12"/>
    <n v="4222762.7904000003"/>
    <m/>
    <n v="0"/>
    <m/>
    <n v="0"/>
    <n v="5"/>
    <n v="1759484.4959999998"/>
    <m/>
    <n v="0"/>
    <s v="No aplica"/>
  </r>
  <r>
    <s v="Alcohol industrial para mechero"/>
    <s v="Albor"/>
    <s v="Frasco x 1 litro"/>
    <x v="0"/>
    <x v="4"/>
    <n v="130"/>
    <n v="63382.400000000001"/>
    <n v="8239712"/>
    <m/>
    <n v="0"/>
    <n v="30"/>
    <n v="1901472"/>
    <m/>
    <n v="0"/>
    <m/>
    <n v="0"/>
    <n v="100"/>
    <n v="6338240"/>
    <m/>
    <n v="0"/>
    <m/>
    <n v="0"/>
    <m/>
    <n v="0"/>
    <m/>
    <n v="0"/>
    <s v="No aplica"/>
  </r>
  <r>
    <s v="Alcohol isoamilico"/>
    <s v="VWR- BEANTOWN CHEMICAL. BT135835"/>
    <s v="Frasco x 500 ml"/>
    <x v="0"/>
    <x v="0"/>
    <n v="6"/>
    <n v="361520.09600000002"/>
    <n v="2169120.5760000004"/>
    <m/>
    <n v="0"/>
    <m/>
    <n v="0"/>
    <m/>
    <n v="0"/>
    <m/>
    <n v="0"/>
    <n v="6"/>
    <n v="2169120.5760000004"/>
    <m/>
    <n v="0"/>
    <m/>
    <n v="0"/>
    <m/>
    <n v="0"/>
    <m/>
    <n v="0"/>
    <s v="No aplica"/>
  </r>
  <r>
    <s v="Alcohol polivinílico "/>
    <s v="Merck_x000a_Ref: 1142660100"/>
    <s v="Frasco x 100 g"/>
    <x v="0"/>
    <x v="7"/>
    <n v="1"/>
    <n v="494164.16"/>
    <n v="494164.16"/>
    <m/>
    <n v="0"/>
    <m/>
    <n v="0"/>
    <m/>
    <n v="0"/>
    <m/>
    <n v="0"/>
    <m/>
    <n v="0"/>
    <n v="1"/>
    <n v="494164.16"/>
    <m/>
    <n v="0"/>
    <m/>
    <n v="0"/>
    <m/>
    <n v="0"/>
    <s v="No aplica"/>
  </r>
  <r>
    <s v="Almidón grado reactivo                                                          "/>
    <s v="CDH"/>
    <s v="Frasco x 100 g"/>
    <x v="0"/>
    <x v="8"/>
    <n v="1"/>
    <n v="370623.12"/>
    <n v="370623.12"/>
    <m/>
    <n v="0"/>
    <m/>
    <n v="0"/>
    <m/>
    <n v="0"/>
    <m/>
    <n v="0"/>
    <m/>
    <n v="0"/>
    <m/>
    <n v="0"/>
    <m/>
    <n v="0"/>
    <n v="1"/>
    <n v="370623.12"/>
    <m/>
    <n v="0"/>
    <s v="No aplica"/>
  </r>
  <r>
    <s v="Almidón soluble para análisis"/>
    <s v="JT Baker - 4006-04"/>
    <s v="Frasco x 100g"/>
    <x v="0"/>
    <x v="0"/>
    <n v="1"/>
    <n v="471146.51360000001"/>
    <n v="471146.51360000001"/>
    <m/>
    <n v="0"/>
    <m/>
    <n v="0"/>
    <n v="1"/>
    <n v="471146.51360000001"/>
    <m/>
    <n v="0"/>
    <m/>
    <n v="0"/>
    <m/>
    <n v="0"/>
    <m/>
    <n v="0"/>
    <m/>
    <n v="0"/>
    <m/>
    <n v="0"/>
    <s v="No aplica"/>
  </r>
  <r>
    <s v="Aminoácidos NO esenciales"/>
    <s v="SIGMA 11140050"/>
    <s v="Frasco x 100 ml"/>
    <x v="0"/>
    <x v="0"/>
    <n v="6"/>
    <n v="290776.59519999998"/>
    <n v="1744659.5711999999"/>
    <n v="5"/>
    <n v="1453882.9759999998"/>
    <m/>
    <n v="0"/>
    <n v="1"/>
    <n v="290776.59519999998"/>
    <m/>
    <n v="0"/>
    <m/>
    <n v="0"/>
    <m/>
    <n v="0"/>
    <m/>
    <n v="0"/>
    <m/>
    <n v="0"/>
    <m/>
    <n v="0"/>
    <s v="No aplica"/>
  </r>
  <r>
    <s v="Amoniaco 25 % para análisis"/>
    <s v="SCHARLAU"/>
    <s v="Frasco x 1 litro"/>
    <x v="0"/>
    <x v="6"/>
    <n v="4"/>
    <n v="115738.448"/>
    <n v="462953.79200000002"/>
    <m/>
    <n v="0"/>
    <m/>
    <n v="0"/>
    <m/>
    <n v="0"/>
    <m/>
    <n v="0"/>
    <m/>
    <n v="0"/>
    <m/>
    <n v="0"/>
    <m/>
    <n v="0"/>
    <n v="4"/>
    <n v="462953.79200000002"/>
    <m/>
    <n v="0"/>
    <s v="SI"/>
  </r>
  <r>
    <s v="Amonio y hierro(II) sulfato hexahidrato  p.a."/>
    <s v="CDH 457095"/>
    <s v="Fasco x 1000gr"/>
    <x v="0"/>
    <x v="8"/>
    <n v="2"/>
    <n v="561786.62399999995"/>
    <n v="1123573.2479999999"/>
    <m/>
    <n v="0"/>
    <m/>
    <n v="0"/>
    <m/>
    <n v="0"/>
    <m/>
    <n v="0"/>
    <m/>
    <n v="0"/>
    <m/>
    <n v="0"/>
    <m/>
    <n v="0"/>
    <n v="2"/>
    <n v="1123573.2479999999"/>
    <m/>
    <n v="0"/>
    <s v="No aplica"/>
  </r>
  <r>
    <s v="Ampicilina"/>
    <s v="SHARLAU AM04680005"/>
    <s v="Frasco x 5 g"/>
    <x v="0"/>
    <x v="6"/>
    <n v="1"/>
    <n v="283494.17599999998"/>
    <n v="283494.17599999998"/>
    <m/>
    <n v="0"/>
    <m/>
    <n v="0"/>
    <m/>
    <n v="0"/>
    <m/>
    <n v="0"/>
    <n v="1"/>
    <n v="283494.17599999998"/>
    <m/>
    <n v="0"/>
    <m/>
    <n v="0"/>
    <m/>
    <n v="0"/>
    <m/>
    <n v="0"/>
    <s v="No aplica"/>
  </r>
  <r>
    <s v="Anaerocult A"/>
    <s v="MILLIPORE 132381"/>
    <s v="Caja x 10"/>
    <x v="0"/>
    <x v="7"/>
    <n v="18"/>
    <n v="448649.04"/>
    <n v="8075682.7199999997"/>
    <m/>
    <n v="0"/>
    <n v="4"/>
    <n v="1794596.16"/>
    <n v="5"/>
    <n v="2243245.1999999997"/>
    <m/>
    <n v="0"/>
    <n v="4"/>
    <n v="1794596.16"/>
    <n v="3"/>
    <n v="1345947.1199999999"/>
    <m/>
    <n v="0"/>
    <n v="2"/>
    <n v="897298.08"/>
    <m/>
    <n v="0"/>
    <s v="No aplica"/>
  </r>
  <r>
    <s v="Anaerocult C "/>
    <s v="MILLIÓRE 132383"/>
    <s v="Caja x 25 sobres "/>
    <x v="0"/>
    <x v="7"/>
    <n v="14"/>
    <n v="845280.8"/>
    <n v="11833931.200000001"/>
    <m/>
    <n v="0"/>
    <n v="5"/>
    <n v="4226404"/>
    <n v="5"/>
    <n v="4226404"/>
    <m/>
    <n v="0"/>
    <m/>
    <n v="0"/>
    <n v="4"/>
    <n v="3381123.2"/>
    <m/>
    <n v="0"/>
    <m/>
    <n v="0"/>
    <m/>
    <n v="0"/>
    <s v="No aplica"/>
  </r>
  <r>
    <s v="Anaerotest indicador anaerobiosis"/>
    <s v="MERCK -MILLIPORE_x000a_Ref: 1323710001"/>
    <s v="Envase x 50 tiras"/>
    <x v="0"/>
    <x v="0"/>
    <n v="14"/>
    <n v="445007.83039999998"/>
    <n v="6230109.6255999999"/>
    <m/>
    <n v="0"/>
    <n v="5"/>
    <n v="2225039.1519999998"/>
    <m/>
    <n v="0"/>
    <m/>
    <n v="0"/>
    <n v="7"/>
    <n v="3115054.8128"/>
    <n v="1"/>
    <n v="445007.83039999998"/>
    <m/>
    <n v="0"/>
    <n v="1"/>
    <n v="445007.83039999998"/>
    <m/>
    <n v="0"/>
    <s v="No aplica"/>
  </r>
  <r>
    <s v="Anfotericina B solución para cultivo celular"/>
    <s v="SIGMA A2942-50"/>
    <s v="Frasco x 50 ml"/>
    <x v="0"/>
    <x v="0"/>
    <n v="5"/>
    <n v="556064.72320000001"/>
    <n v="2780323.6159999999"/>
    <m/>
    <n v="0"/>
    <m/>
    <n v="0"/>
    <n v="5"/>
    <n v="2780323.6159999999"/>
    <m/>
    <n v="0"/>
    <m/>
    <n v="0"/>
    <m/>
    <n v="0"/>
    <m/>
    <n v="0"/>
    <m/>
    <n v="0"/>
    <m/>
    <n v="0"/>
    <s v="No aplica"/>
  </r>
  <r>
    <s v="Antibiotic Antimycotic Solution (100×), Stabilized . with 10,000 units penicillin, 10 mg streptomycin and 25 μg amphotericin B per mL, sterile-filtered, BioReagent, suitable for cell culture"/>
    <s v="GIBCO 15240062"/>
    <s v="Frasco x 100 ml"/>
    <x v="0"/>
    <x v="1"/>
    <n v="15"/>
    <n v="290581.53039999999"/>
    <n v="4358722.9560000002"/>
    <n v="4"/>
    <n v="1162326.1216"/>
    <n v="1"/>
    <n v="290581.53039999999"/>
    <n v="10"/>
    <n v="2905815.304"/>
    <m/>
    <n v="0"/>
    <m/>
    <n v="0"/>
    <m/>
    <n v="0"/>
    <m/>
    <n v="0"/>
    <m/>
    <n v="0"/>
    <m/>
    <n v="0"/>
    <s v="No aplica"/>
  </r>
  <r>
    <s v="Antibiótico acido Nalidixico"/>
    <s v="CDH 024889"/>
    <s v="Frasco x 5 g_x000a_"/>
    <x v="0"/>
    <x v="8"/>
    <n v="1"/>
    <n v="217172.144"/>
    <n v="217172.144"/>
    <m/>
    <n v="0"/>
    <m/>
    <n v="0"/>
    <n v="1"/>
    <n v="217172.144"/>
    <m/>
    <n v="0"/>
    <m/>
    <n v="0"/>
    <m/>
    <n v="0"/>
    <m/>
    <n v="0"/>
    <m/>
    <n v="0"/>
    <m/>
    <n v="0"/>
    <s v="No aplica"/>
  </r>
  <r>
    <s v="Antibiotico polimixina B "/>
    <s v="SIGMA ALDRICH_x000a_Ref: P4932-1MU"/>
    <s v="Frasco x 1MU"/>
    <x v="0"/>
    <x v="0"/>
    <n v="11"/>
    <n v="415488.02399999998"/>
    <n v="4570368.2639999995"/>
    <m/>
    <n v="0"/>
    <n v="2"/>
    <n v="830976.04799999995"/>
    <n v="1"/>
    <n v="415488.02399999998"/>
    <m/>
    <n v="0"/>
    <n v="6"/>
    <n v="2492928.1439999999"/>
    <n v="2"/>
    <n v="830976.04799999995"/>
    <m/>
    <n v="0"/>
    <m/>
    <n v="0"/>
    <m/>
    <n v="0"/>
    <s v="No aplica"/>
  </r>
  <r>
    <s v="Anticuerpo antiratón biotinado"/>
    <s v="DAKO(Agilent) k400111-2 o equivalente"/>
    <s v="unidad X 110 uL"/>
    <x v="0"/>
    <x v="2"/>
    <n v="1"/>
    <n v="4767059.1503999997"/>
    <n v="4767059.1503999997"/>
    <m/>
    <n v="0"/>
    <m/>
    <n v="0"/>
    <n v="1"/>
    <n v="4767059.1503999997"/>
    <m/>
    <n v="0"/>
    <m/>
    <n v="0"/>
    <m/>
    <n v="0"/>
    <m/>
    <n v="0"/>
    <m/>
    <n v="0"/>
    <m/>
    <n v="0"/>
    <s v="No aplica"/>
  </r>
  <r>
    <s v="Antigeno AIID   Inmunodifusion Influenza Aviar"/>
    <s v="NVSL 300 EXP"/>
    <s v="Frasco liofilizado  x 2 ml"/>
    <x v="0"/>
    <x v="0"/>
    <n v="6"/>
    <n v="527325.17599999998"/>
    <n v="3163951.0559999999"/>
    <m/>
    <n v="0"/>
    <m/>
    <n v="0"/>
    <n v="6"/>
    <n v="3163951.0559999999"/>
    <m/>
    <n v="0"/>
    <m/>
    <n v="0"/>
    <m/>
    <n v="0"/>
    <m/>
    <n v="0"/>
    <m/>
    <n v="0"/>
    <m/>
    <n v="0"/>
    <s v="No aplica"/>
  </r>
  <r>
    <s v="Antigeno H5NX Influenza Aviar"/>
    <s v="INSTITUTO ZOOPROFILACTICO DE VENEZIA"/>
    <s v="Frasco liofilizado  x 1 ml"/>
    <x v="0"/>
    <x v="0"/>
    <n v="5"/>
    <n v="1961831.7152"/>
    <n v="9809158.5759999994"/>
    <m/>
    <n v="0"/>
    <m/>
    <n v="0"/>
    <n v="5"/>
    <n v="9809158.5759999994"/>
    <m/>
    <n v="0"/>
    <m/>
    <n v="0"/>
    <m/>
    <n v="0"/>
    <m/>
    <n v="0"/>
    <m/>
    <n v="0"/>
    <m/>
    <n v="0"/>
    <s v="No aplica"/>
  </r>
  <r>
    <s v="Antigeno H6NX  Influenza Aviar"/>
    <s v="INSTITUTO ZOOPROFILACTICO DE VENEZIA"/>
    <s v="Frasco liofilizado  x 1 ml"/>
    <x v="0"/>
    <x v="0"/>
    <n v="3"/>
    <n v="1961831.7152"/>
    <n v="5885495.1456000004"/>
    <m/>
    <n v="0"/>
    <m/>
    <n v="0"/>
    <n v="3"/>
    <n v="5885495.1456000004"/>
    <m/>
    <n v="0"/>
    <m/>
    <n v="0"/>
    <m/>
    <n v="0"/>
    <m/>
    <n v="0"/>
    <m/>
    <n v="0"/>
    <m/>
    <n v="0"/>
    <s v="No aplica"/>
  </r>
  <r>
    <s v="Antigeno H7NX  Influenza Aviar"/>
    <s v="INSTITUTO ZOOPROFILACTICO DE VENEZIA"/>
    <s v="Frasco liofilizado  x 1 ml"/>
    <x v="0"/>
    <x v="2"/>
    <n v="3"/>
    <n v="1961844.8288"/>
    <n v="5885534.4863999998"/>
    <m/>
    <n v="0"/>
    <m/>
    <n v="0"/>
    <n v="3"/>
    <n v="5885534.4863999998"/>
    <m/>
    <n v="0"/>
    <m/>
    <n v="0"/>
    <m/>
    <n v="0"/>
    <m/>
    <n v="0"/>
    <m/>
    <n v="0"/>
    <m/>
    <n v="0"/>
    <s v="No aplica"/>
  </r>
  <r>
    <s v="Antigeno H9NX  Influenza Aviar"/>
    <s v="INSTITUTO ZOOPROFILACTICO DE VENEZIA"/>
    <s v="Frasco liofilizado  x 1 ml"/>
    <x v="0"/>
    <x v="0"/>
    <n v="3"/>
    <n v="1961831.7152"/>
    <n v="5885495.1456000004"/>
    <m/>
    <n v="0"/>
    <m/>
    <n v="0"/>
    <n v="3"/>
    <n v="5885495.1456000004"/>
    <m/>
    <n v="0"/>
    <m/>
    <n v="0"/>
    <m/>
    <n v="0"/>
    <m/>
    <n v="0"/>
    <m/>
    <n v="0"/>
    <m/>
    <n v="0"/>
    <s v="No aplica"/>
  </r>
  <r>
    <s v="Anti-Pig FITC"/>
    <s v="SIGMA F1638"/>
    <s v="Frasco x 2ml"/>
    <x v="0"/>
    <x v="7"/>
    <n v="4"/>
    <n v="1191152"/>
    <n v="4764608"/>
    <m/>
    <n v="0"/>
    <m/>
    <n v="0"/>
    <n v="4"/>
    <n v="4764608"/>
    <m/>
    <n v="0"/>
    <m/>
    <n v="0"/>
    <m/>
    <n v="0"/>
    <m/>
    <n v="0"/>
    <m/>
    <n v="0"/>
    <m/>
    <n v="0"/>
    <s v="No aplica"/>
  </r>
  <r>
    <s v="Antisuero AIID  Inmunodifusion Influenza Aviar"/>
    <s v="NVSL 305-EXP"/>
    <s v="Frasco liofilizado  x 6 ml"/>
    <x v="0"/>
    <x v="0"/>
    <n v="5"/>
    <n v="2242594.9840000002"/>
    <n v="11212974.920000002"/>
    <m/>
    <n v="0"/>
    <m/>
    <n v="0"/>
    <n v="5"/>
    <n v="11212974.920000002"/>
    <m/>
    <n v="0"/>
    <m/>
    <n v="0"/>
    <m/>
    <n v="0"/>
    <m/>
    <n v="0"/>
    <m/>
    <n v="0"/>
    <m/>
    <n v="0"/>
    <s v="No aplica"/>
  </r>
  <r>
    <s v="Antisuero Factor 5 (O)"/>
    <s v="Difco o equivalente"/>
    <s v="Vial 2 ml"/>
    <x v="0"/>
    <x v="2"/>
    <n v="1"/>
    <n v="1674169.6"/>
    <n v="1674169.6"/>
    <m/>
    <n v="0"/>
    <n v="1"/>
    <n v="1674169.6"/>
    <m/>
    <n v="0"/>
    <m/>
    <n v="0"/>
    <m/>
    <n v="0"/>
    <m/>
    <n v="0"/>
    <m/>
    <n v="0"/>
    <m/>
    <n v="0"/>
    <m/>
    <n v="0"/>
    <s v="No aplica"/>
  </r>
  <r>
    <s v="Antisuero flagelar Salmonella Z42"/>
    <s v="Difco o equivalente"/>
    <s v="Frasco x 3 ml"/>
    <x v="0"/>
    <x v="2"/>
    <n v="1"/>
    <n v="2605235.2000000002"/>
    <n v="2605235.2000000002"/>
    <m/>
    <n v="0"/>
    <n v="1"/>
    <n v="2605235.2000000002"/>
    <m/>
    <n v="0"/>
    <m/>
    <n v="0"/>
    <m/>
    <n v="0"/>
    <m/>
    <n v="0"/>
    <m/>
    <n v="0"/>
    <m/>
    <n v="0"/>
    <m/>
    <n v="0"/>
    <s v="No aplica"/>
  </r>
  <r>
    <s v="Antisuero H6NX  Influenza Aviar"/>
    <s v="INSTITUTO ZOOPROFILACTICO DE VENEZIA"/>
    <s v="Frasco liofilizado  x 1 ml"/>
    <x v="0"/>
    <x v="2"/>
    <n v="3"/>
    <n v="1961844.8288"/>
    <n v="5885534.4863999998"/>
    <m/>
    <n v="0"/>
    <m/>
    <n v="0"/>
    <n v="3"/>
    <n v="5885534.4863999998"/>
    <m/>
    <n v="0"/>
    <m/>
    <n v="0"/>
    <m/>
    <n v="0"/>
    <m/>
    <n v="0"/>
    <m/>
    <n v="0"/>
    <m/>
    <n v="0"/>
    <s v="No aplica"/>
  </r>
  <r>
    <s v="Antisuero Influenza Aviar H5NX"/>
    <s v="INSTITUTO ZOOPROFILACTICO DE VENEZIA"/>
    <s v="Frasco x 1ml"/>
    <x v="0"/>
    <x v="0"/>
    <n v="4"/>
    <n v="1961831.7152"/>
    <n v="7847326.8607999999"/>
    <m/>
    <n v="0"/>
    <m/>
    <n v="0"/>
    <n v="4"/>
    <n v="7847326.8607999999"/>
    <m/>
    <n v="0"/>
    <m/>
    <n v="0"/>
    <m/>
    <n v="0"/>
    <m/>
    <n v="0"/>
    <m/>
    <n v="0"/>
    <m/>
    <n v="0"/>
    <s v="No aplica"/>
  </r>
  <r>
    <s v="Antisuero Influenza Aviar H7NX"/>
    <s v="INSTITUTO ZOOPROFILACTICO DE VENEZIA"/>
    <s v="Frasco x 1ml"/>
    <x v="0"/>
    <x v="0"/>
    <n v="3"/>
    <n v="1961831.7152"/>
    <n v="5885495.1456000004"/>
    <m/>
    <n v="0"/>
    <m/>
    <n v="0"/>
    <n v="3"/>
    <n v="5885495.1456000004"/>
    <m/>
    <n v="0"/>
    <m/>
    <n v="0"/>
    <m/>
    <n v="0"/>
    <m/>
    <n v="0"/>
    <m/>
    <n v="0"/>
    <m/>
    <n v="0"/>
    <s v="No aplica"/>
  </r>
  <r>
    <s v="Antisuero Influenza Aviar H9NX"/>
    <s v="INSTITUTO ZOOPROFILACTICO DE VENEZIA"/>
    <s v="Frasco x 1ml"/>
    <x v="0"/>
    <x v="0"/>
    <n v="3"/>
    <n v="1961831.7152"/>
    <n v="5885495.1456000004"/>
    <m/>
    <n v="0"/>
    <m/>
    <n v="0"/>
    <n v="3"/>
    <n v="5885495.1456000004"/>
    <m/>
    <n v="0"/>
    <m/>
    <n v="0"/>
    <m/>
    <n v="0"/>
    <m/>
    <n v="0"/>
    <m/>
    <n v="0"/>
    <m/>
    <n v="0"/>
    <s v="No aplica"/>
  </r>
  <r>
    <s v="Antisuero para confirmación serológica de E.Coli H antisuero H7"/>
    <s v="BD Difco"/>
    <s v="Vial x 3 ml"/>
    <x v="0"/>
    <x v="2"/>
    <n v="2"/>
    <n v="1777277.4656"/>
    <n v="3554554.9312"/>
    <n v="1"/>
    <n v="1777277.4656"/>
    <m/>
    <n v="0"/>
    <m/>
    <n v="0"/>
    <m/>
    <n v="0"/>
    <m/>
    <n v="0"/>
    <m/>
    <n v="0"/>
    <m/>
    <n v="0"/>
    <n v="1"/>
    <n v="1777277.4656"/>
    <m/>
    <n v="0"/>
    <s v="No aplica"/>
  </r>
  <r>
    <s v="Antisuero para confirmación serológica de E.Coli O157"/>
    <s v="BD Difco"/>
    <s v="Vial x 3 ml"/>
    <x v="0"/>
    <x v="2"/>
    <n v="3"/>
    <n v="3890368"/>
    <n v="11671104"/>
    <n v="1"/>
    <n v="3890368"/>
    <n v="1"/>
    <n v="3890368"/>
    <m/>
    <n v="0"/>
    <m/>
    <n v="0"/>
    <m/>
    <n v="0"/>
    <m/>
    <n v="0"/>
    <m/>
    <n v="0"/>
    <n v="1"/>
    <n v="3890368"/>
    <m/>
    <n v="0"/>
    <s v="No aplica"/>
  </r>
  <r>
    <s v="Antisuero positivo para NewCastle"/>
    <s v="NVSL 433-ADV"/>
    <s v="Frasco x 2 ml"/>
    <x v="0"/>
    <x v="0"/>
    <n v="1"/>
    <n v="816021.08"/>
    <n v="816021.08"/>
    <m/>
    <n v="0"/>
    <n v="1"/>
    <n v="816021.08"/>
    <m/>
    <n v="0"/>
    <m/>
    <n v="0"/>
    <m/>
    <n v="0"/>
    <m/>
    <n v="0"/>
    <m/>
    <n v="0"/>
    <m/>
    <n v="0"/>
    <m/>
    <n v="0"/>
    <s v="No aplica"/>
  </r>
  <r>
    <s v="Antisuero Salmonella  somático  O Grupo  B ( Factor 4) "/>
    <s v="Difco o equivalente"/>
    <s v="Frasco x 3 ml "/>
    <x v="0"/>
    <x v="2"/>
    <n v="12"/>
    <n v="1367092.8"/>
    <n v="16405113.600000001"/>
    <m/>
    <n v="0"/>
    <n v="7"/>
    <n v="9569649.5999999996"/>
    <n v="5"/>
    <n v="6835464"/>
    <m/>
    <n v="0"/>
    <m/>
    <n v="0"/>
    <m/>
    <n v="0"/>
    <m/>
    <n v="0"/>
    <m/>
    <n v="0"/>
    <m/>
    <n v="0"/>
    <s v="No aplica"/>
  </r>
  <r>
    <s v="Antisuero Salmonella  somático O  Factor 9"/>
    <s v="SS DIAGNOSTICA 40276"/>
    <s v="Frasco x 3 ml "/>
    <x v="0"/>
    <x v="0"/>
    <n v="7"/>
    <n v="4503005.8864000002"/>
    <n v="31521041.204800002"/>
    <m/>
    <n v="0"/>
    <n v="7"/>
    <n v="31521041.204800002"/>
    <m/>
    <n v="0"/>
    <m/>
    <n v="0"/>
    <m/>
    <n v="0"/>
    <m/>
    <n v="0"/>
    <m/>
    <n v="0"/>
    <m/>
    <n v="0"/>
    <m/>
    <n v="0"/>
    <s v="No aplica"/>
  </r>
  <r>
    <s v="Antisuero Salmonella Factor 12 (O)"/>
    <s v="SSI Diagnostica o Pro-lab o equivalente"/>
    <s v="Frasco x 2 ml"/>
    <x v="0"/>
    <x v="2"/>
    <n v="3"/>
    <n v="1745201.6"/>
    <n v="5235604.8000000007"/>
    <m/>
    <n v="0"/>
    <n v="2"/>
    <n v="3490403.2"/>
    <n v="1"/>
    <n v="1745201.6"/>
    <m/>
    <n v="0"/>
    <m/>
    <n v="0"/>
    <m/>
    <n v="0"/>
    <m/>
    <n v="0"/>
    <m/>
    <n v="0"/>
    <m/>
    <n v="0"/>
    <s v="No aplica"/>
  </r>
  <r>
    <s v="Antisuero salmonella Spicer Edwars 1"/>
    <s v="Difco"/>
    <s v="frasco x 3 ml"/>
    <x v="0"/>
    <x v="2"/>
    <n v="1"/>
    <n v="1497136"/>
    <n v="1497136"/>
    <m/>
    <n v="0"/>
    <m/>
    <n v="0"/>
    <n v="1"/>
    <n v="1497136"/>
    <m/>
    <n v="0"/>
    <m/>
    <n v="0"/>
    <m/>
    <n v="0"/>
    <m/>
    <n v="0"/>
    <m/>
    <n v="0"/>
    <m/>
    <n v="0"/>
    <s v="No aplica"/>
  </r>
  <r>
    <s v="Antisuero salmonella Spicer Edwars 2"/>
    <s v="Difco"/>
    <s v="frasco x 3 ml"/>
    <x v="0"/>
    <x v="2"/>
    <n v="1"/>
    <n v="3614982.4"/>
    <n v="3614982.4"/>
    <m/>
    <n v="0"/>
    <m/>
    <n v="0"/>
    <n v="1"/>
    <n v="3614982.4"/>
    <m/>
    <n v="0"/>
    <m/>
    <n v="0"/>
    <m/>
    <n v="0"/>
    <m/>
    <n v="0"/>
    <m/>
    <n v="0"/>
    <m/>
    <n v="0"/>
    <s v="No aplica"/>
  </r>
  <r>
    <s v="API 20 E con reactivos reveladores (James, TDA, VP1,VP2, Solución salina 0,85%)"/>
    <s v=" BIOMERIEUX 20100 + 70542  + 70402 +  70572  +  20070"/>
    <s v="Caja x 25 galerías"/>
    <x v="0"/>
    <x v="0"/>
    <n v="13"/>
    <n v="3634187.2672000001"/>
    <n v="47244434.4736"/>
    <m/>
    <n v="0"/>
    <m/>
    <n v="0"/>
    <n v="12"/>
    <n v="43610247.2064"/>
    <m/>
    <n v="0"/>
    <n v="1"/>
    <n v="3634187.2672000001"/>
    <m/>
    <n v="0"/>
    <m/>
    <n v="0"/>
    <m/>
    <n v="0"/>
    <m/>
    <n v="0"/>
    <s v="No aplica"/>
  </r>
  <r>
    <s v="Armored RNA Enterovirus x 250 ul"/>
    <s v="Asuragen Ref 42050"/>
    <s v="Vial x 250ul"/>
    <x v="0"/>
    <x v="4"/>
    <n v="42"/>
    <n v="4595726.6880000001"/>
    <n v="193020520.896"/>
    <m/>
    <n v="0"/>
    <n v="25"/>
    <n v="114893167.2"/>
    <n v="17"/>
    <n v="78127353.695999995"/>
    <m/>
    <n v="0"/>
    <m/>
    <n v="0"/>
    <m/>
    <n v="0"/>
    <m/>
    <n v="0"/>
    <m/>
    <n v="0"/>
    <m/>
    <n v="0"/>
    <s v="No aplica"/>
  </r>
  <r>
    <s v="Atrazina D6, estandar deuterado con certificado de análisis y fecha de vencimiento superior a 6 meses"/>
    <s v="Dr Ehrenstorfer, HPC Standars, Sigma o equivalentes "/>
    <s v="Frasco x 10 mg"/>
    <x v="0"/>
    <x v="2"/>
    <n v="4"/>
    <n v="1573397.048"/>
    <n v="6293588.1919999998"/>
    <n v="2"/>
    <n v="3146794.0959999999"/>
    <m/>
    <n v="0"/>
    <m/>
    <n v="0"/>
    <m/>
    <n v="0"/>
    <m/>
    <n v="0"/>
    <m/>
    <n v="0"/>
    <m/>
    <n v="0"/>
    <n v="2"/>
    <n v="3146794.0959999999"/>
    <m/>
    <n v="0"/>
    <s v="No aplica"/>
  </r>
  <r>
    <s v="Leptospira reference serovar autumnalis, strain Akiyami A, liquid culture"/>
    <s v="NVSL - ATL 010"/>
    <s v="Frasco x 10ml"/>
    <x v="0"/>
    <x v="0"/>
    <n v="1"/>
    <n v="895997.64800000004"/>
    <n v="895997.64800000004"/>
    <m/>
    <n v="0"/>
    <m/>
    <n v="0"/>
    <n v="1"/>
    <n v="895997.64800000004"/>
    <m/>
    <n v="0"/>
    <m/>
    <n v="0"/>
    <m/>
    <n v="0"/>
    <m/>
    <n v="0"/>
    <m/>
    <n v="0"/>
    <m/>
    <n v="0"/>
    <s v="No aplica"/>
  </r>
  <r>
    <s v="Avian antiserum infectious Bronchitis "/>
    <s v="Charles River  Código del reactivo 10100442 "/>
    <s v="Frasco x 1.0ml"/>
    <x v="0"/>
    <x v="2"/>
    <n v="1"/>
    <n v="508117.03039999999"/>
    <n v="508117.03039999999"/>
    <m/>
    <n v="0"/>
    <m/>
    <n v="0"/>
    <n v="1"/>
    <n v="508117.03039999999"/>
    <m/>
    <n v="0"/>
    <m/>
    <n v="0"/>
    <m/>
    <n v="0"/>
    <m/>
    <n v="0"/>
    <m/>
    <n v="0"/>
    <m/>
    <n v="0"/>
    <s v="No aplica"/>
  </r>
  <r>
    <s v="Avian antiserum infectious bursa disease "/>
    <s v="Charles River Código del reactivo 10100462"/>
    <s v="Frasco x 1.0ml"/>
    <x v="0"/>
    <x v="2"/>
    <n v="1"/>
    <n v="816066.97759999998"/>
    <n v="816066.97759999998"/>
    <m/>
    <n v="0"/>
    <m/>
    <n v="0"/>
    <n v="1"/>
    <n v="816066.97759999998"/>
    <m/>
    <n v="0"/>
    <m/>
    <n v="0"/>
    <m/>
    <n v="0"/>
    <m/>
    <n v="0"/>
    <m/>
    <n v="0"/>
    <m/>
    <n v="0"/>
    <s v="No aplica"/>
  </r>
  <r>
    <s v="Azúcar"/>
    <s v="NAciional"/>
    <s v="Bolsa x 1kg"/>
    <x v="0"/>
    <x v="0"/>
    <n v="29"/>
    <n v="18076.004799999999"/>
    <n v="524204.13919999998"/>
    <m/>
    <n v="0"/>
    <n v="19"/>
    <n v="343444.09119999997"/>
    <m/>
    <n v="0"/>
    <m/>
    <n v="0"/>
    <m/>
    <n v="0"/>
    <m/>
    <n v="0"/>
    <m/>
    <n v="0"/>
    <n v="10"/>
    <n v="180760.04799999998"/>
    <m/>
    <n v="0"/>
    <s v="No aplica"/>
  </r>
  <r>
    <s v="Azul de Algodón"/>
    <s v="Cualquier marca"/>
    <s v="Frasco x 5 g"/>
    <x v="0"/>
    <x v="2"/>
    <n v="5"/>
    <n v="180142.61600000001"/>
    <n v="900713.08000000007"/>
    <m/>
    <n v="0"/>
    <n v="3"/>
    <n v="540427.848"/>
    <m/>
    <n v="0"/>
    <m/>
    <n v="0"/>
    <n v="2"/>
    <n v="360285.23200000002"/>
    <m/>
    <n v="0"/>
    <m/>
    <n v="0"/>
    <m/>
    <n v="0"/>
    <m/>
    <n v="0"/>
    <s v="No aplica"/>
  </r>
  <r>
    <s v="Azul de anilina soluble en agua, de alta pureza, C32H25N3Na2O9S3  F.W.737.72 [28631-66-5]"/>
    <s v="CHH 034003"/>
    <s v="Frasco x 100 g"/>
    <x v="0"/>
    <x v="8"/>
    <n v="1"/>
    <n v="1256217.3119999999"/>
    <n v="1256217.3119999999"/>
    <m/>
    <n v="0"/>
    <m/>
    <n v="0"/>
    <n v="1"/>
    <n v="1256217.3119999999"/>
    <m/>
    <n v="0"/>
    <m/>
    <n v="0"/>
    <m/>
    <n v="0"/>
    <m/>
    <n v="0"/>
    <m/>
    <n v="0"/>
    <m/>
    <n v="0"/>
    <s v="No aplica"/>
  </r>
  <r>
    <s v="Azul de bromotimol"/>
    <s v="SCHARLAU"/>
    <s v="Frasco x 5 g"/>
    <x v="0"/>
    <x v="6"/>
    <n v="6"/>
    <n v="182060.48"/>
    <n v="1092362.8800000001"/>
    <n v="2"/>
    <n v="364120.96"/>
    <m/>
    <n v="0"/>
    <m/>
    <n v="0"/>
    <m/>
    <n v="0"/>
    <n v="2"/>
    <n v="364120.96"/>
    <m/>
    <n v="0"/>
    <m/>
    <n v="0"/>
    <n v="2"/>
    <n v="364120.96"/>
    <m/>
    <n v="0"/>
    <s v="No aplica"/>
  </r>
  <r>
    <s v="Azul de lactofenol"/>
    <s v="BIOQUIGEN"/>
    <s v="Frasco x 100 ml"/>
    <x v="0"/>
    <x v="0"/>
    <n v="19"/>
    <n v="201306.87359999999"/>
    <n v="3824830.5984"/>
    <n v="1"/>
    <n v="201306.87359999999"/>
    <n v="5"/>
    <n v="1006534.368"/>
    <m/>
    <n v="0"/>
    <m/>
    <n v="0"/>
    <n v="10"/>
    <n v="2013068.736"/>
    <n v="2"/>
    <n v="402613.74719999998"/>
    <m/>
    <n v="0"/>
    <n v="1"/>
    <n v="201306.87359999999"/>
    <m/>
    <n v="0"/>
    <s v="No aplica"/>
  </r>
  <r>
    <s v="Azul de Metileno"/>
    <s v="FISHER  CAS7220-79-3"/>
    <s v="Frasco x 25 g"/>
    <x v="0"/>
    <x v="0"/>
    <n v="4"/>
    <n v="345914.91200000001"/>
    <n v="1383659.648"/>
    <n v="1"/>
    <n v="345914.91200000001"/>
    <n v="2"/>
    <n v="691829.82400000002"/>
    <n v="1"/>
    <n v="345914.91200000001"/>
    <m/>
    <n v="0"/>
    <m/>
    <n v="0"/>
    <m/>
    <n v="0"/>
    <m/>
    <n v="0"/>
    <m/>
    <n v="0"/>
    <m/>
    <n v="0"/>
    <s v="No aplica"/>
  </r>
  <r>
    <s v="Azul de metileno Ziehl Neelsen"/>
    <s v="BIOQUIGEN"/>
    <s v="Frasco x 1 litro"/>
    <x v="0"/>
    <x v="0"/>
    <n v="4"/>
    <n v="154101.19200000001"/>
    <n v="616404.76800000004"/>
    <n v="1"/>
    <n v="154101.19200000001"/>
    <n v="2"/>
    <n v="308202.38400000002"/>
    <n v="1"/>
    <n v="154101.19200000001"/>
    <m/>
    <n v="0"/>
    <m/>
    <n v="0"/>
    <m/>
    <n v="0"/>
    <m/>
    <n v="0"/>
    <m/>
    <n v="0"/>
    <m/>
    <n v="0"/>
    <s v="No aplica"/>
  </r>
  <r>
    <s v="Azure II eosin"/>
    <s v="sigma 200220"/>
    <s v="Frasco x 25 g"/>
    <x v="0"/>
    <x v="0"/>
    <n v="1"/>
    <n v="1679117.7984"/>
    <n v="1679117.7984"/>
    <m/>
    <n v="0"/>
    <m/>
    <n v="0"/>
    <n v="1"/>
    <n v="1679117.7984"/>
    <m/>
    <n v="0"/>
    <m/>
    <n v="0"/>
    <m/>
    <n v="0"/>
    <m/>
    <n v="0"/>
    <m/>
    <n v="0"/>
    <m/>
    <n v="0"/>
    <s v="No aplica"/>
  </r>
  <r>
    <s v="Bacitracina "/>
    <s v="Thomas Scientific-_x000a_RPI"/>
    <s v="Frasco x 5g"/>
    <x v="0"/>
    <x v="0"/>
    <n v="2"/>
    <n v="899638.85759999999"/>
    <n v="1799277.7152"/>
    <m/>
    <n v="0"/>
    <m/>
    <n v="0"/>
    <m/>
    <n v="0"/>
    <m/>
    <n v="0"/>
    <n v="2"/>
    <n v="1799277.7152"/>
    <m/>
    <n v="0"/>
    <m/>
    <n v="0"/>
    <m/>
    <n v="0"/>
    <m/>
    <n v="0"/>
    <s v="No aplica"/>
  </r>
  <r>
    <s v="Bacto peptona"/>
    <s v="LIOFILCHEM 611701"/>
    <s v="Frasco x 500 g"/>
    <x v="0"/>
    <x v="6"/>
    <n v="14"/>
    <n v="585194.4"/>
    <n v="8192721.6000000006"/>
    <n v="7"/>
    <n v="4096360.8000000003"/>
    <m/>
    <n v="0"/>
    <n v="1"/>
    <n v="585194.4"/>
    <m/>
    <n v="0"/>
    <n v="3"/>
    <n v="1755583.2000000002"/>
    <m/>
    <n v="0"/>
    <m/>
    <n v="0"/>
    <n v="3"/>
    <n v="1755583.2000000002"/>
    <m/>
    <n v="0"/>
    <s v="No aplica"/>
  </r>
  <r>
    <s v="Bálsamo de Canadá (Reactivo para entomología). Resina espesa derivada del Abeto, con índice de refracción 90% admisible con el vidrio usado en  microscopia para el montaje permanente y observación de estructuras de moscas de la fruta y de insectos en general"/>
    <s v="NACIONAL Biopack. Ref: 130205"/>
    <s v="Frasco x 100 ml"/>
    <x v="0"/>
    <x v="0"/>
    <n v="5"/>
    <n v="922266.37439999997"/>
    <n v="4611331.8719999995"/>
    <m/>
    <n v="0"/>
    <m/>
    <n v="0"/>
    <m/>
    <n v="0"/>
    <m/>
    <n v="0"/>
    <n v="4"/>
    <n v="3689065.4975999999"/>
    <n v="1"/>
    <n v="922266.37439999997"/>
    <m/>
    <n v="0"/>
    <m/>
    <n v="0"/>
    <m/>
    <n v="0"/>
    <s v="No aplica"/>
  </r>
  <r>
    <s v="Base para Primers 200nM, método de purificación HPLC"/>
    <s v="BIONNER´S - CUSTOM SERVICES "/>
    <s v="Base"/>
    <x v="0"/>
    <x v="3"/>
    <n v="2020"/>
    <n v="9419.9359999999997"/>
    <n v="19028270.719999999"/>
    <m/>
    <n v="0"/>
    <n v="500"/>
    <n v="4709968"/>
    <n v="1000"/>
    <n v="9419936"/>
    <m/>
    <n v="0"/>
    <n v="250"/>
    <n v="2354984"/>
    <n v="270"/>
    <n v="2543382.7199999997"/>
    <m/>
    <n v="0"/>
    <m/>
    <n v="0"/>
    <m/>
    <n v="0"/>
    <s v="No aplica"/>
  </r>
  <r>
    <s v="BBL Crystal ANR"/>
    <s v="245010 BBL"/>
    <s v="Kit x 20 pruebas"/>
    <x v="0"/>
    <x v="2"/>
    <n v="2"/>
    <n v="3907552.28"/>
    <n v="7815104.5599999996"/>
    <m/>
    <n v="0"/>
    <n v="2"/>
    <n v="7815104.5599999996"/>
    <m/>
    <n v="0"/>
    <m/>
    <n v="0"/>
    <m/>
    <n v="0"/>
    <m/>
    <n v="0"/>
    <m/>
    <n v="0"/>
    <m/>
    <n v="0"/>
    <m/>
    <n v="0"/>
    <s v="No aplica"/>
  </r>
  <r>
    <s v="BBL Crystal Entericos / No Fermentadores  "/>
    <s v="BD 245000"/>
    <s v="Caja x 20"/>
    <x v="0"/>
    <x v="2"/>
    <n v="2"/>
    <n v="954670.07999999996"/>
    <n v="1909340.1599999999"/>
    <m/>
    <n v="0"/>
    <n v="2"/>
    <n v="1909340.1599999999"/>
    <m/>
    <n v="0"/>
    <m/>
    <n v="0"/>
    <m/>
    <n v="0"/>
    <m/>
    <n v="0"/>
    <m/>
    <n v="0"/>
    <m/>
    <n v="0"/>
    <m/>
    <n v="0"/>
    <s v="No aplica"/>
  </r>
  <r>
    <s v="BBL Crystal gram positivos"/>
    <s v="245140 BBL"/>
    <s v="Kit x 20 pruebas"/>
    <x v="0"/>
    <x v="2"/>
    <n v="2"/>
    <n v="2158283.2784000002"/>
    <n v="4316566.5568000004"/>
    <m/>
    <n v="0"/>
    <n v="2"/>
    <n v="4316566.5568000004"/>
    <m/>
    <n v="0"/>
    <m/>
    <n v="0"/>
    <m/>
    <n v="0"/>
    <m/>
    <n v="0"/>
    <m/>
    <n v="0"/>
    <m/>
    <n v="0"/>
    <m/>
    <n v="0"/>
    <s v="No aplica"/>
  </r>
  <r>
    <s v="BBL FTA hemagglutination Buffer"/>
    <s v="Becton Dickinson"/>
    <s v="Frasco x 500 g"/>
    <x v="0"/>
    <x v="2"/>
    <n v="1"/>
    <n v="1131974.6943999999"/>
    <n v="1131974.6943999999"/>
    <m/>
    <n v="0"/>
    <n v="1"/>
    <n v="1131974.6943999999"/>
    <m/>
    <n v="0"/>
    <m/>
    <n v="0"/>
    <m/>
    <n v="0"/>
    <m/>
    <n v="0"/>
    <m/>
    <n v="0"/>
    <m/>
    <n v="0"/>
    <m/>
    <n v="0"/>
    <s v="No aplica"/>
  </r>
  <r>
    <s v="Benlate o benomyl polvo fungicida "/>
    <s v="Cualquier marca"/>
    <s v="Bolsa x 1 Kg"/>
    <x v="0"/>
    <x v="2"/>
    <n v="1"/>
    <n v="1548586.1168"/>
    <n v="1548586.1168"/>
    <m/>
    <n v="0"/>
    <m/>
    <n v="0"/>
    <m/>
    <n v="0"/>
    <m/>
    <n v="0"/>
    <n v="1"/>
    <n v="1548586.1168"/>
    <m/>
    <n v="0"/>
    <m/>
    <n v="0"/>
    <m/>
    <n v="0"/>
    <m/>
    <n v="0"/>
    <s v="No aplica"/>
  </r>
  <r>
    <s v="Beta - glucoronidasa tipo HP-2s de helix Pomatia, Type HP-2S, aqueous solution, ~100,000 units/ml con fecha de vencimiento no menor a un año"/>
    <s v="SIGMA  G7770"/>
    <s v="Frasco x 10 ml "/>
    <x v="0"/>
    <x v="0"/>
    <n v="2"/>
    <n v="6117622.2576000001"/>
    <n v="12235244.5152"/>
    <n v="2"/>
    <n v="12235244.5152"/>
    <m/>
    <n v="0"/>
    <m/>
    <n v="0"/>
    <m/>
    <n v="0"/>
    <m/>
    <n v="0"/>
    <m/>
    <n v="0"/>
    <m/>
    <n v="0"/>
    <m/>
    <n v="0"/>
    <m/>
    <n v="0"/>
    <s v="No aplica"/>
  </r>
  <r>
    <s v="Beta-glucuronidasa de E Coli."/>
    <s v="SIGMA G7646"/>
    <s v="Frasco x 25000 Unidades"/>
    <x v="0"/>
    <x v="0"/>
    <n v="2"/>
    <n v="2236482.9536000001"/>
    <n v="4472965.9072000002"/>
    <n v="2"/>
    <n v="4472965.9072000002"/>
    <m/>
    <n v="0"/>
    <m/>
    <n v="0"/>
    <m/>
    <n v="0"/>
    <m/>
    <n v="0"/>
    <m/>
    <n v="0"/>
    <m/>
    <n v="0"/>
    <m/>
    <n v="0"/>
    <m/>
    <n v="0"/>
    <s v="No aplica"/>
  </r>
  <r>
    <s v="Bicarbonato de sodio anhidro"/>
    <s v="SCHARLAU SO01311000"/>
    <s v="Frasco x 1 Kg"/>
    <x v="0"/>
    <x v="6"/>
    <n v="11"/>
    <n v="107935.856"/>
    <n v="1187294.416"/>
    <n v="9"/>
    <n v="971422.70400000003"/>
    <m/>
    <n v="0"/>
    <n v="2"/>
    <n v="215871.712"/>
    <m/>
    <n v="0"/>
    <m/>
    <n v="0"/>
    <m/>
    <n v="0"/>
    <m/>
    <n v="0"/>
    <m/>
    <n v="0"/>
    <m/>
    <n v="0"/>
    <s v="No aplica"/>
  </r>
  <r>
    <s v="Bigdye Terminator Cycle Sequencing ready reaction Kit Versión 3.1"/>
    <s v="Applied Biosystems  4337455"/>
    <s v="Unidad   "/>
    <x v="0"/>
    <x v="9"/>
    <n v="2"/>
    <n v="11360324.7936"/>
    <n v="22720649.587200001"/>
    <m/>
    <n v="0"/>
    <m/>
    <n v="0"/>
    <n v="2"/>
    <n v="22720649.587200001"/>
    <m/>
    <n v="0"/>
    <m/>
    <n v="0"/>
    <m/>
    <n v="0"/>
    <m/>
    <n v="0"/>
    <m/>
    <n v="0"/>
    <m/>
    <n v="0"/>
    <s v="No aplica"/>
  </r>
  <r>
    <s v="BigDye XTerminator Purifiaction."/>
    <s v="Applied Biosystems 4376486"/>
    <s v="Kit"/>
    <x v="0"/>
    <x v="9"/>
    <n v="3"/>
    <n v="3177484.2911999999"/>
    <n v="9532452.8735999987"/>
    <m/>
    <n v="0"/>
    <m/>
    <n v="0"/>
    <n v="3"/>
    <n v="9532452.8735999987"/>
    <m/>
    <n v="0"/>
    <m/>
    <n v="0"/>
    <m/>
    <n v="0"/>
    <m/>
    <n v="0"/>
    <m/>
    <n v="0"/>
    <m/>
    <n v="0"/>
    <s v="No aplica"/>
  </r>
  <r>
    <s v="Bondesil C18 bulk sorbent, 40 μm"/>
    <s v="Agilent Technologies 12213012"/>
    <s v=" Frasco x 100g"/>
    <x v="0"/>
    <x v="10"/>
    <n v="14"/>
    <n v="1872534.656"/>
    <n v="26215485.184"/>
    <n v="4"/>
    <n v="7490138.6239999998"/>
    <m/>
    <n v="0"/>
    <m/>
    <n v="0"/>
    <m/>
    <n v="0"/>
    <m/>
    <n v="0"/>
    <m/>
    <n v="0"/>
    <m/>
    <n v="0"/>
    <n v="10"/>
    <n v="18725346.559999999"/>
    <m/>
    <n v="0"/>
    <s v="No aplica"/>
  </r>
  <r>
    <s v="Bondesil-PSA, 40 µm"/>
    <s v="SCHARLAU KQ00230100"/>
    <s v=" Frasco x 100g"/>
    <x v="0"/>
    <x v="6"/>
    <n v="21"/>
    <n v="706134.576"/>
    <n v="14828826.096000001"/>
    <m/>
    <n v="0"/>
    <m/>
    <n v="0"/>
    <m/>
    <n v="0"/>
    <m/>
    <n v="0"/>
    <m/>
    <n v="0"/>
    <m/>
    <n v="0"/>
    <m/>
    <n v="0"/>
    <n v="21"/>
    <n v="14828826.096000001"/>
    <m/>
    <n v="0"/>
    <s v="No aplica"/>
  </r>
  <r>
    <s v=" Leptospira serovar bratislava, strain Jez Bratislava, liquid culture"/>
    <s v="NVSL ARL -050"/>
    <s v="Vial x 10 ml"/>
    <x v="0"/>
    <x v="0"/>
    <n v="1"/>
    <n v="895997.64800000004"/>
    <n v="895997.64800000004"/>
    <m/>
    <n v="0"/>
    <m/>
    <n v="0"/>
    <n v="1"/>
    <n v="895997.64800000004"/>
    <m/>
    <n v="0"/>
    <m/>
    <n v="0"/>
    <m/>
    <n v="0"/>
    <m/>
    <n v="0"/>
    <m/>
    <n v="0"/>
    <m/>
    <n v="0"/>
    <s v="No aplica"/>
  </r>
  <r>
    <s v="Brucella abortus control serum-Brucella abortus complement fixation (CF) low positive control serum 12-L"/>
    <s v="NVSL-12 L"/>
    <s v="Vial"/>
    <x v="0"/>
    <x v="0"/>
    <n v="5"/>
    <n v="1933612.3407999999"/>
    <n v="9668061.7039999999"/>
    <m/>
    <n v="0"/>
    <m/>
    <n v="0"/>
    <n v="5"/>
    <n v="9668061.7039999999"/>
    <m/>
    <n v="0"/>
    <m/>
    <n v="0"/>
    <m/>
    <n v="0"/>
    <m/>
    <n v="0"/>
    <m/>
    <n v="0"/>
    <m/>
    <n v="0"/>
    <s v="No aplica"/>
  </r>
  <r>
    <s v="Suero  bovino control positivo fuerte  para Brucella abortus  "/>
    <s v="NVSL 12 -H"/>
    <s v="Vial x 2 ml"/>
    <x v="0"/>
    <x v="0"/>
    <n v="6"/>
    <n v="1370655.328"/>
    <n v="8223931.9680000003"/>
    <m/>
    <n v="0"/>
    <n v="1"/>
    <n v="1370655.328"/>
    <n v="5"/>
    <n v="6853276.6399999997"/>
    <m/>
    <n v="0"/>
    <m/>
    <n v="0"/>
    <m/>
    <n v="0"/>
    <m/>
    <n v="0"/>
    <m/>
    <n v="0"/>
    <m/>
    <n v="0"/>
    <s v="No aplica"/>
  </r>
  <r>
    <s v="Brucella control serum- Brucella suis negative control serum 712 N"/>
    <s v="NVSL - 712 N"/>
    <s v="Vial"/>
    <x v="0"/>
    <x v="2"/>
    <n v="6"/>
    <n v="369178.43839999998"/>
    <n v="2215070.6304000001"/>
    <m/>
    <n v="0"/>
    <n v="1"/>
    <n v="369178.43839999998"/>
    <n v="5"/>
    <n v="1845892.1919999998"/>
    <m/>
    <n v="0"/>
    <m/>
    <n v="0"/>
    <m/>
    <n v="0"/>
    <m/>
    <n v="0"/>
    <m/>
    <n v="0"/>
    <m/>
    <n v="0"/>
    <s v="No aplica"/>
  </r>
  <r>
    <s v="Brucella control serum- Brucella suis positive control serum 712"/>
    <s v="NVSL- 712"/>
    <s v="Vial"/>
    <x v="0"/>
    <x v="0"/>
    <n v="6"/>
    <n v="966741.14879999997"/>
    <n v="5800446.8927999996"/>
    <m/>
    <n v="0"/>
    <n v="1"/>
    <n v="966741.14879999997"/>
    <n v="5"/>
    <n v="4833705.7439999999"/>
    <m/>
    <n v="0"/>
    <m/>
    <n v="0"/>
    <m/>
    <n v="0"/>
    <m/>
    <n v="0"/>
    <m/>
    <n v="0"/>
    <m/>
    <n v="0"/>
    <s v="No aplica"/>
  </r>
  <r>
    <s v="Brucella species DNA"/>
    <s v="NVSL. BRU-DNA NVSL"/>
    <s v="Vial"/>
    <x v="0"/>
    <x v="0"/>
    <n v="2"/>
    <n v="2505412.2911999999"/>
    <n v="5010824.5823999997"/>
    <m/>
    <n v="0"/>
    <m/>
    <n v="0"/>
    <n v="2"/>
    <n v="5010824.5823999997"/>
    <m/>
    <n v="0"/>
    <m/>
    <n v="0"/>
    <m/>
    <n v="0"/>
    <m/>
    <n v="0"/>
    <m/>
    <n v="0"/>
    <m/>
    <n v="0"/>
    <s v="No aplica"/>
  </r>
  <r>
    <s v="Brucellosis negative freeze-dried serum"/>
    <s v="IDVET"/>
    <s v="vial x 1 ml"/>
    <x v="0"/>
    <x v="0"/>
    <n v="2"/>
    <n v="728788.32"/>
    <n v="1457576.64"/>
    <m/>
    <n v="0"/>
    <m/>
    <n v="0"/>
    <n v="2"/>
    <n v="1457576.64"/>
    <m/>
    <n v="0"/>
    <m/>
    <n v="0"/>
    <m/>
    <n v="0"/>
    <m/>
    <n v="0"/>
    <m/>
    <n v="0"/>
    <m/>
    <n v="0"/>
    <s v="No aplica"/>
  </r>
  <r>
    <s v="Brucellosis positive freeze-dried serum"/>
    <s v="IDVET"/>
    <s v="vial x 1 ml"/>
    <x v="0"/>
    <x v="0"/>
    <n v="2"/>
    <n v="728788.32"/>
    <n v="1457576.64"/>
    <m/>
    <n v="0"/>
    <m/>
    <n v="0"/>
    <n v="2"/>
    <n v="1457576.64"/>
    <m/>
    <n v="0"/>
    <m/>
    <n v="0"/>
    <m/>
    <n v="0"/>
    <m/>
    <n v="0"/>
    <m/>
    <n v="0"/>
    <m/>
    <n v="0"/>
    <s v="No aplica"/>
  </r>
  <r>
    <s v="Buffer fosfato salino. polvo. pH 7.4 con fecha vencimiento no menor a 2 años con certificado trazables a NIST valorado por norma DIN 19268 "/>
    <s v="SIGMA P3813"/>
    <s v="Caja x 10 sobres"/>
    <x v="0"/>
    <x v="7"/>
    <n v="2"/>
    <n v="1089762.0160000001"/>
    <n v="2179524.0320000001"/>
    <n v="1"/>
    <n v="1089762.0160000001"/>
    <m/>
    <n v="0"/>
    <n v="1"/>
    <n v="1089762.0160000001"/>
    <m/>
    <n v="0"/>
    <m/>
    <n v="0"/>
    <m/>
    <n v="0"/>
    <m/>
    <n v="0"/>
    <m/>
    <n v="0"/>
    <m/>
    <n v="0"/>
    <s v="No aplica"/>
  </r>
  <r>
    <s v="Buffer pH 10 con fecha vencimiento no menor a 2 años con certificado trazables a NIST valorado por norma DIN 19268 "/>
    <s v="Honeywell"/>
    <s v="Frasco x  1 litro"/>
    <x v="0"/>
    <x v="11"/>
    <n v="6"/>
    <n v="130043.2"/>
    <n v="780259.2"/>
    <n v="2"/>
    <n v="260086.39999999999"/>
    <m/>
    <n v="0"/>
    <n v="3"/>
    <n v="390129.6"/>
    <m/>
    <n v="0"/>
    <n v="1"/>
    <n v="130043.2"/>
    <m/>
    <n v="0"/>
    <m/>
    <n v="0"/>
    <m/>
    <n v="0"/>
    <m/>
    <n v="0"/>
    <s v="No aplica"/>
  </r>
  <r>
    <s v="Buffer pH 2 con vigencia superior a 2 años con certificado de análisis trazable  NIST valorado por norma DIN 19268 (ácido cítrico/hidróxido sódico/ácido clorhídrico), trazable a SRM de NIST y PTB pH 2.00 (20°C) "/>
    <s v="SCHARLAU _x000a_SO10221000"/>
    <s v="Frasco x  1 litro"/>
    <x v="0"/>
    <x v="6"/>
    <n v="2"/>
    <n v="150850.11199999999"/>
    <n v="301700.22399999999"/>
    <m/>
    <n v="0"/>
    <m/>
    <n v="0"/>
    <n v="1"/>
    <n v="150850.11199999999"/>
    <m/>
    <n v="0"/>
    <n v="1"/>
    <n v="150850.11199999999"/>
    <m/>
    <n v="0"/>
    <m/>
    <n v="0"/>
    <m/>
    <n v="0"/>
    <m/>
    <n v="0"/>
    <s v="No aplica"/>
  </r>
  <r>
    <s v="Buffer pH 4 con fecha vencimiento no menor a 2 años con certificado trazables a NIST valorado por norma DIN 19268 (ácido cítrico/sodio hidróxido/ácido clorhídrico), trazable a SRM de NIST y PTB pH 4.00 (25°C)"/>
    <s v="SUPELCO 109435"/>
    <s v="Frasco x  1 litro"/>
    <x v="0"/>
    <x v="7"/>
    <n v="5"/>
    <n v="175558.32"/>
    <n v="877791.60000000009"/>
    <n v="2"/>
    <n v="351116.64"/>
    <m/>
    <n v="0"/>
    <n v="3"/>
    <n v="526674.96"/>
    <m/>
    <n v="0"/>
    <m/>
    <n v="0"/>
    <m/>
    <n v="0"/>
    <m/>
    <n v="0"/>
    <m/>
    <n v="0"/>
    <m/>
    <n v="0"/>
    <s v="No aplica"/>
  </r>
  <r>
    <s v="Buffer pH 7 con fecha vencimiento no menor a 2 años con certificado trazables a NIST valorado por norma DIN 19268 (potasio dihidrógeno fosfato/di-sodio hidrogeno fosfato)trazable a SRM de NIST y PTB pH 7.00 (25°C) "/>
    <s v="CDH 812705"/>
    <s v="Frasco x  1 litro"/>
    <x v="0"/>
    <x v="8"/>
    <n v="4"/>
    <n v="175558.32"/>
    <n v="702233.28"/>
    <n v="1"/>
    <n v="175558.32"/>
    <m/>
    <n v="0"/>
    <n v="3"/>
    <n v="526674.96"/>
    <m/>
    <n v="0"/>
    <m/>
    <n v="0"/>
    <m/>
    <n v="0"/>
    <m/>
    <n v="0"/>
    <m/>
    <n v="0"/>
    <m/>
    <n v="0"/>
    <s v="No aplica"/>
  </r>
  <r>
    <s v="Buffer TBE dry Tris-Borate-Edta en sales para diluir"/>
    <s v="VWR LIFE SCIENCE (AMRESCO) 97061-752"/>
    <s v="Frasco x 17g (para 1 L)"/>
    <x v="0"/>
    <x v="0"/>
    <n v="11"/>
    <n v="870249.09439999994"/>
    <n v="9572740.0384"/>
    <m/>
    <n v="0"/>
    <n v="10"/>
    <n v="8702490.9440000001"/>
    <m/>
    <n v="0"/>
    <m/>
    <n v="0"/>
    <n v="1"/>
    <n v="870249.09439999994"/>
    <m/>
    <n v="0"/>
    <m/>
    <n v="0"/>
    <m/>
    <n v="0"/>
    <m/>
    <n v="0"/>
    <s v="No aplica"/>
  </r>
  <r>
    <s v="Buffer TBE Tampon 10X (Tris– Borato -EDTA) , TAE TAmpon (Tris-Acetato-EDTA) para Electroforesis "/>
    <s v="VWR  AVATOR 0478-40L"/>
    <s v="Unidad"/>
    <x v="0"/>
    <x v="0"/>
    <n v="11"/>
    <n v="2514905.4448000002"/>
    <n v="27663959.892800003"/>
    <m/>
    <n v="0"/>
    <n v="5"/>
    <n v="12574527.224000001"/>
    <n v="1"/>
    <n v="2514905.4448000002"/>
    <m/>
    <n v="0"/>
    <n v="5"/>
    <n v="12574527.224000001"/>
    <m/>
    <n v="0"/>
    <m/>
    <n v="0"/>
    <m/>
    <n v="0"/>
    <m/>
    <n v="0"/>
    <s v="No aplica"/>
  </r>
  <r>
    <s v="Caldo de Nitrato"/>
    <s v="CONDALAB 1281"/>
    <s v="Frasco x 500 g"/>
    <x v="0"/>
    <x v="0"/>
    <n v="3"/>
    <n v="1794986.2896"/>
    <n v="5384958.8688000003"/>
    <m/>
    <n v="0"/>
    <n v="2"/>
    <n v="3589972.5792"/>
    <n v="1"/>
    <n v="1794986.2896"/>
    <m/>
    <n v="0"/>
    <m/>
    <n v="0"/>
    <m/>
    <n v="0"/>
    <m/>
    <n v="0"/>
    <m/>
    <n v="0"/>
    <m/>
    <n v="0"/>
    <s v="No aplica"/>
  </r>
  <r>
    <s v="Caldo Muller Hinton ajustado con cationes "/>
    <s v="LIOFILCHEM 610218"/>
    <s v="Frasco x 500 g"/>
    <x v="0"/>
    <x v="6"/>
    <n v="2"/>
    <n v="858285.12"/>
    <n v="1716570.24"/>
    <m/>
    <n v="0"/>
    <n v="2"/>
    <n v="1716570.24"/>
    <m/>
    <n v="0"/>
    <m/>
    <n v="0"/>
    <m/>
    <n v="0"/>
    <m/>
    <n v="0"/>
    <m/>
    <n v="0"/>
    <m/>
    <n v="0"/>
    <m/>
    <n v="0"/>
    <s v="No aplica"/>
  </r>
  <r>
    <s v="Caldo Rojo de metilo Vogues Proskauver"/>
    <s v="LIOFILCHEM 610032"/>
    <s v="Frasco x 500 g"/>
    <x v="0"/>
    <x v="6"/>
    <n v="2"/>
    <n v="624207.35999999999"/>
    <n v="1248414.72"/>
    <m/>
    <n v="0"/>
    <n v="1"/>
    <n v="624207.35999999999"/>
    <m/>
    <n v="0"/>
    <m/>
    <n v="0"/>
    <m/>
    <n v="0"/>
    <m/>
    <n v="0"/>
    <m/>
    <n v="0"/>
    <n v="1"/>
    <n v="624207.35999999999"/>
    <m/>
    <n v="0"/>
    <s v="No aplica"/>
  </r>
  <r>
    <s v="Caldo Tertrationate"/>
    <s v="LIOFILCHEM"/>
    <s v="Frasco x 500 g"/>
    <x v="0"/>
    <x v="6"/>
    <n v="3"/>
    <n v="455151.2"/>
    <n v="1365453.6"/>
    <m/>
    <n v="0"/>
    <n v="1"/>
    <n v="455151.2"/>
    <m/>
    <n v="0"/>
    <m/>
    <n v="0"/>
    <m/>
    <n v="0"/>
    <m/>
    <n v="0"/>
    <m/>
    <n v="0"/>
    <n v="2"/>
    <n v="910302.4"/>
    <m/>
    <n v="0"/>
    <s v="No aplica"/>
  </r>
  <r>
    <s v="Caldo tioglicolato + extracto de carne. Fecha de vencimiento no inferior a 2 años"/>
    <s v="Merck, Acumedia, BBL, Sharlau, Sigma o equivalente"/>
    <s v="Frasco x 500 g "/>
    <x v="0"/>
    <x v="2"/>
    <n v="7"/>
    <n v="947538.46719999996"/>
    <n v="6632769.2703999998"/>
    <n v="5"/>
    <n v="4737692.3360000001"/>
    <n v="2"/>
    <n v="1895076.9343999999"/>
    <m/>
    <n v="0"/>
    <m/>
    <n v="0"/>
    <m/>
    <n v="0"/>
    <m/>
    <n v="0"/>
    <m/>
    <n v="0"/>
    <m/>
    <n v="0"/>
    <m/>
    <n v="0"/>
    <s v="No aplica"/>
  </r>
  <r>
    <s v="Caldo tripticasa soya  modificado E.coli O:157"/>
    <s v="CONDALAB 1292"/>
    <s v="Frasco x 500 g"/>
    <x v="0"/>
    <x v="0"/>
    <n v="8"/>
    <n v="602750.23199999996"/>
    <n v="4822001.8559999997"/>
    <n v="5"/>
    <n v="3013751.1599999997"/>
    <n v="1"/>
    <n v="602750.23199999996"/>
    <m/>
    <n v="0"/>
    <m/>
    <n v="0"/>
    <n v="1"/>
    <n v="602750.23199999996"/>
    <m/>
    <n v="0"/>
    <m/>
    <n v="0"/>
    <n v="1"/>
    <n v="602750.23199999996"/>
    <m/>
    <n v="0"/>
    <s v="No aplica"/>
  </r>
  <r>
    <s v="Caldo urea"/>
    <s v="CONDALAB 1226"/>
    <s v="FRasco x 500 gr"/>
    <x v="0"/>
    <x v="0"/>
    <n v="16"/>
    <n v="427321.95520000003"/>
    <n v="6837151.2832000004"/>
    <m/>
    <n v="0"/>
    <n v="13"/>
    <n v="5555185.4176000003"/>
    <m/>
    <n v="0"/>
    <m/>
    <n v="0"/>
    <n v="2"/>
    <n v="854643.91040000005"/>
    <m/>
    <n v="0"/>
    <m/>
    <n v="0"/>
    <n v="1"/>
    <n v="427321.95520000003"/>
    <m/>
    <n v="0"/>
    <s v="No aplica"/>
  </r>
  <r>
    <s v="Leptospira serovar canicola, strain Hond Utrecht IV, liquid culture"/>
    <s v="NVSL - CAL -010 "/>
    <s v="frasco x 10 ml"/>
    <x v="0"/>
    <x v="0"/>
    <n v="1"/>
    <n v="895997.64800000004"/>
    <n v="895997.64800000004"/>
    <m/>
    <n v="0"/>
    <m/>
    <n v="0"/>
    <n v="1"/>
    <n v="895997.64800000004"/>
    <m/>
    <n v="0"/>
    <m/>
    <n v="0"/>
    <m/>
    <n v="0"/>
    <m/>
    <n v="0"/>
    <m/>
    <n v="0"/>
    <m/>
    <n v="0"/>
    <s v="No aplica"/>
  </r>
  <r>
    <s v="Carbón activado para análisis granular"/>
    <s v="MOL LABS R3506"/>
    <s v="Frasco x 250 g"/>
    <x v="0"/>
    <x v="0"/>
    <n v="4"/>
    <n v="215091.4528"/>
    <n v="860365.8112"/>
    <n v="4"/>
    <n v="860365.8112"/>
    <m/>
    <n v="0"/>
    <m/>
    <n v="0"/>
    <m/>
    <n v="0"/>
    <m/>
    <n v="0"/>
    <m/>
    <n v="0"/>
    <m/>
    <n v="0"/>
    <m/>
    <n v="0"/>
    <m/>
    <n v="0"/>
    <s v="No aplica"/>
  </r>
  <r>
    <s v="Carbon disulfuro grado reactivo"/>
    <s v="PANREAC 161244"/>
    <s v="Frasco x 1 litro"/>
    <x v="0"/>
    <x v="7"/>
    <n v="6"/>
    <n v="1032543.008"/>
    <n v="6195258.0480000004"/>
    <n v="5"/>
    <n v="5162715.04"/>
    <m/>
    <n v="0"/>
    <m/>
    <n v="0"/>
    <m/>
    <n v="0"/>
    <m/>
    <n v="0"/>
    <m/>
    <n v="0"/>
    <m/>
    <n v="0"/>
    <n v="1"/>
    <n v="1032543.008"/>
    <m/>
    <n v="0"/>
    <s v="No aplica"/>
  </r>
  <r>
    <s v="Carbonato de Calcio (CaCO3) para analisis ACS reagent, ≥99.0%, powder"/>
    <s v="SUPELCO 102066"/>
    <s v="Frasco x 1 Kg"/>
    <x v="0"/>
    <x v="7"/>
    <n v="11"/>
    <n v="858285.12"/>
    <n v="9441136.3200000003"/>
    <n v="5"/>
    <n v="4291425.5999999996"/>
    <m/>
    <n v="0"/>
    <m/>
    <n v="0"/>
    <m/>
    <n v="0"/>
    <n v="3"/>
    <n v="2574855.36"/>
    <n v="1"/>
    <n v="858285.12"/>
    <m/>
    <n v="0"/>
    <n v="2"/>
    <n v="1716570.24"/>
    <m/>
    <n v="0"/>
    <s v="No aplica"/>
  </r>
  <r>
    <s v="Carbonato de sodio, Anhydro, granular. Especificaciones ACS. Na2CO3."/>
    <s v="JT BAKER CAS: 497-19-8"/>
    <s v="Frasco x 500g"/>
    <x v="0"/>
    <x v="0"/>
    <n v="6"/>
    <n v="301830.2672"/>
    <n v="1810981.6032"/>
    <n v="5"/>
    <n v="1509151.3360000001"/>
    <m/>
    <n v="0"/>
    <n v="1"/>
    <n v="301830.2672"/>
    <m/>
    <n v="0"/>
    <m/>
    <n v="0"/>
    <m/>
    <n v="0"/>
    <m/>
    <n v="0"/>
    <m/>
    <n v="0"/>
    <m/>
    <n v="0"/>
    <s v="SI"/>
  </r>
  <r>
    <s v="Cartuchos de extracción de 6 ml, Octadecyl C18, 40µm, 60A°. Cantidad de fase requerida para el cartucho 1000 mg  "/>
    <s v="AGILENT TECHNOLOGIES 12256001"/>
    <s v="Caja x 30 cartuchos"/>
    <x v="0"/>
    <x v="10"/>
    <n v="5"/>
    <n v="731121.44799999997"/>
    <n v="3655607.2399999998"/>
    <n v="5"/>
    <n v="3655607.2399999998"/>
    <m/>
    <n v="0"/>
    <m/>
    <n v="0"/>
    <m/>
    <n v="0"/>
    <m/>
    <n v="0"/>
    <m/>
    <n v="0"/>
    <m/>
    <n v="0"/>
    <m/>
    <n v="0"/>
    <m/>
    <n v="0"/>
    <s v="No aplica"/>
  </r>
  <r>
    <s v="Casamino Acids"/>
    <s v="WVR LIFE SCIENCE_x000a_Ref: 97063-378"/>
    <s v="Frasco x 500g"/>
    <x v="0"/>
    <x v="0"/>
    <n v="5"/>
    <n v="2281607.9440000001"/>
    <n v="11408039.720000001"/>
    <m/>
    <n v="0"/>
    <m/>
    <n v="0"/>
    <m/>
    <n v="0"/>
    <m/>
    <n v="0"/>
    <n v="4"/>
    <n v="9126431.7760000005"/>
    <n v="1"/>
    <n v="2281607.9440000001"/>
    <m/>
    <n v="0"/>
    <m/>
    <n v="0"/>
    <m/>
    <n v="0"/>
    <s v="No aplica"/>
  </r>
  <r>
    <s v="Caseína"/>
    <s v="CDH. Ref: 044885"/>
    <s v="Frasco x 500g"/>
    <x v="0"/>
    <x v="8"/>
    <n v="1"/>
    <n v="1118371.52"/>
    <n v="1118371.52"/>
    <m/>
    <n v="0"/>
    <m/>
    <n v="0"/>
    <m/>
    <n v="0"/>
    <m/>
    <n v="0"/>
    <m/>
    <n v="0"/>
    <n v="1"/>
    <n v="1118371.52"/>
    <m/>
    <n v="0"/>
    <m/>
    <n v="0"/>
    <m/>
    <n v="0"/>
    <s v="No aplica"/>
  </r>
  <r>
    <s v="Cefotaxime"/>
    <s v="Sigma o equivalente"/>
    <s v="Frasco x 10 gr"/>
    <x v="0"/>
    <x v="2"/>
    <n v="2"/>
    <n v="5208717.5488"/>
    <n v="10417435.0976"/>
    <n v="2"/>
    <n v="10417435.0976"/>
    <m/>
    <n v="0"/>
    <m/>
    <n v="0"/>
    <m/>
    <n v="0"/>
    <m/>
    <n v="0"/>
    <m/>
    <n v="0"/>
    <m/>
    <n v="0"/>
    <m/>
    <n v="0"/>
    <m/>
    <n v="0"/>
    <s v="No aplica"/>
  </r>
  <r>
    <s v="Cepa  Metarhizium  sp. Fecha  de vencimiento  no  inferior  a un año, con certificado del proveedor con acreditación con 17034"/>
    <s v="ATCC o  Colección Equivalente "/>
    <s v="Vial Liofilizado"/>
    <x v="0"/>
    <x v="2"/>
    <n v="1"/>
    <n v="7841604.96"/>
    <n v="7841604.96"/>
    <m/>
    <n v="0"/>
    <m/>
    <n v="0"/>
    <m/>
    <n v="0"/>
    <m/>
    <n v="0"/>
    <m/>
    <n v="0"/>
    <m/>
    <n v="0"/>
    <m/>
    <n v="0"/>
    <n v="1"/>
    <n v="7841604.96"/>
    <m/>
    <n v="0"/>
    <s v="No aplica"/>
  </r>
  <r>
    <s v="Cepa  Paecylomyces sp. Fecha  de vencimiento  no  inferior  a un año, con certificado del proveedor con acreditación con 17034"/>
    <s v="ATCC o  Colección Equivalente "/>
    <s v="Vial Liofilizado"/>
    <x v="0"/>
    <x v="2"/>
    <n v="1"/>
    <n v="4857113.5199999996"/>
    <n v="4857113.5199999996"/>
    <m/>
    <n v="0"/>
    <m/>
    <n v="0"/>
    <m/>
    <n v="0"/>
    <m/>
    <n v="0"/>
    <m/>
    <n v="0"/>
    <m/>
    <n v="0"/>
    <m/>
    <n v="0"/>
    <n v="1"/>
    <n v="4857113.5199999996"/>
    <m/>
    <n v="0"/>
    <s v="No aplica"/>
  </r>
  <r>
    <s v="Cepa Beauveria  bassiana Fecha  de vencimiento  no  inferior  a 2023, con certificado del proveedor con acreditación con 17034"/>
    <s v="ATCC o  Colección Equivalente "/>
    <s v="Vial Liofilizado"/>
    <x v="0"/>
    <x v="2"/>
    <n v="1"/>
    <n v="7841604.96"/>
    <n v="7841604.96"/>
    <m/>
    <n v="0"/>
    <m/>
    <n v="0"/>
    <m/>
    <n v="0"/>
    <m/>
    <n v="0"/>
    <m/>
    <n v="0"/>
    <m/>
    <n v="0"/>
    <m/>
    <n v="0"/>
    <n v="1"/>
    <n v="7841604.96"/>
    <m/>
    <n v="0"/>
    <s v="No aplica"/>
  </r>
  <r>
    <s v="Cepa de Lactobacillus acidophilus ATC 4356"/>
    <s v="MICROBIOLOGICS ATCC 4356"/>
    <s v="Culti loop/ criovial/ vial liofilizado/ Kwik stik"/>
    <x v="0"/>
    <x v="7"/>
    <n v="1"/>
    <n v="597761.6"/>
    <n v="597761.6"/>
    <m/>
    <n v="0"/>
    <m/>
    <n v="0"/>
    <m/>
    <n v="0"/>
    <m/>
    <n v="0"/>
    <m/>
    <n v="0"/>
    <m/>
    <n v="0"/>
    <m/>
    <n v="0"/>
    <n v="1"/>
    <n v="597761.6"/>
    <m/>
    <n v="0"/>
    <s v="No aplica"/>
  </r>
  <r>
    <s v="Cepa de referencia Brucella abortus RB51"/>
    <s v="NVSL 19"/>
    <s v="Vial de cultivo "/>
    <x v="0"/>
    <x v="0"/>
    <n v="2"/>
    <n v="3833933.6223999998"/>
    <n v="7667867.2447999995"/>
    <m/>
    <n v="0"/>
    <m/>
    <n v="0"/>
    <n v="2"/>
    <n v="7667867.2447999995"/>
    <m/>
    <n v="0"/>
    <m/>
    <n v="0"/>
    <m/>
    <n v="0"/>
    <m/>
    <n v="0"/>
    <m/>
    <n v="0"/>
    <m/>
    <n v="0"/>
    <s v="No aplica"/>
  </r>
  <r>
    <s v="Cepa de Lactobacillus acidophilus ATC 4356"/>
    <s v="MICROBIOLOGICS ATCC7644"/>
    <s v="culti-loops"/>
    <x v="0"/>
    <x v="7"/>
    <n v="1"/>
    <n v="597761.6"/>
    <n v="597761.6"/>
    <n v="1"/>
    <n v="597761.6"/>
    <m/>
    <n v="0"/>
    <m/>
    <n v="0"/>
    <m/>
    <n v="0"/>
    <m/>
    <n v="0"/>
    <m/>
    <n v="0"/>
    <m/>
    <n v="0"/>
    <m/>
    <n v="0"/>
    <m/>
    <n v="0"/>
    <s v="No aplica"/>
  </r>
  <r>
    <s v="Cepa E. coli"/>
    <s v="MICROBIOLOGICS ATCC 35218"/>
    <s v="Culti loop"/>
    <x v="0"/>
    <x v="7"/>
    <n v="2"/>
    <n v="540936"/>
    <n v="1081872"/>
    <m/>
    <n v="0"/>
    <n v="1"/>
    <n v="540936"/>
    <n v="1"/>
    <n v="540936"/>
    <m/>
    <n v="0"/>
    <m/>
    <n v="0"/>
    <m/>
    <n v="0"/>
    <m/>
    <n v="0"/>
    <m/>
    <n v="0"/>
    <m/>
    <n v="0"/>
    <s v="No aplica"/>
  </r>
  <r>
    <s v="Cepa E. coli con certificado del proveedor con acreditación con 17034"/>
    <s v="MICROBIOLOGICS ATCC 25922"/>
    <s v="Vial Liofilizado/ Criovial"/>
    <x v="0"/>
    <x v="7"/>
    <n v="4"/>
    <n v="397779.20000000001"/>
    <n v="1591116.8"/>
    <n v="1"/>
    <n v="397779.20000000001"/>
    <n v="2"/>
    <n v="795558.40000000002"/>
    <m/>
    <n v="0"/>
    <m/>
    <n v="0"/>
    <m/>
    <n v="0"/>
    <m/>
    <n v="0"/>
    <m/>
    <n v="0"/>
    <n v="1"/>
    <n v="397779.20000000001"/>
    <m/>
    <n v="0"/>
    <s v="No aplica"/>
  </r>
  <r>
    <s v="Cepa LASOTA Virus Enfermedad de Newcastle "/>
    <s v="NVSL 132-ADV"/>
    <s v="Frasco suspensión líquida x 0.6 ml"/>
    <x v="0"/>
    <x v="0"/>
    <n v="3"/>
    <n v="473357.24800000002"/>
    <n v="1420071.7439999999"/>
    <m/>
    <n v="0"/>
    <m/>
    <n v="0"/>
    <n v="3"/>
    <n v="1420071.7439999999"/>
    <m/>
    <n v="0"/>
    <m/>
    <n v="0"/>
    <m/>
    <n v="0"/>
    <m/>
    <n v="0"/>
    <m/>
    <n v="0"/>
    <m/>
    <n v="0"/>
    <s v="No aplica"/>
  </r>
  <r>
    <s v="Cepa Salmonella  Fecha  de vencimiento no inferior  a un año con certificado del proveedor con acreditación con 17034, segundo pase de la colección "/>
    <s v="MICROBIOLOGICS ATCC14028"/>
    <s v="Vial Liofilizado "/>
    <x v="0"/>
    <x v="7"/>
    <n v="3"/>
    <n v="606504"/>
    <n v="1819512"/>
    <n v="1"/>
    <n v="606504"/>
    <n v="1"/>
    <n v="606504"/>
    <n v="1"/>
    <n v="606504"/>
    <m/>
    <n v="0"/>
    <m/>
    <n v="0"/>
    <m/>
    <n v="0"/>
    <m/>
    <n v="0"/>
    <m/>
    <n v="0"/>
    <m/>
    <n v="0"/>
    <s v="No aplica"/>
  </r>
  <r>
    <s v="Cepa Staphylococcus aureus "/>
    <s v="MICROBIOLOGICS ATCC  6538"/>
    <s v="Vial"/>
    <x v="0"/>
    <x v="7"/>
    <n v="2"/>
    <n v="606504"/>
    <n v="1213008"/>
    <m/>
    <n v="0"/>
    <n v="1"/>
    <n v="606504"/>
    <n v="1"/>
    <n v="606504"/>
    <m/>
    <n v="0"/>
    <m/>
    <n v="0"/>
    <m/>
    <n v="0"/>
    <m/>
    <n v="0"/>
    <m/>
    <n v="0"/>
    <m/>
    <n v="0"/>
    <s v="No aplica"/>
  </r>
  <r>
    <s v="Cepa Virus Bronquitis infecciosa aviar"/>
    <s v="NVSL  112-ADV"/>
    <s v="Frasco suspensión líquida x 0.6 ml"/>
    <x v="0"/>
    <x v="0"/>
    <n v="1"/>
    <n v="483110.48800000001"/>
    <n v="483110.48800000001"/>
    <m/>
    <n v="0"/>
    <m/>
    <n v="0"/>
    <n v="1"/>
    <n v="483110.48800000001"/>
    <m/>
    <n v="0"/>
    <m/>
    <n v="0"/>
    <m/>
    <n v="0"/>
    <m/>
    <n v="0"/>
    <m/>
    <n v="0"/>
    <m/>
    <n v="0"/>
    <s v="No aplica"/>
  </r>
  <r>
    <s v="Cepa Virus Enfermedad de Gumboro"/>
    <s v="NVSL 124-AVD  AMES"/>
    <s v="Frasco suspensión líquida x 0.6 ml"/>
    <x v="0"/>
    <x v="2"/>
    <n v="1"/>
    <n v="436945.152"/>
    <n v="436945.152"/>
    <m/>
    <n v="0"/>
    <m/>
    <n v="0"/>
    <n v="1"/>
    <n v="436945.152"/>
    <m/>
    <n v="0"/>
    <m/>
    <n v="0"/>
    <m/>
    <n v="0"/>
    <m/>
    <n v="0"/>
    <m/>
    <n v="0"/>
    <m/>
    <n v="0"/>
    <s v="No aplica"/>
  </r>
  <r>
    <s v="Cepa Virus Laringotraqueitis infecciosa"/>
    <s v="NSVL 033-ADV"/>
    <s v="Frasco suspensión líquida x 0.6 ml"/>
    <x v="0"/>
    <x v="0"/>
    <n v="1"/>
    <n v="483110.48800000001"/>
    <n v="483110.48800000001"/>
    <m/>
    <n v="0"/>
    <m/>
    <n v="0"/>
    <n v="1"/>
    <n v="483110.48800000001"/>
    <m/>
    <n v="0"/>
    <m/>
    <n v="0"/>
    <m/>
    <n v="0"/>
    <m/>
    <n v="0"/>
    <m/>
    <n v="0"/>
    <m/>
    <n v="0"/>
    <s v="No aplica"/>
  </r>
  <r>
    <s v="Cephalexin hydrate"/>
    <s v="Sigma Aldrich_x000a_Ref: C4895-5G"/>
    <s v="Frasco x 5 g"/>
    <x v="0"/>
    <x v="7"/>
    <n v="2"/>
    <n v="642566.40000000002"/>
    <n v="1285132.8"/>
    <m/>
    <n v="0"/>
    <m/>
    <n v="0"/>
    <m/>
    <n v="0"/>
    <m/>
    <n v="0"/>
    <m/>
    <n v="0"/>
    <n v="2"/>
    <n v="1285132.8"/>
    <m/>
    <n v="0"/>
    <m/>
    <n v="0"/>
    <m/>
    <n v="0"/>
    <s v="No aplica"/>
  </r>
  <r>
    <s v="Cicloheximida"/>
    <s v="Sigma Aldrich_x000a_Ref: C7698-5G"/>
    <s v="Frasco x 5 g"/>
    <x v="0"/>
    <x v="7"/>
    <n v="2"/>
    <n v="849105.6"/>
    <n v="1698211.2"/>
    <m/>
    <n v="0"/>
    <m/>
    <n v="0"/>
    <m/>
    <n v="0"/>
    <m/>
    <n v="0"/>
    <m/>
    <n v="0"/>
    <n v="2"/>
    <n v="1698211.2"/>
    <m/>
    <n v="0"/>
    <m/>
    <n v="0"/>
    <m/>
    <n v="0"/>
    <s v="No aplica"/>
  </r>
  <r>
    <s v="Citrato de sodio (Citrato trisodico)"/>
    <s v="SIGMA S4641"/>
    <s v="Frasco x 25g"/>
    <x v="0"/>
    <x v="0"/>
    <n v="20"/>
    <n v="259436.18400000001"/>
    <n v="5188723.68"/>
    <n v="15"/>
    <n v="3891542.7600000002"/>
    <m/>
    <n v="0"/>
    <m/>
    <n v="0"/>
    <m/>
    <n v="0"/>
    <m/>
    <n v="0"/>
    <n v="5"/>
    <n v="1297180.92"/>
    <m/>
    <n v="0"/>
    <m/>
    <n v="0"/>
    <m/>
    <n v="0"/>
    <s v="No aplica"/>
  </r>
  <r>
    <s v="Citrato disodico sesquihidratado"/>
    <s v="SCHARLAU"/>
    <s v="Frasco x 500g o 1 kg"/>
    <x v="0"/>
    <x v="6"/>
    <n v="23"/>
    <n v="316004.97600000002"/>
    <n v="7268114.4480000008"/>
    <n v="8"/>
    <n v="2528039.8080000002"/>
    <m/>
    <n v="0"/>
    <m/>
    <n v="0"/>
    <m/>
    <n v="0"/>
    <m/>
    <n v="0"/>
    <m/>
    <n v="0"/>
    <m/>
    <n v="0"/>
    <n v="15"/>
    <n v="4740074.6400000006"/>
    <m/>
    <n v="0"/>
    <s v="No aplica"/>
  </r>
  <r>
    <s v="Cloranfenicol"/>
    <s v="CDH. Ref: 044204"/>
    <s v="Frasco x 25 g"/>
    <x v="0"/>
    <x v="8"/>
    <n v="7"/>
    <n v="286095.03999999998"/>
    <n v="2002665.2799999998"/>
    <m/>
    <n v="0"/>
    <m/>
    <n v="0"/>
    <m/>
    <n v="0"/>
    <m/>
    <n v="0"/>
    <n v="6"/>
    <n v="1716570.2399999998"/>
    <m/>
    <n v="0"/>
    <m/>
    <n v="0"/>
    <n v="1"/>
    <n v="286095.03999999998"/>
    <m/>
    <n v="0"/>
    <s v="No aplica"/>
  </r>
  <r>
    <s v="Cloroformo 99% Grado Biología Molecular"/>
    <s v="CDH _x000a_Ref: 921400"/>
    <s v="Frasco x 500 ml"/>
    <x v="0"/>
    <x v="8"/>
    <n v="29"/>
    <n v="351116.64"/>
    <n v="10182382.560000001"/>
    <n v="10"/>
    <n v="3511166.4000000004"/>
    <m/>
    <n v="0"/>
    <n v="1"/>
    <n v="351116.64"/>
    <m/>
    <n v="0"/>
    <n v="18"/>
    <n v="6320099.5200000005"/>
    <m/>
    <n v="0"/>
    <m/>
    <n v="0"/>
    <m/>
    <n v="0"/>
    <m/>
    <n v="0"/>
    <s v="SI"/>
  </r>
  <r>
    <s v="Cloroformo grado reactivo"/>
    <s v="JT BAKER CAS: 67-66-3"/>
    <s v="Frasco x 4 litros"/>
    <x v="0"/>
    <x v="0"/>
    <n v="11"/>
    <n v="561526.53760000004"/>
    <n v="6176791.9136000006"/>
    <n v="4"/>
    <n v="2246106.1504000002"/>
    <n v="1"/>
    <n v="561526.53760000004"/>
    <n v="2"/>
    <n v="1123053.0752000001"/>
    <m/>
    <n v="0"/>
    <n v="4"/>
    <n v="2246106.1504000002"/>
    <m/>
    <n v="0"/>
    <m/>
    <n v="0"/>
    <m/>
    <n v="0"/>
    <m/>
    <n v="0"/>
    <s v="SI"/>
  </r>
  <r>
    <s v="Clorpirifos deuterado  con certificado de análisis y ficha de seguridad.Fecha  de vencimiento  no  inferior  a 6 meses. CAS 285138-81-0"/>
    <s v="Sigma Aldrich, Dr Erhenstorfer o equivalente"/>
    <s v="Frasco x 25mg"/>
    <x v="0"/>
    <x v="2"/>
    <n v="3"/>
    <n v="2542723.7615999999"/>
    <n v="7628171.2847999996"/>
    <n v="2"/>
    <n v="5085447.5231999997"/>
    <m/>
    <n v="0"/>
    <m/>
    <n v="0"/>
    <m/>
    <n v="0"/>
    <m/>
    <n v="0"/>
    <m/>
    <n v="0"/>
    <m/>
    <n v="0"/>
    <n v="1"/>
    <n v="2542723.7615999999"/>
    <m/>
    <n v="0"/>
    <s v="No aplica"/>
  </r>
  <r>
    <s v="Cloruro de 2,3,5 Trifenil tetrazolio para microbiología"/>
    <s v="SIGMA ALDRICH_x000a_Ref: T8877-100G"/>
    <s v="Frasco x 100 g"/>
    <x v="0"/>
    <x v="0"/>
    <n v="11"/>
    <n v="2495529.0079999999"/>
    <n v="27450819.088"/>
    <m/>
    <n v="0"/>
    <m/>
    <n v="0"/>
    <m/>
    <n v="0"/>
    <m/>
    <n v="0"/>
    <n v="3"/>
    <n v="7486587.0240000002"/>
    <n v="2"/>
    <n v="4991058.0159999998"/>
    <n v="6"/>
    <n v="14973174.048"/>
    <m/>
    <n v="0"/>
    <m/>
    <n v="0"/>
    <s v="No aplica"/>
  </r>
  <r>
    <s v="Cloruro de bario. BaCl2 (H2O)2"/>
    <s v="SIGMA 217565"/>
    <s v="FRasco x 100 gr"/>
    <x v="0"/>
    <x v="0"/>
    <n v="2"/>
    <n v="326928.60479999997"/>
    <n v="653857.20959999994"/>
    <n v="1"/>
    <n v="326928.60479999997"/>
    <m/>
    <n v="0"/>
    <n v="1"/>
    <n v="326928.60479999997"/>
    <m/>
    <n v="0"/>
    <m/>
    <n v="0"/>
    <m/>
    <n v="0"/>
    <m/>
    <n v="0"/>
    <m/>
    <n v="0"/>
    <m/>
    <n v="0"/>
    <s v="No aplica"/>
  </r>
  <r>
    <s v="Cloruro de calcio dihidratado PA con certificado de análisis trazable por lote"/>
    <s v="SUPELCO 102382"/>
    <s v="Frasco x 250 g "/>
    <x v="0"/>
    <x v="7"/>
    <n v="1"/>
    <n v="295198.06400000001"/>
    <n v="295198.06400000001"/>
    <m/>
    <n v="0"/>
    <m/>
    <n v="0"/>
    <n v="1"/>
    <n v="295198.06400000001"/>
    <m/>
    <n v="0"/>
    <m/>
    <n v="0"/>
    <m/>
    <n v="0"/>
    <m/>
    <n v="0"/>
    <m/>
    <n v="0"/>
    <m/>
    <n v="0"/>
    <s v="SI"/>
  </r>
  <r>
    <s v="Cloruro de estaño  dihidratado CAS 10025-69-1"/>
    <s v="PANREAC 131303 CAS 10025-69-1"/>
    <s v="Frasco X 250 g"/>
    <x v="0"/>
    <x v="0"/>
    <n v="1"/>
    <n v="922786.54720000003"/>
    <n v="922786.54720000003"/>
    <m/>
    <n v="0"/>
    <m/>
    <n v="0"/>
    <m/>
    <n v="0"/>
    <m/>
    <n v="0"/>
    <m/>
    <n v="0"/>
    <m/>
    <n v="0"/>
    <m/>
    <n v="0"/>
    <n v="1"/>
    <n v="922786.54720000003"/>
    <m/>
    <n v="0"/>
    <s v="No aplica"/>
  </r>
  <r>
    <s v="Cloruro de potasio (KCl)  con certificado de análisis y ficha de seguridad"/>
    <s v="JT BAKER "/>
    <s v="Frasco x 500 g"/>
    <x v="0"/>
    <x v="0"/>
    <n v="3"/>
    <n v="341233.35680000001"/>
    <n v="1023700.0704000001"/>
    <m/>
    <n v="0"/>
    <m/>
    <n v="0"/>
    <n v="1"/>
    <n v="341233.35680000001"/>
    <m/>
    <n v="0"/>
    <n v="2"/>
    <n v="682466.71360000002"/>
    <m/>
    <n v="0"/>
    <m/>
    <n v="0"/>
    <m/>
    <n v="0"/>
    <m/>
    <n v="0"/>
    <s v="No aplica"/>
  </r>
  <r>
    <s v="Cloruro de Potasio 3M para electrodos, Con certificado de análisis e incertidumbre. Fecha de vencimiento no inferior a 2 años"/>
    <s v="MOL LABS V7316"/>
    <s v="Frasco x 300 mL"/>
    <x v="0"/>
    <x v="0"/>
    <n v="14"/>
    <n v="251373.5056"/>
    <n v="3519229.0784"/>
    <n v="8"/>
    <n v="2010988.0448"/>
    <n v="2"/>
    <n v="502747.01120000001"/>
    <n v="1"/>
    <n v="251373.5056"/>
    <m/>
    <n v="0"/>
    <n v="1"/>
    <n v="251373.5056"/>
    <m/>
    <n v="0"/>
    <m/>
    <n v="0"/>
    <n v="2"/>
    <n v="502747.01120000001"/>
    <m/>
    <n v="0"/>
    <s v="No aplica"/>
  </r>
  <r>
    <s v="Cloruro de sodio (NaCl) grado reactivo"/>
    <s v="JT BAKER CAS 7647-14-5"/>
    <s v="Frasco x 1 Kg"/>
    <x v="0"/>
    <x v="0"/>
    <n v="18"/>
    <n v="140186.56959999999"/>
    <n v="2523358.2527999999"/>
    <n v="10"/>
    <n v="1401865.696"/>
    <m/>
    <n v="0"/>
    <n v="2"/>
    <n v="280373.13919999998"/>
    <m/>
    <n v="0"/>
    <n v="2"/>
    <n v="280373.13919999998"/>
    <m/>
    <n v="0"/>
    <m/>
    <n v="0"/>
    <n v="4"/>
    <n v="560746.27839999995"/>
    <m/>
    <n v="0"/>
    <s v="No aplica"/>
  </r>
  <r>
    <s v="Coagulasa plasma de conejo con EDTA, Test de coagulasa para Staphylococcus aureus"/>
    <s v="MILLIPORE 1133060001"/>
    <s v="Caja x 6 x 3 ml "/>
    <x v="0"/>
    <x v="0"/>
    <n v="1"/>
    <n v="1030462.3168"/>
    <n v="1030462.3168"/>
    <m/>
    <n v="0"/>
    <n v="1"/>
    <n v="1030462.3168"/>
    <m/>
    <n v="0"/>
    <m/>
    <n v="0"/>
    <m/>
    <n v="0"/>
    <m/>
    <n v="0"/>
    <m/>
    <n v="0"/>
    <m/>
    <n v="0"/>
    <m/>
    <n v="0"/>
    <s v="No aplica"/>
  </r>
  <r>
    <s v="Colorante fuschina fenicada Ziehl Neelsen"/>
    <s v="BIOQUIGEN"/>
    <s v="Frasco x 1 litro"/>
    <x v="0"/>
    <x v="0"/>
    <n v="3"/>
    <n v="193894.4112"/>
    <n v="581683.23360000004"/>
    <m/>
    <n v="0"/>
    <n v="1"/>
    <n v="193894.4112"/>
    <n v="2"/>
    <n v="387788.8224"/>
    <m/>
    <n v="0"/>
    <m/>
    <n v="0"/>
    <m/>
    <n v="0"/>
    <m/>
    <n v="0"/>
    <m/>
    <n v="0"/>
    <m/>
    <n v="0"/>
    <s v="No aplica"/>
  </r>
  <r>
    <s v="Colorante Giemsa"/>
    <s v="CDH 298405"/>
    <s v="Frasco x 25 g"/>
    <x v="0"/>
    <x v="8"/>
    <n v="3"/>
    <n v="1105367.2"/>
    <n v="3316101.5999999996"/>
    <m/>
    <n v="0"/>
    <n v="1"/>
    <n v="1105367.2"/>
    <n v="2"/>
    <n v="2210734.4"/>
    <m/>
    <n v="0"/>
    <m/>
    <n v="0"/>
    <m/>
    <n v="0"/>
    <m/>
    <n v="0"/>
    <m/>
    <n v="0"/>
    <m/>
    <n v="0"/>
    <s v="No aplica"/>
  </r>
  <r>
    <s v="Colorante violeta de Gram"/>
    <s v="BIOQUIGEN"/>
    <s v="Frasco x 1 litro"/>
    <x v="0"/>
    <x v="0"/>
    <n v="5"/>
    <n v="118209.26880000001"/>
    <n v="591046.34400000004"/>
    <m/>
    <n v="0"/>
    <n v="3"/>
    <n v="354627.8064"/>
    <n v="2"/>
    <n v="236418.53760000001"/>
    <m/>
    <n v="0"/>
    <m/>
    <n v="0"/>
    <m/>
    <n v="0"/>
    <m/>
    <n v="0"/>
    <m/>
    <n v="0"/>
    <m/>
    <n v="0"/>
    <s v="No aplica"/>
  </r>
  <r>
    <s v="Conjugado - antiguinea pig Ig G whole molecule "/>
    <s v="Sigma A7289"/>
    <s v="Frasco x 1 ml"/>
    <x v="0"/>
    <x v="7"/>
    <n v="11"/>
    <n v="1415176"/>
    <n v="15566936"/>
    <n v="8"/>
    <n v="11321408"/>
    <m/>
    <n v="0"/>
    <n v="3"/>
    <n v="4245528"/>
    <m/>
    <n v="0"/>
    <m/>
    <n v="0"/>
    <m/>
    <n v="0"/>
    <m/>
    <n v="0"/>
    <m/>
    <n v="0"/>
    <m/>
    <n v="0"/>
    <s v="No aplica"/>
  </r>
  <r>
    <s v="Leptospira serovar copenhageni (ictero reference), strain M-20, liquid culture"/>
    <s v="NVSL - ICL-020 "/>
    <s v="VIAL X 10 ML"/>
    <x v="0"/>
    <x v="0"/>
    <n v="1"/>
    <n v="895997.64800000004"/>
    <n v="895997.64800000004"/>
    <m/>
    <n v="0"/>
    <m/>
    <n v="0"/>
    <n v="1"/>
    <n v="895997.64800000004"/>
    <m/>
    <n v="0"/>
    <m/>
    <n v="0"/>
    <m/>
    <n v="0"/>
    <m/>
    <n v="0"/>
    <m/>
    <n v="0"/>
    <m/>
    <n v="0"/>
    <s v="No aplica"/>
  </r>
  <r>
    <s v="Cristal Violeta"/>
    <s v="SCHARLAU"/>
    <s v="Frasco x 25g"/>
    <x v="0"/>
    <x v="6"/>
    <n v="5"/>
    <n v="163854.432"/>
    <n v="819272.16"/>
    <n v="1"/>
    <n v="163854.432"/>
    <n v="2"/>
    <n v="327708.864"/>
    <n v="2"/>
    <n v="327708.864"/>
    <m/>
    <n v="0"/>
    <m/>
    <n v="0"/>
    <m/>
    <n v="0"/>
    <m/>
    <n v="0"/>
    <m/>
    <n v="0"/>
    <m/>
    <n v="0"/>
    <s v="No aplica"/>
  </r>
  <r>
    <s v="CTAB (Bromuro de hexadeciltrimetilamonio o Bromuro de cetiltrimetilamonio)"/>
    <s v="BEANTOWN CHEMICAL_x000a_Ref: 224475-100G"/>
    <s v="Frasco x 100g"/>
    <x v="0"/>
    <x v="0"/>
    <n v="18"/>
    <n v="843200.10880000005"/>
    <n v="15177601.9584"/>
    <m/>
    <n v="0"/>
    <m/>
    <n v="0"/>
    <m/>
    <n v="0"/>
    <m/>
    <n v="0"/>
    <n v="12"/>
    <n v="10118401.305600001"/>
    <n v="6"/>
    <n v="5059200.6528000003"/>
    <m/>
    <n v="0"/>
    <m/>
    <n v="0"/>
    <m/>
    <n v="0"/>
    <s v="No aplica"/>
  </r>
  <r>
    <s v="Delvotest T. Test de inhibición bacteriana aprobado para la detección de residuos de sustancias antibacterianas en leche"/>
    <s v="DELVOTEST - DSM"/>
    <s v="Caja X 1 KIT"/>
    <x v="0"/>
    <x v="2"/>
    <n v="5"/>
    <n v="1114656"/>
    <n v="5573280"/>
    <n v="5"/>
    <n v="5573280"/>
    <m/>
    <n v="0"/>
    <m/>
    <n v="0"/>
    <m/>
    <n v="0"/>
    <m/>
    <n v="0"/>
    <m/>
    <n v="0"/>
    <m/>
    <n v="0"/>
    <m/>
    <n v="0"/>
    <m/>
    <n v="0"/>
    <s v="No aplica"/>
  </r>
  <r>
    <s v="DEPC Diethyl pyrocarbonate (DEPC)"/>
    <s v="SIGMA ALDRICH_x000a_Ref: 159220-100G"/>
    <s v="Frasco x 100g"/>
    <x v="0"/>
    <x v="0"/>
    <n v="3"/>
    <n v="2205792.7584000002"/>
    <n v="6617378.2752"/>
    <m/>
    <n v="0"/>
    <m/>
    <n v="0"/>
    <m/>
    <n v="0"/>
    <m/>
    <n v="0"/>
    <n v="3"/>
    <n v="6617378.2752"/>
    <m/>
    <n v="0"/>
    <m/>
    <n v="0"/>
    <m/>
    <n v="0"/>
    <m/>
    <n v="0"/>
    <s v="No aplica"/>
  </r>
  <r>
    <s v="Desinfectante bactericida a base de yodo"/>
    <s v="Cualquier marca"/>
    <s v="Frasco x 3.78  y/o 4 litros "/>
    <x v="0"/>
    <x v="2"/>
    <n v="4"/>
    <n v="109292.0208"/>
    <n v="437168.08319999999"/>
    <n v="2"/>
    <n v="218584.0416"/>
    <m/>
    <n v="0"/>
    <n v="2"/>
    <n v="218584.0416"/>
    <m/>
    <n v="0"/>
    <m/>
    <n v="0"/>
    <m/>
    <n v="0"/>
    <m/>
    <n v="0"/>
    <m/>
    <n v="0"/>
    <m/>
    <n v="0"/>
    <s v="No aplica"/>
  </r>
  <r>
    <s v="Detection Enhancer, for real-time PCR"/>
    <s v="Applied Biosystem A44810"/>
    <s v="Vial"/>
    <x v="0"/>
    <x v="1"/>
    <n v="43"/>
    <n v="95971.881599999993"/>
    <n v="4126790.9087999999"/>
    <m/>
    <n v="0"/>
    <n v="13"/>
    <n v="1247634.4608"/>
    <n v="30"/>
    <n v="2879156.4479999999"/>
    <m/>
    <n v="0"/>
    <m/>
    <n v="0"/>
    <m/>
    <n v="0"/>
    <m/>
    <n v="0"/>
    <m/>
    <n v="0"/>
    <m/>
    <n v="0"/>
    <s v="No aplica"/>
  </r>
  <r>
    <s v="Detergente líquido libre de fosfatos para lavado de material de laboratorio"/>
    <s v="BIOQUIGEN"/>
    <s v="Frasco x 5 litros"/>
    <x v="0"/>
    <x v="0"/>
    <n v="39"/>
    <n v="232647.28479999999"/>
    <n v="9073244.1072000004"/>
    <n v="10"/>
    <n v="2326472.8479999998"/>
    <n v="11"/>
    <n v="2559120.1327999998"/>
    <n v="12"/>
    <n v="2791767.4175999998"/>
    <m/>
    <n v="0"/>
    <n v="6"/>
    <n v="1395883.7087999999"/>
    <m/>
    <n v="0"/>
    <m/>
    <n v="0"/>
    <m/>
    <n v="0"/>
    <m/>
    <n v="0"/>
    <s v="No aplica"/>
  </r>
  <r>
    <s v="Detergente líquido neutro para lavado de material de laboratorio"/>
    <s v="BIOQUIGEN"/>
    <s v="Frasco x 5 litros"/>
    <x v="0"/>
    <x v="0"/>
    <n v="117"/>
    <n v="197405.57759999999"/>
    <n v="23096452.5792"/>
    <n v="9"/>
    <n v="1776650.1983999999"/>
    <n v="26"/>
    <n v="5132545.0175999999"/>
    <n v="12"/>
    <n v="2368866.9312"/>
    <m/>
    <n v="0"/>
    <n v="10"/>
    <n v="1974055.7759999998"/>
    <n v="6"/>
    <n v="1184433.4656"/>
    <n v="24"/>
    <n v="4737733.8624"/>
    <n v="30"/>
    <n v="5922167.3279999997"/>
    <m/>
    <n v="0"/>
    <s v="No aplica"/>
  </r>
  <r>
    <s v="D-Glucosa (Dextrosa) CAS 50-99-7 "/>
    <s v="MACRON_x000a_Ref: MK491212"/>
    <s v="Frasco x 500 g"/>
    <x v="0"/>
    <x v="0"/>
    <n v="5"/>
    <n v="396891.84639999998"/>
    <n v="1984459.2319999998"/>
    <n v="1"/>
    <n v="396891.84639999998"/>
    <m/>
    <n v="0"/>
    <m/>
    <n v="0"/>
    <m/>
    <n v="0"/>
    <n v="2"/>
    <n v="793783.69279999996"/>
    <m/>
    <n v="0"/>
    <m/>
    <n v="0"/>
    <n v="2"/>
    <n v="793783.69279999996"/>
    <m/>
    <n v="0"/>
    <s v="No aplica"/>
  </r>
  <r>
    <s v="Diamonio hidrogeno fosfato (NH₄)₂HPO₄ grado ACS,ISO,Reag. Ph Eur"/>
    <s v="SCHARLAU"/>
    <s v="Frasco x 500 g"/>
    <x v="0"/>
    <x v="6"/>
    <n v="1"/>
    <n v="158652.704"/>
    <n v="158652.704"/>
    <m/>
    <n v="0"/>
    <m/>
    <n v="0"/>
    <m/>
    <n v="0"/>
    <m/>
    <n v="0"/>
    <m/>
    <n v="0"/>
    <m/>
    <n v="0"/>
    <m/>
    <n v="0"/>
    <n v="1"/>
    <n v="158652.704"/>
    <m/>
    <n v="0"/>
    <s v="No aplica"/>
  </r>
  <r>
    <s v="Dihidrogeno Fosfato Disodico Na2HPO4"/>
    <s v="JT BAKER CAS 7558-79-4"/>
    <s v="Frasco x 500 g"/>
    <x v="0"/>
    <x v="0"/>
    <n v="11"/>
    <n v="349296.03519999998"/>
    <n v="3842256.3871999998"/>
    <n v="8"/>
    <n v="2794368.2815999999"/>
    <n v="1"/>
    <n v="349296.03519999998"/>
    <n v="1"/>
    <n v="349296.03519999998"/>
    <m/>
    <n v="0"/>
    <m/>
    <n v="0"/>
    <m/>
    <n v="0"/>
    <m/>
    <n v="0"/>
    <n v="1"/>
    <n v="349296.03519999998"/>
    <m/>
    <n v="0"/>
    <s v="No aplica"/>
  </r>
  <r>
    <s v="Dimetil sulfoxido: DMSO Grado Biología Molecular"/>
    <s v="MP BIOMEDICALS C818Z49"/>
    <s v="Frasco x 250 ml"/>
    <x v="0"/>
    <x v="0"/>
    <n v="4"/>
    <n v="1500958.6144000001"/>
    <n v="6003834.4576000003"/>
    <m/>
    <n v="0"/>
    <n v="2"/>
    <n v="3001917.2288000002"/>
    <n v="1"/>
    <n v="1500958.6144000001"/>
    <m/>
    <n v="0"/>
    <n v="1"/>
    <n v="1500958.6144000001"/>
    <m/>
    <n v="0"/>
    <m/>
    <n v="0"/>
    <m/>
    <n v="0"/>
    <m/>
    <n v="0"/>
    <s v="No aplica"/>
  </r>
  <r>
    <s v="Dimetilformamida"/>
    <s v="JT  BAKER CAS 68-12-2"/>
    <s v="4 Litros"/>
    <x v="0"/>
    <x v="0"/>
    <n v="2"/>
    <n v="2022301.8032"/>
    <n v="4044603.6063999999"/>
    <n v="2"/>
    <n v="4044603.6063999999"/>
    <m/>
    <n v="0"/>
    <m/>
    <n v="0"/>
    <m/>
    <n v="0"/>
    <m/>
    <n v="0"/>
    <m/>
    <n v="0"/>
    <m/>
    <n v="0"/>
    <m/>
    <n v="0"/>
    <m/>
    <n v="0"/>
    <s v="No aplica"/>
  </r>
  <r>
    <s v="Dimetilsulfóxido"/>
    <s v="PANREAC 131954"/>
    <s v="Frasco x 2.5 litros"/>
    <x v="0"/>
    <x v="0"/>
    <n v="3"/>
    <n v="909782.22719999996"/>
    <n v="2729346.6815999998"/>
    <n v="1"/>
    <n v="909782.22719999996"/>
    <m/>
    <n v="0"/>
    <m/>
    <n v="0"/>
    <m/>
    <n v="0"/>
    <m/>
    <n v="0"/>
    <m/>
    <n v="0"/>
    <m/>
    <n v="0"/>
    <n v="2"/>
    <n v="1819564.4543999999"/>
    <m/>
    <n v="0"/>
    <s v="No aplica"/>
  </r>
  <r>
    <s v="Dimetilsulfóxido: DMSO grado reactivo, con certificado de análisis. Fecha de vencimiento no inferior a 2 años"/>
    <s v="SIGMA 472301 "/>
    <s v="Frasco x 100 ml"/>
    <x v="0"/>
    <x v="0"/>
    <n v="2"/>
    <n v="1134626.92"/>
    <n v="2269253.84"/>
    <n v="1"/>
    <n v="1134626.92"/>
    <m/>
    <n v="0"/>
    <n v="1"/>
    <n v="1134626.92"/>
    <m/>
    <n v="0"/>
    <m/>
    <n v="0"/>
    <m/>
    <n v="0"/>
    <m/>
    <n v="0"/>
    <m/>
    <n v="0"/>
    <m/>
    <n v="0"/>
    <s v="No aplica"/>
  </r>
  <r>
    <s v="DNA Ladder 1 Kb Plus X 1000 ug "/>
    <s v="Invitrogen_x000a_Ref: 10787026"/>
    <s v="Unidad"/>
    <x v="0"/>
    <x v="1"/>
    <n v="8"/>
    <n v="4158781.5359999998"/>
    <n v="33270252.287999999"/>
    <m/>
    <n v="0"/>
    <m/>
    <n v="0"/>
    <n v="1"/>
    <n v="4158781.5359999998"/>
    <m/>
    <n v="0"/>
    <n v="4"/>
    <n v="16635126.143999999"/>
    <n v="3"/>
    <n v="12476344.607999999"/>
    <m/>
    <n v="0"/>
    <m/>
    <n v="0"/>
    <m/>
    <n v="0"/>
    <s v="No aplica"/>
  </r>
  <r>
    <s v="DNase I (RNase-free) x 2000Und.  Ref AM2222"/>
    <s v="NORGEN 25710"/>
    <s v="Unidad"/>
    <x v="0"/>
    <x v="3"/>
    <n v="26"/>
    <n v="1139790.3999999999"/>
    <n v="29634550.399999999"/>
    <m/>
    <n v="0"/>
    <m/>
    <n v="0"/>
    <n v="1"/>
    <n v="1139790.3999999999"/>
    <m/>
    <n v="0"/>
    <n v="12"/>
    <n v="13677484.799999999"/>
    <n v="13"/>
    <n v="14817275.199999999"/>
    <m/>
    <n v="0"/>
    <m/>
    <n v="0"/>
    <m/>
    <n v="0"/>
    <s v="No aplica"/>
  </r>
  <r>
    <s v="D-Sacarosa"/>
    <s v="MILLIPORE 107687"/>
    <s v="Frasco x 250g"/>
    <x v="0"/>
    <x v="7"/>
    <n v="3"/>
    <n v="232777.32800000001"/>
    <n v="698331.98400000005"/>
    <m/>
    <n v="0"/>
    <m/>
    <n v="0"/>
    <n v="1"/>
    <n v="232777.32800000001"/>
    <m/>
    <n v="0"/>
    <n v="1"/>
    <n v="232777.32800000001"/>
    <n v="1"/>
    <n v="232777.32800000001"/>
    <m/>
    <n v="0"/>
    <m/>
    <n v="0"/>
    <m/>
    <n v="0"/>
    <s v="No aplica"/>
  </r>
  <r>
    <s v="D-Xilosa"/>
    <s v="MILLIPORE 108689"/>
    <s v="Frasco x 100 g"/>
    <x v="0"/>
    <x v="0"/>
    <n v="1"/>
    <n v="561266.45120000001"/>
    <n v="561266.45120000001"/>
    <m/>
    <n v="0"/>
    <m/>
    <n v="0"/>
    <n v="1"/>
    <n v="561266.45120000001"/>
    <m/>
    <n v="0"/>
    <m/>
    <n v="0"/>
    <m/>
    <n v="0"/>
    <m/>
    <n v="0"/>
    <m/>
    <n v="0"/>
    <m/>
    <n v="0"/>
    <s v="No aplica"/>
  </r>
  <r>
    <s v="EDTA  CAS 6381-92-6"/>
    <s v="SCHARLAU AC09650100"/>
    <s v="Frasco x 100 g"/>
    <x v="0"/>
    <x v="6"/>
    <n v="8"/>
    <n v="205468.25599999999"/>
    <n v="1643746.048"/>
    <m/>
    <n v="0"/>
    <n v="2"/>
    <n v="410936.51199999999"/>
    <m/>
    <n v="0"/>
    <m/>
    <n v="0"/>
    <n v="3"/>
    <n v="616404.76799999992"/>
    <m/>
    <n v="0"/>
    <m/>
    <n v="0"/>
    <n v="3"/>
    <n v="616404.76799999992"/>
    <m/>
    <n v="0"/>
    <s v="No aplica"/>
  </r>
  <r>
    <s v="EDTA sal disódica dihidrato"/>
    <s v="JT BAKER CAS 6381-92-6"/>
    <s v="Frasco x 500 g"/>
    <x v="0"/>
    <x v="0"/>
    <n v="3"/>
    <n v="581683.23360000004"/>
    <n v="1745049.7008000002"/>
    <n v="1"/>
    <n v="581683.23360000004"/>
    <n v="1"/>
    <n v="581683.23360000004"/>
    <m/>
    <n v="0"/>
    <m/>
    <n v="0"/>
    <n v="1"/>
    <n v="581683.23360000004"/>
    <m/>
    <n v="0"/>
    <m/>
    <n v="0"/>
    <m/>
    <n v="0"/>
    <m/>
    <n v="0"/>
    <s v="No aplica"/>
  </r>
  <r>
    <s v="Electrode solution storage-para almacenar o guardar electrodos de pH "/>
    <s v="THERMO"/>
    <s v="Frasco x 100 ml"/>
    <x v="0"/>
    <x v="7"/>
    <n v="5"/>
    <n v="728241.92"/>
    <n v="3641209.6"/>
    <n v="3"/>
    <n v="2184725.7600000002"/>
    <n v="2"/>
    <n v="1456483.84"/>
    <m/>
    <n v="0"/>
    <m/>
    <n v="0"/>
    <m/>
    <n v="0"/>
    <m/>
    <n v="0"/>
    <m/>
    <n v="0"/>
    <m/>
    <n v="0"/>
    <m/>
    <n v="0"/>
    <s v="No aplica"/>
  </r>
  <r>
    <s v="EMJH enriquecimiento"/>
    <s v="Difco o equivalente"/>
    <s v="Caja x 6 frascos x 100 ml"/>
    <x v="0"/>
    <x v="2"/>
    <n v="2"/>
    <n v="5068547.3711999999"/>
    <n v="10137094.7424"/>
    <m/>
    <n v="0"/>
    <n v="1"/>
    <n v="5068547.3711999999"/>
    <n v="1"/>
    <n v="5068547.3711999999"/>
    <m/>
    <n v="0"/>
    <m/>
    <n v="0"/>
    <m/>
    <n v="0"/>
    <m/>
    <n v="0"/>
    <m/>
    <n v="0"/>
    <m/>
    <n v="0"/>
    <s v="No aplica"/>
  </r>
  <r>
    <s v="Emulsion Yema de Huevo Con Telurito"/>
    <s v="CONDALAB 5129"/>
    <s v="Frasco X 100 ml"/>
    <x v="0"/>
    <x v="0"/>
    <n v="3"/>
    <n v="900419.11679999996"/>
    <n v="2701257.3503999999"/>
    <m/>
    <n v="0"/>
    <n v="2"/>
    <n v="1800838.2335999999"/>
    <m/>
    <n v="0"/>
    <m/>
    <n v="0"/>
    <m/>
    <n v="0"/>
    <m/>
    <n v="0"/>
    <m/>
    <n v="0"/>
    <n v="1"/>
    <n v="900419.11679999996"/>
    <m/>
    <n v="0"/>
    <s v="No aplica"/>
  </r>
  <r>
    <s v="Entellan"/>
    <s v="SIGMA 107961"/>
    <s v="Frasco x 100 ml"/>
    <x v="0"/>
    <x v="0"/>
    <n v="3"/>
    <n v="259696.27040000001"/>
    <n v="779088.8112"/>
    <m/>
    <n v="0"/>
    <n v="1"/>
    <n v="259696.27040000001"/>
    <n v="2"/>
    <n v="519392.54080000002"/>
    <m/>
    <n v="0"/>
    <m/>
    <n v="0"/>
    <m/>
    <n v="0"/>
    <m/>
    <n v="0"/>
    <m/>
    <n v="0"/>
    <m/>
    <n v="0"/>
    <s v="No aplica"/>
  </r>
  <r>
    <s v="EnVisiona + Dual Link System HRP"/>
    <s v="DAKO"/>
    <s v="Unidad"/>
    <x v="0"/>
    <x v="2"/>
    <n v="1"/>
    <n v="4126270.736"/>
    <n v="4126270.736"/>
    <m/>
    <n v="0"/>
    <m/>
    <n v="0"/>
    <n v="1"/>
    <n v="4126270.736"/>
    <m/>
    <n v="0"/>
    <m/>
    <n v="0"/>
    <m/>
    <n v="0"/>
    <m/>
    <n v="0"/>
    <m/>
    <n v="0"/>
    <m/>
    <n v="0"/>
    <s v="No aplica"/>
  </r>
  <r>
    <s v="Eosina Y"/>
    <s v="SIGMA E4382"/>
    <s v="Frasco x 25 g"/>
    <x v="0"/>
    <x v="0"/>
    <n v="2"/>
    <n v="859585.55200000003"/>
    <n v="1719171.1040000001"/>
    <m/>
    <n v="0"/>
    <n v="1"/>
    <n v="859585.55200000003"/>
    <n v="1"/>
    <n v="859585.55200000003"/>
    <m/>
    <n v="0"/>
    <m/>
    <n v="0"/>
    <m/>
    <n v="0"/>
    <m/>
    <n v="0"/>
    <m/>
    <n v="0"/>
    <m/>
    <n v="0"/>
    <s v="No aplica"/>
  </r>
  <r>
    <s v="Escala de Mac Farland Completa"/>
    <s v="Cualquier marca"/>
    <s v="Tubos escala 0,5 a 10"/>
    <x v="0"/>
    <x v="2"/>
    <n v="6"/>
    <n v="471406.6"/>
    <n v="2828439.5999999996"/>
    <m/>
    <n v="0"/>
    <n v="2"/>
    <n v="942813.2"/>
    <n v="1"/>
    <n v="471406.6"/>
    <m/>
    <n v="0"/>
    <n v="3"/>
    <n v="1414219.7999999998"/>
    <m/>
    <n v="0"/>
    <m/>
    <n v="0"/>
    <m/>
    <n v="0"/>
    <m/>
    <n v="0"/>
    <s v="No aplica"/>
  </r>
  <r>
    <s v="Escobillones con medio de transporte Stuart"/>
    <s v="Merck, Acumedia, BBL, Sharlau, Sigma o equivalente"/>
    <s v="Paquete x 50 tubos"/>
    <x v="0"/>
    <x v="2"/>
    <n v="2"/>
    <n v="356588.28960000002"/>
    <n v="713176.57920000004"/>
    <m/>
    <n v="0"/>
    <n v="2"/>
    <n v="713176.57920000004"/>
    <m/>
    <n v="0"/>
    <m/>
    <n v="0"/>
    <m/>
    <n v="0"/>
    <m/>
    <n v="0"/>
    <m/>
    <n v="0"/>
    <m/>
    <n v="0"/>
    <m/>
    <n v="0"/>
    <s v="No aplica"/>
  </r>
  <r>
    <s v="Estándar 5,6-dimetyl-2-thiouracil 97.5%"/>
    <s v="Dr. Ehrenstorfer_x000a_C12749000 _x000a_CAS 28456-54-4"/>
    <s v="Frasco x 50 mg"/>
    <x v="0"/>
    <x v="0"/>
    <n v="2"/>
    <n v="1314216.5792"/>
    <n v="2628433.1584000001"/>
    <n v="2"/>
    <n v="2628433.1584000001"/>
    <m/>
    <n v="0"/>
    <m/>
    <n v="0"/>
    <m/>
    <n v="0"/>
    <m/>
    <n v="0"/>
    <m/>
    <n v="0"/>
    <m/>
    <n v="0"/>
    <m/>
    <n v="0"/>
    <m/>
    <n v="0"/>
    <s v="No aplica"/>
  </r>
  <r>
    <s v="Estandar Amitraz_x000a_fecha de vigencia ó con fecha no menor a 2 años_x000a_N° CAS 33089-61-1"/>
    <s v="SULPECO 45323"/>
    <s v="Frasco x 250mg"/>
    <x v="0"/>
    <x v="0"/>
    <n v="1"/>
    <n v="399362.66720000003"/>
    <n v="399362.66720000003"/>
    <n v="1"/>
    <n v="399362.66720000003"/>
    <m/>
    <n v="0"/>
    <m/>
    <n v="0"/>
    <m/>
    <n v="0"/>
    <m/>
    <n v="0"/>
    <m/>
    <n v="0"/>
    <m/>
    <n v="0"/>
    <m/>
    <n v="0"/>
    <m/>
    <n v="0"/>
    <s v="No aplica"/>
  </r>
  <r>
    <s v="Estandar Amoxicilina Trihidrato _x000a_fecha de vigencia ó con fecha no menor a 2 años_x000a_N° CAS  61336-70-7"/>
    <s v="Dr. Ehrenstorfer"/>
    <s v="Frasco x 250mg"/>
    <x v="0"/>
    <x v="0"/>
    <n v="1"/>
    <n v="1445560.2112"/>
    <n v="1445560.2112"/>
    <n v="1"/>
    <n v="1445560.2112"/>
    <m/>
    <n v="0"/>
    <m/>
    <n v="0"/>
    <m/>
    <n v="0"/>
    <m/>
    <n v="0"/>
    <m/>
    <n v="0"/>
    <m/>
    <n v="0"/>
    <m/>
    <n v="0"/>
    <m/>
    <n v="0"/>
    <s v="No aplica"/>
  </r>
  <r>
    <s v="Estandar Ampicillin Trihydrate_x000a_fecha de vigencia ó con fecha no menor a 2 años_x000a_N° CAS 7177-48-2"/>
    <s v="Dr. Ehrenstorfer_x000a_Ref. DRE-C10243080"/>
    <s v="Frasco x 100 mg"/>
    <x v="0"/>
    <x v="0"/>
    <n v="1"/>
    <n v="833446.86879999994"/>
    <n v="833446.86879999994"/>
    <n v="1"/>
    <n v="833446.86879999994"/>
    <m/>
    <n v="0"/>
    <m/>
    <n v="0"/>
    <m/>
    <n v="0"/>
    <m/>
    <n v="0"/>
    <m/>
    <n v="0"/>
    <m/>
    <n v="0"/>
    <m/>
    <n v="0"/>
    <m/>
    <n v="0"/>
    <s v="No aplica"/>
  </r>
  <r>
    <s v="Estandar Ampicillin Trihydrate_x000a_fecha de vigencia ó con fecha no menor a 2 años_x000a_N° CAS 7177-48-2"/>
    <s v="Sigma Aldrich Supelco PHR1393"/>
    <s v="Frasco x 1 g"/>
    <x v="0"/>
    <x v="0"/>
    <n v="1"/>
    <n v="881692.89599999995"/>
    <n v="881692.89599999995"/>
    <n v="1"/>
    <n v="881692.89599999995"/>
    <m/>
    <n v="0"/>
    <m/>
    <n v="0"/>
    <m/>
    <n v="0"/>
    <m/>
    <n v="0"/>
    <m/>
    <n v="0"/>
    <m/>
    <n v="0"/>
    <m/>
    <n v="0"/>
    <m/>
    <n v="0"/>
    <s v="No aplica"/>
  </r>
  <r>
    <s v="Estándar Amprolium HCl_x000a_fecha de vigencia ó con fecha no menor a 2 años_x000a_N° CAS  137-88-2"/>
    <s v="Sigma Aldrich Supelco_x000a_Ref: 31592"/>
    <s v="Frasco x 250 mg"/>
    <x v="0"/>
    <x v="0"/>
    <n v="1"/>
    <n v="464384.2672"/>
    <n v="464384.2672"/>
    <n v="1"/>
    <n v="464384.2672"/>
    <m/>
    <n v="0"/>
    <m/>
    <n v="0"/>
    <m/>
    <n v="0"/>
    <m/>
    <n v="0"/>
    <m/>
    <n v="0"/>
    <m/>
    <n v="0"/>
    <m/>
    <n v="0"/>
    <m/>
    <n v="0"/>
    <s v="No aplica"/>
  </r>
  <r>
    <s v="Estandar Betamethasone Sodium Phosphate  _x000a_fecha de vigencia ó con fecha no menor a 2 años_x000a_N° CAS 151-73-5"/>
    <s v="Sigma Aldrich Supelco PHR2424"/>
    <s v="Frasco x 1 g"/>
    <x v="0"/>
    <x v="0"/>
    <n v="1"/>
    <n v="2243245.2000000002"/>
    <n v="2243245.2000000002"/>
    <n v="1"/>
    <n v="2243245.2000000002"/>
    <m/>
    <n v="0"/>
    <m/>
    <n v="0"/>
    <m/>
    <n v="0"/>
    <m/>
    <n v="0"/>
    <m/>
    <n v="0"/>
    <m/>
    <n v="0"/>
    <m/>
    <n v="0"/>
    <m/>
    <n v="0"/>
    <s v="No aplica"/>
  </r>
  <r>
    <s v="Estandar Carbadox"/>
    <s v="Dr. Ehrenstorfer  CAS 6804-07-05"/>
    <s v="Frasco x 100mg"/>
    <x v="0"/>
    <x v="0"/>
    <n v="1"/>
    <n v="1652328.8992000001"/>
    <n v="1652328.8992000001"/>
    <n v="1"/>
    <n v="1652328.8992000001"/>
    <m/>
    <n v="0"/>
    <m/>
    <n v="0"/>
    <m/>
    <n v="0"/>
    <m/>
    <n v="0"/>
    <m/>
    <n v="0"/>
    <m/>
    <n v="0"/>
    <m/>
    <n v="0"/>
    <m/>
    <n v="0"/>
    <s v="No aplica"/>
  </r>
  <r>
    <s v="Estandar Cefalexina _x000a_Fecha de vigencia o con fecha menor a 2 años._x000a_N° CAS 15686-71-2"/>
    <s v="Sigma Aldrich Supelco PHR 1848"/>
    <s v="Frasco x 1 g"/>
    <x v="0"/>
    <x v="0"/>
    <n v="1"/>
    <n v="1162976.3376"/>
    <n v="1162976.3376"/>
    <n v="1"/>
    <n v="1162976.3376"/>
    <m/>
    <n v="0"/>
    <m/>
    <n v="0"/>
    <m/>
    <n v="0"/>
    <m/>
    <n v="0"/>
    <m/>
    <n v="0"/>
    <m/>
    <n v="0"/>
    <m/>
    <n v="0"/>
    <m/>
    <n v="0"/>
    <s v="No aplica"/>
  </r>
  <r>
    <s v="Estandar Ceftiofur Hydrochloride_x000a_fecha de vigencia ó con fecha no menor a 2 años_x000a_N° CAS 103980-44-5"/>
    <s v="Dr. Ehrenstorfer CAS 103980-44-5"/>
    <s v="Frasco x 100mg"/>
    <x v="0"/>
    <x v="0"/>
    <n v="1"/>
    <n v="1893298.9487999999"/>
    <n v="1893298.9487999999"/>
    <n v="1"/>
    <n v="1893298.9487999999"/>
    <m/>
    <n v="0"/>
    <m/>
    <n v="0"/>
    <m/>
    <n v="0"/>
    <m/>
    <n v="0"/>
    <m/>
    <n v="0"/>
    <m/>
    <n v="0"/>
    <m/>
    <n v="0"/>
    <m/>
    <n v="0"/>
    <s v="No aplica"/>
  </r>
  <r>
    <s v="Estandar Ceftiofur Hydrochloride_x000a_fecha de vigencia ó con fecha no menor a 2 años_x000a_N° CAS 103980-44-5"/>
    <s v="Sigma Aldrich Supelco 32422"/>
    <s v="Frasco x 100mg"/>
    <x v="0"/>
    <x v="0"/>
    <n v="1"/>
    <n v="1032152.8784"/>
    <n v="1032152.8784"/>
    <n v="1"/>
    <n v="1032152.8784"/>
    <m/>
    <n v="0"/>
    <m/>
    <n v="0"/>
    <m/>
    <n v="0"/>
    <m/>
    <n v="0"/>
    <m/>
    <n v="0"/>
    <m/>
    <n v="0"/>
    <m/>
    <n v="0"/>
    <m/>
    <n v="0"/>
    <s v="No aplica"/>
  </r>
  <r>
    <s v="Estandar Clotrimazole _x000a_fecha de vigencia ó con fecha no menor a 2 años _x000a_N° CAS 23593-75-1"/>
    <s v="Sigma Aldrich Supelco PHR 1058"/>
    <s v="Frasco x 1 g"/>
    <x v="0"/>
    <x v="0"/>
    <n v="1"/>
    <n v="962969.89599999995"/>
    <n v="962969.89599999995"/>
    <n v="1"/>
    <n v="962969.89599999995"/>
    <m/>
    <n v="0"/>
    <m/>
    <n v="0"/>
    <m/>
    <n v="0"/>
    <m/>
    <n v="0"/>
    <m/>
    <n v="0"/>
    <m/>
    <n v="0"/>
    <m/>
    <n v="0"/>
    <m/>
    <n v="0"/>
    <s v="No aplica"/>
  </r>
  <r>
    <s v="Estándar de  2-NP-AHD trazable. Fecha de vigencia no menor a 2 años"/>
    <s v="Sigma Aldrich Supelco 33870-10MG-R"/>
    <s v="Frasco x 10 mg"/>
    <x v="0"/>
    <x v="0"/>
    <n v="1"/>
    <n v="2733117.9344000001"/>
    <n v="2733117.9344000001"/>
    <n v="1"/>
    <n v="2733117.9344000001"/>
    <m/>
    <n v="0"/>
    <m/>
    <n v="0"/>
    <m/>
    <n v="0"/>
    <m/>
    <n v="0"/>
    <m/>
    <n v="0"/>
    <m/>
    <n v="0"/>
    <m/>
    <n v="0"/>
    <m/>
    <n v="0"/>
    <s v="No aplica"/>
  </r>
  <r>
    <s v="Estándar de  2-NP-AMOZ trazable. Fecha de vigencia no menor a 2 años"/>
    <s v="Dr Ehrenstorfer CAS 183193-59-1"/>
    <s v="Frasco x 10 mg"/>
    <x v="0"/>
    <x v="0"/>
    <n v="1"/>
    <n v="2583568.2544"/>
    <n v="2583568.2544"/>
    <n v="1"/>
    <n v="2583568.2544"/>
    <m/>
    <n v="0"/>
    <m/>
    <n v="0"/>
    <m/>
    <n v="0"/>
    <m/>
    <n v="0"/>
    <m/>
    <n v="0"/>
    <m/>
    <n v="0"/>
    <m/>
    <n v="0"/>
    <m/>
    <n v="0"/>
    <s v="No aplica"/>
  </r>
  <r>
    <s v="Estándar de  2-NP-AOZ trazable. Fecha de vigencia no menor a 2 años"/>
    <s v="Dr Ehrenstorfer  CAS 19687-73-1"/>
    <s v="Frasco x 10 mg"/>
    <x v="0"/>
    <x v="0"/>
    <n v="1"/>
    <n v="2530900.7584000002"/>
    <n v="2530900.7584000002"/>
    <n v="1"/>
    <n v="2530900.7584000002"/>
    <m/>
    <n v="0"/>
    <m/>
    <n v="0"/>
    <m/>
    <n v="0"/>
    <m/>
    <n v="0"/>
    <m/>
    <n v="0"/>
    <m/>
    <n v="0"/>
    <m/>
    <n v="0"/>
    <m/>
    <n v="0"/>
    <s v="No aplica"/>
  </r>
  <r>
    <s v="Estándar de  2-NP-SCA trazable. Fecha de vigencia no menor a 2 años"/>
    <s v="Dr Ehrenstorfer CAS 16004-6"/>
    <s v="Frasco x 10 mg"/>
    <x v="0"/>
    <x v="0"/>
    <n v="1"/>
    <n v="888845.272"/>
    <n v="888845.272"/>
    <n v="1"/>
    <n v="888845.272"/>
    <m/>
    <n v="0"/>
    <m/>
    <n v="0"/>
    <m/>
    <n v="0"/>
    <m/>
    <n v="0"/>
    <m/>
    <n v="0"/>
    <m/>
    <n v="0"/>
    <m/>
    <n v="0"/>
    <m/>
    <n v="0"/>
    <s v="No aplica"/>
  </r>
  <r>
    <s v="Estándar de  2-Thiouracil trazable. Fecha de vigencia no menor a 2 años"/>
    <s v="Dr Ehrenstorfer. CAS 141-90-2"/>
    <s v="Frasco x 250 mg"/>
    <x v="0"/>
    <x v="0"/>
    <n v="1"/>
    <n v="835917.68960000004"/>
    <n v="835917.68960000004"/>
    <n v="1"/>
    <n v="835917.68960000004"/>
    <m/>
    <n v="0"/>
    <m/>
    <n v="0"/>
    <m/>
    <n v="0"/>
    <m/>
    <n v="0"/>
    <m/>
    <n v="0"/>
    <m/>
    <n v="0"/>
    <m/>
    <n v="0"/>
    <m/>
    <n v="0"/>
    <s v="No aplica"/>
  </r>
  <r>
    <s v="Estándar de  6-Methyl-2-thiouracil trazable. Fecha de vigencia no menor a 2 años"/>
    <s v="Dr Ehrenstorfer CAS 56-04-02"/>
    <s v="Frasco x 100 mg"/>
    <x v="0"/>
    <x v="0"/>
    <n v="1"/>
    <n v="871289.44"/>
    <n v="871289.44"/>
    <n v="1"/>
    <n v="871289.44"/>
    <m/>
    <n v="0"/>
    <m/>
    <n v="0"/>
    <m/>
    <n v="0"/>
    <m/>
    <n v="0"/>
    <m/>
    <n v="0"/>
    <m/>
    <n v="0"/>
    <m/>
    <n v="0"/>
    <m/>
    <n v="0"/>
    <s v="No aplica"/>
  </r>
  <r>
    <s v="Estandar de  alfa- Boldenona trazable. Fecha de vigencia no menor a 2 años"/>
    <s v="LCG o equivalente"/>
    <s v="Frasco x 1mg"/>
    <x v="0"/>
    <x v="2"/>
    <n v="1"/>
    <n v="1147101.2320000001"/>
    <n v="1147101.2320000001"/>
    <n v="1"/>
    <n v="1147101.2320000001"/>
    <m/>
    <n v="0"/>
    <m/>
    <n v="0"/>
    <m/>
    <n v="0"/>
    <m/>
    <n v="0"/>
    <m/>
    <n v="0"/>
    <m/>
    <n v="0"/>
    <m/>
    <n v="0"/>
    <m/>
    <n v="0"/>
    <s v="No aplica"/>
  </r>
  <r>
    <s v="Estándar de  Boldenona CAS 846-48-0 trazable. Con certificado de análisis e incertidumbre. Fecha de vencimiento no inferior a 2 años"/>
    <s v="Dr Ehrenstorfer C10662000 ,CAS 846-48-0"/>
    <s v="Frasco x  10mg"/>
    <x v="0"/>
    <x v="0"/>
    <n v="1"/>
    <n v="1216164.0064000001"/>
    <n v="1216164.0064000001"/>
    <n v="1"/>
    <n v="1216164.0064000001"/>
    <m/>
    <n v="0"/>
    <m/>
    <n v="0"/>
    <m/>
    <n v="0"/>
    <m/>
    <n v="0"/>
    <m/>
    <n v="0"/>
    <m/>
    <n v="0"/>
    <m/>
    <n v="0"/>
    <m/>
    <n v="0"/>
    <s v="No aplica"/>
  </r>
  <r>
    <s v="Estándar de  Clenbuterol Clorhidrato trazable, con certificado con método de análisis e incertidumbre, vigencia no menor a Diciembre de 2023"/>
    <s v="Dr Ehrenstorfer  DRE C11668550. CAS 21898-19-1"/>
    <s v="Frasco x 100 mg"/>
    <x v="0"/>
    <x v="0"/>
    <n v="1"/>
    <n v="3057055.5455999998"/>
    <n v="3057055.5455999998"/>
    <n v="1"/>
    <n v="3057055.5455999998"/>
    <m/>
    <n v="0"/>
    <m/>
    <n v="0"/>
    <m/>
    <n v="0"/>
    <m/>
    <n v="0"/>
    <m/>
    <n v="0"/>
    <m/>
    <n v="0"/>
    <m/>
    <n v="0"/>
    <m/>
    <n v="0"/>
    <s v="No aplica"/>
  </r>
  <r>
    <s v="Estándar de  Penicilina G potásica,  fecha de vencimiento no inferior a 2 años. Número CAS: 113-98-4"/>
    <s v="Dr Ehrenstorfer "/>
    <s v="Frasco x 250 mg"/>
    <x v="0"/>
    <x v="0"/>
    <n v="1"/>
    <n v="833446.86879999994"/>
    <n v="833446.86879999994"/>
    <n v="1"/>
    <n v="833446.86879999994"/>
    <m/>
    <n v="0"/>
    <m/>
    <n v="0"/>
    <m/>
    <n v="0"/>
    <m/>
    <n v="0"/>
    <m/>
    <n v="0"/>
    <m/>
    <n v="0"/>
    <m/>
    <n v="0"/>
    <m/>
    <n v="0"/>
    <s v="No aplica"/>
  </r>
  <r>
    <s v="Estándar de  SEMICARBAZIDE. HCl trazable, con certificado con método de análisis e incertidumbre, vigencia no menor a a dos años"/>
    <s v="Dr Ehenstorfer. DRE-C16933500 CAS 563-41-7"/>
    <s v="Frasco  x 100 mg"/>
    <x v="0"/>
    <x v="0"/>
    <n v="1"/>
    <n v="1289768.4576000001"/>
    <n v="1289768.4576000001"/>
    <n v="1"/>
    <n v="1289768.4576000001"/>
    <m/>
    <n v="0"/>
    <m/>
    <n v="0"/>
    <m/>
    <n v="0"/>
    <m/>
    <n v="0"/>
    <m/>
    <n v="0"/>
    <m/>
    <n v="0"/>
    <m/>
    <n v="0"/>
    <m/>
    <n v="0"/>
    <s v="No aplica"/>
  </r>
  <r>
    <s v="Estándar de  zinc 1000 mg/l certificada con trazabilidad e incertidumbre y fecha de vencimiento no inferior a 2 años"/>
    <s v="SCHARLAU CI0127"/>
    <s v="Frasco x 100 ml"/>
    <x v="0"/>
    <x v="6"/>
    <n v="1"/>
    <n v="152150.54399999999"/>
    <n v="152150.54399999999"/>
    <n v="1"/>
    <n v="152150.54399999999"/>
    <m/>
    <n v="0"/>
    <m/>
    <n v="0"/>
    <m/>
    <n v="0"/>
    <m/>
    <n v="0"/>
    <m/>
    <n v="0"/>
    <m/>
    <n v="0"/>
    <m/>
    <n v="0"/>
    <m/>
    <n v="0"/>
    <s v="No aplica"/>
  </r>
  <r>
    <s v="Estándar de 6-Propyl-2-thiouracil"/>
    <s v="Dr Ehrenstorfer DRE-C16530500  CAS 51-52-5"/>
    <s v="Frasco x 250 mg"/>
    <x v="0"/>
    <x v="0"/>
    <n v="1"/>
    <n v="964790.50080000004"/>
    <n v="964790.50080000004"/>
    <n v="1"/>
    <n v="964790.50080000004"/>
    <m/>
    <n v="0"/>
    <m/>
    <n v="0"/>
    <m/>
    <n v="0"/>
    <m/>
    <n v="0"/>
    <m/>
    <n v="0"/>
    <m/>
    <n v="0"/>
    <m/>
    <n v="0"/>
    <m/>
    <n v="0"/>
    <s v="No aplica"/>
  </r>
  <r>
    <s v="Estandar de AHD trazable (1-Aminohydantoin hydrochloride), trazable fecha de vencimiento no inferior a 2 años  Número de CAS 2827-56-7 "/>
    <s v="LCG DRE-C10203200 CAS 2827-56-7"/>
    <s v="Frasco x 100 mg"/>
    <x v="0"/>
    <x v="0"/>
    <n v="1"/>
    <n v="1352449.28"/>
    <n v="1352449.28"/>
    <n v="1"/>
    <n v="1352449.28"/>
    <m/>
    <n v="0"/>
    <m/>
    <n v="0"/>
    <m/>
    <n v="0"/>
    <m/>
    <n v="0"/>
    <m/>
    <n v="0"/>
    <m/>
    <n v="0"/>
    <m/>
    <n v="0"/>
    <m/>
    <n v="0"/>
    <s v="No aplica"/>
  </r>
  <r>
    <s v="Estandar de AMOZ trazable, fecha de vencimiento no inferior a 2 años. Número CAS: 43056-63-9"/>
    <s v="Dr. Ehrenstorfer DRE-C10206300 CAS 43056-63-9"/>
    <s v="Frasco x 50 mg"/>
    <x v="0"/>
    <x v="0"/>
    <n v="1"/>
    <n v="8105462.6128000002"/>
    <n v="8105462.6128000002"/>
    <n v="1"/>
    <n v="8105462.6128000002"/>
    <m/>
    <n v="0"/>
    <m/>
    <n v="0"/>
    <m/>
    <n v="0"/>
    <m/>
    <n v="0"/>
    <m/>
    <n v="0"/>
    <m/>
    <n v="0"/>
    <m/>
    <n v="0"/>
    <m/>
    <n v="0"/>
    <s v="No aplica"/>
  </r>
  <r>
    <s v="Estandar de AOZ trazable, fecha de vencimiento no inferior a 2 años. Número CAS: 80-65-9"/>
    <s v="Dr. Ehrenstorfer C10209000  CAS 80-65-9"/>
    <s v="Frasco x 50 mg"/>
    <x v="0"/>
    <x v="0"/>
    <n v="1"/>
    <n v="9449459.0847999994"/>
    <n v="9449459.0847999994"/>
    <n v="1"/>
    <n v="9449459.0847999994"/>
    <m/>
    <n v="0"/>
    <m/>
    <n v="0"/>
    <m/>
    <n v="0"/>
    <m/>
    <n v="0"/>
    <m/>
    <n v="0"/>
    <m/>
    <n v="0"/>
    <m/>
    <n v="0"/>
    <m/>
    <n v="0"/>
    <s v="No aplica"/>
  </r>
  <r>
    <s v="Estándar de cadmio de 1000 mg/L solución certificada con trazabilidad e incertidumbre y con Fecha de vencimiento no inferior a 2 años, con certificado ISO 17034 del proveedor"/>
    <s v="MERCK"/>
    <s v="Frasco x 100 ml"/>
    <x v="0"/>
    <x v="7"/>
    <n v="1"/>
    <n v="365421.39199999999"/>
    <n v="365421.39199999999"/>
    <m/>
    <n v="0"/>
    <m/>
    <n v="0"/>
    <m/>
    <n v="0"/>
    <m/>
    <n v="0"/>
    <m/>
    <n v="0"/>
    <m/>
    <n v="0"/>
    <m/>
    <n v="0"/>
    <n v="1"/>
    <n v="365421.39199999999"/>
    <m/>
    <n v="0"/>
    <s v="No aplica"/>
  </r>
  <r>
    <s v="Estándar de calcio 1000 mg/L solución certificada con trazabilidad e incertidumbre y con fecha de vencimiento no anterior a diciembre de 2025"/>
    <s v="Merck (referencia 1197780100) o equivalente"/>
    <s v="Frasco x 100 ml"/>
    <x v="0"/>
    <x v="2"/>
    <n v="3"/>
    <n v="283651.5392"/>
    <n v="850954.6176"/>
    <n v="1"/>
    <n v="283651.5392"/>
    <m/>
    <n v="0"/>
    <m/>
    <n v="0"/>
    <m/>
    <n v="0"/>
    <m/>
    <n v="0"/>
    <m/>
    <n v="0"/>
    <m/>
    <n v="0"/>
    <n v="2"/>
    <n v="567303.0784"/>
    <m/>
    <n v="0"/>
    <s v="No aplica"/>
  </r>
  <r>
    <s v="Estándar de chlortetracycline hydrochloride 99.5% pureza. Trazable. Fecha de vencimiento no inferior a 2 años."/>
    <s v="Dr. Ehrenstorfer CA11509100 CAS 64-72-2"/>
    <s v="Frasco x 250mg"/>
    <x v="0"/>
    <x v="0"/>
    <n v="1"/>
    <n v="852823.30559999996"/>
    <n v="852823.30559999996"/>
    <n v="1"/>
    <n v="852823.30559999996"/>
    <m/>
    <n v="0"/>
    <m/>
    <n v="0"/>
    <m/>
    <n v="0"/>
    <m/>
    <n v="0"/>
    <m/>
    <n v="0"/>
    <m/>
    <n v="0"/>
    <m/>
    <n v="0"/>
    <m/>
    <n v="0"/>
    <s v="No aplica"/>
  </r>
  <r>
    <s v="Estándar de Ciprofloxacina trazable,, fecha de vencimiento no inferior a 2 años"/>
    <s v="Dr Ehrenstorfer C11668500  CAS 93107-08-5"/>
    <s v="Frasco x 100 mg"/>
    <x v="0"/>
    <x v="0"/>
    <n v="1"/>
    <n v="1841021.5824"/>
    <n v="1841021.5824"/>
    <n v="1"/>
    <n v="1841021.5824"/>
    <m/>
    <n v="0"/>
    <m/>
    <n v="0"/>
    <m/>
    <n v="0"/>
    <m/>
    <n v="0"/>
    <m/>
    <n v="0"/>
    <m/>
    <n v="0"/>
    <m/>
    <n v="0"/>
    <m/>
    <n v="0"/>
    <s v="No aplica"/>
  </r>
  <r>
    <s v="Estandar de Cloranfenicol  trazable, fecha de vencimiento no inferior a 2 años"/>
    <s v="Dr Ehrenstorfer C11120000  CAS 56-75-7"/>
    <s v="Frasco x 250 mg"/>
    <x v="0"/>
    <x v="0"/>
    <n v="1"/>
    <n v="889625.53119999997"/>
    <n v="889625.53119999997"/>
    <n v="1"/>
    <n v="889625.53119999997"/>
    <m/>
    <n v="0"/>
    <m/>
    <n v="0"/>
    <m/>
    <n v="0"/>
    <m/>
    <n v="0"/>
    <m/>
    <n v="0"/>
    <m/>
    <n v="0"/>
    <m/>
    <n v="0"/>
    <m/>
    <n v="0"/>
    <s v="No aplica"/>
  </r>
  <r>
    <s v="Estándar de cobalto 1000 mg/L solución certificada con trazabilidad e incertidumbre y fecha de vencimiento no inferior a 2 años"/>
    <s v="SUPELCO 119785"/>
    <s v="Frasco x 100 ml"/>
    <x v="0"/>
    <x v="7"/>
    <n v="1"/>
    <n v="355017.93599999999"/>
    <n v="355017.93599999999"/>
    <n v="1"/>
    <n v="355017.93599999999"/>
    <m/>
    <n v="0"/>
    <m/>
    <n v="0"/>
    <m/>
    <n v="0"/>
    <m/>
    <n v="0"/>
    <m/>
    <n v="0"/>
    <m/>
    <n v="0"/>
    <m/>
    <n v="0"/>
    <m/>
    <n v="0"/>
    <s v="No aplica"/>
  </r>
  <r>
    <s v="Estándar de cobre 1000 mg/L solución trazable a SRM de NIST certificada con trazabilidad e incertidumbre y fecha de vencimiento no inferior a 2 años"/>
    <s v="SCHARLAU"/>
    <s v="Frasco x 100 ml"/>
    <x v="0"/>
    <x v="6"/>
    <n v="3"/>
    <n v="107935.856"/>
    <n v="323807.56799999997"/>
    <n v="1"/>
    <n v="107935.856"/>
    <m/>
    <n v="0"/>
    <m/>
    <n v="0"/>
    <m/>
    <n v="0"/>
    <m/>
    <n v="0"/>
    <m/>
    <n v="0"/>
    <m/>
    <n v="0"/>
    <n v="2"/>
    <n v="215871.712"/>
    <m/>
    <n v="0"/>
    <s v="No aplica"/>
  </r>
  <r>
    <s v="Estandar de dienestrol trazable,fecha de vencimiento no inferior a 2 años"/>
    <s v="Dr Ehrenstorfer _x000a_REF: DRE‐C12598000  CAS 84-17-3"/>
    <s v="Frasco  x 25 mg"/>
    <x v="0"/>
    <x v="0"/>
    <n v="1"/>
    <n v="1173249.7504"/>
    <n v="1173249.7504"/>
    <n v="1"/>
    <n v="1173249.7504"/>
    <m/>
    <n v="0"/>
    <m/>
    <n v="0"/>
    <m/>
    <n v="0"/>
    <m/>
    <n v="0"/>
    <m/>
    <n v="0"/>
    <m/>
    <n v="0"/>
    <m/>
    <n v="0"/>
    <m/>
    <n v="0"/>
    <s v="No aplica"/>
  </r>
  <r>
    <s v="Estandar de Dietilestilbestrol trazable, fecha de vencimiento no inferior a 2 años"/>
    <s v="Dr Ehrenstorfer  REF:_x000a_DRE‐C12607000 o equivalente"/>
    <s v="Frasco  x 100 mg"/>
    <x v="0"/>
    <x v="2"/>
    <n v="1"/>
    <n v="751015.87199999997"/>
    <n v="751015.87199999997"/>
    <n v="1"/>
    <n v="751015.87199999997"/>
    <m/>
    <n v="0"/>
    <m/>
    <n v="0"/>
    <m/>
    <n v="0"/>
    <m/>
    <n v="0"/>
    <m/>
    <n v="0"/>
    <m/>
    <n v="0"/>
    <m/>
    <n v="0"/>
    <m/>
    <n v="0"/>
    <s v="No aplica"/>
  </r>
  <r>
    <s v="Estándar de Doramectina trazable,  fecha de vencimiento no inferior a 2 años"/>
    <s v="Dr Ehrenstorfer CA13083000"/>
    <s v="Frasco x 100 mg"/>
    <x v="0"/>
    <x v="2"/>
    <n v="1"/>
    <n v="1394141.7856000001"/>
    <n v="1394141.7856000001"/>
    <n v="1"/>
    <n v="1394141.7856000001"/>
    <m/>
    <n v="0"/>
    <m/>
    <n v="0"/>
    <m/>
    <n v="0"/>
    <m/>
    <n v="0"/>
    <m/>
    <n v="0"/>
    <m/>
    <n v="0"/>
    <m/>
    <n v="0"/>
    <m/>
    <n v="0"/>
    <s v="No aplica"/>
  </r>
  <r>
    <s v="Estandar de Florfenicol . Trazable, fecha de vencimiento no inferior a 2 años, número CAS: 73231-34-2"/>
    <s v="Dr Ehrenstorfer. DRE‐C13665000 CAS 73231-34-2"/>
    <s v="Frasco x 250 mg"/>
    <x v="0"/>
    <x v="0"/>
    <n v="1"/>
    <n v="2357033"/>
    <n v="2357033"/>
    <n v="1"/>
    <n v="2357033"/>
    <m/>
    <n v="0"/>
    <m/>
    <n v="0"/>
    <m/>
    <n v="0"/>
    <m/>
    <n v="0"/>
    <m/>
    <n v="0"/>
    <m/>
    <n v="0"/>
    <m/>
    <n v="0"/>
    <m/>
    <n v="0"/>
    <s v="No aplica"/>
  </r>
  <r>
    <s v="Estándar de fósforo 1000 mg/L trazable a SRM de NIST H3PO4 en H2O , solución  con certificado  fecha de vencimiento no inferior a 2 años"/>
    <s v="SUPELCO  170340"/>
    <s v="Frasco x 100 ml"/>
    <x v="0"/>
    <x v="7"/>
    <n v="1"/>
    <n v="647615.13599999994"/>
    <n v="647615.13599999994"/>
    <n v="1"/>
    <n v="647615.13599999994"/>
    <m/>
    <n v="0"/>
    <m/>
    <n v="0"/>
    <m/>
    <n v="0"/>
    <m/>
    <n v="0"/>
    <m/>
    <n v="0"/>
    <m/>
    <n v="0"/>
    <m/>
    <n v="0"/>
    <m/>
    <n v="0"/>
    <s v="No aplica"/>
  </r>
  <r>
    <s v="Estandar de Hexestrol trazable, fecha de vencimiento no inferior a 2 años"/>
    <s v="&quot;Dr Ehrenstorfer_x000a_ REF:_x000a_DRE‐14202800 CAS 84-16-2"/>
    <s v="Frasco  x 100 mg"/>
    <x v="0"/>
    <x v="0"/>
    <n v="1"/>
    <n v="1160895.6464"/>
    <n v="1160895.6464"/>
    <n v="1"/>
    <n v="1160895.6464"/>
    <m/>
    <n v="0"/>
    <m/>
    <n v="0"/>
    <m/>
    <n v="0"/>
    <m/>
    <n v="0"/>
    <m/>
    <n v="0"/>
    <m/>
    <n v="0"/>
    <m/>
    <n v="0"/>
    <m/>
    <n v="0"/>
    <s v="No aplica"/>
  </r>
  <r>
    <s v="Estándar de magnesio 1000 mg/L solución certificada con trazabilidad e incertidumbre  fecha de vencimiento no inferior a 2 años"/>
    <s v="SUPELCO 119788"/>
    <s v="Frasco x 100 ml"/>
    <x v="0"/>
    <x v="7"/>
    <n v="2"/>
    <n v="542280.14399999997"/>
    <n v="1084560.2879999999"/>
    <n v="1"/>
    <n v="542280.14399999997"/>
    <m/>
    <n v="0"/>
    <m/>
    <n v="0"/>
    <m/>
    <n v="0"/>
    <m/>
    <n v="0"/>
    <m/>
    <n v="0"/>
    <m/>
    <n v="0"/>
    <n v="1"/>
    <n v="542280.14399999997"/>
    <m/>
    <n v="0"/>
    <s v="No aplica"/>
  </r>
  <r>
    <s v="Estándar de Manganeso 1000 mg/l Mn en solución, trazable a SRM de NIST "/>
    <s v="MERK"/>
    <s v="Frasco x 100 ml"/>
    <x v="0"/>
    <x v="7"/>
    <n v="3"/>
    <n v="370623.12"/>
    <n v="1111869.3599999999"/>
    <n v="1"/>
    <n v="370623.12"/>
    <m/>
    <n v="0"/>
    <m/>
    <n v="0"/>
    <m/>
    <n v="0"/>
    <m/>
    <n v="0"/>
    <m/>
    <n v="0"/>
    <m/>
    <n v="0"/>
    <n v="2"/>
    <n v="741246.24"/>
    <m/>
    <n v="0"/>
    <s v="No aplica"/>
  </r>
  <r>
    <s v="Estándar de methimazol ( Tapazol)  con certificado  fecha de vencimiento no inferior a 2 años"/>
    <s v="Dr Ehrenstorfer.  DRE-C15020200 CAS 60-56-0"/>
    <s v="Frasco x 250 mg"/>
    <x v="0"/>
    <x v="0"/>
    <n v="1"/>
    <n v="1138528.216"/>
    <n v="1138528.216"/>
    <n v="1"/>
    <n v="1138528.216"/>
    <m/>
    <n v="0"/>
    <m/>
    <n v="0"/>
    <m/>
    <n v="0"/>
    <m/>
    <n v="0"/>
    <m/>
    <n v="0"/>
    <m/>
    <n v="0"/>
    <m/>
    <n v="0"/>
    <m/>
    <n v="0"/>
    <s v="No aplica"/>
  </r>
  <r>
    <s v="Estándar de Nandrolone. Número CAS: 434-22-0"/>
    <s v="LGC MIKROMOL   Ref. MM0660.00 CAS 434-22-0"/>
    <s v="Frasco x 250 mg"/>
    <x v="0"/>
    <x v="0"/>
    <n v="1"/>
    <n v="19053409.4912"/>
    <n v="19053409.4912"/>
    <n v="1"/>
    <n v="19053409.4912"/>
    <m/>
    <n v="0"/>
    <m/>
    <n v="0"/>
    <m/>
    <n v="0"/>
    <m/>
    <n v="0"/>
    <m/>
    <n v="0"/>
    <m/>
    <n v="0"/>
    <m/>
    <n v="0"/>
    <m/>
    <n v="0"/>
    <s v="No aplica"/>
  </r>
  <r>
    <s v="Estándar de Ractopamina HCl trazable, e, fecha de vencimiento no inferior a 2 años"/>
    <s v="Dr Ehrenstorfer  _x000a_ DRE-C16805000_x000a_CAS 90-274-24-1"/>
    <s v="3 Frasco x 100mg"/>
    <x v="0"/>
    <x v="0"/>
    <n v="1"/>
    <n v="2586039.0751999998"/>
    <n v="2586039.0751999998"/>
    <n v="1"/>
    <n v="2586039.0751999998"/>
    <m/>
    <n v="0"/>
    <m/>
    <n v="0"/>
    <m/>
    <n v="0"/>
    <m/>
    <n v="0"/>
    <m/>
    <n v="0"/>
    <m/>
    <n v="0"/>
    <m/>
    <n v="0"/>
    <m/>
    <n v="0"/>
    <s v="No aplica"/>
  </r>
  <r>
    <s v="Estándar de Salbutamol  Trazable, vigencia no menor a 2 años. "/>
    <s v="Dr Ehrenstorfer CAS: 18559-94-9"/>
    <s v="Frasco x 100 mg"/>
    <x v="0"/>
    <x v="0"/>
    <n v="1"/>
    <n v="5957278.9919999996"/>
    <n v="5957278.9919999996"/>
    <n v="1"/>
    <n v="5957278.9919999996"/>
    <m/>
    <n v="0"/>
    <m/>
    <n v="0"/>
    <m/>
    <n v="0"/>
    <m/>
    <n v="0"/>
    <m/>
    <n v="0"/>
    <m/>
    <n v="0"/>
    <m/>
    <n v="0"/>
    <m/>
    <n v="0"/>
    <s v="No aplica"/>
  </r>
  <r>
    <s v="Estandar de Taleranol ( Beta-zearalanol) trazable, fecha de vencimiento no inferior a 2 años. Número CAS:42422-68-4"/>
    <s v="LCG Dr Ehrenstorfer DRE-C17947330  CAS 42422-68-4"/>
    <s v="Frasco  x 5 mg"/>
    <x v="0"/>
    <x v="0"/>
    <n v="1"/>
    <n v="4656456.8624"/>
    <n v="4656456.8624"/>
    <n v="1"/>
    <n v="4656456.8624"/>
    <m/>
    <n v="0"/>
    <m/>
    <n v="0"/>
    <m/>
    <n v="0"/>
    <m/>
    <n v="0"/>
    <m/>
    <n v="0"/>
    <m/>
    <n v="0"/>
    <m/>
    <n v="0"/>
    <m/>
    <n v="0"/>
    <s v="No aplica"/>
  </r>
  <r>
    <s v="Estándar de Thiamphenicol 100 mg.Trazable, con certificado con método de análisis e incertidumbre,  fecha de vencimiento no inferior a 2 años"/>
    <s v="Dr Ehrenstorfer DRE‐C17457000 CAS 15318-45-3"/>
    <s v="Frasco x 100 mg"/>
    <x v="0"/>
    <x v="0"/>
    <n v="1"/>
    <n v="1047367.9328"/>
    <n v="1047367.9328"/>
    <n v="1"/>
    <n v="1047367.9328"/>
    <m/>
    <n v="0"/>
    <m/>
    <n v="0"/>
    <m/>
    <n v="0"/>
    <m/>
    <n v="0"/>
    <m/>
    <n v="0"/>
    <m/>
    <n v="0"/>
    <m/>
    <n v="0"/>
    <m/>
    <n v="0"/>
    <s v="No aplica"/>
  </r>
  <r>
    <s v="Estándar de tilosina trazable. Fecha de vencimiento no menor a 2 años. Número CAS: 1401-69-0"/>
    <s v="LGC Ref: BP 349 o equivalente"/>
    <s v="Frasco X 50 mg"/>
    <x v="0"/>
    <x v="2"/>
    <n v="1"/>
    <n v="2214696.8928"/>
    <n v="2214696.8928"/>
    <n v="1"/>
    <n v="2214696.8928"/>
    <m/>
    <n v="0"/>
    <m/>
    <n v="0"/>
    <m/>
    <n v="0"/>
    <m/>
    <n v="0"/>
    <m/>
    <n v="0"/>
    <m/>
    <n v="0"/>
    <m/>
    <n v="0"/>
    <m/>
    <n v="0"/>
    <s v="No aplica"/>
  </r>
  <r>
    <s v="Estándar de Vitamina A trazable, con certificado de método de análisis e incertidumbre, fecha de vencimiento no menor a 2 años"/>
    <s v="DR EHRENSTORFER DRE-CA17923820  CAS 127-47-9 "/>
    <s v="Frasco X 100 mg"/>
    <x v="0"/>
    <x v="0"/>
    <n v="1"/>
    <n v="2280047.4256000002"/>
    <n v="2280047.4256000002"/>
    <n v="1"/>
    <n v="2280047.4256000002"/>
    <m/>
    <n v="0"/>
    <m/>
    <n v="0"/>
    <m/>
    <n v="0"/>
    <m/>
    <n v="0"/>
    <m/>
    <n v="0"/>
    <m/>
    <n v="0"/>
    <m/>
    <n v="0"/>
    <m/>
    <n v="0"/>
    <s v="No aplica"/>
  </r>
  <r>
    <s v="Estándar de Vitamina E Trazable, con certificado de método de análisis e incertidumbre y con fecha vigencia no menor a 2 años"/>
    <s v="DR EHRENSTORFER DRE-CA17924319  CAS 7695-01-2"/>
    <s v="3 Frasco x 100mg"/>
    <x v="0"/>
    <x v="0"/>
    <n v="1"/>
    <n v="1916576.6816"/>
    <n v="1916576.6816"/>
    <n v="1"/>
    <n v="1916576.6816"/>
    <m/>
    <n v="0"/>
    <m/>
    <n v="0"/>
    <m/>
    <n v="0"/>
    <m/>
    <n v="0"/>
    <m/>
    <n v="0"/>
    <m/>
    <n v="0"/>
    <m/>
    <n v="0"/>
    <m/>
    <n v="0"/>
    <s v="No aplica"/>
  </r>
  <r>
    <s v="Estandar de Zearalanona trazable, certificado con método de análisis e incertidumbre, fecha de vencimiento no inferior a 2 años"/>
    <s v="Dr Ehrenstorfer DRE‐C17947350  CAS 5975-78-0"/>
    <s v="Frasco x 5 mg "/>
    <x v="0"/>
    <x v="0"/>
    <n v="1"/>
    <n v="7515456.6144000003"/>
    <n v="7515456.6144000003"/>
    <n v="1"/>
    <n v="7515456.6144000003"/>
    <m/>
    <n v="0"/>
    <m/>
    <n v="0"/>
    <m/>
    <n v="0"/>
    <m/>
    <n v="0"/>
    <m/>
    <n v="0"/>
    <m/>
    <n v="0"/>
    <m/>
    <n v="0"/>
    <m/>
    <n v="0"/>
    <s v="No aplica"/>
  </r>
  <r>
    <s v="Estandar de Zeranol            ( alfa- zeranoll)       trazable,  fecha de vencimiento no inferior a 2 años. "/>
    <s v="LCG Dr Ehrenstorfer  Número CAS: 26538-44-3  Número CAS: 26538-44-3 "/>
    <s v="Frasco x 5 mg"/>
    <x v="0"/>
    <x v="0"/>
    <n v="1"/>
    <n v="6977337.8527999995"/>
    <n v="6977337.8527999995"/>
    <n v="1"/>
    <n v="6977337.8527999995"/>
    <m/>
    <n v="0"/>
    <m/>
    <n v="0"/>
    <m/>
    <n v="0"/>
    <m/>
    <n v="0"/>
    <m/>
    <n v="0"/>
    <m/>
    <n v="0"/>
    <m/>
    <n v="0"/>
    <m/>
    <n v="0"/>
    <s v="No aplica"/>
  </r>
  <r>
    <s v="Estandar deTrembolona Número CAS 10161-33-8, trazable, con certificado de análisis, fecha de vencimiento no inferior a 1 año."/>
    <s v="Dr Ehrenstorfer DRE-CA17607700 CAS 10161-33-8"/>
    <s v="Frasco x 100 mg"/>
    <x v="0"/>
    <x v="0"/>
    <n v="1"/>
    <n v="3296335.0336000002"/>
    <n v="3296335.0336000002"/>
    <n v="1"/>
    <n v="3296335.0336000002"/>
    <m/>
    <n v="0"/>
    <m/>
    <n v="0"/>
    <m/>
    <n v="0"/>
    <m/>
    <n v="0"/>
    <m/>
    <n v="0"/>
    <m/>
    <n v="0"/>
    <m/>
    <n v="0"/>
    <m/>
    <n v="0"/>
    <s v="No aplica"/>
  </r>
  <r>
    <s v="Estandar Dexamethasone Acetate _x000a_fecha de vigencia ó con fecha no menor a 2 años_x000a_N° CAS 1177-87-3"/>
    <s v="Dr. Ehrenstorfer_x000a_Ref: DRE-C12170410 CAS 1177-87-3"/>
    <s v="Frasco x 100 mg"/>
    <x v="0"/>
    <x v="0"/>
    <n v="1"/>
    <n v="1443869.6495999999"/>
    <n v="1443869.6495999999"/>
    <n v="1"/>
    <n v="1443869.6495999999"/>
    <m/>
    <n v="0"/>
    <m/>
    <n v="0"/>
    <m/>
    <n v="0"/>
    <m/>
    <n v="0"/>
    <m/>
    <n v="0"/>
    <m/>
    <n v="0"/>
    <m/>
    <n v="0"/>
    <m/>
    <n v="0"/>
    <s v="No aplica"/>
  </r>
  <r>
    <s v="Estandar Diclofenaco sodico _x000a_fecha de vigencia ó con fecha no menor a 2 años_x000a_N° CAS 15307-79-6"/>
    <s v="Sigma Aldrich Supelco PHR1144  N° CAS 15307-79-6"/>
    <s v="Frasco x 1 g"/>
    <x v="0"/>
    <x v="0"/>
    <n v="1"/>
    <n v="1096524.2623999999"/>
    <n v="1096524.2623999999"/>
    <n v="1"/>
    <n v="1096524.2623999999"/>
    <m/>
    <n v="0"/>
    <m/>
    <n v="0"/>
    <m/>
    <n v="0"/>
    <m/>
    <n v="0"/>
    <m/>
    <n v="0"/>
    <m/>
    <n v="0"/>
    <m/>
    <n v="0"/>
    <m/>
    <n v="0"/>
    <s v="No aplica"/>
  </r>
  <r>
    <s v="Estandar Doxycycline hyclate _x000a_Fecha de vigencia o con fecha menor a 2 años._x000a_N° CAS 24390-14-5"/>
    <s v="Dr. Ehrenstorfer_x000a_Ref. DRE-C13084280"/>
    <s v="Frasco x 100 mg"/>
    <x v="0"/>
    <x v="0"/>
    <n v="1"/>
    <n v="1352449.28"/>
    <n v="1352449.28"/>
    <n v="1"/>
    <n v="1352449.28"/>
    <m/>
    <n v="0"/>
    <m/>
    <n v="0"/>
    <m/>
    <n v="0"/>
    <m/>
    <n v="0"/>
    <m/>
    <n v="0"/>
    <m/>
    <n v="0"/>
    <m/>
    <n v="0"/>
    <m/>
    <n v="0"/>
    <s v="No aplica"/>
  </r>
  <r>
    <s v="Estandar Doxycycline hyclate _x000a_Fecha de vigencia o con fecha menor a 2 años._x000a_N° CAS 24390-14-5"/>
    <s v="Sigma Aldrich Supelco PHR1145"/>
    <s v="Frasco x 1 g"/>
    <x v="0"/>
    <x v="0"/>
    <n v="1"/>
    <n v="864917.32319999998"/>
    <n v="864917.32319999998"/>
    <n v="1"/>
    <n v="864917.32319999998"/>
    <m/>
    <n v="0"/>
    <m/>
    <n v="0"/>
    <m/>
    <n v="0"/>
    <m/>
    <n v="0"/>
    <m/>
    <n v="0"/>
    <m/>
    <n v="0"/>
    <m/>
    <n v="0"/>
    <m/>
    <n v="0"/>
    <s v="No aplica"/>
  </r>
  <r>
    <s v="Estandar Enrofloxacina_x000a_fecha de vigencia no menor a 2 años_x000a_N° CAS 93106-60-6"/>
    <s v="Dr. Ehrenstorfer_x000a_Ref: DRE-C13170000"/>
    <s v="Frasco x 100 mg"/>
    <x v="0"/>
    <x v="0"/>
    <n v="1"/>
    <n v="1445560.2112"/>
    <n v="1445560.2112"/>
    <n v="1"/>
    <n v="1445560.2112"/>
    <m/>
    <n v="0"/>
    <m/>
    <n v="0"/>
    <m/>
    <n v="0"/>
    <m/>
    <n v="0"/>
    <m/>
    <n v="0"/>
    <m/>
    <n v="0"/>
    <m/>
    <n v="0"/>
    <m/>
    <n v="0"/>
    <s v="No aplica"/>
  </r>
  <r>
    <s v="Estandar Erythomycin _x000a_Fecha de vigencia o con fecha menor a 2 años._x000a_N° CAS 114-07-8"/>
    <s v="Sigma Aldrich Supelco PHR1039"/>
    <s v="Frasco x 1 g"/>
    <x v="0"/>
    <x v="0"/>
    <n v="1"/>
    <n v="1007834.8"/>
    <n v="1007834.8"/>
    <n v="1"/>
    <n v="1007834.8"/>
    <m/>
    <n v="0"/>
    <m/>
    <n v="0"/>
    <m/>
    <n v="0"/>
    <m/>
    <n v="0"/>
    <m/>
    <n v="0"/>
    <m/>
    <n v="0"/>
    <m/>
    <n v="0"/>
    <m/>
    <n v="0"/>
    <s v="No aplica"/>
  </r>
  <r>
    <s v="Estándar Estanozolol trazable con fecha de vencimiento no inferior a 2 años. Número CAS: 10418-03-8"/>
    <s v="LGC LGCFOR1285.00 "/>
    <s v="Frasco X 10 mg"/>
    <x v="0"/>
    <x v="0"/>
    <n v="1"/>
    <n v="3000486.7535999999"/>
    <n v="3000486.7535999999"/>
    <n v="1"/>
    <n v="3000486.7535999999"/>
    <m/>
    <n v="0"/>
    <m/>
    <n v="0"/>
    <m/>
    <n v="0"/>
    <m/>
    <n v="0"/>
    <m/>
    <n v="0"/>
    <m/>
    <n v="0"/>
    <m/>
    <n v="0"/>
    <m/>
    <n v="0"/>
    <s v="No aplica"/>
  </r>
  <r>
    <s v="Estandar Fenthion D6, deuterado con certificado de análisis y fecha de vencimiento superior a 6 meses"/>
    <s v="Dr. Ehrenstorfer REF- DRE-C13580100"/>
    <s v="Frasco x 10 mg"/>
    <x v="0"/>
    <x v="0"/>
    <n v="1"/>
    <n v="6057152.1695999997"/>
    <n v="6057152.1695999997"/>
    <m/>
    <n v="0"/>
    <m/>
    <n v="0"/>
    <m/>
    <n v="0"/>
    <m/>
    <n v="0"/>
    <m/>
    <n v="0"/>
    <m/>
    <n v="0"/>
    <m/>
    <n v="0"/>
    <n v="1"/>
    <n v="6057152.1695999997"/>
    <m/>
    <n v="0"/>
    <s v="No aplica"/>
  </r>
  <r>
    <s v="Estandar Florfenicol _x000a_Fecha de vigencia o con fecha menor a 2 años._x000a_N° CAS 73231-34-2"/>
    <s v="Dr. Ehrenstorfer_x000a_Ref. DRE-C13665000_x000a_"/>
    <s v="Frasco x 250 mg"/>
    <x v="0"/>
    <x v="0"/>
    <n v="1"/>
    <n v="2529340.2399999998"/>
    <n v="2529340.2399999998"/>
    <n v="1"/>
    <n v="2529340.2399999998"/>
    <m/>
    <n v="0"/>
    <m/>
    <n v="0"/>
    <m/>
    <n v="0"/>
    <m/>
    <n v="0"/>
    <m/>
    <n v="0"/>
    <m/>
    <n v="0"/>
    <m/>
    <n v="0"/>
    <m/>
    <n v="0"/>
    <s v="No aplica"/>
  </r>
  <r>
    <s v="Estandar Florfenicol _x000a_Fecha de vigencia o con fecha menor a 2 años._x000a_N° CAS 73231-34-2"/>
    <s v="Sigma Aldrich Supelco_x000a_Ref. F1427_x000a_"/>
    <s v="Frasco x 500 mg"/>
    <x v="0"/>
    <x v="0"/>
    <n v="1"/>
    <n v="1451672.2416000001"/>
    <n v="1451672.2416000001"/>
    <n v="1"/>
    <n v="1451672.2416000001"/>
    <m/>
    <n v="0"/>
    <m/>
    <n v="0"/>
    <m/>
    <n v="0"/>
    <m/>
    <n v="0"/>
    <m/>
    <n v="0"/>
    <m/>
    <n v="0"/>
    <m/>
    <n v="0"/>
    <m/>
    <n v="0"/>
    <s v="No aplica"/>
  </r>
  <r>
    <s v="Estandar Flunixin Meglumine_x000a_Fecha de vigencia o con fecha menor a 2 años._x000a_N° CAS 42461-84-7_x000d_"/>
    <s v="Sigma Aldrich Supelco  PHR1442"/>
    <s v="Frasco x 1 g"/>
    <x v="0"/>
    <x v="0"/>
    <n v="1"/>
    <n v="801716.32799999998"/>
    <n v="801716.32799999998"/>
    <n v="1"/>
    <n v="801716.32799999998"/>
    <m/>
    <n v="0"/>
    <m/>
    <n v="0"/>
    <m/>
    <n v="0"/>
    <m/>
    <n v="0"/>
    <m/>
    <n v="0"/>
    <m/>
    <n v="0"/>
    <m/>
    <n v="0"/>
    <m/>
    <n v="0"/>
    <s v="No aplica"/>
  </r>
  <r>
    <s v="Estandar Furaltadona CAS 139-91-3"/>
    <s v="LGC TRC-B497335"/>
    <s v="Frasco x 100 mg"/>
    <x v="0"/>
    <x v="0"/>
    <n v="1"/>
    <n v="1926459.9648"/>
    <n v="1926459.9648"/>
    <n v="1"/>
    <n v="1926459.9648"/>
    <m/>
    <n v="0"/>
    <m/>
    <n v="0"/>
    <m/>
    <n v="0"/>
    <m/>
    <n v="0"/>
    <m/>
    <n v="0"/>
    <m/>
    <n v="0"/>
    <m/>
    <n v="0"/>
    <m/>
    <n v="0"/>
    <s v="No aplica"/>
  </r>
  <r>
    <s v="Estandar Furazolidona"/>
    <s v="Dr. Ehrenstorfer_x000a_Ref: DRE C13970200"/>
    <s v="Frasco X 250 mg"/>
    <x v="0"/>
    <x v="0"/>
    <n v="1"/>
    <n v="1388601.2896"/>
    <n v="1388601.2896"/>
    <n v="1"/>
    <n v="1388601.2896"/>
    <m/>
    <n v="0"/>
    <m/>
    <n v="0"/>
    <m/>
    <n v="0"/>
    <m/>
    <n v="0"/>
    <m/>
    <n v="0"/>
    <m/>
    <n v="0"/>
    <m/>
    <n v="0"/>
    <m/>
    <n v="0"/>
    <s v="No aplica"/>
  </r>
  <r>
    <s v="Estandar Ivermectina trazable._x000a_Fecha de vencimiento no inferior a 2 años. _x000a_N° CAS: 70288-86-7"/>
    <s v="Dr. Ehrenstorfer_x000a_Ref: DRE-CA14488000"/>
    <s v="Frasco x  100 mg"/>
    <x v="0"/>
    <x v="2"/>
    <n v="1"/>
    <n v="1445610.48"/>
    <n v="1445610.48"/>
    <n v="1"/>
    <n v="1445610.48"/>
    <m/>
    <n v="0"/>
    <m/>
    <n v="0"/>
    <m/>
    <n v="0"/>
    <m/>
    <n v="0"/>
    <m/>
    <n v="0"/>
    <m/>
    <n v="0"/>
    <m/>
    <n v="0"/>
    <m/>
    <n v="0"/>
    <s v="No aplica"/>
  </r>
  <r>
    <s v="Estandar Ivermectina trazable._x000a_Fecha de vencimiento no inferior a 2 años. _x000a_N° CAS: 70288-86-7"/>
    <s v="_x000a__x000a_Sigma Aldrich Supelco_x000a_Ref  PHR1380-1G"/>
    <s v="Frasco x  1 g"/>
    <x v="0"/>
    <x v="0"/>
    <n v="1"/>
    <n v="802366.54399999999"/>
    <n v="802366.54399999999"/>
    <n v="1"/>
    <n v="802366.54399999999"/>
    <m/>
    <n v="0"/>
    <m/>
    <n v="0"/>
    <m/>
    <n v="0"/>
    <m/>
    <n v="0"/>
    <m/>
    <n v="0"/>
    <m/>
    <n v="0"/>
    <m/>
    <n v="0"/>
    <m/>
    <n v="0"/>
    <s v="No aplica"/>
  </r>
  <r>
    <s v="Estandar ketamina HCl_x000a_Fecha de vigencia ó con fecha no menor a 2 años._x000a_N° CAS 1867-66-9"/>
    <s v="_x000a__x000a_Sigma Aldrich Supelco_x000a_Ref  K2753-1G"/>
    <s v="Frasco x   1g"/>
    <x v="0"/>
    <x v="2"/>
    <n v="1"/>
    <n v="2022255.9055999999"/>
    <n v="2022255.9055999999"/>
    <n v="1"/>
    <n v="2022255.9055999999"/>
    <m/>
    <n v="0"/>
    <m/>
    <n v="0"/>
    <m/>
    <n v="0"/>
    <m/>
    <n v="0"/>
    <m/>
    <n v="0"/>
    <m/>
    <n v="0"/>
    <m/>
    <n v="0"/>
    <m/>
    <n v="0"/>
    <s v="No aplica"/>
  </r>
  <r>
    <s v="Estandar ketoprofeno_x000a_Fecha de vigencia ó con fecha no menor a 2 años._x000a_N° CAS 22071-15-4"/>
    <s v="_x000a__x000a_Sigma Aldrich Supelco_x000a_Ref  PHR1375-500MG"/>
    <s v="Frasco x   500 mg"/>
    <x v="0"/>
    <x v="0"/>
    <n v="1"/>
    <n v="790922.74239999999"/>
    <n v="790922.74239999999"/>
    <n v="1"/>
    <n v="790922.74239999999"/>
    <m/>
    <n v="0"/>
    <m/>
    <n v="0"/>
    <m/>
    <n v="0"/>
    <m/>
    <n v="0"/>
    <m/>
    <n v="0"/>
    <m/>
    <n v="0"/>
    <m/>
    <n v="0"/>
    <m/>
    <n v="0"/>
    <s v="No aplica"/>
  </r>
  <r>
    <s v="Estandar Metamizole Sodium_x000a_fecha de vigencia ó con fecha no menor a 2 años_x000a_N° CAS 5907-38-0"/>
    <s v="Sigma Aldrich Supelco_x000a_Ref. PHR1800-100MG"/>
    <s v="Frasco x 100mg"/>
    <x v="0"/>
    <x v="0"/>
    <n v="1"/>
    <n v="1282876.1680000001"/>
    <n v="1282876.1680000001"/>
    <n v="1"/>
    <n v="1282876.1680000001"/>
    <m/>
    <n v="0"/>
    <m/>
    <n v="0"/>
    <m/>
    <n v="0"/>
    <m/>
    <n v="0"/>
    <m/>
    <n v="0"/>
    <m/>
    <n v="0"/>
    <m/>
    <n v="0"/>
    <m/>
    <n v="0"/>
    <s v="No aplica"/>
  </r>
  <r>
    <s v="Estandar Mezcla de Aflatoxin B1, B2, G1, and G2 con fecha de caducidad no menor a un año"/>
    <s v="USP_x000a_Dr. Ehrenstorfer_x000a_Sigma Aldrich Referencia DRE-A30000021AL"/>
    <s v="Frasco x 1 mL"/>
    <x v="0"/>
    <x v="2"/>
    <n v="2"/>
    <n v="2578934.7823999999"/>
    <n v="5157869.5647999998"/>
    <n v="1"/>
    <n v="2578934.7823999999"/>
    <m/>
    <n v="0"/>
    <m/>
    <n v="0"/>
    <m/>
    <n v="0"/>
    <m/>
    <n v="0"/>
    <m/>
    <n v="0"/>
    <m/>
    <n v="0"/>
    <n v="1"/>
    <n v="2578934.7823999999"/>
    <m/>
    <n v="0"/>
    <s v="No aplica"/>
  </r>
  <r>
    <s v="Estandar Mezcla de Fumonisins B1 y B2  con fecha de caducidad no menor a un año"/>
    <s v="Dr. Ehrenstorfer_x000a_ DRE-A30000003WL"/>
    <s v="Frasco x 1 mL"/>
    <x v="0"/>
    <x v="0"/>
    <n v="1"/>
    <n v="8393378.2576000001"/>
    <n v="8393378.2576000001"/>
    <n v="1"/>
    <n v="8393378.2576000001"/>
    <m/>
    <n v="0"/>
    <m/>
    <n v="0"/>
    <m/>
    <n v="0"/>
    <m/>
    <n v="0"/>
    <m/>
    <n v="0"/>
    <m/>
    <n v="0"/>
    <m/>
    <n v="0"/>
    <m/>
    <n v="0"/>
    <s v="No aplica"/>
  </r>
  <r>
    <s v="Estandar mezcla de plaguicidas Smart Solutions v700 PestiMix Kit 1"/>
    <s v="Dr. Ehrenstorfer DRE-K50000087AL"/>
    <s v="Frasco x 1mL (5 unidades)"/>
    <x v="0"/>
    <x v="0"/>
    <n v="1"/>
    <n v="125478683.67999999"/>
    <n v="125478683.67999999"/>
    <m/>
    <n v="0"/>
    <m/>
    <n v="0"/>
    <m/>
    <n v="0"/>
    <m/>
    <n v="0"/>
    <m/>
    <n v="0"/>
    <m/>
    <n v="0"/>
    <m/>
    <n v="0"/>
    <n v="1"/>
    <n v="125478683.67999999"/>
    <m/>
    <n v="0"/>
    <s v="No aplica"/>
  </r>
  <r>
    <s v="Estandar Niacinamide o Nicotinamide_x000a_Fecha de vigencia ó con fecha no menor a 2 años_x000a_N° CAS 98-92-0"/>
    <s v="_x000a__x000a_Sigma Aldrich Supelco_x000a_Ref PHR1033-1G"/>
    <s v="Frasco x 1 g"/>
    <x v="0"/>
    <x v="0"/>
    <n v="1"/>
    <n v="898988.64159999997"/>
    <n v="898988.64159999997"/>
    <n v="1"/>
    <n v="898988.64159999997"/>
    <m/>
    <n v="0"/>
    <m/>
    <n v="0"/>
    <m/>
    <n v="0"/>
    <m/>
    <n v="0"/>
    <m/>
    <n v="0"/>
    <m/>
    <n v="0"/>
    <m/>
    <n v="0"/>
    <m/>
    <n v="0"/>
    <s v="No aplica"/>
  </r>
  <r>
    <s v="Estandar Nitrofurazona"/>
    <s v="Dr. Ehrenstorfer DRE-C15571000"/>
    <s v="Frasco X 250 mg"/>
    <x v="0"/>
    <x v="0"/>
    <n v="1"/>
    <n v="763873.75679999997"/>
    <n v="763873.75679999997"/>
    <n v="1"/>
    <n v="763873.75679999997"/>
    <m/>
    <n v="0"/>
    <m/>
    <n v="0"/>
    <m/>
    <n v="0"/>
    <m/>
    <n v="0"/>
    <m/>
    <n v="0"/>
    <m/>
    <n v="0"/>
    <m/>
    <n v="0"/>
    <m/>
    <n v="0"/>
    <s v="No aplica"/>
  </r>
  <r>
    <s v="Estandar Olaquindox"/>
    <s v="Sigma Aldrich Supelco 33987"/>
    <s v="Frasco x 100 mg"/>
    <x v="0"/>
    <x v="0"/>
    <n v="1"/>
    <n v="770766.04639999999"/>
    <n v="770766.04639999999"/>
    <n v="1"/>
    <n v="770766.04639999999"/>
    <m/>
    <n v="0"/>
    <m/>
    <n v="0"/>
    <m/>
    <n v="0"/>
    <m/>
    <n v="0"/>
    <m/>
    <n v="0"/>
    <m/>
    <n v="0"/>
    <m/>
    <n v="0"/>
    <m/>
    <n v="0"/>
    <s v="No aplica"/>
  </r>
  <r>
    <s v="Estandar Oxytetracycline Hydrochloride. _x000a_Fecha de vigencia ó con fecha no menor a 2 años_x000a_N° CAS: 2058-46-0"/>
    <s v="Dr. Ehrenstorfer _x000a_Ref DRE-C15820000"/>
    <s v="Frasco x 250 mg"/>
    <x v="0"/>
    <x v="0"/>
    <n v="1"/>
    <n v="1023570.0272"/>
    <n v="1023570.0272"/>
    <n v="1"/>
    <n v="1023570.0272"/>
    <m/>
    <n v="0"/>
    <m/>
    <n v="0"/>
    <m/>
    <n v="0"/>
    <m/>
    <n v="0"/>
    <m/>
    <n v="0"/>
    <m/>
    <n v="0"/>
    <m/>
    <n v="0"/>
    <m/>
    <n v="0"/>
    <s v="No aplica"/>
  </r>
  <r>
    <s v="Estandar Phosphated 5 Riboflavin Sodium_x000a_fecha de vigencia ó con fecha no menor a 2 años._x000a_N° CAS 6184-17-4"/>
    <s v="_x000a__x000a_Sigma Aldrich Supelco_x000a_Ref PHR1297-1G"/>
    <s v="Frasco x 1 g"/>
    <x v="0"/>
    <x v="0"/>
    <n v="1"/>
    <n v="778178.50879999995"/>
    <n v="778178.50879999995"/>
    <n v="1"/>
    <n v="778178.50879999995"/>
    <m/>
    <n v="0"/>
    <m/>
    <n v="0"/>
    <m/>
    <n v="0"/>
    <m/>
    <n v="0"/>
    <m/>
    <n v="0"/>
    <m/>
    <n v="0"/>
    <m/>
    <n v="0"/>
    <m/>
    <n v="0"/>
    <s v="No aplica"/>
  </r>
  <r>
    <s v="Estandar Retinyl Acetate (Vitamin A) "/>
    <s v="Sigma Aldrich Supelco 46958"/>
    <s v="2 frascos x 100 mg"/>
    <x v="0"/>
    <x v="0"/>
    <n v="1"/>
    <n v="853083.39199999999"/>
    <n v="853083.39199999999"/>
    <n v="1"/>
    <n v="853083.39199999999"/>
    <m/>
    <n v="0"/>
    <m/>
    <n v="0"/>
    <m/>
    <n v="0"/>
    <m/>
    <n v="0"/>
    <m/>
    <n v="0"/>
    <m/>
    <n v="0"/>
    <m/>
    <n v="0"/>
    <m/>
    <n v="0"/>
    <s v="No aplica"/>
  </r>
  <r>
    <s v="Estandar Retinyl Palmitate (Vitamina A Palmitato)_x000a_fecha de vigencia ó con fecha no menor a 2 años_x000a_N° CAS 79-81-2"/>
    <s v="Dr. Ehrenstorfer _x000a_Ref  DRE-CA17923840"/>
    <s v="Frasco x 150 mg"/>
    <x v="0"/>
    <x v="2"/>
    <n v="1"/>
    <n v="1041632.9184"/>
    <n v="1041632.9184"/>
    <n v="1"/>
    <n v="1041632.9184"/>
    <m/>
    <n v="0"/>
    <m/>
    <n v="0"/>
    <m/>
    <n v="0"/>
    <m/>
    <n v="0"/>
    <m/>
    <n v="0"/>
    <m/>
    <n v="0"/>
    <m/>
    <n v="0"/>
    <m/>
    <n v="0"/>
    <s v="No aplica"/>
  </r>
  <r>
    <s v="Estandar Retinyl Palmitate (Vitamna A Palmitato)_x000a_fecha de vigencia ó con fecha no menor a 2 años_x000a_N° CAS 79-81-2"/>
    <s v="_x000a__x000a_Sigma Aldrich Supelco_x000a_Ref PHR1235-1G"/>
    <s v="Frasco x 1g"/>
    <x v="0"/>
    <x v="0"/>
    <n v="1"/>
    <n v="678045.24479999999"/>
    <n v="678045.24479999999"/>
    <n v="1"/>
    <n v="678045.24479999999"/>
    <m/>
    <n v="0"/>
    <m/>
    <n v="0"/>
    <m/>
    <n v="0"/>
    <m/>
    <n v="0"/>
    <m/>
    <n v="0"/>
    <m/>
    <n v="0"/>
    <m/>
    <n v="0"/>
    <m/>
    <n v="0"/>
    <s v="No aplica"/>
  </r>
  <r>
    <s v="Estandar Retinyl Propionate (Vitamina A propionato)_x000a_fecha de vigencia ó con fecha no menor a 2 años_x000a_N° CAS 7069-42-3"/>
    <s v="_x000a__x000a_Sigma Aldrich Supelco_x000a_Ref PHR1668-1G"/>
    <s v="Frasco x  1 g"/>
    <x v="0"/>
    <x v="0"/>
    <n v="1"/>
    <n v="913943.60959999997"/>
    <n v="913943.60959999997"/>
    <n v="1"/>
    <n v="913943.60959999997"/>
    <m/>
    <n v="0"/>
    <m/>
    <n v="0"/>
    <m/>
    <n v="0"/>
    <m/>
    <n v="0"/>
    <m/>
    <n v="0"/>
    <m/>
    <n v="0"/>
    <m/>
    <n v="0"/>
    <m/>
    <n v="0"/>
    <s v="No aplica"/>
  </r>
  <r>
    <s v="Estandar Sulfadiazine_x000a_Fecha de vigencia ó con fecha no menor a 2 años_x000a_N° CAS 68-35-9"/>
    <s v="SUPELCO PHR1343"/>
    <s v="Frasco x 500 mg"/>
    <x v="0"/>
    <x v="7"/>
    <n v="1"/>
    <n v="600799.58400000003"/>
    <n v="600799.58400000003"/>
    <n v="1"/>
    <n v="600799.58400000003"/>
    <m/>
    <n v="0"/>
    <m/>
    <n v="0"/>
    <m/>
    <n v="0"/>
    <m/>
    <n v="0"/>
    <m/>
    <n v="0"/>
    <m/>
    <n v="0"/>
    <m/>
    <n v="0"/>
    <m/>
    <n v="0"/>
    <s v="No aplica"/>
  </r>
  <r>
    <s v="Estandar Thiamine Hydrochloride_x000a_Fecha de vigencia ó con fecha no menor a 2 años_x000a_N° CAS 67-03-8"/>
    <s v="SUPELCO PHR1037"/>
    <s v="Frasco x 1 g"/>
    <x v="0"/>
    <x v="7"/>
    <n v="1"/>
    <n v="897188.8"/>
    <n v="897188.8"/>
    <n v="1"/>
    <n v="897188.8"/>
    <m/>
    <n v="0"/>
    <m/>
    <n v="0"/>
    <m/>
    <n v="0"/>
    <m/>
    <n v="0"/>
    <m/>
    <n v="0"/>
    <m/>
    <n v="0"/>
    <m/>
    <n v="0"/>
    <m/>
    <n v="0"/>
    <s v="No aplica"/>
  </r>
  <r>
    <s v="EstandarTylosin Tartrate_x000a_Fecha de vigencia ó con fecha no menor a 2 años_x000a_N° CAS 1405-54-5"/>
    <s v="SUPELCO PHR1508"/>
    <s v="Frasco x 1 g"/>
    <x v="0"/>
    <x v="7"/>
    <n v="1"/>
    <n v="581369.59999999998"/>
    <n v="581369.59999999998"/>
    <n v="1"/>
    <n v="581369.59999999998"/>
    <m/>
    <n v="0"/>
    <m/>
    <n v="0"/>
    <m/>
    <n v="0"/>
    <m/>
    <n v="0"/>
    <m/>
    <n v="0"/>
    <m/>
    <n v="0"/>
    <m/>
    <n v="0"/>
    <m/>
    <n v="0"/>
    <s v="No aplica"/>
  </r>
  <r>
    <s v="EstandarTylosin Tartrate_x000a_Fecha de vigencia ó con fecha no menor a 2 años_x000a_N° CAS 1405-54-5"/>
    <s v="USP"/>
    <s v="Frasco x 100 mg"/>
    <x v="0"/>
    <x v="7"/>
    <n v="1"/>
    <n v="5922976"/>
    <n v="5922976"/>
    <n v="1"/>
    <n v="5922976"/>
    <m/>
    <n v="0"/>
    <m/>
    <n v="0"/>
    <m/>
    <n v="0"/>
    <m/>
    <n v="0"/>
    <m/>
    <n v="0"/>
    <m/>
    <n v="0"/>
    <m/>
    <n v="0"/>
    <m/>
    <n v="0"/>
    <s v="No aplica"/>
  </r>
  <r>
    <s v="Etanol absoluto anhidro"/>
    <s v="JT BAKER cas 64-17-5"/>
    <s v="Frasco x 2.5 litros"/>
    <x v="0"/>
    <x v="0"/>
    <n v="25"/>
    <n v="281543.52799999999"/>
    <n v="7038588.2000000002"/>
    <m/>
    <n v="0"/>
    <n v="1"/>
    <n v="281543.52799999999"/>
    <n v="10"/>
    <n v="2815435.28"/>
    <m/>
    <n v="0"/>
    <n v="8"/>
    <n v="2252348.2239999999"/>
    <n v="5"/>
    <n v="1407717.64"/>
    <m/>
    <n v="0"/>
    <n v="1"/>
    <n v="281543.52799999999"/>
    <m/>
    <n v="0"/>
    <s v="No aplica"/>
  </r>
  <r>
    <s v="Etanol al 99.5%-99.8% para biología molecular"/>
    <s v="PANREAC_x000a_Ref: A8075,.1000PE"/>
    <s v="Frasco  x 1 litro"/>
    <x v="0"/>
    <x v="0"/>
    <n v="25"/>
    <n v="263337.48"/>
    <n v="6583437"/>
    <m/>
    <n v="0"/>
    <n v="5"/>
    <n v="1316687.3999999999"/>
    <n v="3"/>
    <n v="790012.44"/>
    <m/>
    <n v="0"/>
    <n v="12"/>
    <n v="3160049.76"/>
    <n v="5"/>
    <n v="1316687.3999999999"/>
    <m/>
    <n v="0"/>
    <m/>
    <n v="0"/>
    <m/>
    <n v="0"/>
    <s v="No aplica"/>
  </r>
  <r>
    <s v="Etanol cetona gram"/>
    <s v="Albor"/>
    <s v="Frasco x 1 litro"/>
    <x v="0"/>
    <x v="4"/>
    <n v="3"/>
    <n v="169384"/>
    <n v="508152"/>
    <m/>
    <n v="0"/>
    <m/>
    <n v="0"/>
    <n v="1"/>
    <n v="169384"/>
    <m/>
    <n v="0"/>
    <n v="2"/>
    <n v="338768"/>
    <m/>
    <n v="0"/>
    <m/>
    <n v="0"/>
    <m/>
    <n v="0"/>
    <m/>
    <n v="0"/>
    <s v="No aplica"/>
  </r>
  <r>
    <s v="Eter de petroleo para análisis "/>
    <s v="JT BAKER CAS 64742-49-0"/>
    <s v="Frasco x 4 litros"/>
    <x v="0"/>
    <x v="0"/>
    <n v="4"/>
    <n v="540459.5392"/>
    <n v="2161838.1568"/>
    <n v="4"/>
    <n v="2161838.1568"/>
    <m/>
    <n v="0"/>
    <m/>
    <n v="0"/>
    <m/>
    <n v="0"/>
    <m/>
    <n v="0"/>
    <m/>
    <n v="0"/>
    <m/>
    <n v="0"/>
    <m/>
    <n v="0"/>
    <m/>
    <n v="0"/>
    <s v="SI"/>
  </r>
  <r>
    <s v="Euparal mounting medium"/>
    <s v="CDH_x000a_Ref: 089195"/>
    <s v="Frasco x 100 ml"/>
    <x v="0"/>
    <x v="8"/>
    <n v="2"/>
    <n v="2457816.48"/>
    <n v="4915632.96"/>
    <m/>
    <n v="0"/>
    <m/>
    <n v="0"/>
    <m/>
    <n v="0"/>
    <m/>
    <n v="0"/>
    <n v="1"/>
    <n v="2457816.48"/>
    <n v="1"/>
    <n v="2457816.48"/>
    <m/>
    <n v="0"/>
    <m/>
    <n v="0"/>
    <m/>
    <n v="0"/>
    <s v="No aplica"/>
  </r>
  <r>
    <s v="EZ-Vision® Three DNA Dye as Loading Buffer, 6X"/>
    <s v="VWR LIGE SCIENCE"/>
    <s v="5 x 1ml "/>
    <x v="0"/>
    <x v="0"/>
    <n v="1"/>
    <n v="3505444.4992"/>
    <n v="3505444.4992"/>
    <m/>
    <n v="0"/>
    <m/>
    <n v="0"/>
    <n v="1"/>
    <n v="3505444.4992"/>
    <m/>
    <n v="0"/>
    <m/>
    <n v="0"/>
    <m/>
    <n v="0"/>
    <m/>
    <n v="0"/>
    <m/>
    <n v="0"/>
    <m/>
    <n v="0"/>
    <s v="No aplica"/>
  </r>
  <r>
    <s v="Fenol-cloroformo-alcohol isoamilico 25:24:1."/>
    <s v="Merck, Sigma, JT. Baker o equivalente"/>
    <s v="Frasco x 400 ml"/>
    <x v="0"/>
    <x v="2"/>
    <n v="10"/>
    <n v="749213.84479999996"/>
    <n v="7492138.4479999999"/>
    <m/>
    <n v="0"/>
    <n v="1"/>
    <n v="749213.84479999996"/>
    <m/>
    <n v="0"/>
    <m/>
    <n v="0"/>
    <n v="8"/>
    <n v="5993710.7583999997"/>
    <n v="1"/>
    <n v="749213.84479999996"/>
    <m/>
    <n v="0"/>
    <m/>
    <n v="0"/>
    <m/>
    <n v="0"/>
    <s v="SI"/>
  </r>
  <r>
    <s v="Formaldehido al 37%"/>
    <s v="JT BAKER CAS 50-00-0"/>
    <s v="Frasco x 4 litros "/>
    <x v="0"/>
    <x v="0"/>
    <n v="6"/>
    <n v="771546.30559999996"/>
    <n v="4629277.8335999995"/>
    <m/>
    <n v="0"/>
    <n v="4"/>
    <n v="3086185.2223999999"/>
    <m/>
    <n v="0"/>
    <m/>
    <n v="0"/>
    <n v="2"/>
    <n v="1543092.6111999999"/>
    <m/>
    <n v="0"/>
    <m/>
    <n v="0"/>
    <m/>
    <n v="0"/>
    <m/>
    <n v="0"/>
    <s v="No aplica"/>
  </r>
  <r>
    <s v="Formiato de amonio grado masas"/>
    <s v="SIGMA ALDRICH 70221-25G-F"/>
    <s v="Frasco x 25g"/>
    <x v="0"/>
    <x v="0"/>
    <n v="2"/>
    <n v="1109008.4095999999"/>
    <n v="2218016.8191999998"/>
    <m/>
    <n v="0"/>
    <m/>
    <n v="0"/>
    <m/>
    <n v="0"/>
    <m/>
    <n v="0"/>
    <m/>
    <n v="0"/>
    <m/>
    <n v="0"/>
    <m/>
    <n v="0"/>
    <n v="2"/>
    <n v="2218016.8191999998"/>
    <m/>
    <n v="0"/>
    <s v="No aplica"/>
  </r>
  <r>
    <s v="Formiato de amonio grado reactivo"/>
    <s v="SIGMA ALDRICH 156264-100G"/>
    <s v="Frasco x 100g"/>
    <x v="0"/>
    <x v="0"/>
    <n v="2"/>
    <n v="471276.55680000002"/>
    <n v="942553.11360000004"/>
    <m/>
    <n v="0"/>
    <m/>
    <n v="0"/>
    <m/>
    <n v="0"/>
    <m/>
    <n v="0"/>
    <m/>
    <n v="0"/>
    <m/>
    <n v="0"/>
    <m/>
    <n v="0"/>
    <n v="2"/>
    <n v="942553.11360000004"/>
    <m/>
    <n v="0"/>
    <s v="No aplica"/>
  </r>
  <r>
    <s v="Fosfato bibásico de sodio anhidro"/>
    <s v="PANREAC 131679 CAS 7558-79-4"/>
    <s v="Frasco x 500 g"/>
    <x v="0"/>
    <x v="0"/>
    <n v="8"/>
    <n v="510029.43040000001"/>
    <n v="4080235.4432000001"/>
    <n v="4"/>
    <n v="2040117.7216"/>
    <n v="1"/>
    <n v="510029.43040000001"/>
    <m/>
    <n v="0"/>
    <m/>
    <n v="0"/>
    <n v="2"/>
    <n v="1020058.8608"/>
    <m/>
    <n v="0"/>
    <m/>
    <n v="0"/>
    <n v="1"/>
    <n v="510029.43040000001"/>
    <m/>
    <n v="0"/>
    <s v="No aplica"/>
  </r>
  <r>
    <s v="Fosfato de Amonio (NH4H2PO4) o amonio dihidrogeno fosfato grado ACS,ISO,Reag. Ph Eur"/>
    <s v="SUPELCO 101126"/>
    <s v="Frasco x 500 g"/>
    <x v="0"/>
    <x v="0"/>
    <n v="6"/>
    <n v="377125.27999999997"/>
    <n v="2262751.6799999997"/>
    <n v="4"/>
    <n v="1508501.1199999999"/>
    <m/>
    <n v="0"/>
    <m/>
    <n v="0"/>
    <m/>
    <n v="0"/>
    <m/>
    <n v="0"/>
    <m/>
    <n v="0"/>
    <m/>
    <n v="0"/>
    <n v="2"/>
    <n v="754250.55999999994"/>
    <m/>
    <n v="0"/>
    <s v="No aplica"/>
  </r>
  <r>
    <s v="Fosfato de di-sodio 2-hidrato (Na2HPO4.2H2O) para análisis"/>
    <s v="SCHARLAU_x000a_SO3390500"/>
    <s v="Frasco x 500 g"/>
    <x v="0"/>
    <x v="6"/>
    <n v="3"/>
    <n v="243180.78399999999"/>
    <n v="729542.35199999996"/>
    <m/>
    <n v="0"/>
    <n v="1"/>
    <n v="243180.78399999999"/>
    <n v="1"/>
    <n v="243180.78399999999"/>
    <m/>
    <n v="0"/>
    <m/>
    <n v="0"/>
    <m/>
    <n v="0"/>
    <m/>
    <n v="0"/>
    <n v="1"/>
    <n v="243180.78399999999"/>
    <m/>
    <n v="0"/>
    <s v="No aplica"/>
  </r>
  <r>
    <s v="Fosfato de sodio anhidro (Na3PO4)"/>
    <s v="VWR 212725-1kg"/>
    <s v="Frasco x 1kg"/>
    <x v="0"/>
    <x v="0"/>
    <n v="7"/>
    <n v="242140.43839999998"/>
    <n v="1694983.0688"/>
    <n v="4"/>
    <n v="968561.75359999994"/>
    <m/>
    <n v="0"/>
    <n v="2"/>
    <n v="484280.87679999997"/>
    <m/>
    <n v="0"/>
    <m/>
    <n v="0"/>
    <n v="1"/>
    <n v="242140.43839999998"/>
    <m/>
    <n v="0"/>
    <m/>
    <n v="0"/>
    <m/>
    <n v="0"/>
    <s v="No aplica"/>
  </r>
  <r>
    <s v="Fosfato dibasico de sodio (Na2HPO4 H20)"/>
    <s v="Sigma, Merck, JT Baker o equivalente"/>
    <s v="Frasco x 250 gr"/>
    <x v="0"/>
    <x v="2"/>
    <n v="10"/>
    <n v="346465.68319999997"/>
    <n v="3464656.8319999995"/>
    <n v="1"/>
    <n v="346465.68319999997"/>
    <n v="5"/>
    <n v="1732328.4159999997"/>
    <n v="1"/>
    <n v="346465.68319999997"/>
    <m/>
    <n v="0"/>
    <n v="2"/>
    <n v="692931.36639999994"/>
    <n v="1"/>
    <n v="346465.68319999997"/>
    <m/>
    <n v="0"/>
    <m/>
    <n v="0"/>
    <m/>
    <n v="0"/>
    <s v="No aplica"/>
  </r>
  <r>
    <s v="Fosfato monobásico de potasio (kH2PO4)  &gt;99% para analisis "/>
    <s v="MERCK_x000a_Ref: 1048731000 "/>
    <s v="Frasco x 1 Kg "/>
    <x v="0"/>
    <x v="7"/>
    <n v="11"/>
    <n v="232777.32800000001"/>
    <n v="2560550.608"/>
    <n v="2"/>
    <n v="465554.65600000002"/>
    <n v="2"/>
    <n v="465554.65600000002"/>
    <n v="2"/>
    <n v="465554.65600000002"/>
    <m/>
    <n v="0"/>
    <n v="3"/>
    <n v="698331.98400000005"/>
    <m/>
    <n v="0"/>
    <m/>
    <n v="0"/>
    <n v="2"/>
    <n v="465554.65600000002"/>
    <m/>
    <n v="0"/>
    <s v="No aplica"/>
  </r>
  <r>
    <s v="Fucsina de Gram"/>
    <s v="Albor "/>
    <s v="Frasco x 1 litro"/>
    <x v="0"/>
    <x v="4"/>
    <n v="8"/>
    <n v="60104"/>
    <n v="480832"/>
    <m/>
    <n v="0"/>
    <n v="6"/>
    <n v="360624"/>
    <n v="2"/>
    <n v="120208"/>
    <m/>
    <n v="0"/>
    <m/>
    <n v="0"/>
    <m/>
    <n v="0"/>
    <m/>
    <n v="0"/>
    <m/>
    <n v="0"/>
    <m/>
    <n v="0"/>
    <s v="No aplica"/>
  </r>
  <r>
    <s v="Fucsina de Ziehl Neelsen"/>
    <s v="Albor "/>
    <s v="Frasco x 1 litro"/>
    <x v="0"/>
    <x v="4"/>
    <n v="3"/>
    <n v="142064"/>
    <n v="426192"/>
    <m/>
    <n v="0"/>
    <n v="2"/>
    <n v="284128"/>
    <n v="1"/>
    <n v="142064"/>
    <m/>
    <n v="0"/>
    <m/>
    <n v="0"/>
    <m/>
    <n v="0"/>
    <m/>
    <n v="0"/>
    <m/>
    <n v="0"/>
    <m/>
    <n v="0"/>
    <s v="No aplica"/>
  </r>
  <r>
    <s v="Fuschina ácida en polvo"/>
    <s v="ELECTRON MICROSCOPE SCIENCES_x000a_Ref: C993L10"/>
    <s v="Frasco x 25 g"/>
    <x v="0"/>
    <x v="0"/>
    <n v="3"/>
    <n v="671022.91200000001"/>
    <n v="2013068.736"/>
    <m/>
    <n v="0"/>
    <m/>
    <n v="0"/>
    <n v="1"/>
    <n v="671022.91200000001"/>
    <m/>
    <n v="0"/>
    <n v="2"/>
    <n v="1342045.824"/>
    <m/>
    <n v="0"/>
    <m/>
    <n v="0"/>
    <m/>
    <n v="0"/>
    <m/>
    <n v="0"/>
    <s v="No aplica"/>
  </r>
  <r>
    <s v="Fuschina Basica"/>
    <s v="SCHARLAU "/>
    <s v="Frasco x 25g"/>
    <x v="0"/>
    <x v="6"/>
    <n v="1"/>
    <n v="275691.58399999997"/>
    <n v="275691.58399999997"/>
    <m/>
    <n v="0"/>
    <m/>
    <n v="0"/>
    <n v="1"/>
    <n v="275691.58399999997"/>
    <m/>
    <n v="0"/>
    <m/>
    <n v="0"/>
    <m/>
    <n v="0"/>
    <m/>
    <n v="0"/>
    <m/>
    <n v="0"/>
    <m/>
    <n v="0"/>
    <s v="No aplica"/>
  </r>
  <r>
    <s v="GA 3500s, Anode Buffer Container (ABC)"/>
    <s v="Applied Biosystems 4393927"/>
    <s v="Caja 4 Unds"/>
    <x v="0"/>
    <x v="9"/>
    <n v="1"/>
    <n v="1960088.6991999999"/>
    <n v="1960088.6991999999"/>
    <m/>
    <n v="0"/>
    <m/>
    <n v="0"/>
    <n v="1"/>
    <n v="1960088.6991999999"/>
    <m/>
    <n v="0"/>
    <m/>
    <n v="0"/>
    <m/>
    <n v="0"/>
    <m/>
    <n v="0"/>
    <m/>
    <n v="0"/>
    <m/>
    <n v="0"/>
    <s v="No aplica"/>
  </r>
  <r>
    <s v="GA 3500s, Cathode Buffer Container (CBC)"/>
    <s v="Applied Biosystems 4408256"/>
    <s v="Caja 4 Unds"/>
    <x v="0"/>
    <x v="9"/>
    <n v="1"/>
    <n v="2293548.9696"/>
    <n v="2293548.9696"/>
    <m/>
    <n v="0"/>
    <m/>
    <n v="0"/>
    <n v="1"/>
    <n v="2293548.9696"/>
    <m/>
    <n v="0"/>
    <m/>
    <n v="0"/>
    <m/>
    <n v="0"/>
    <m/>
    <n v="0"/>
    <m/>
    <n v="0"/>
    <m/>
    <n v="0"/>
    <s v="No aplica"/>
  </r>
  <r>
    <s v="GA 3500s, Conditioning Reagent"/>
    <s v="Applied Biosystems 4393718"/>
    <s v="Bolsa 1 Unds"/>
    <x v="0"/>
    <x v="9"/>
    <n v="1"/>
    <n v="735309.05759999994"/>
    <n v="735309.05759999994"/>
    <m/>
    <n v="0"/>
    <m/>
    <n v="0"/>
    <n v="1"/>
    <n v="735309.05759999994"/>
    <m/>
    <n v="0"/>
    <m/>
    <n v="0"/>
    <m/>
    <n v="0"/>
    <m/>
    <n v="0"/>
    <m/>
    <n v="0"/>
    <m/>
    <n v="0"/>
    <s v="No aplica"/>
  </r>
  <r>
    <s v="GA 3500s, Performance Optimized Polymer POP7"/>
    <s v="Applied Biosystems 4393708"/>
    <s v="Bolsa 384 mxs"/>
    <x v="0"/>
    <x v="9"/>
    <n v="2"/>
    <n v="2890129.2527999999"/>
    <n v="5780258.5055999998"/>
    <m/>
    <n v="0"/>
    <m/>
    <n v="0"/>
    <n v="2"/>
    <n v="5780258.5055999998"/>
    <m/>
    <n v="0"/>
    <m/>
    <n v="0"/>
    <m/>
    <n v="0"/>
    <m/>
    <n v="0"/>
    <m/>
    <n v="0"/>
    <m/>
    <n v="0"/>
    <s v="No aplica"/>
  </r>
  <r>
    <s v="Gel antibacterial para manos"/>
    <s v="Microgen"/>
    <s v="Frasco x 500 ml"/>
    <x v="0"/>
    <x v="4"/>
    <n v="62"/>
    <n v="32784"/>
    <n v="2032608"/>
    <n v="9"/>
    <n v="295056"/>
    <n v="33"/>
    <n v="1081872"/>
    <m/>
    <n v="0"/>
    <m/>
    <n v="0"/>
    <n v="20"/>
    <n v="655680"/>
    <m/>
    <n v="0"/>
    <m/>
    <n v="0"/>
    <m/>
    <n v="0"/>
    <m/>
    <n v="0"/>
    <s v="No aplica"/>
  </r>
  <r>
    <s v="Gelatina para microbiología CAS-9000-70-8"/>
    <s v="VWR LIFE SCIENCE  9764-500G"/>
    <s v="Frasco x 500g"/>
    <x v="0"/>
    <x v="0"/>
    <n v="3"/>
    <n v="1730874.9920000001"/>
    <n v="5192624.9759999998"/>
    <m/>
    <n v="0"/>
    <n v="1"/>
    <n v="1730874.9920000001"/>
    <n v="1"/>
    <n v="1730874.9920000001"/>
    <m/>
    <n v="0"/>
    <m/>
    <n v="0"/>
    <n v="1"/>
    <n v="1730874.9920000001"/>
    <m/>
    <n v="0"/>
    <m/>
    <n v="0"/>
    <m/>
    <n v="0"/>
    <s v="No aplica"/>
  </r>
  <r>
    <s v="Gentamicina en solución 50 mg/ml"/>
    <s v="SIGMA G1397"/>
    <s v="Frasco x 10 ml"/>
    <x v="0"/>
    <x v="0"/>
    <n v="3"/>
    <n v="513410.55359999998"/>
    <n v="1540231.6608"/>
    <n v="1"/>
    <n v="513410.55359999998"/>
    <n v="1"/>
    <n v="513410.55359999998"/>
    <n v="1"/>
    <n v="513410.55359999998"/>
    <m/>
    <n v="0"/>
    <m/>
    <n v="0"/>
    <m/>
    <n v="0"/>
    <m/>
    <n v="0"/>
    <m/>
    <n v="0"/>
    <m/>
    <n v="0"/>
    <s v="No aplica"/>
  </r>
  <r>
    <s v="Germen de trigo"/>
    <s v="NATURAL LIGHT"/>
    <s v="Bolsa x 500 g"/>
    <x v="0"/>
    <x v="0"/>
    <n v="22"/>
    <n v="110536.72"/>
    <n v="2431807.84"/>
    <m/>
    <n v="0"/>
    <m/>
    <n v="0"/>
    <m/>
    <n v="0"/>
    <m/>
    <n v="0"/>
    <m/>
    <n v="0"/>
    <n v="22"/>
    <n v="2431807.84"/>
    <m/>
    <n v="0"/>
    <m/>
    <n v="0"/>
    <m/>
    <n v="0"/>
    <s v="No aplica"/>
  </r>
  <r>
    <s v="Glicerol al 99% puro"/>
    <s v="JT BAKER  CAS 56-81-5"/>
    <s v="Frasco x 1 litro"/>
    <x v="0"/>
    <x v="0"/>
    <n v="9"/>
    <n v="473227.20480000001"/>
    <n v="4259044.8432"/>
    <m/>
    <n v="0"/>
    <m/>
    <n v="0"/>
    <m/>
    <n v="0"/>
    <m/>
    <n v="0"/>
    <n v="5"/>
    <n v="2366136.0240000002"/>
    <n v="2"/>
    <n v="946454.40960000001"/>
    <m/>
    <n v="0"/>
    <n v="2"/>
    <n v="946454.40960000001"/>
    <m/>
    <n v="0"/>
    <s v="No aplica"/>
  </r>
  <r>
    <s v="Glicolato"/>
    <s v="Merck o equivalente"/>
    <s v="Frasco x 100g"/>
    <x v="0"/>
    <x v="2"/>
    <n v="1"/>
    <n v="405734.78399999999"/>
    <n v="405734.78399999999"/>
    <m/>
    <n v="0"/>
    <m/>
    <n v="0"/>
    <n v="1"/>
    <n v="405734.78399999999"/>
    <m/>
    <n v="0"/>
    <m/>
    <n v="0"/>
    <m/>
    <n v="0"/>
    <m/>
    <n v="0"/>
    <m/>
    <n v="0"/>
    <m/>
    <n v="0"/>
    <s v="No aplica"/>
  </r>
  <r>
    <s v="Glutamato monosodico"/>
    <s v="SIGMA G1626"/>
    <s v="Frasco de 5g"/>
    <x v="0"/>
    <x v="7"/>
    <n v="1"/>
    <n v="208069.12"/>
    <n v="208069.12"/>
    <m/>
    <n v="0"/>
    <m/>
    <n v="0"/>
    <n v="1"/>
    <n v="208069.12"/>
    <m/>
    <n v="0"/>
    <m/>
    <n v="0"/>
    <m/>
    <n v="0"/>
    <m/>
    <n v="0"/>
    <m/>
    <n v="0"/>
    <m/>
    <n v="0"/>
    <s v="No aplica"/>
  </r>
  <r>
    <s v="Guanidina 98%  CAS 50-01-1"/>
    <s v="SIGMA G3272"/>
    <s v="Frasco x  100g"/>
    <x v="0"/>
    <x v="0"/>
    <n v="1"/>
    <n v="1784582.8336"/>
    <n v="1784582.8336"/>
    <m/>
    <n v="0"/>
    <m/>
    <n v="0"/>
    <n v="1"/>
    <n v="1784582.8336"/>
    <m/>
    <n v="0"/>
    <m/>
    <n v="0"/>
    <m/>
    <n v="0"/>
    <m/>
    <n v="0"/>
    <m/>
    <n v="0"/>
    <m/>
    <n v="0"/>
    <s v="No aplica"/>
  </r>
  <r>
    <s v="Guinea Pig Complement"/>
    <s v="IDVET"/>
    <s v="Fco x 5 ml"/>
    <x v="0"/>
    <x v="0"/>
    <n v="1"/>
    <n v="1815468.64"/>
    <n v="1815468.64"/>
    <m/>
    <n v="0"/>
    <m/>
    <n v="0"/>
    <n v="1"/>
    <n v="1815468.64"/>
    <m/>
    <n v="0"/>
    <m/>
    <n v="0"/>
    <m/>
    <n v="0"/>
    <m/>
    <n v="0"/>
    <m/>
    <n v="0"/>
    <m/>
    <n v="0"/>
    <s v="No aplica"/>
  </r>
  <r>
    <s v="Haemolytic Serum"/>
    <s v="IDVET"/>
    <s v="Fco x 2 ml"/>
    <x v="0"/>
    <x v="0"/>
    <n v="5"/>
    <n v="1236284.6399999999"/>
    <n v="6181423.1999999993"/>
    <m/>
    <n v="0"/>
    <m/>
    <n v="0"/>
    <n v="5"/>
    <n v="6181423.1999999993"/>
    <m/>
    <n v="0"/>
    <m/>
    <n v="0"/>
    <m/>
    <n v="0"/>
    <m/>
    <n v="0"/>
    <m/>
    <n v="0"/>
    <m/>
    <n v="0"/>
    <s v="No aplica"/>
  </r>
  <r>
    <s v="Leptospira serovar hebdomadis, strain Hebdomadis, liquid culture"/>
    <s v="NVSL - HBL-010"/>
    <s v="Frasco x 10 ml"/>
    <x v="0"/>
    <x v="0"/>
    <n v="1"/>
    <n v="895997.64800000004"/>
    <n v="895997.64800000004"/>
    <m/>
    <n v="0"/>
    <m/>
    <n v="0"/>
    <n v="1"/>
    <n v="895997.64800000004"/>
    <m/>
    <n v="0"/>
    <m/>
    <n v="0"/>
    <m/>
    <n v="0"/>
    <m/>
    <n v="0"/>
    <m/>
    <n v="0"/>
    <m/>
    <n v="0"/>
    <s v="No aplica"/>
  </r>
  <r>
    <s v="Hematoxilina"/>
    <s v="CDH 299775"/>
    <s v="Frasco x 25 gramos"/>
    <x v="0"/>
    <x v="8"/>
    <n v="1"/>
    <n v="793263.52"/>
    <n v="793263.52"/>
    <m/>
    <n v="0"/>
    <m/>
    <n v="0"/>
    <n v="1"/>
    <n v="793263.52"/>
    <m/>
    <n v="0"/>
    <m/>
    <n v="0"/>
    <m/>
    <n v="0"/>
    <m/>
    <n v="0"/>
    <m/>
    <n v="0"/>
    <m/>
    <n v="0"/>
    <s v="No aplica"/>
  </r>
  <r>
    <s v="Hemina 99% Porcina . CAS-16009-13-5"/>
    <s v="Sigma - Merck o equivalente"/>
    <s v="Frasco x 25 g"/>
    <x v="0"/>
    <x v="2"/>
    <n v="1"/>
    <n v="3918280.2976000002"/>
    <n v="3918280.2976000002"/>
    <m/>
    <n v="0"/>
    <m/>
    <n v="0"/>
    <n v="1"/>
    <n v="3918280.2976000002"/>
    <m/>
    <n v="0"/>
    <m/>
    <n v="0"/>
    <m/>
    <n v="0"/>
    <m/>
    <n v="0"/>
    <m/>
    <n v="0"/>
    <m/>
    <n v="0"/>
    <s v="No aplica"/>
  </r>
  <r>
    <s v="Hexano para análisis de residuos"/>
    <s v="SCHARLAU"/>
    <s v="4 Litros"/>
    <x v="0"/>
    <x v="6"/>
    <n v="5"/>
    <n v="490262.864"/>
    <n v="2451314.3199999998"/>
    <n v="5"/>
    <n v="2451314.3199999998"/>
    <m/>
    <n v="0"/>
    <m/>
    <n v="0"/>
    <m/>
    <n v="0"/>
    <m/>
    <n v="0"/>
    <m/>
    <n v="0"/>
    <m/>
    <n v="0"/>
    <m/>
    <n v="0"/>
    <m/>
    <n v="0"/>
    <s v="SI"/>
  </r>
  <r>
    <s v="Hidrato cloral-IV"/>
    <s v="SIGMA ALDRICH _x000a_Ref: C8383-1Kg"/>
    <s v="Frasco  x 1 kg"/>
    <x v="0"/>
    <x v="0"/>
    <n v="4"/>
    <n v="2730907.2"/>
    <n v="10923628.800000001"/>
    <m/>
    <n v="0"/>
    <m/>
    <n v="0"/>
    <n v="1"/>
    <n v="2730907.2"/>
    <m/>
    <n v="0"/>
    <m/>
    <n v="0"/>
    <n v="3"/>
    <n v="8192721.6000000006"/>
    <m/>
    <n v="0"/>
    <m/>
    <n v="0"/>
    <m/>
    <n v="0"/>
    <s v="No aplica"/>
  </r>
  <r>
    <s v="Hidroquinona (pyrocatechol)"/>
    <s v="SIGMA ALDRICH  46958 H9003-100G"/>
    <s v="Frasco x 100g"/>
    <x v="0"/>
    <x v="0"/>
    <n v="1"/>
    <n v="300139.70559999999"/>
    <n v="300139.70559999999"/>
    <m/>
    <n v="0"/>
    <m/>
    <n v="0"/>
    <n v="1"/>
    <n v="300139.70559999999"/>
    <m/>
    <n v="0"/>
    <m/>
    <n v="0"/>
    <m/>
    <n v="0"/>
    <m/>
    <n v="0"/>
    <m/>
    <n v="0"/>
    <m/>
    <n v="0"/>
    <s v="No aplica"/>
  </r>
  <r>
    <s v="Hidróxido de amonio del 25% con certificado de análisis trazable por lote "/>
    <s v="SCHARLAU _x000a_AM02491000"/>
    <s v="Frasco x 1 litro"/>
    <x v="0"/>
    <x v="6"/>
    <n v="2"/>
    <n v="115738.448"/>
    <n v="231476.89600000001"/>
    <n v="1"/>
    <n v="115738.448"/>
    <m/>
    <n v="0"/>
    <m/>
    <n v="0"/>
    <m/>
    <n v="0"/>
    <m/>
    <n v="0"/>
    <m/>
    <n v="0"/>
    <m/>
    <n v="0"/>
    <n v="1"/>
    <n v="115738.448"/>
    <m/>
    <n v="0"/>
    <s v="No aplica"/>
  </r>
  <r>
    <s v="Hidróxido de potasio (KOH)  &gt;85%"/>
    <s v="MACRON - JTBAKER"/>
    <s v="Frasco x 1 Kg"/>
    <x v="0"/>
    <x v="0"/>
    <n v="17"/>
    <n v="319126.01280000003"/>
    <n v="5425142.2176000001"/>
    <n v="3"/>
    <n v="957378.03840000008"/>
    <n v="3"/>
    <n v="957378.03840000008"/>
    <n v="1"/>
    <n v="319126.01280000003"/>
    <m/>
    <n v="0"/>
    <n v="6"/>
    <n v="1914756.0768000002"/>
    <n v="1"/>
    <n v="319126.01280000003"/>
    <n v="2"/>
    <n v="638252.02560000005"/>
    <n v="1"/>
    <n v="319126.01280000003"/>
    <m/>
    <n v="0"/>
    <s v="No aplica"/>
  </r>
  <r>
    <s v="Hidróxido de sodio 99% en lentejas (NaOH)"/>
    <s v="Merck, JT Baker, Sigma o equivalente"/>
    <s v="Frasco x 1 kg"/>
    <x v="0"/>
    <x v="2"/>
    <n v="33"/>
    <n v="185903.85759999999"/>
    <n v="6134827.3007999994"/>
    <n v="20"/>
    <n v="3718077.1519999998"/>
    <n v="4"/>
    <n v="743615.43039999995"/>
    <m/>
    <n v="0"/>
    <m/>
    <n v="0"/>
    <n v="4"/>
    <n v="743615.43039999995"/>
    <m/>
    <n v="0"/>
    <m/>
    <n v="0"/>
    <n v="5"/>
    <n v="929519.28799999994"/>
    <m/>
    <n v="0"/>
    <s v="SI"/>
  </r>
  <r>
    <s v="Hipoclorito de sodio al 5.25%"/>
    <s v="BioQUIGEN_x000a_Ref: IA201002"/>
    <s v="Frasco x 5 L"/>
    <x v="0"/>
    <x v="0"/>
    <n v="235"/>
    <n v="90640.110400000005"/>
    <n v="21300425.944000002"/>
    <n v="7"/>
    <n v="634480.77280000004"/>
    <n v="26"/>
    <n v="2356642.8704000004"/>
    <m/>
    <n v="0"/>
    <m/>
    <n v="0"/>
    <n v="60"/>
    <n v="5438406.6239999998"/>
    <n v="68"/>
    <n v="6163527.5072000008"/>
    <n v="24"/>
    <n v="2175362.6496000001"/>
    <n v="50"/>
    <n v="4532005.5200000005"/>
    <m/>
    <n v="0"/>
    <s v="No aplica"/>
  </r>
  <r>
    <s v="HPC (cloruro de hexadecilpiridinio). CAS:123-03-5"/>
    <s v="CDH 045975 "/>
    <s v="Frasco x 100g"/>
    <x v="0"/>
    <x v="8"/>
    <n v="1"/>
    <n v="507168.48"/>
    <n v="507168.48"/>
    <m/>
    <n v="0"/>
    <m/>
    <n v="0"/>
    <n v="1"/>
    <n v="507168.48"/>
    <m/>
    <n v="0"/>
    <m/>
    <n v="0"/>
    <m/>
    <n v="0"/>
    <m/>
    <n v="0"/>
    <m/>
    <n v="0"/>
    <m/>
    <n v="0"/>
    <s v="No aplica"/>
  </r>
  <r>
    <s v="ID Gene® Influenza H5/H7 Triplex - Export version - NEW IDFLUH5H7-EXP-100 ID VET"/>
    <s v="IDVET"/>
    <s v="Kit x 100 pruebas"/>
    <x v="0"/>
    <x v="0"/>
    <n v="1"/>
    <n v="7314328.96"/>
    <n v="7314328.96"/>
    <m/>
    <n v="0"/>
    <m/>
    <n v="0"/>
    <n v="1"/>
    <n v="7314328.96"/>
    <m/>
    <n v="0"/>
    <m/>
    <n v="0"/>
    <m/>
    <n v="0"/>
    <m/>
    <n v="0"/>
    <m/>
    <n v="0"/>
    <m/>
    <n v="0"/>
    <s v="No aplica"/>
  </r>
  <r>
    <s v="ID Gene™ Brucella spp triplex"/>
    <s v="IDVET IDBRU"/>
    <s v="Kit x 100"/>
    <x v="0"/>
    <x v="0"/>
    <n v="1"/>
    <n v="20589444.800000001"/>
    <n v="20589444.800000001"/>
    <m/>
    <n v="0"/>
    <m/>
    <n v="0"/>
    <n v="1"/>
    <n v="20589444.800000001"/>
    <m/>
    <n v="0"/>
    <m/>
    <n v="0"/>
    <m/>
    <n v="0"/>
    <m/>
    <n v="0"/>
    <m/>
    <n v="0"/>
    <m/>
    <n v="0"/>
    <s v="No aplica"/>
  </r>
  <r>
    <s v="ID Gene™ Influenza H9 Lineage G1-like Duplex IDFLUH9G1-100 ID VET"/>
    <s v="IDVET IDFLUH9G1"/>
    <s v="Kit x 100 pruebas"/>
    <x v="0"/>
    <x v="0"/>
    <n v="1"/>
    <n v="8731472"/>
    <n v="8731472"/>
    <m/>
    <n v="0"/>
    <m/>
    <n v="0"/>
    <n v="1"/>
    <n v="8731472"/>
    <m/>
    <n v="0"/>
    <m/>
    <n v="0"/>
    <m/>
    <n v="0"/>
    <m/>
    <n v="0"/>
    <m/>
    <n v="0"/>
    <m/>
    <n v="0"/>
    <s v="No aplica"/>
  </r>
  <r>
    <s v="Indicador biológico para esterilización a vapor"/>
    <s v="MERCK -MILLIPORE1.10274"/>
    <s v="Caja x 100 unidades"/>
    <x v="0"/>
    <x v="0"/>
    <n v="20"/>
    <n v="2323351.8111999999"/>
    <n v="46467036.223999999"/>
    <n v="5"/>
    <n v="11616759.056"/>
    <n v="1"/>
    <n v="2323351.8111999999"/>
    <n v="4"/>
    <n v="9293407.2447999995"/>
    <m/>
    <n v="0"/>
    <n v="4"/>
    <n v="9293407.2447999995"/>
    <n v="2"/>
    <n v="4646703.6223999998"/>
    <m/>
    <n v="0"/>
    <n v="4"/>
    <n v="9293407.2447999995"/>
    <m/>
    <n v="0"/>
    <s v="No aplica"/>
  </r>
  <r>
    <s v="Indol"/>
    <s v="Merck 1092930100"/>
    <s v="Frasco x 100ml"/>
    <x v="0"/>
    <x v="0"/>
    <n v="8"/>
    <n v="569199.08640000003"/>
    <n v="4553592.6912000002"/>
    <m/>
    <n v="0"/>
    <n v="2"/>
    <n v="1138398.1728000001"/>
    <n v="4"/>
    <n v="2276796.3456000001"/>
    <m/>
    <n v="0"/>
    <n v="1"/>
    <n v="569199.08640000003"/>
    <m/>
    <n v="0"/>
    <m/>
    <n v="0"/>
    <n v="1"/>
    <n v="569199.08640000003"/>
    <m/>
    <n v="0"/>
    <s v="No aplica"/>
  </r>
  <r>
    <s v="Inositol"/>
    <s v="CDH 122405_x000a_"/>
    <s v="Frasco x 100 g"/>
    <x v="0"/>
    <x v="8"/>
    <n v="1"/>
    <n v="607301.74399999995"/>
    <n v="607301.74399999995"/>
    <m/>
    <n v="0"/>
    <m/>
    <n v="0"/>
    <n v="1"/>
    <n v="607301.74399999995"/>
    <m/>
    <n v="0"/>
    <m/>
    <n v="0"/>
    <m/>
    <n v="0"/>
    <m/>
    <n v="0"/>
    <m/>
    <n v="0"/>
    <m/>
    <n v="0"/>
    <s v="No aplica"/>
  </r>
  <r>
    <s v="Insecticída contra insectos típicos de granos almacenados y desinsectación de superficies de almacenamiento de granos con ingrediente activo deltametrina"/>
    <s v="Cualquier marca"/>
    <s v="Frasco x  5 litros"/>
    <x v="0"/>
    <x v="2"/>
    <n v="1"/>
    <n v="474657.68"/>
    <n v="474657.68"/>
    <m/>
    <n v="0"/>
    <m/>
    <n v="0"/>
    <m/>
    <n v="0"/>
    <m/>
    <n v="0"/>
    <m/>
    <n v="0"/>
    <m/>
    <n v="0"/>
    <n v="1"/>
    <n v="474657.68"/>
    <m/>
    <n v="0"/>
    <m/>
    <n v="0"/>
    <s v="No aplica"/>
  </r>
  <r>
    <s v="Inulina"/>
    <s v="SIGMA I2255"/>
    <s v="Frasco x 100 g"/>
    <x v="0"/>
    <x v="0"/>
    <n v="1"/>
    <n v="4062289.4816000001"/>
    <n v="4062289.4816000001"/>
    <m/>
    <n v="0"/>
    <m/>
    <n v="0"/>
    <n v="1"/>
    <n v="4062289.4816000001"/>
    <m/>
    <n v="0"/>
    <m/>
    <n v="0"/>
    <m/>
    <n v="0"/>
    <m/>
    <n v="0"/>
    <m/>
    <n v="0"/>
    <m/>
    <n v="0"/>
    <s v="No aplica"/>
  </r>
  <r>
    <s v="Isooctano PA de residuos (vencimiento mayor 14 meses)"/>
    <s v="SCHARLAU "/>
    <s v="Frasco x 2,5 L"/>
    <x v="0"/>
    <x v="6"/>
    <n v="6"/>
    <n v="446048.17599999998"/>
    <n v="2676289.0559999999"/>
    <n v="6"/>
    <n v="2676289.0559999999"/>
    <m/>
    <n v="0"/>
    <m/>
    <n v="0"/>
    <m/>
    <n v="0"/>
    <m/>
    <n v="0"/>
    <m/>
    <n v="0"/>
    <m/>
    <n v="0"/>
    <m/>
    <n v="0"/>
    <m/>
    <n v="0"/>
    <s v="No aplica"/>
  </r>
  <r>
    <s v="Isopropanol Grado biología molecular"/>
    <s v="SCHARLAU AL03081000"/>
    <s v="Frasco x 1 Litro"/>
    <x v="0"/>
    <x v="6"/>
    <n v="15"/>
    <n v="299099.36"/>
    <n v="4486490.3999999994"/>
    <m/>
    <n v="0"/>
    <n v="5"/>
    <n v="1495496.7999999998"/>
    <n v="4"/>
    <n v="1196397.44"/>
    <m/>
    <n v="0"/>
    <n v="6"/>
    <n v="1794596.16"/>
    <m/>
    <n v="0"/>
    <m/>
    <n v="0"/>
    <m/>
    <n v="0"/>
    <m/>
    <n v="0"/>
    <s v="No aplica"/>
  </r>
  <r>
    <s v="Isopropanol grado espectrometria de masas"/>
    <s v="SUPELCO 102781"/>
    <s v="Frasco x 4 L"/>
    <x v="0"/>
    <x v="7"/>
    <n v="1"/>
    <n v="1541011.92"/>
    <n v="1541011.92"/>
    <n v="1"/>
    <n v="1541011.92"/>
    <m/>
    <n v="0"/>
    <m/>
    <n v="0"/>
    <m/>
    <n v="0"/>
    <m/>
    <n v="0"/>
    <m/>
    <n v="0"/>
    <m/>
    <n v="0"/>
    <m/>
    <n v="0"/>
    <m/>
    <n v="0"/>
    <s v="No aplica"/>
  </r>
  <r>
    <s v="Isopropanol grado HPLC "/>
    <s v="JTBaker"/>
    <s v="Frasco x 4 L"/>
    <x v="0"/>
    <x v="0"/>
    <n v="16"/>
    <n v="760752.72"/>
    <n v="12172043.52"/>
    <n v="6"/>
    <n v="4564516.32"/>
    <m/>
    <n v="0"/>
    <m/>
    <n v="0"/>
    <m/>
    <n v="0"/>
    <m/>
    <n v="0"/>
    <m/>
    <n v="0"/>
    <m/>
    <n v="0"/>
    <n v="10"/>
    <n v="7607527.1999999993"/>
    <m/>
    <n v="0"/>
    <s v="No aplica"/>
  </r>
  <r>
    <s v="Jabón líquido antibacterial para manos"/>
    <s v="Microgen"/>
    <s v="Frasco x 3.78 L"/>
    <x v="0"/>
    <x v="4"/>
    <n v="84"/>
    <n v="65568"/>
    <n v="5507712"/>
    <n v="25"/>
    <n v="1639200"/>
    <n v="20"/>
    <n v="1311360"/>
    <m/>
    <n v="0"/>
    <m/>
    <n v="0"/>
    <n v="3"/>
    <n v="196704"/>
    <m/>
    <n v="0"/>
    <n v="24"/>
    <n v="1573632"/>
    <n v="12"/>
    <n v="786816"/>
    <m/>
    <n v="0"/>
    <s v="No aplica"/>
  </r>
  <r>
    <s v="James revelador API 20E"/>
    <s v="Biomerieux 70542 "/>
    <s v="Caja x 2 Amp x 5 ml"/>
    <x v="0"/>
    <x v="0"/>
    <n v="3"/>
    <n v="544881.00800000003"/>
    <n v="1634643.0240000002"/>
    <m/>
    <n v="0"/>
    <n v="2"/>
    <n v="1089762.0160000001"/>
    <n v="1"/>
    <n v="544881.00800000003"/>
    <m/>
    <n v="0"/>
    <m/>
    <n v="0"/>
    <m/>
    <n v="0"/>
    <m/>
    <n v="0"/>
    <m/>
    <n v="0"/>
    <m/>
    <n v="0"/>
    <s v="No aplica"/>
  </r>
  <r>
    <s v="Jugo de verduras V8"/>
    <s v="Campell Soup Company"/>
    <s v="Frasco x 200 ml"/>
    <x v="0"/>
    <x v="2"/>
    <n v="14"/>
    <n v="73994.580799999996"/>
    <n v="1035924.1311999999"/>
    <m/>
    <n v="0"/>
    <m/>
    <n v="0"/>
    <m/>
    <n v="0"/>
    <m/>
    <n v="0"/>
    <n v="14"/>
    <n v="1035924.1311999999"/>
    <m/>
    <n v="0"/>
    <m/>
    <n v="0"/>
    <m/>
    <n v="0"/>
    <m/>
    <n v="0"/>
    <s v="No aplica"/>
  </r>
  <r>
    <s v="Kit Bactec MGIT 960 suplemento  "/>
    <s v="BD"/>
    <s v="Caja x 100"/>
    <x v="0"/>
    <x v="2"/>
    <n v="2"/>
    <n v="2310968.2015999998"/>
    <n v="4621936.4031999996"/>
    <m/>
    <n v="0"/>
    <m/>
    <n v="0"/>
    <n v="2"/>
    <n v="4621936.4031999996"/>
    <m/>
    <n v="0"/>
    <m/>
    <n v="0"/>
    <m/>
    <n v="0"/>
    <m/>
    <n v="0"/>
    <m/>
    <n v="0"/>
    <m/>
    <n v="0"/>
    <s v="No aplica"/>
  </r>
  <r>
    <s v="Kit Calibradores Alto, Medio y Bajo para equipo de Hematologia MINDRAY, Ref: BC-2800-VET"/>
    <s v="MINDRAY"/>
    <s v="Kit"/>
    <x v="0"/>
    <x v="0"/>
    <n v="1"/>
    <n v="1258948.2191999999"/>
    <n v="1258948.2191999999"/>
    <m/>
    <n v="0"/>
    <n v="1"/>
    <n v="1258948.2191999999"/>
    <m/>
    <n v="0"/>
    <m/>
    <n v="0"/>
    <m/>
    <n v="0"/>
    <m/>
    <n v="0"/>
    <m/>
    <n v="0"/>
    <m/>
    <n v="0"/>
    <m/>
    <n v="0"/>
    <s v="No aplica"/>
  </r>
  <r>
    <s v="Kit coloración de Gram"/>
    <s v="BIOQUIGEN CO0300007"/>
    <s v="Kit"/>
    <x v="0"/>
    <x v="0"/>
    <n v="20"/>
    <n v="208979.42240000001"/>
    <n v="4179588.4480000003"/>
    <n v="3"/>
    <n v="626938.2672"/>
    <n v="11"/>
    <n v="2298773.6464"/>
    <n v="2"/>
    <n v="417958.84480000002"/>
    <m/>
    <n v="0"/>
    <n v="4"/>
    <n v="835917.68960000004"/>
    <m/>
    <n v="0"/>
    <m/>
    <n v="0"/>
    <m/>
    <n v="0"/>
    <m/>
    <n v="0"/>
    <s v="No aplica"/>
  </r>
  <r>
    <s v="Kit compuesto por: Buffer solución PH 4,00 / Buffer solución PH 7,00 / Buffer solución PH 10,00 / Potasio cloruro 3,0 Molar"/>
    <s v="BIOQUIGEN"/>
    <s v="Kit x 4 botellas x 250 ml"/>
    <x v="0"/>
    <x v="0"/>
    <n v="30"/>
    <n v="250723.28959999999"/>
    <n v="7521698.6880000001"/>
    <n v="4"/>
    <n v="1002893.1584"/>
    <n v="20"/>
    <n v="5014465.7919999994"/>
    <n v="2"/>
    <n v="501446.57919999998"/>
    <m/>
    <n v="0"/>
    <m/>
    <n v="0"/>
    <m/>
    <n v="0"/>
    <m/>
    <n v="0"/>
    <n v="4"/>
    <n v="1002893.1584"/>
    <m/>
    <n v="0"/>
    <s v="No aplica"/>
  </r>
  <r>
    <s v="kit de coloracion Diff Quick"/>
    <s v="Merck o su equivalente"/>
    <s v="Frasco x 500 mL"/>
    <x v="0"/>
    <x v="2"/>
    <n v="5"/>
    <n v="873147.2"/>
    <n v="4365736"/>
    <n v="4"/>
    <n v="3492588.8"/>
    <n v="1"/>
    <n v="873147.2"/>
    <m/>
    <n v="0"/>
    <m/>
    <n v="0"/>
    <m/>
    <n v="0"/>
    <m/>
    <n v="0"/>
    <m/>
    <n v="0"/>
    <m/>
    <n v="0"/>
    <m/>
    <n v="0"/>
    <s v="No aplica"/>
  </r>
  <r>
    <s v="Kit de ELISA para la detección de anticuerpos frente al virus de Influenza Aviar Tipo A"/>
    <s v="IDVET"/>
    <s v="Kit x 5 placas (480 muestras)"/>
    <x v="0"/>
    <x v="0"/>
    <n v="36"/>
    <n v="8720544"/>
    <n v="313939584"/>
    <m/>
    <n v="0"/>
    <n v="32"/>
    <n v="279057408"/>
    <n v="4"/>
    <n v="34882176"/>
    <m/>
    <n v="0"/>
    <m/>
    <n v="0"/>
    <m/>
    <n v="0"/>
    <m/>
    <n v="0"/>
    <m/>
    <n v="0"/>
    <m/>
    <n v="0"/>
    <s v="No aplica"/>
  </r>
  <r>
    <s v="Kit de Reveal for Ruminant in Feed 8100"/>
    <s v="Reveal"/>
    <s v="kit"/>
    <x v="0"/>
    <x v="2"/>
    <n v="20"/>
    <n v="1096163.6384000001"/>
    <n v="21923272.767999999"/>
    <n v="20"/>
    <n v="21923272.767999999"/>
    <m/>
    <n v="0"/>
    <m/>
    <n v="0"/>
    <m/>
    <n v="0"/>
    <m/>
    <n v="0"/>
    <m/>
    <n v="0"/>
    <m/>
    <n v="0"/>
    <m/>
    <n v="0"/>
    <m/>
    <n v="0"/>
    <s v="No aplica"/>
  </r>
  <r>
    <s v="Kit ELISA Bolenone ."/>
    <s v="Neogen  Product # 101010"/>
    <s v="Kit x 96"/>
    <x v="0"/>
    <x v="2"/>
    <n v="15"/>
    <n v="1623069.1791999999"/>
    <n v="24346037.687999997"/>
    <n v="15"/>
    <n v="24346037.687999997"/>
    <m/>
    <n v="0"/>
    <m/>
    <n v="0"/>
    <m/>
    <n v="0"/>
    <m/>
    <n v="0"/>
    <m/>
    <n v="0"/>
    <m/>
    <n v="0"/>
    <m/>
    <n v="0"/>
    <m/>
    <n v="0"/>
    <s v="No aplica"/>
  </r>
  <r>
    <s v="Kit ELISA Indirecta para la Detección de Anticuerpos frente a la Brucelosis _x000a_Brucelosis LECHE_x000a_Presentación: Kit x 10 placas para 460 muestras_x000a_"/>
    <s v="BIONOTE_x000a_EB4301PP"/>
    <s v="KIT  480 PRUEBAS"/>
    <x v="0"/>
    <x v="6"/>
    <n v="5"/>
    <n v="3397378.6"/>
    <n v="16986893"/>
    <m/>
    <n v="0"/>
    <n v="3"/>
    <n v="10192135.800000001"/>
    <n v="2"/>
    <n v="6794757.2000000002"/>
    <m/>
    <n v="0"/>
    <m/>
    <n v="0"/>
    <m/>
    <n v="0"/>
    <m/>
    <n v="0"/>
    <m/>
    <n v="0"/>
    <m/>
    <n v="0"/>
    <s v="No aplica"/>
  </r>
  <r>
    <s v="Kit ELISA Indirecta para la Detección de Anticuerpos frente a la Brucelosis.  Suero y Leche_x000a_Presentación: Kit x 10 placa"/>
    <s v="BIONOTE_x000a_EB4301PP"/>
    <s v="KIT  480 PRUEBAS"/>
    <x v="0"/>
    <x v="6"/>
    <n v="22"/>
    <n v="3397378.6"/>
    <n v="74742329.200000003"/>
    <m/>
    <n v="0"/>
    <n v="5"/>
    <n v="16986893"/>
    <n v="17"/>
    <n v="57755436.200000003"/>
    <m/>
    <n v="0"/>
    <m/>
    <n v="0"/>
    <m/>
    <n v="0"/>
    <m/>
    <n v="0"/>
    <m/>
    <n v="0"/>
    <m/>
    <n v="0"/>
    <s v="No aplica"/>
  </r>
  <r>
    <s v="Kit ELISA Indirecta para la Detección de Anticuerpos Frente a la Brucelosis. Brucelosis SUERO_x000a_Presentación: Kit x 10 placas para 460 muestras."/>
    <s v="IDVET"/>
    <s v="Kit x 5 placas (480 muestras)"/>
    <x v="0"/>
    <x v="0"/>
    <n v="19"/>
    <n v="4349344"/>
    <n v="82637536"/>
    <m/>
    <n v="0"/>
    <n v="5"/>
    <n v="21746720"/>
    <n v="14"/>
    <n v="60890816"/>
    <m/>
    <n v="0"/>
    <m/>
    <n v="0"/>
    <m/>
    <n v="0"/>
    <m/>
    <n v="0"/>
    <m/>
    <n v="0"/>
    <m/>
    <n v="0"/>
    <s v="No aplica"/>
  </r>
  <r>
    <s v="Kit Hemacolor"/>
    <s v="SIGMA 1.11674"/>
    <s v="Kit o set"/>
    <x v="0"/>
    <x v="0"/>
    <n v="11"/>
    <n v="1397574.2704"/>
    <n v="15373316.974400001"/>
    <m/>
    <n v="0"/>
    <n v="10"/>
    <n v="13975742.704"/>
    <n v="1"/>
    <n v="1397574.2704"/>
    <m/>
    <n v="0"/>
    <m/>
    <n v="0"/>
    <m/>
    <n v="0"/>
    <m/>
    <n v="0"/>
    <m/>
    <n v="0"/>
    <m/>
    <n v="0"/>
    <s v="No aplica"/>
  </r>
  <r>
    <s v="Kit para análisis fisicoquímico de aguas"/>
    <s v="HANNA HI 3817"/>
    <s v="Lonchera/Plástica"/>
    <x v="0"/>
    <x v="0"/>
    <n v="2"/>
    <n v="3318702.4640000002"/>
    <n v="6637404.9280000003"/>
    <m/>
    <n v="0"/>
    <m/>
    <n v="0"/>
    <n v="2"/>
    <n v="6637404.9280000003"/>
    <m/>
    <n v="0"/>
    <m/>
    <n v="0"/>
    <m/>
    <n v="0"/>
    <m/>
    <n v="0"/>
    <m/>
    <n v="0"/>
    <m/>
    <n v="0"/>
    <s v="No aplica"/>
  </r>
  <r>
    <s v="Kit para detección de antigenos de la rabia en cultivo y en tejidos cerebrales y submaxilares de animales infectados."/>
    <s v="Merck Millipore Catálogo: 5100."/>
    <s v="Kit"/>
    <x v="0"/>
    <x v="2"/>
    <n v="1"/>
    <n v="3489878.656"/>
    <n v="3489878.656"/>
    <m/>
    <n v="0"/>
    <m/>
    <n v="0"/>
    <n v="1"/>
    <n v="3489878.656"/>
    <m/>
    <n v="0"/>
    <m/>
    <n v="0"/>
    <m/>
    <n v="0"/>
    <m/>
    <n v="0"/>
    <m/>
    <n v="0"/>
    <m/>
    <n v="0"/>
    <s v="No aplica"/>
  </r>
  <r>
    <s v="Kit Transcripción Reversa MMLV "/>
    <s v="Invitrogen Ref: 28025013 "/>
    <s v="kit"/>
    <x v="0"/>
    <x v="1"/>
    <n v="13"/>
    <n v="2612567.8879999998"/>
    <n v="33963382.544"/>
    <m/>
    <n v="0"/>
    <n v="3"/>
    <n v="7837703.6639999989"/>
    <n v="1"/>
    <n v="2612567.8879999998"/>
    <m/>
    <n v="0"/>
    <m/>
    <n v="0"/>
    <n v="9"/>
    <n v="23513110.991999999"/>
    <m/>
    <n v="0"/>
    <m/>
    <n v="0"/>
    <m/>
    <n v="0"/>
    <s v="No aplica"/>
  </r>
  <r>
    <s v="Lactofenol"/>
    <s v="ALBOR 12401"/>
    <s v="10 x Frasco x 100ml"/>
    <x v="0"/>
    <x v="0"/>
    <n v="1"/>
    <n v="7672548.7999999998"/>
    <n v="7672548.7999999998"/>
    <m/>
    <n v="0"/>
    <n v="1"/>
    <n v="7672548.7999999998"/>
    <m/>
    <n v="0"/>
    <m/>
    <n v="0"/>
    <m/>
    <n v="0"/>
    <m/>
    <n v="0"/>
    <m/>
    <n v="0"/>
    <m/>
    <n v="0"/>
    <m/>
    <n v="0"/>
    <s v="No aplica"/>
  </r>
  <r>
    <s v="Lactosa"/>
    <s v="SIGMA 17814"/>
    <s v="Frasco x 1kg"/>
    <x v="0"/>
    <x v="7"/>
    <n v="2"/>
    <n v="1024740.416"/>
    <n v="2049480.8319999999"/>
    <m/>
    <n v="0"/>
    <m/>
    <n v="0"/>
    <n v="1"/>
    <n v="1024740.416"/>
    <m/>
    <n v="0"/>
    <n v="1"/>
    <n v="1024740.416"/>
    <m/>
    <n v="0"/>
    <m/>
    <n v="0"/>
    <m/>
    <n v="0"/>
    <m/>
    <n v="0"/>
    <s v="No aplica"/>
  </r>
  <r>
    <s v="L-Arabinosa"/>
    <s v="SIGMA A3256"/>
    <s v="Frasco x 100g"/>
    <x v="0"/>
    <x v="7"/>
    <n v="1"/>
    <n v="1638544.32"/>
    <n v="1638544.32"/>
    <m/>
    <n v="0"/>
    <m/>
    <n v="0"/>
    <n v="1"/>
    <n v="1638544.32"/>
    <m/>
    <n v="0"/>
    <m/>
    <n v="0"/>
    <m/>
    <n v="0"/>
    <m/>
    <n v="0"/>
    <m/>
    <n v="0"/>
    <m/>
    <n v="0"/>
    <s v="No aplica"/>
  </r>
  <r>
    <s v="L-Asparagina"/>
    <s v="Sigma Aldrich_x000a_Ref: A5006-100G"/>
    <s v="Frasco x 100 g "/>
    <x v="0"/>
    <x v="7"/>
    <n v="1"/>
    <n v="689228.96"/>
    <n v="689228.96"/>
    <m/>
    <n v="0"/>
    <m/>
    <n v="0"/>
    <m/>
    <n v="0"/>
    <m/>
    <n v="0"/>
    <n v="1"/>
    <n v="689228.96"/>
    <m/>
    <n v="0"/>
    <m/>
    <n v="0"/>
    <m/>
    <n v="0"/>
    <m/>
    <n v="0"/>
    <s v="No aplica"/>
  </r>
  <r>
    <s v="Leptospira reference serovar bratislava, strain Jez Bratislava, liquid culture"/>
    <s v="NVSL - ARL 050"/>
    <s v="Frasco x 10ml"/>
    <x v="0"/>
    <x v="0"/>
    <n v="1"/>
    <n v="1156994.3503999999"/>
    <n v="1156994.3503999999"/>
    <m/>
    <n v="0"/>
    <m/>
    <n v="0"/>
    <n v="1"/>
    <n v="1156994.3503999999"/>
    <m/>
    <n v="0"/>
    <m/>
    <n v="0"/>
    <m/>
    <n v="0"/>
    <m/>
    <n v="0"/>
    <m/>
    <n v="0"/>
    <m/>
    <n v="0"/>
    <s v="No aplica"/>
  </r>
  <r>
    <s v="Leptospira reference serovar grippotyphosa, strain Andaman, liquid culture"/>
    <s v="NVSL - GRL-020"/>
    <s v="Frasco x 10ml"/>
    <x v="0"/>
    <x v="0"/>
    <n v="1"/>
    <n v="1156994.3503999999"/>
    <n v="1156994.3503999999"/>
    <m/>
    <n v="0"/>
    <m/>
    <n v="0"/>
    <n v="1"/>
    <n v="1156994.3503999999"/>
    <m/>
    <n v="0"/>
    <m/>
    <n v="0"/>
    <m/>
    <n v="0"/>
    <m/>
    <n v="0"/>
    <m/>
    <n v="0"/>
    <m/>
    <n v="0"/>
    <s v="No aplica"/>
  </r>
  <r>
    <s v="Leptospira reference serovar hardjo, strain Hardjoprajtino, liquid culture"/>
    <s v="NVSL - SJL- 060"/>
    <s v="Frasco x 10ml"/>
    <x v="0"/>
    <x v="0"/>
    <n v="1"/>
    <n v="1156994.3503999999"/>
    <n v="1156994.3503999999"/>
    <m/>
    <n v="0"/>
    <m/>
    <n v="0"/>
    <n v="1"/>
    <n v="1156994.3503999999"/>
    <m/>
    <n v="0"/>
    <m/>
    <n v="0"/>
    <m/>
    <n v="0"/>
    <m/>
    <n v="0"/>
    <m/>
    <n v="0"/>
    <m/>
    <n v="0"/>
    <s v="No aplica"/>
  </r>
  <r>
    <s v="Leptospira reference serovar pomona, strain Pomona, liquid culture"/>
    <s v="NVSL - POL- 010"/>
    <s v="Frasco x 10ml"/>
    <x v="0"/>
    <x v="0"/>
    <n v="1"/>
    <n v="1156994.3503999999"/>
    <n v="1156994.3503999999"/>
    <m/>
    <n v="0"/>
    <m/>
    <n v="0"/>
    <n v="1"/>
    <n v="1156994.3503999999"/>
    <m/>
    <n v="0"/>
    <m/>
    <n v="0"/>
    <m/>
    <n v="0"/>
    <m/>
    <n v="0"/>
    <m/>
    <n v="0"/>
    <m/>
    <n v="0"/>
    <s v="No aplica"/>
  </r>
  <r>
    <s v="Leptospira reference serovar sejroe, strain M 84, liquid culture"/>
    <s v="NVSL - SJL- 010"/>
    <s v="Frasco x 10ml"/>
    <x v="0"/>
    <x v="0"/>
    <n v="1"/>
    <n v="1156994.3503999999"/>
    <n v="1156994.3503999999"/>
    <m/>
    <n v="0"/>
    <m/>
    <n v="0"/>
    <n v="1"/>
    <n v="1156994.3503999999"/>
    <m/>
    <n v="0"/>
    <m/>
    <n v="0"/>
    <m/>
    <n v="0"/>
    <m/>
    <n v="0"/>
    <m/>
    <n v="0"/>
    <m/>
    <n v="0"/>
    <s v="No aplica"/>
  </r>
  <r>
    <s v="Leptospira reference serovar australis, strain Ballico, liquid culture"/>
    <s v="NVSL - ARL - 010"/>
    <s v="Frasco x 10ml"/>
    <x v="0"/>
    <x v="0"/>
    <n v="1"/>
    <n v="1156994.3503999999"/>
    <n v="1156994.3503999999"/>
    <m/>
    <n v="0"/>
    <m/>
    <n v="0"/>
    <n v="1"/>
    <n v="1156994.3503999999"/>
    <m/>
    <n v="0"/>
    <m/>
    <n v="0"/>
    <m/>
    <n v="0"/>
    <m/>
    <n v="0"/>
    <m/>
    <n v="0"/>
    <m/>
    <n v="0"/>
    <s v="No aplica"/>
  </r>
  <r>
    <s v="Leptospira reference serovar bataviae, strain Van Tienen, liquid culture"/>
    <s v="NVSL - BTL- 020"/>
    <s v="Frasco x 10ml"/>
    <x v="0"/>
    <x v="0"/>
    <n v="1"/>
    <n v="1156994.3503999999"/>
    <n v="1156994.3503999999"/>
    <m/>
    <n v="0"/>
    <m/>
    <n v="0"/>
    <n v="1"/>
    <n v="1156994.3503999999"/>
    <m/>
    <n v="0"/>
    <m/>
    <n v="0"/>
    <m/>
    <n v="0"/>
    <m/>
    <n v="0"/>
    <m/>
    <n v="0"/>
    <m/>
    <n v="0"/>
    <s v="No aplica"/>
  </r>
  <r>
    <s v="Leptospira reference serovar ballum, strain S 102, liquid culture"/>
    <s v="NVSL - BML-011"/>
    <s v="Frasco x 10mL"/>
    <x v="0"/>
    <x v="0"/>
    <n v="1"/>
    <n v="1156994.3503999999"/>
    <n v="1156994.3503999999"/>
    <m/>
    <n v="0"/>
    <m/>
    <n v="0"/>
    <n v="1"/>
    <n v="1156994.3503999999"/>
    <m/>
    <n v="0"/>
    <m/>
    <n v="0"/>
    <m/>
    <n v="0"/>
    <m/>
    <n v="0"/>
    <m/>
    <n v="0"/>
    <m/>
    <n v="0"/>
    <s v="No aplica"/>
  </r>
  <r>
    <s v="Leptospira reference serovar_x000a_pyrogenes, strain Salinem, liquid_x000a_culture"/>
    <s v="PYL-010"/>
    <s v="Frasco x 10ml"/>
    <x v="0"/>
    <x v="0"/>
    <n v="1"/>
    <n v="1156994.3503999999"/>
    <n v="1156994.3503999999"/>
    <m/>
    <n v="0"/>
    <m/>
    <n v="0"/>
    <n v="1"/>
    <n v="1156994.3503999999"/>
    <m/>
    <n v="0"/>
    <m/>
    <n v="0"/>
    <m/>
    <n v="0"/>
    <m/>
    <n v="0"/>
    <m/>
    <n v="0"/>
    <m/>
    <n v="0"/>
    <s v="No aplica"/>
  </r>
  <r>
    <s v="Leptospira reference serovar tarassovi, strain Perepelicin, liquid culture"/>
    <s v="NVSL - TAL - 010"/>
    <s v="Frasco x 10ml"/>
    <x v="0"/>
    <x v="0"/>
    <n v="1"/>
    <n v="1156994.3503999999"/>
    <n v="1156994.3503999999"/>
    <m/>
    <n v="0"/>
    <m/>
    <n v="0"/>
    <n v="1"/>
    <n v="1156994.3503999999"/>
    <m/>
    <n v="0"/>
    <m/>
    <n v="0"/>
    <m/>
    <n v="0"/>
    <m/>
    <n v="0"/>
    <m/>
    <n v="0"/>
    <m/>
    <n v="0"/>
    <s v="No aplica"/>
  </r>
  <r>
    <s v="L-glutamina"/>
    <s v="CDH 105395"/>
    <s v="Frasco x 25 g"/>
    <x v="0"/>
    <x v="8"/>
    <n v="1"/>
    <n v="318605.84000000003"/>
    <n v="318605.84000000003"/>
    <m/>
    <n v="0"/>
    <m/>
    <n v="0"/>
    <n v="1"/>
    <n v="318605.84000000003"/>
    <m/>
    <n v="0"/>
    <m/>
    <n v="0"/>
    <m/>
    <n v="0"/>
    <m/>
    <n v="0"/>
    <m/>
    <n v="0"/>
    <m/>
    <n v="0"/>
    <s v="No aplica"/>
  </r>
  <r>
    <s v="L-Glutamina  para cultivo celular"/>
    <s v="Gibco 35050061"/>
    <s v="Frasco x 100 ml"/>
    <x v="0"/>
    <x v="1"/>
    <n v="11"/>
    <n v="341233.35680000001"/>
    <n v="3753566.9248000002"/>
    <n v="3"/>
    <n v="1023700.0704000001"/>
    <m/>
    <n v="0"/>
    <n v="8"/>
    <n v="2729866.8544000001"/>
    <m/>
    <n v="0"/>
    <m/>
    <n v="0"/>
    <m/>
    <n v="0"/>
    <m/>
    <n v="0"/>
    <m/>
    <n v="0"/>
    <m/>
    <n v="0"/>
    <s v="No aplica"/>
  </r>
  <r>
    <s v="Liquid DAB + Substrate Chromogen_x000a_System Dako"/>
    <s v="DAKO"/>
    <s v="unidad"/>
    <x v="0"/>
    <x v="2"/>
    <n v="2"/>
    <n v="1334243.2320000001"/>
    <n v="2668486.4640000002"/>
    <m/>
    <n v="0"/>
    <m/>
    <n v="0"/>
    <n v="2"/>
    <n v="2668486.4640000002"/>
    <m/>
    <n v="0"/>
    <m/>
    <n v="0"/>
    <m/>
    <n v="0"/>
    <m/>
    <n v="0"/>
    <m/>
    <n v="0"/>
    <m/>
    <n v="0"/>
    <s v="No aplica"/>
  </r>
  <r>
    <s v="L-Triptófano"/>
    <s v="SCHARLAU TR04000100"/>
    <s v="frasco x 100 g"/>
    <x v="0"/>
    <x v="6"/>
    <n v="3"/>
    <n v="1024740.416"/>
    <n v="3074221.2479999997"/>
    <m/>
    <n v="0"/>
    <m/>
    <n v="0"/>
    <m/>
    <n v="0"/>
    <m/>
    <n v="0"/>
    <n v="1"/>
    <n v="1024740.416"/>
    <n v="1"/>
    <n v="1024740.416"/>
    <m/>
    <n v="0"/>
    <n v="1"/>
    <n v="1024740.416"/>
    <m/>
    <n v="0"/>
    <s v="No aplica"/>
  </r>
  <r>
    <s v="Lugol de gram"/>
    <s v="Albor "/>
    <s v="Frasco x 1 litro"/>
    <x v="0"/>
    <x v="4"/>
    <n v="6"/>
    <n v="103816"/>
    <n v="622896"/>
    <m/>
    <n v="0"/>
    <n v="3"/>
    <n v="311448"/>
    <n v="3"/>
    <n v="311448"/>
    <m/>
    <n v="0"/>
    <m/>
    <n v="0"/>
    <m/>
    <n v="0"/>
    <m/>
    <n v="0"/>
    <m/>
    <n v="0"/>
    <m/>
    <n v="0"/>
    <s v="No aplica"/>
  </r>
  <r>
    <s v="Lúgol Parasitológica "/>
    <s v="Albor "/>
    <s v="Frasco x 500ml "/>
    <x v="0"/>
    <x v="4"/>
    <n v="8"/>
    <n v="114744"/>
    <n v="917952"/>
    <m/>
    <n v="0"/>
    <n v="8"/>
    <n v="917952"/>
    <m/>
    <n v="0"/>
    <m/>
    <n v="0"/>
    <m/>
    <n v="0"/>
    <m/>
    <n v="0"/>
    <m/>
    <n v="0"/>
    <m/>
    <n v="0"/>
    <m/>
    <n v="0"/>
    <s v="No aplica"/>
  </r>
  <r>
    <s v="MagMAX-96 AI/ND Viral RNA Isolation "/>
    <s v="Applied Biosystem. Ref AM1835"/>
    <s v="Kit, 4x96; (384 rxn)"/>
    <x v="0"/>
    <x v="1"/>
    <n v="12"/>
    <n v="10407617.3824"/>
    <n v="124891408.58880001"/>
    <m/>
    <n v="0"/>
    <n v="8"/>
    <n v="83260939.059200004"/>
    <n v="4"/>
    <n v="41630469.529600002"/>
    <m/>
    <n v="0"/>
    <m/>
    <n v="0"/>
    <m/>
    <n v="0"/>
    <m/>
    <n v="0"/>
    <m/>
    <n v="0"/>
    <m/>
    <n v="0"/>
    <s v="No aplica"/>
  </r>
  <r>
    <s v="MagMAX™ CORE Nucleic Acid Purification "/>
    <s v="THERMO Applied Biosystem. A32700"/>
    <s v="Kit"/>
    <x v="0"/>
    <x v="1"/>
    <n v="2"/>
    <n v="3231053.3472000002"/>
    <n v="6462106.6944000004"/>
    <m/>
    <n v="0"/>
    <m/>
    <n v="0"/>
    <n v="2"/>
    <n v="6462106.6944000004"/>
    <m/>
    <n v="0"/>
    <m/>
    <n v="0"/>
    <m/>
    <n v="0"/>
    <m/>
    <n v="0"/>
    <m/>
    <n v="0"/>
    <m/>
    <n v="0"/>
    <s v="No aplica"/>
  </r>
  <r>
    <s v="MagMAX™ Pathogen RNA/DNA "/>
    <s v="THERMO Applied Biosystems Ref 4462359"/>
    <s v="Kit  "/>
    <x v="0"/>
    <x v="1"/>
    <n v="3"/>
    <n v="12241746.6752"/>
    <n v="36725240.025600001"/>
    <m/>
    <n v="0"/>
    <n v="2"/>
    <n v="24483493.350400001"/>
    <n v="1"/>
    <n v="12241746.6752"/>
    <m/>
    <n v="0"/>
    <m/>
    <n v="0"/>
    <m/>
    <n v="0"/>
    <m/>
    <n v="0"/>
    <m/>
    <n v="0"/>
    <m/>
    <n v="0"/>
    <s v="No aplica"/>
  </r>
  <r>
    <s v="MagMAX™ Total Nucleic Acid Isolation"/>
    <s v="THERMO Applied Biosystems Ref: AM1840"/>
    <s v="Kit"/>
    <x v="0"/>
    <x v="1"/>
    <n v="1"/>
    <n v="5139827.4368000003"/>
    <n v="5139827.4368000003"/>
    <m/>
    <n v="0"/>
    <m/>
    <n v="0"/>
    <n v="1"/>
    <n v="5139827.4368000003"/>
    <m/>
    <n v="0"/>
    <m/>
    <n v="0"/>
    <m/>
    <n v="0"/>
    <m/>
    <n v="0"/>
    <m/>
    <n v="0"/>
    <m/>
    <n v="0"/>
    <s v="No aplica"/>
  </r>
  <r>
    <s v="Malonato"/>
    <s v="CDH 030179"/>
    <s v="Frasco x 100 g"/>
    <x v="0"/>
    <x v="8"/>
    <n v="1"/>
    <n v="370623.12"/>
    <n v="370623.12"/>
    <m/>
    <n v="0"/>
    <m/>
    <n v="0"/>
    <n v="1"/>
    <n v="370623.12"/>
    <m/>
    <n v="0"/>
    <m/>
    <n v="0"/>
    <m/>
    <n v="0"/>
    <m/>
    <n v="0"/>
    <m/>
    <n v="0"/>
    <m/>
    <n v="0"/>
    <s v="No aplica"/>
  </r>
  <r>
    <s v="Manosa"/>
    <s v="SIGMA M6020"/>
    <s v="Frasco x 100g "/>
    <x v="0"/>
    <x v="0"/>
    <n v="1"/>
    <n v="1486523.8192"/>
    <n v="1486523.8192"/>
    <m/>
    <n v="0"/>
    <m/>
    <n v="0"/>
    <n v="1"/>
    <n v="1486523.8192"/>
    <m/>
    <n v="0"/>
    <m/>
    <n v="0"/>
    <m/>
    <n v="0"/>
    <m/>
    <n v="0"/>
    <m/>
    <n v="0"/>
    <m/>
    <n v="0"/>
    <s v="No aplica"/>
  </r>
  <r>
    <s v="Material de Referencia Poultry Feed. Con certificado de análisis e incertidumbre. "/>
    <s v="LGC 7173"/>
    <s v="Frasco x 50g "/>
    <x v="0"/>
    <x v="0"/>
    <n v="3"/>
    <n v="7179945.1584000001"/>
    <n v="21539835.475200001"/>
    <n v="3"/>
    <n v="21539835.475200001"/>
    <m/>
    <n v="0"/>
    <m/>
    <n v="0"/>
    <m/>
    <n v="0"/>
    <m/>
    <n v="0"/>
    <m/>
    <n v="0"/>
    <m/>
    <n v="0"/>
    <m/>
    <n v="0"/>
    <m/>
    <n v="0"/>
    <s v="No aplica"/>
  </r>
  <r>
    <s v="May-Grunwald Stain"/>
    <s v="Sigma Aldrich Ref: 205435"/>
    <s v="Frasco x 25g"/>
    <x v="0"/>
    <x v="0"/>
    <n v="2"/>
    <n v="875580.86560000002"/>
    <n v="1751161.7312"/>
    <m/>
    <n v="0"/>
    <m/>
    <n v="0"/>
    <n v="2"/>
    <n v="1751161.7312"/>
    <m/>
    <n v="0"/>
    <m/>
    <n v="0"/>
    <m/>
    <n v="0"/>
    <m/>
    <n v="0"/>
    <m/>
    <n v="0"/>
    <m/>
    <n v="0"/>
    <s v="No aplica"/>
  </r>
  <r>
    <s v="Medio 199"/>
    <s v="SIGMA M0393"/>
    <s v="Caja x 10 frascos x 1 litro"/>
    <x v="0"/>
    <x v="7"/>
    <n v="1"/>
    <n v="461653.36"/>
    <n v="461653.36"/>
    <m/>
    <n v="0"/>
    <m/>
    <n v="0"/>
    <n v="1"/>
    <n v="461653.36"/>
    <m/>
    <n v="0"/>
    <m/>
    <n v="0"/>
    <m/>
    <n v="0"/>
    <m/>
    <n v="0"/>
    <m/>
    <n v="0"/>
    <m/>
    <n v="0"/>
    <s v="No aplica"/>
  </r>
  <r>
    <s v="Medio Base EMJH"/>
    <s v="DIFCO"/>
    <s v="Frasco x 500gr"/>
    <x v="0"/>
    <x v="2"/>
    <n v="3"/>
    <n v="2926357.7584000002"/>
    <n v="8779073.2752"/>
    <m/>
    <n v="0"/>
    <n v="1"/>
    <n v="2926357.7584000002"/>
    <n v="2"/>
    <n v="5852715.5168000003"/>
    <m/>
    <n v="0"/>
    <m/>
    <n v="0"/>
    <m/>
    <n v="0"/>
    <m/>
    <n v="0"/>
    <m/>
    <n v="0"/>
    <m/>
    <n v="0"/>
    <s v="No aplica"/>
  </r>
  <r>
    <s v="Medio de cultivo DMEM (para las BHK-21 de rutina) polvo"/>
    <s v="Gibco 61100061"/>
    <s v="10 x 1L"/>
    <x v="0"/>
    <x v="1"/>
    <n v="3"/>
    <n v="405214.61119999998"/>
    <n v="1215643.8336"/>
    <n v="2"/>
    <n v="810429.22239999997"/>
    <m/>
    <n v="0"/>
    <n v="1"/>
    <n v="405214.61119999998"/>
    <m/>
    <n v="0"/>
    <m/>
    <n v="0"/>
    <m/>
    <n v="0"/>
    <m/>
    <n v="0"/>
    <m/>
    <n v="0"/>
    <m/>
    <n v="0"/>
    <s v="No aplica"/>
  </r>
  <r>
    <s v="Medio de cultivo PDA Fecha de vencimiento no inferior a 18 meses"/>
    <s v="CONDALAB_x000a_Cat. 1022"/>
    <s v="Frasco x 500 g"/>
    <x v="0"/>
    <x v="0"/>
    <n v="23"/>
    <n v="774537.29920000001"/>
    <n v="17814357.8816"/>
    <m/>
    <n v="0"/>
    <m/>
    <n v="0"/>
    <m/>
    <n v="0"/>
    <m/>
    <n v="0"/>
    <n v="23"/>
    <n v="17814357.8816"/>
    <m/>
    <n v="0"/>
    <m/>
    <n v="0"/>
    <m/>
    <n v="0"/>
    <m/>
    <n v="0"/>
    <s v="No aplica"/>
  </r>
  <r>
    <s v="Medio de suspensión para API "/>
    <s v="Biomerieux 20150"/>
    <s v="Caja x ampollas de 5ml"/>
    <x v="0"/>
    <x v="0"/>
    <n v="1"/>
    <n v="1962742.0175999999"/>
    <n v="1962742.0175999999"/>
    <m/>
    <n v="0"/>
    <m/>
    <n v="0"/>
    <n v="1"/>
    <n v="1962742.0175999999"/>
    <m/>
    <n v="0"/>
    <m/>
    <n v="0"/>
    <m/>
    <n v="0"/>
    <m/>
    <n v="0"/>
    <m/>
    <n v="0"/>
    <m/>
    <n v="0"/>
    <s v="No aplica"/>
  </r>
  <r>
    <s v="Medio Dulbecco´s MEM"/>
    <s v="Gibco 12800082"/>
    <s v="1 Frasco en polvo para preparar hasta 10L"/>
    <x v="0"/>
    <x v="1"/>
    <n v="5"/>
    <n v="309242.72960000002"/>
    <n v="1546213.648"/>
    <m/>
    <n v="0"/>
    <m/>
    <n v="0"/>
    <n v="5"/>
    <n v="1546213.648"/>
    <m/>
    <n v="0"/>
    <m/>
    <n v="0"/>
    <m/>
    <n v="0"/>
    <m/>
    <n v="0"/>
    <m/>
    <n v="0"/>
    <m/>
    <n v="0"/>
    <s v="No aplica"/>
  </r>
  <r>
    <s v="Medio extracto de carne _x000a_Fecha de vencimiento no inferior 18 meses"/>
    <s v="MERCK - MILLIPORE 103979"/>
    <s v="Frasco x 500g"/>
    <x v="0"/>
    <x v="0"/>
    <n v="2"/>
    <n v="3909098.5920000002"/>
    <n v="7818197.1840000004"/>
    <n v="1"/>
    <n v="3909098.5920000002"/>
    <m/>
    <n v="0"/>
    <n v="1"/>
    <n v="3909098.5920000002"/>
    <m/>
    <n v="0"/>
    <m/>
    <n v="0"/>
    <m/>
    <n v="0"/>
    <m/>
    <n v="0"/>
    <m/>
    <n v="0"/>
    <m/>
    <n v="0"/>
    <s v="No aplica"/>
  </r>
  <r>
    <s v="Medio King B"/>
    <s v="CONDALAB_x000a_Cat 1532"/>
    <s v="Frasco x 500 g "/>
    <x v="0"/>
    <x v="0"/>
    <n v="3"/>
    <n v="1463376.1296000001"/>
    <n v="4390128.3888000008"/>
    <m/>
    <n v="0"/>
    <m/>
    <n v="0"/>
    <m/>
    <n v="0"/>
    <m/>
    <n v="0"/>
    <n v="3"/>
    <n v="4390128.3888000008"/>
    <m/>
    <n v="0"/>
    <m/>
    <n v="0"/>
    <m/>
    <n v="0"/>
    <m/>
    <n v="0"/>
    <s v="No aplica"/>
  </r>
  <r>
    <s v="Medio MEM en polvo"/>
    <s v="Gibco 41500-034, "/>
    <s v="10 x 1 litro"/>
    <x v="0"/>
    <x v="1"/>
    <n v="6"/>
    <n v="469195.86560000002"/>
    <n v="2815175.1935999999"/>
    <m/>
    <n v="0"/>
    <m/>
    <n v="0"/>
    <n v="6"/>
    <n v="2815175.1935999999"/>
    <m/>
    <n v="0"/>
    <m/>
    <n v="0"/>
    <m/>
    <n v="0"/>
    <m/>
    <n v="0"/>
    <m/>
    <n v="0"/>
    <m/>
    <n v="0"/>
    <s v="No aplica"/>
  </r>
  <r>
    <s v="Medio Motilidad"/>
    <s v="CONDALAB 2116"/>
    <s v="Frasco 500g"/>
    <x v="0"/>
    <x v="0"/>
    <n v="19"/>
    <n v="1647387.2575999999"/>
    <n v="31300357.894399997"/>
    <m/>
    <n v="0"/>
    <n v="11"/>
    <n v="18121259.8336"/>
    <n v="5"/>
    <n v="8236936.2879999997"/>
    <m/>
    <n v="0"/>
    <n v="1"/>
    <n v="1647387.2575999999"/>
    <n v="1"/>
    <n v="1647387.2575999999"/>
    <m/>
    <n v="0"/>
    <n v="1"/>
    <n v="1647387.2575999999"/>
    <m/>
    <n v="0"/>
    <s v="No aplica"/>
  </r>
  <r>
    <s v="Medio RPMI"/>
    <s v="GIBCO 11875093"/>
    <s v="Frasco x 500ml"/>
    <x v="0"/>
    <x v="1"/>
    <n v="1"/>
    <n v="245261.47519999999"/>
    <n v="245261.47519999999"/>
    <m/>
    <n v="0"/>
    <m/>
    <n v="0"/>
    <n v="1"/>
    <n v="245261.47519999999"/>
    <m/>
    <n v="0"/>
    <m/>
    <n v="0"/>
    <m/>
    <n v="0"/>
    <m/>
    <n v="0"/>
    <m/>
    <n v="0"/>
    <m/>
    <n v="0"/>
    <s v="No aplica"/>
  </r>
  <r>
    <s v="Medio Simmons Citrato"/>
    <s v="CONDALAB 1014"/>
    <s v="Frasco x 500g"/>
    <x v="0"/>
    <x v="0"/>
    <n v="20"/>
    <n v="1061802.7279999999"/>
    <n v="21236054.559999999"/>
    <m/>
    <n v="0"/>
    <n v="11"/>
    <n v="11679830.007999999"/>
    <n v="7"/>
    <n v="7432619.095999999"/>
    <m/>
    <n v="0"/>
    <n v="1"/>
    <n v="1061802.7279999999"/>
    <m/>
    <n v="0"/>
    <m/>
    <n v="0"/>
    <n v="1"/>
    <n v="1061802.7279999999"/>
    <m/>
    <n v="0"/>
    <s v="No aplica"/>
  </r>
  <r>
    <s v="Medio YDC ( levadura-dextrosa-carbonato)"/>
    <s v="Merck o equivalente"/>
    <s v="Frasco x 500g"/>
    <x v="0"/>
    <x v="2"/>
    <n v="3"/>
    <n v="1612931.2736"/>
    <n v="4838793.8207999999"/>
    <m/>
    <n v="0"/>
    <m/>
    <n v="0"/>
    <m/>
    <n v="0"/>
    <m/>
    <n v="0"/>
    <n v="3"/>
    <n v="4838793.8207999999"/>
    <m/>
    <n v="0"/>
    <m/>
    <n v="0"/>
    <m/>
    <n v="0"/>
    <m/>
    <n v="0"/>
    <s v="No aplica"/>
  </r>
  <r>
    <s v="MEM Non-Essential Amino Acids Solution (100X)"/>
    <s v="CORNING 25-025"/>
    <s v="Frasco x 100 ml"/>
    <x v="0"/>
    <x v="0"/>
    <n v="4"/>
    <n v="3465261.1504000002"/>
    <n v="13861044.601600001"/>
    <n v="2"/>
    <n v="6930522.3008000003"/>
    <m/>
    <n v="0"/>
    <n v="2"/>
    <n v="6930522.3008000003"/>
    <m/>
    <n v="0"/>
    <m/>
    <n v="0"/>
    <m/>
    <n v="0"/>
    <m/>
    <n v="0"/>
    <m/>
    <n v="0"/>
    <m/>
    <n v="0"/>
    <s v="No aplica"/>
  </r>
  <r>
    <s v="Metabanadato de amonio "/>
    <s v="MERCK"/>
    <s v="Frasco x 50g"/>
    <x v="0"/>
    <x v="7"/>
    <n v="1"/>
    <n v="565687.92000000004"/>
    <n v="565687.92000000004"/>
    <m/>
    <n v="0"/>
    <m/>
    <n v="0"/>
    <m/>
    <n v="0"/>
    <m/>
    <n v="0"/>
    <m/>
    <n v="0"/>
    <m/>
    <n v="0"/>
    <m/>
    <n v="0"/>
    <n v="1"/>
    <n v="565687.92000000004"/>
    <m/>
    <n v="0"/>
    <s v="No aplica"/>
  </r>
  <r>
    <s v="Metanol anhidro absoluto"/>
    <s v="CDH 582495"/>
    <s v="Frasco x 2,5 Litros"/>
    <x v="0"/>
    <x v="8"/>
    <n v="5"/>
    <n v="227575.6"/>
    <n v="1137878"/>
    <m/>
    <n v="0"/>
    <m/>
    <n v="0"/>
    <n v="5"/>
    <n v="1137878"/>
    <m/>
    <n v="0"/>
    <m/>
    <n v="0"/>
    <m/>
    <n v="0"/>
    <m/>
    <n v="0"/>
    <m/>
    <n v="0"/>
    <m/>
    <n v="0"/>
    <s v="SI"/>
  </r>
  <r>
    <s v="Metanol grado espectrometría de masas  LC/MS con certificado de análisis y ficha de seguridad "/>
    <s v="PANREAC  701091 CAS 67-56-1"/>
    <s v="Frasco x 2.5 litros "/>
    <x v="0"/>
    <x v="0"/>
    <n v="15"/>
    <n v="593390.4"/>
    <n v="8900856"/>
    <n v="10"/>
    <n v="5933904"/>
    <m/>
    <n v="0"/>
    <m/>
    <n v="0"/>
    <m/>
    <n v="0"/>
    <m/>
    <n v="0"/>
    <m/>
    <n v="0"/>
    <m/>
    <n v="0"/>
    <n v="5"/>
    <n v="2966952"/>
    <m/>
    <n v="0"/>
    <s v="SI"/>
  </r>
  <r>
    <s v="Metanol HPLC con certificado de análisis y ficha de seguridad "/>
    <s v="JT Baker"/>
    <s v="Frasco x 4 litros"/>
    <x v="0"/>
    <x v="0"/>
    <n v="45"/>
    <n v="340062.96799999999"/>
    <n v="15302833.560000001"/>
    <n v="15"/>
    <n v="5100944.5199999996"/>
    <m/>
    <n v="0"/>
    <m/>
    <n v="0"/>
    <m/>
    <n v="0"/>
    <m/>
    <n v="0"/>
    <m/>
    <n v="0"/>
    <m/>
    <n v="0"/>
    <n v="30"/>
    <n v="10201889.039999999"/>
    <m/>
    <n v="0"/>
    <s v="SI"/>
  </r>
  <r>
    <s v="Molibdato de amonio tetrahidratado, reactivo analítico"/>
    <s v="JT  BAKER CAS 12054-85-2"/>
    <s v="Frasco x 500 g"/>
    <x v="0"/>
    <x v="0"/>
    <n v="3"/>
    <n v="1930751.3903999999"/>
    <n v="5792254.1711999997"/>
    <n v="2"/>
    <n v="3861502.7807999998"/>
    <m/>
    <n v="0"/>
    <m/>
    <n v="0"/>
    <m/>
    <n v="0"/>
    <m/>
    <n v="0"/>
    <m/>
    <n v="0"/>
    <m/>
    <n v="0"/>
    <n v="1"/>
    <n v="1930751.3903999999"/>
    <m/>
    <n v="0"/>
    <s v="No aplica"/>
  </r>
  <r>
    <s v="Mycobacterium - Mycobacterium_x000a_avium ssp. Paratuberculosis_x000a_(Johne's) fecal sample"/>
    <s v="NVSL. MAP-POS"/>
    <s v="vial"/>
    <x v="0"/>
    <x v="2"/>
    <n v="1"/>
    <n v="178465.16800000001"/>
    <n v="178465.16800000001"/>
    <m/>
    <n v="0"/>
    <m/>
    <n v="0"/>
    <n v="1"/>
    <n v="178465.16800000001"/>
    <m/>
    <n v="0"/>
    <m/>
    <n v="0"/>
    <m/>
    <n v="0"/>
    <m/>
    <n v="0"/>
    <m/>
    <n v="0"/>
    <m/>
    <n v="0"/>
    <s v="No aplica"/>
  </r>
  <r>
    <s v="Mycobacterium avium subsp. paratuberculosis (Bergey et al.) Thorel et al. (ATCC® BAA-968D-5™)"/>
    <s v="ATCC"/>
    <s v="KWIK STIK, Criovial, Vial Liofilizado"/>
    <x v="0"/>
    <x v="2"/>
    <n v="1"/>
    <n v="9342303.4879999999"/>
    <n v="9342303.4879999999"/>
    <m/>
    <n v="0"/>
    <m/>
    <n v="0"/>
    <n v="1"/>
    <n v="9342303.4879999999"/>
    <m/>
    <n v="0"/>
    <m/>
    <n v="0"/>
    <m/>
    <n v="0"/>
    <m/>
    <n v="0"/>
    <m/>
    <n v="0"/>
    <m/>
    <n v="0"/>
    <s v="No aplica"/>
  </r>
  <r>
    <s v="Mycobacterium bovis direct PCR_x000a_control, positive, bovine tissue with_x000a_BCG"/>
    <s v="NVSL. MBD-POS"/>
    <s v="Vial"/>
    <x v="0"/>
    <x v="0"/>
    <n v="1"/>
    <n v="951916.22400000005"/>
    <n v="951916.22400000005"/>
    <m/>
    <n v="0"/>
    <m/>
    <n v="0"/>
    <n v="1"/>
    <n v="951916.22400000005"/>
    <m/>
    <n v="0"/>
    <m/>
    <n v="0"/>
    <m/>
    <n v="0"/>
    <m/>
    <n v="0"/>
    <m/>
    <n v="0"/>
    <m/>
    <n v="0"/>
    <s v="No aplica"/>
  </r>
  <r>
    <s v="Mycobacterium bovis direct PCR_x000a_control, positive, bovine tissue with_x000a_Mtb H37a"/>
    <s v="NVSL. TBD-POS"/>
    <s v="Vial"/>
    <x v="0"/>
    <x v="0"/>
    <n v="1"/>
    <n v="951916.22400000005"/>
    <n v="951916.22400000005"/>
    <m/>
    <n v="0"/>
    <m/>
    <n v="0"/>
    <n v="1"/>
    <n v="951916.22400000005"/>
    <m/>
    <n v="0"/>
    <m/>
    <n v="0"/>
    <m/>
    <n v="0"/>
    <m/>
    <n v="0"/>
    <m/>
    <n v="0"/>
    <m/>
    <n v="0"/>
    <s v="No aplica"/>
  </r>
  <r>
    <s v="Mycobacterium species DNA"/>
    <s v="NVSL. MYC-DNA"/>
    <s v="Vial"/>
    <x v="0"/>
    <x v="0"/>
    <n v="1"/>
    <n v="2380050.6464"/>
    <n v="2380050.6464"/>
    <m/>
    <n v="0"/>
    <m/>
    <n v="0"/>
    <n v="1"/>
    <n v="2380050.6464"/>
    <m/>
    <n v="0"/>
    <m/>
    <n v="0"/>
    <m/>
    <n v="0"/>
    <m/>
    <n v="0"/>
    <m/>
    <n v="0"/>
    <m/>
    <n v="0"/>
    <s v="No aplica"/>
  </r>
  <r>
    <s v="Mycoplasma gallisepticum Edward and Kanarek (ATCC® qCRM-19610D™)"/>
    <s v="ATCC"/>
    <s v="Vial"/>
    <x v="0"/>
    <x v="2"/>
    <n v="1"/>
    <n v="5831137.0879999995"/>
    <n v="5831137.0879999995"/>
    <m/>
    <n v="0"/>
    <m/>
    <n v="0"/>
    <n v="1"/>
    <n v="5831137.0879999995"/>
    <m/>
    <n v="0"/>
    <m/>
    <n v="0"/>
    <m/>
    <n v="0"/>
    <m/>
    <n v="0"/>
    <m/>
    <n v="0"/>
    <m/>
    <n v="0"/>
    <s v="No aplica"/>
  </r>
  <r>
    <s v="Mycoplasma hyopneumoniae Mare and Switzer (ATCC® 25934D )"/>
    <s v="ATCC"/>
    <s v="KWIK STIK, Criovial, Vial Liofilizado"/>
    <x v="0"/>
    <x v="2"/>
    <n v="1"/>
    <n v="12788448.288000001"/>
    <n v="12788448.288000001"/>
    <m/>
    <n v="0"/>
    <m/>
    <n v="0"/>
    <n v="1"/>
    <n v="12788448.288000001"/>
    <m/>
    <n v="0"/>
    <m/>
    <n v="0"/>
    <m/>
    <n v="0"/>
    <m/>
    <n v="0"/>
    <m/>
    <n v="0"/>
    <m/>
    <n v="0"/>
    <s v="No aplica"/>
  </r>
  <r>
    <s v="NADH, DPNH, β-NADH, β-Nicotinamide adenine dinucleotide, reduced disodium salt hydrate, β-DPNH, Diphosphopyridine nucleotide"/>
    <s v="SIGMA N6005"/>
    <s v="Frasco x 50 mg"/>
    <x v="0"/>
    <x v="0"/>
    <n v="1"/>
    <n v="18724010.0656"/>
    <n v="18724010.0656"/>
    <m/>
    <n v="0"/>
    <m/>
    <n v="0"/>
    <n v="1"/>
    <n v="18724010.0656"/>
    <m/>
    <n v="0"/>
    <m/>
    <n v="0"/>
    <m/>
    <n v="0"/>
    <m/>
    <n v="0"/>
    <m/>
    <n v="0"/>
    <m/>
    <n v="0"/>
    <s v="No aplica"/>
  </r>
  <r>
    <s v="Negro de Sudán"/>
    <s v="EMS  C993P53"/>
    <s v="Frasco x 25 g"/>
    <x v="0"/>
    <x v="0"/>
    <n v="1"/>
    <n v="539679.28"/>
    <n v="539679.28"/>
    <m/>
    <n v="0"/>
    <m/>
    <n v="0"/>
    <n v="1"/>
    <n v="539679.28"/>
    <m/>
    <n v="0"/>
    <m/>
    <n v="0"/>
    <m/>
    <n v="0"/>
    <m/>
    <n v="0"/>
    <m/>
    <n v="0"/>
    <m/>
    <n v="0"/>
    <s v="No aplica"/>
  </r>
  <r>
    <s v="Nistatina"/>
    <s v="Sigma N6261"/>
    <s v="Frasco x 5MU"/>
    <x v="0"/>
    <x v="0"/>
    <n v="2"/>
    <n v="430312.94880000001"/>
    <n v="860625.89760000003"/>
    <m/>
    <n v="0"/>
    <m/>
    <n v="0"/>
    <n v="1"/>
    <n v="430312.94880000001"/>
    <m/>
    <n v="0"/>
    <n v="1"/>
    <n v="430312.94880000001"/>
    <m/>
    <n v="0"/>
    <m/>
    <n v="0"/>
    <m/>
    <n v="0"/>
    <m/>
    <n v="0"/>
    <s v="No aplica"/>
  </r>
  <r>
    <s v="Nistatina suspensión"/>
    <s v="Sigma N1638"/>
    <s v="Frasco x 100ml"/>
    <x v="0"/>
    <x v="0"/>
    <n v="5"/>
    <n v="368542.42879999999"/>
    <n v="1842712.1439999999"/>
    <m/>
    <n v="0"/>
    <m/>
    <n v="0"/>
    <n v="5"/>
    <n v="1842712.1439999999"/>
    <m/>
    <n v="0"/>
    <m/>
    <n v="0"/>
    <m/>
    <n v="0"/>
    <m/>
    <n v="0"/>
    <m/>
    <n v="0"/>
    <m/>
    <n v="0"/>
    <s v="No aplica"/>
  </r>
  <r>
    <s v="Nitrato de Plata"/>
    <s v="JT BAKER CAS 7761-88-8"/>
    <s v="Frasco x 25g"/>
    <x v="0"/>
    <x v="0"/>
    <n v="2"/>
    <n v="1238921.5663999999"/>
    <n v="2477843.1327999998"/>
    <m/>
    <n v="0"/>
    <m/>
    <n v="0"/>
    <n v="1"/>
    <n v="1238921.5663999999"/>
    <m/>
    <n v="0"/>
    <n v="1"/>
    <n v="1238921.5663999999"/>
    <m/>
    <n v="0"/>
    <m/>
    <n v="0"/>
    <m/>
    <n v="0"/>
    <m/>
    <n v="0"/>
    <s v="No aplica"/>
  </r>
  <r>
    <s v="Nitrato de Potasio (KNO3)"/>
    <s v="PANREAC 131524"/>
    <s v="Frasco x 1kg"/>
    <x v="0"/>
    <x v="0"/>
    <n v="4"/>
    <n v="716147.90240000002"/>
    <n v="2864591.6096000001"/>
    <m/>
    <n v="0"/>
    <m/>
    <n v="0"/>
    <n v="1"/>
    <n v="716147.90240000002"/>
    <m/>
    <n v="0"/>
    <n v="1"/>
    <n v="716147.90240000002"/>
    <n v="1"/>
    <n v="716147.90240000002"/>
    <n v="1"/>
    <n v="716147.90240000002"/>
    <m/>
    <n v="0"/>
    <m/>
    <n v="0"/>
    <s v="No aplica"/>
  </r>
  <r>
    <s v="Nitrato de sodio (NaNO3)"/>
    <s v="PANREAC 131702"/>
    <s v="Frasco x 500 g"/>
    <x v="0"/>
    <x v="0"/>
    <n v="3"/>
    <n v="616534.8112"/>
    <n v="1849604.4336000001"/>
    <m/>
    <n v="0"/>
    <m/>
    <n v="0"/>
    <n v="1"/>
    <n v="616534.8112"/>
    <m/>
    <n v="0"/>
    <n v="1"/>
    <n v="616534.8112"/>
    <n v="1"/>
    <n v="616534.8112"/>
    <m/>
    <n v="0"/>
    <m/>
    <n v="0"/>
    <m/>
    <n v="0"/>
    <s v="No aplica"/>
  </r>
  <r>
    <s v="N-naftil etilendiamina dihidrocloruro"/>
    <s v="SIGMA N9125"/>
    <s v="Frasco x 100g"/>
    <x v="0"/>
    <x v="0"/>
    <n v="1"/>
    <n v="2487076.2000000002"/>
    <n v="2487076.2000000002"/>
    <m/>
    <n v="0"/>
    <m/>
    <n v="0"/>
    <n v="1"/>
    <n v="2487076.2000000002"/>
    <m/>
    <n v="0"/>
    <m/>
    <n v="0"/>
    <m/>
    <n v="0"/>
    <m/>
    <n v="0"/>
    <m/>
    <n v="0"/>
    <m/>
    <n v="0"/>
    <s v="No aplica"/>
  </r>
  <r>
    <s v="Normal specific pathogen free_x000a_chicken serum"/>
    <s v="NVSL, Código del reactivo 907-ADV"/>
    <s v="Frasco x 5ml"/>
    <x v="0"/>
    <x v="0"/>
    <n v="3"/>
    <n v="1879254.2831999999"/>
    <n v="5637762.8496000003"/>
    <m/>
    <n v="0"/>
    <m/>
    <n v="0"/>
    <n v="3"/>
    <n v="5637762.8496000003"/>
    <m/>
    <n v="0"/>
    <m/>
    <n v="0"/>
    <m/>
    <n v="0"/>
    <m/>
    <n v="0"/>
    <m/>
    <n v="0"/>
    <m/>
    <n v="0"/>
    <s v="No aplica"/>
  </r>
  <r>
    <s v="Normal specific pathogen free_x000a_chicken serum"/>
    <s v="NVSL, Código del reactivo 907-ADV"/>
    <s v="frasco -5 ml "/>
    <x v="0"/>
    <x v="0"/>
    <n v="3"/>
    <n v="2110601.1359999999"/>
    <n v="6331803.4079999998"/>
    <m/>
    <n v="0"/>
    <m/>
    <n v="0"/>
    <n v="3"/>
    <n v="6331803.4079999998"/>
    <m/>
    <n v="0"/>
    <m/>
    <n v="0"/>
    <m/>
    <n v="0"/>
    <m/>
    <n v="0"/>
    <m/>
    <n v="0"/>
    <m/>
    <n v="0"/>
    <s v="No aplica"/>
  </r>
  <r>
    <s v="O Antiserum Salmonella Poly A-I and VI"/>
    <s v="Difco 222641 o equivalente"/>
    <s v="Frasco x 3 ml"/>
    <x v="0"/>
    <x v="2"/>
    <n v="7"/>
    <n v="2560226.0463999999"/>
    <n v="17921582.3248"/>
    <m/>
    <n v="0"/>
    <n v="5"/>
    <n v="12801130.231999999"/>
    <n v="1"/>
    <n v="2560226.0463999999"/>
    <m/>
    <n v="0"/>
    <m/>
    <n v="0"/>
    <m/>
    <n v="0"/>
    <m/>
    <n v="0"/>
    <n v="1"/>
    <n v="2560226.0463999999"/>
    <m/>
    <n v="0"/>
    <s v="No aplica"/>
  </r>
  <r>
    <s v="O Antisuero Salmonella somático Factor 5 "/>
    <s v="Difco o equivalente"/>
    <s v="Frasco x 3 ml"/>
    <x v="0"/>
    <x v="2"/>
    <n v="3"/>
    <n v="4342900.8512000004"/>
    <n v="13028702.553600002"/>
    <m/>
    <n v="0"/>
    <n v="3"/>
    <n v="13028702.553600002"/>
    <m/>
    <n v="0"/>
    <m/>
    <n v="0"/>
    <m/>
    <n v="0"/>
    <m/>
    <n v="0"/>
    <m/>
    <n v="0"/>
    <m/>
    <n v="0"/>
    <m/>
    <n v="0"/>
    <s v="No aplica"/>
  </r>
  <r>
    <s v="Oligo (dt) 12-18 PRIMER. Esta listo para usar como un primer en la sintesis de cDNA con transcriptasa reversa. "/>
    <s v="Invitrogen Ref 18418012 "/>
    <s v="Vial x25ug. "/>
    <x v="0"/>
    <x v="2"/>
    <n v="26"/>
    <n v="1054907.1599999999"/>
    <n v="27427586.159999996"/>
    <m/>
    <n v="0"/>
    <m/>
    <n v="0"/>
    <m/>
    <n v="0"/>
    <m/>
    <n v="0"/>
    <n v="20"/>
    <n v="21098143.199999999"/>
    <n v="6"/>
    <n v="6329442.959999999"/>
    <m/>
    <n v="0"/>
    <m/>
    <n v="0"/>
    <m/>
    <n v="0"/>
    <s v="No aplica"/>
  </r>
  <r>
    <s v="O-Phenylene diamine 5 mg"/>
    <s v="Sigma P3804-100"/>
    <s v="Caja x 100 tabletas"/>
    <x v="0"/>
    <x v="0"/>
    <n v="4"/>
    <n v="2605415.5120000001"/>
    <n v="10421662.048"/>
    <n v="3"/>
    <n v="7816246.5360000003"/>
    <m/>
    <n v="0"/>
    <n v="1"/>
    <n v="2605415.5120000001"/>
    <m/>
    <n v="0"/>
    <m/>
    <n v="0"/>
    <m/>
    <n v="0"/>
    <m/>
    <n v="0"/>
    <m/>
    <n v="0"/>
    <m/>
    <n v="0"/>
    <s v="No aplica"/>
  </r>
  <r>
    <s v="O-Phenylene diaminehydrochloride 10 mg "/>
    <s v="Sigma P8287-100"/>
    <s v="Caja x 100 tabletas"/>
    <x v="0"/>
    <x v="0"/>
    <n v="4"/>
    <n v="3077992.5008"/>
    <n v="12311970.0032"/>
    <n v="3"/>
    <n v="9233977.5023999996"/>
    <m/>
    <n v="0"/>
    <n v="1"/>
    <n v="3077992.5008"/>
    <m/>
    <n v="0"/>
    <m/>
    <n v="0"/>
    <m/>
    <n v="0"/>
    <m/>
    <n v="0"/>
    <m/>
    <n v="0"/>
    <m/>
    <n v="0"/>
    <s v="No aplica"/>
  </r>
  <r>
    <s v="L -Ornitina Clorhidrato"/>
    <s v="MILLIPORE 1,06906"/>
    <s v="Frasco x 100 g"/>
    <x v="0"/>
    <x v="0"/>
    <n v="1"/>
    <n v="1040995.816"/>
    <n v="1040995.816"/>
    <m/>
    <n v="0"/>
    <m/>
    <n v="0"/>
    <n v="1"/>
    <n v="1040995.816"/>
    <m/>
    <n v="0"/>
    <m/>
    <n v="0"/>
    <m/>
    <n v="0"/>
    <m/>
    <n v="0"/>
    <m/>
    <n v="0"/>
    <m/>
    <n v="0"/>
    <s v="No aplica"/>
  </r>
  <r>
    <s v="Ovoalbúmina Grado II"/>
    <s v="Sigma  A5253"/>
    <s v="Frasco x 500g"/>
    <x v="0"/>
    <x v="0"/>
    <n v="4"/>
    <n v="902759.89439999999"/>
    <n v="3611039.5776"/>
    <n v="3"/>
    <n v="2708279.6831999999"/>
    <m/>
    <n v="0"/>
    <n v="1"/>
    <n v="902759.89439999999"/>
    <m/>
    <n v="0"/>
    <m/>
    <n v="0"/>
    <m/>
    <n v="0"/>
    <m/>
    <n v="0"/>
    <m/>
    <n v="0"/>
    <m/>
    <n v="0"/>
    <s v="No aplica"/>
  </r>
  <r>
    <s v="Ovoalbúmina Grado V"/>
    <s v="Sigma  A5503"/>
    <s v="Frasco x 50g"/>
    <x v="0"/>
    <x v="0"/>
    <n v="4"/>
    <n v="9883283.1999999993"/>
    <n v="39533132.799999997"/>
    <n v="3"/>
    <n v="29649849.599999998"/>
    <m/>
    <n v="0"/>
    <n v="1"/>
    <n v="9883283.1999999993"/>
    <m/>
    <n v="0"/>
    <m/>
    <n v="0"/>
    <m/>
    <n v="0"/>
    <m/>
    <n v="0"/>
    <m/>
    <n v="0"/>
    <m/>
    <n v="0"/>
    <s v="No aplica"/>
  </r>
  <r>
    <s v="Oxalato de amonio  CAS: 1113-38-8"/>
    <s v="Merck, JT Baker, Sigma o equivalente"/>
    <s v="Frasco x 500g"/>
    <x v="0"/>
    <x v="2"/>
    <n v="3"/>
    <n v="882587.89919999999"/>
    <n v="2647763.6976000001"/>
    <m/>
    <n v="0"/>
    <n v="1"/>
    <n v="882587.89919999999"/>
    <m/>
    <n v="0"/>
    <m/>
    <n v="0"/>
    <m/>
    <n v="0"/>
    <m/>
    <n v="0"/>
    <m/>
    <n v="0"/>
    <n v="2"/>
    <n v="1765175.7984"/>
    <m/>
    <n v="0"/>
    <s v="No aplica"/>
  </r>
  <r>
    <s v="Óxido de lantano (III) &gt;98%"/>
    <s v="MERCK"/>
    <s v="Frasco 1 kg"/>
    <x v="0"/>
    <x v="7"/>
    <n v="5"/>
    <n v="3270586.48"/>
    <n v="16352932.4"/>
    <n v="2"/>
    <n v="6541172.96"/>
    <m/>
    <n v="0"/>
    <m/>
    <n v="0"/>
    <m/>
    <n v="0"/>
    <m/>
    <n v="0"/>
    <m/>
    <n v="0"/>
    <m/>
    <n v="0"/>
    <n v="3"/>
    <n v="9811759.4399999995"/>
    <m/>
    <n v="0"/>
    <s v="No aplica"/>
  </r>
  <r>
    <s v="Óxido de Titanio CAS 13463-67-7"/>
    <s v="SCHARLAU _x000a_TI03670500"/>
    <s v="Frasco x 500g"/>
    <x v="0"/>
    <x v="6"/>
    <n v="3"/>
    <n v="211970.416"/>
    <n v="635911.24800000002"/>
    <n v="3"/>
    <n v="635911.24800000002"/>
    <m/>
    <n v="0"/>
    <m/>
    <n v="0"/>
    <m/>
    <n v="0"/>
    <m/>
    <n v="0"/>
    <m/>
    <n v="0"/>
    <m/>
    <n v="0"/>
    <m/>
    <n v="0"/>
    <m/>
    <n v="0"/>
    <s v="No aplica"/>
  </r>
  <r>
    <s v="Parafina"/>
    <s v="BIOQUIGEN PAF040001"/>
    <s v=" Frasco o bolsa x 1 Kg"/>
    <x v="0"/>
    <x v="0"/>
    <n v="29"/>
    <n v="573750.59840000002"/>
    <n v="16638767.353600001"/>
    <m/>
    <n v="0"/>
    <n v="15"/>
    <n v="8606258.9759999998"/>
    <n v="14"/>
    <n v="8032508.3776000002"/>
    <m/>
    <n v="0"/>
    <m/>
    <n v="0"/>
    <m/>
    <n v="0"/>
    <m/>
    <n v="0"/>
    <m/>
    <n v="0"/>
    <m/>
    <n v="0"/>
    <s v="No aplica"/>
  </r>
  <r>
    <s v="Patron de conductividad para 1413 microsiemens x cm con certificado"/>
    <s v="Merck "/>
    <s v="Frasco x 250 ml"/>
    <x v="0"/>
    <x v="2"/>
    <n v="1"/>
    <n v="421625.1888"/>
    <n v="421625.1888"/>
    <m/>
    <n v="0"/>
    <n v="1"/>
    <n v="421625.1888"/>
    <m/>
    <n v="0"/>
    <m/>
    <n v="0"/>
    <m/>
    <n v="0"/>
    <m/>
    <n v="0"/>
    <m/>
    <n v="0"/>
    <m/>
    <n v="0"/>
    <m/>
    <n v="0"/>
    <s v="No aplica"/>
  </r>
  <r>
    <s v="Penicilina cristalina 1.000.000 U"/>
    <s v="SIGMA P3032"/>
    <s v="Frasco x 1.000.000 UI"/>
    <x v="0"/>
    <x v="0"/>
    <n v="1"/>
    <n v="3378522.3360000001"/>
    <n v="3378522.3360000001"/>
    <m/>
    <n v="0"/>
    <m/>
    <n v="0"/>
    <n v="1"/>
    <n v="3378522.3360000001"/>
    <m/>
    <n v="0"/>
    <m/>
    <n v="0"/>
    <m/>
    <n v="0"/>
    <m/>
    <n v="0"/>
    <m/>
    <n v="0"/>
    <m/>
    <n v="0"/>
    <s v="No aplica"/>
  </r>
  <r>
    <s v="Penicilinasa concentrada 10.000.000 units/ml"/>
    <s v="BD, Difco o equivalente"/>
    <s v="Frasco x 100 ml"/>
    <x v="0"/>
    <x v="2"/>
    <n v="1"/>
    <n v="847881.66399999999"/>
    <n v="847881.66399999999"/>
    <n v="1"/>
    <n v="847881.66399999999"/>
    <m/>
    <n v="0"/>
    <m/>
    <n v="0"/>
    <m/>
    <n v="0"/>
    <m/>
    <n v="0"/>
    <m/>
    <n v="0"/>
    <m/>
    <n v="0"/>
    <m/>
    <n v="0"/>
    <m/>
    <n v="0"/>
    <s v="No aplica"/>
  </r>
  <r>
    <s v="Penicilina-streptomicina "/>
    <s v="R&amp;D SYSTEMS  BIOTECHNE ref B21210"/>
    <s v="Frasco x 100 ml"/>
    <x v="0"/>
    <x v="4"/>
    <n v="5"/>
    <n v="1617737.4080000001"/>
    <n v="8088687.04"/>
    <n v="1"/>
    <n v="1617737.4080000001"/>
    <m/>
    <n v="0"/>
    <n v="4"/>
    <n v="6470949.6320000002"/>
    <m/>
    <n v="0"/>
    <m/>
    <n v="0"/>
    <m/>
    <n v="0"/>
    <m/>
    <n v="0"/>
    <m/>
    <n v="0"/>
    <m/>
    <n v="0"/>
    <s v="No aplica"/>
  </r>
  <r>
    <s v="Peptona de Caseina"/>
    <s v="SCHARLAU 07-489"/>
    <s v="Frasco x 500 g"/>
    <x v="0"/>
    <x v="6"/>
    <n v="5"/>
    <n v="936311.04"/>
    <n v="4681555.2"/>
    <n v="3"/>
    <n v="2808933.12"/>
    <m/>
    <n v="0"/>
    <n v="1"/>
    <n v="936311.04"/>
    <m/>
    <n v="0"/>
    <m/>
    <n v="0"/>
    <n v="1"/>
    <n v="936311.04"/>
    <m/>
    <n v="0"/>
    <m/>
    <n v="0"/>
    <m/>
    <n v="0"/>
    <s v="No aplica"/>
  </r>
  <r>
    <s v="Peptone de soya"/>
    <s v="LIOFILCHEM  612501 "/>
    <s v="Frasco x 500 g"/>
    <x v="0"/>
    <x v="6"/>
    <n v="1"/>
    <n v="585194.4"/>
    <n v="585194.4"/>
    <m/>
    <n v="0"/>
    <m/>
    <n v="0"/>
    <n v="1"/>
    <n v="585194.4"/>
    <m/>
    <n v="0"/>
    <m/>
    <n v="0"/>
    <m/>
    <n v="0"/>
    <m/>
    <n v="0"/>
    <m/>
    <n v="0"/>
    <m/>
    <n v="0"/>
    <s v="No aplica"/>
  </r>
  <r>
    <s v="Peróxido de hidrógeno 30%  for analysis"/>
    <s v="SCHARLAU "/>
    <s v="Frasco x 1 litro"/>
    <x v="0"/>
    <x v="6"/>
    <n v="11"/>
    <n v="235378.19200000001"/>
    <n v="2589160.1120000002"/>
    <n v="1"/>
    <n v="235378.19200000001"/>
    <n v="4"/>
    <n v="941512.76800000004"/>
    <n v="1"/>
    <n v="235378.19200000001"/>
    <m/>
    <n v="0"/>
    <n v="4"/>
    <n v="941512.76800000004"/>
    <m/>
    <n v="0"/>
    <m/>
    <n v="0"/>
    <n v="1"/>
    <n v="235378.19200000001"/>
    <m/>
    <n v="0"/>
    <s v="No aplica"/>
  </r>
  <r>
    <s v="Phloxine B"/>
    <s v="SIGMA P2759"/>
    <s v="Frasco x 25g"/>
    <x v="0"/>
    <x v="0"/>
    <n v="1"/>
    <n v="1250625.4543999999"/>
    <n v="1250625.4543999999"/>
    <m/>
    <n v="0"/>
    <m/>
    <n v="0"/>
    <n v="1"/>
    <n v="1250625.4543999999"/>
    <m/>
    <n v="0"/>
    <m/>
    <n v="0"/>
    <m/>
    <n v="0"/>
    <m/>
    <n v="0"/>
    <m/>
    <n v="0"/>
    <m/>
    <n v="0"/>
    <s v="No aplica"/>
  </r>
  <r>
    <s v="Pimaricin o Natamicina "/>
    <s v="Merck Millipore, Sigma o equivalente"/>
    <s v="Frasco x 100 mg"/>
    <x v="0"/>
    <x v="2"/>
    <n v="1"/>
    <n v="2377621.352"/>
    <n v="2377621.352"/>
    <m/>
    <n v="0"/>
    <m/>
    <n v="0"/>
    <m/>
    <n v="0"/>
    <m/>
    <n v="0"/>
    <n v="1"/>
    <n v="2377621.352"/>
    <m/>
    <n v="0"/>
    <m/>
    <n v="0"/>
    <m/>
    <n v="0"/>
    <m/>
    <n v="0"/>
    <s v="No aplica"/>
  </r>
  <r>
    <s v="Piruvato de sodio (C3H3NaO3) para microbiología"/>
    <s v="SIGMA P5280-500g"/>
    <s v="Frasco x 500g"/>
    <x v="0"/>
    <x v="0"/>
    <n v="3"/>
    <n v="3177345.5055999998"/>
    <n v="9532036.5167999994"/>
    <n v="2"/>
    <n v="6354691.0111999996"/>
    <m/>
    <n v="0"/>
    <n v="1"/>
    <n v="3177345.5055999998"/>
    <m/>
    <n v="0"/>
    <m/>
    <n v="0"/>
    <m/>
    <n v="0"/>
    <m/>
    <n v="0"/>
    <m/>
    <n v="0"/>
    <m/>
    <n v="0"/>
    <s v="No aplica"/>
  </r>
  <r>
    <s v="Platinum Quantitative RT-PCR Thermoscript One step System."/>
    <s v="Invitrogen Cat 11731-015"/>
    <s v="Unidad "/>
    <x v="0"/>
    <x v="1"/>
    <n v="1"/>
    <n v="6793456.7680000002"/>
    <n v="6793456.7680000002"/>
    <m/>
    <n v="0"/>
    <m/>
    <n v="0"/>
    <n v="1"/>
    <n v="6793456.7680000002"/>
    <m/>
    <n v="0"/>
    <m/>
    <n v="0"/>
    <m/>
    <n v="0"/>
    <m/>
    <n v="0"/>
    <m/>
    <n v="0"/>
    <m/>
    <n v="0"/>
    <s v="No aplica"/>
  </r>
  <r>
    <s v="Polietilenglicol – PEG 8000 H(OCH2CH2)nOH"/>
    <s v="SIGMA P2139"/>
    <s v="Frasco x 500g"/>
    <x v="0"/>
    <x v="0"/>
    <n v="10"/>
    <n v="609512.47840000002"/>
    <n v="6095124.784"/>
    <n v="10"/>
    <n v="6095124.784"/>
    <m/>
    <n v="0"/>
    <m/>
    <n v="0"/>
    <m/>
    <n v="0"/>
    <m/>
    <n v="0"/>
    <m/>
    <n v="0"/>
    <m/>
    <n v="0"/>
    <m/>
    <n v="0"/>
    <m/>
    <n v="0"/>
    <s v="No aplica"/>
  </r>
  <r>
    <s v="Polipectato de sodio (sal sódica del ácido poligalacturónico)"/>
    <s v="Sigma o equivalente"/>
    <s v="Frasco x 250g"/>
    <x v="0"/>
    <x v="2"/>
    <n v="4"/>
    <n v="2457267.8944000001"/>
    <n v="9829071.5776000004"/>
    <m/>
    <n v="0"/>
    <m/>
    <n v="0"/>
    <m/>
    <n v="0"/>
    <m/>
    <n v="0"/>
    <n v="4"/>
    <n v="9829071.5776000004"/>
    <m/>
    <n v="0"/>
    <m/>
    <n v="0"/>
    <m/>
    <n v="0"/>
    <m/>
    <n v="0"/>
    <s v="No aplica"/>
  </r>
  <r>
    <s v="Polivinilpirrolidona (PVP) 40"/>
    <s v="SIGMA ALDRICH_x000a_Ref: PVP40-100G"/>
    <s v="Frasco x 100g"/>
    <x v="0"/>
    <x v="0"/>
    <n v="1"/>
    <n v="469716.03840000002"/>
    <n v="469716.03840000002"/>
    <m/>
    <n v="0"/>
    <m/>
    <n v="0"/>
    <m/>
    <n v="0"/>
    <m/>
    <n v="0"/>
    <n v="1"/>
    <n v="469716.03840000002"/>
    <m/>
    <n v="0"/>
    <m/>
    <n v="0"/>
    <m/>
    <n v="0"/>
    <m/>
    <n v="0"/>
    <s v="No aplica"/>
  </r>
  <r>
    <s v="Polvo adsorbente para control de derrames de sustancias químicas"/>
    <s v="Merck o equivalente"/>
    <s v="Frasco x 500g"/>
    <x v="0"/>
    <x v="2"/>
    <n v="4"/>
    <n v="614823.48640000005"/>
    <n v="2459293.9456000002"/>
    <m/>
    <n v="0"/>
    <m/>
    <n v="0"/>
    <m/>
    <n v="0"/>
    <m/>
    <n v="0"/>
    <n v="4"/>
    <n v="2459293.9456000002"/>
    <m/>
    <n v="0"/>
    <m/>
    <n v="0"/>
    <m/>
    <n v="0"/>
    <m/>
    <n v="0"/>
    <s v="No aplica"/>
  </r>
  <r>
    <s v="pomona, strain Pomona, liquid culture"/>
    <s v="NVSL POL-010"/>
    <s v="VIAL X 10 ml"/>
    <x v="0"/>
    <x v="0"/>
    <n v="1"/>
    <n v="1672225.5088"/>
    <n v="1672225.5088"/>
    <m/>
    <n v="0"/>
    <m/>
    <n v="0"/>
    <n v="1"/>
    <n v="1672225.5088"/>
    <m/>
    <n v="0"/>
    <m/>
    <n v="0"/>
    <m/>
    <n v="0"/>
    <m/>
    <n v="0"/>
    <m/>
    <n v="0"/>
    <m/>
    <n v="0"/>
    <s v="No aplica"/>
  </r>
  <r>
    <s v="Primers desalados, desprotegidos, escala 50nM"/>
    <s v="Invitrogen Ref: 10629012"/>
    <s v="Base nitrogenada"/>
    <x v="0"/>
    <x v="1"/>
    <n v="1800"/>
    <n v="4798.5940800000008"/>
    <n v="8637469.3440000005"/>
    <m/>
    <n v="0"/>
    <m/>
    <n v="0"/>
    <m/>
    <n v="0"/>
    <m/>
    <n v="0"/>
    <n v="1000"/>
    <n v="4798594.080000001"/>
    <n v="800"/>
    <n v="3838875.2640000004"/>
    <m/>
    <n v="0"/>
    <m/>
    <n v="0"/>
    <m/>
    <n v="0"/>
    <s v="No aplica"/>
  </r>
  <r>
    <s v="Proteinase K, lista para usar"/>
    <s v="NORGEN_x000a_Ref: 28229"/>
    <s v="5 Viales x 1 mL cu"/>
    <x v="0"/>
    <x v="3"/>
    <n v="11"/>
    <n v="1654499.2"/>
    <n v="18199491.199999999"/>
    <m/>
    <n v="0"/>
    <n v="1"/>
    <n v="1654499.2"/>
    <n v="1"/>
    <n v="1654499.2"/>
    <m/>
    <n v="0"/>
    <n v="6"/>
    <n v="9926995.1999999993"/>
    <n v="3"/>
    <n v="4963497.5999999996"/>
    <m/>
    <n v="0"/>
    <m/>
    <n v="0"/>
    <m/>
    <n v="0"/>
    <s v="No aplica"/>
  </r>
  <r>
    <s v="Prueba de proeficiencia para Anemia infecciosa equina"/>
    <s v="NVSL  EIA-CHK"/>
    <s v="pánel"/>
    <x v="0"/>
    <x v="0"/>
    <n v="15"/>
    <n v="5188723.68"/>
    <n v="77830855.199999988"/>
    <m/>
    <n v="0"/>
    <n v="15"/>
    <n v="77830855.199999988"/>
    <m/>
    <n v="0"/>
    <m/>
    <n v="0"/>
    <m/>
    <n v="0"/>
    <m/>
    <n v="0"/>
    <m/>
    <n v="0"/>
    <m/>
    <n v="0"/>
    <m/>
    <n v="0"/>
    <s v="No aplica"/>
  </r>
  <r>
    <s v="Puretaq ready to go PCR beads. Premezcla para optimizar amplificaciones de PCR"/>
    <s v="GE HERAKTHCARE 27-9559-01"/>
    <s v="Kit x 96"/>
    <x v="0"/>
    <x v="0"/>
    <n v="7"/>
    <n v="2656782.5759999999"/>
    <n v="18597478.031999998"/>
    <m/>
    <n v="0"/>
    <m/>
    <n v="0"/>
    <n v="7"/>
    <n v="18597478.031999998"/>
    <m/>
    <n v="0"/>
    <m/>
    <n v="0"/>
    <m/>
    <n v="0"/>
    <m/>
    <n v="0"/>
    <m/>
    <n v="0"/>
    <m/>
    <n v="0"/>
    <s v="No aplica"/>
  </r>
  <r>
    <s v="Rammnosa"/>
    <s v="SIGMA W 3763011"/>
    <s v="Frasco x 100g"/>
    <x v="0"/>
    <x v="7"/>
    <n v="1"/>
    <n v="423940.83199999999"/>
    <n v="423940.83199999999"/>
    <m/>
    <n v="0"/>
    <m/>
    <n v="0"/>
    <n v="1"/>
    <n v="423940.83199999999"/>
    <m/>
    <n v="0"/>
    <m/>
    <n v="0"/>
    <m/>
    <n v="0"/>
    <m/>
    <n v="0"/>
    <m/>
    <n v="0"/>
    <m/>
    <n v="0"/>
    <s v="No aplica"/>
  </r>
  <r>
    <s v="Random Primers 1.5mM, [~297ug/100ul]."/>
    <s v="Invitrogen Ref 48190011 "/>
    <s v="Kit 100 ul"/>
    <x v="0"/>
    <x v="1"/>
    <n v="26"/>
    <n v="735784.42559999996"/>
    <n v="19130395.0656"/>
    <m/>
    <n v="0"/>
    <n v="4"/>
    <n v="2943137.7023999998"/>
    <n v="1"/>
    <n v="735784.42559999996"/>
    <m/>
    <n v="0"/>
    <n v="14"/>
    <n v="10300981.9584"/>
    <n v="7"/>
    <n v="5150490.9791999999"/>
    <m/>
    <n v="0"/>
    <m/>
    <n v="0"/>
    <m/>
    <n v="0"/>
    <s v="No aplica"/>
  </r>
  <r>
    <s v="RDE (Cholera filtrate lyophylized of Vibrio culture fluid) "/>
    <s v="Sigma C8772-1VL"/>
    <s v="Vial"/>
    <x v="0"/>
    <x v="2"/>
    <n v="5"/>
    <n v="1088221.1680000001"/>
    <n v="5441105.8399999999"/>
    <m/>
    <n v="0"/>
    <m/>
    <n v="0"/>
    <n v="5"/>
    <n v="5441105.8399999999"/>
    <m/>
    <n v="0"/>
    <m/>
    <n v="0"/>
    <m/>
    <n v="0"/>
    <m/>
    <n v="0"/>
    <m/>
    <n v="0"/>
    <m/>
    <n v="0"/>
    <s v="No aplica"/>
  </r>
  <r>
    <s v="Reactivo de kovacs para revelación de indol"/>
    <s v="BIOQUIGEN "/>
    <s v="Frasco x 100ml"/>
    <x v="0"/>
    <x v="0"/>
    <n v="16"/>
    <n v="328359.08"/>
    <n v="5253745.28"/>
    <m/>
    <n v="0"/>
    <n v="4"/>
    <n v="1313436.32"/>
    <n v="8"/>
    <n v="2626872.64"/>
    <m/>
    <n v="0"/>
    <n v="2"/>
    <n v="656718.16"/>
    <m/>
    <n v="0"/>
    <m/>
    <n v="0"/>
    <n v="2"/>
    <n v="656718.16"/>
    <m/>
    <n v="0"/>
    <s v="No aplica"/>
  </r>
  <r>
    <s v="Reactivo Turk"/>
    <s v="ALBOR 14008"/>
    <s v="Frasco  x 500 ml"/>
    <x v="0"/>
    <x v="0"/>
    <n v="11"/>
    <n v="63591.124799999998"/>
    <n v="699502.37280000001"/>
    <m/>
    <n v="0"/>
    <n v="11"/>
    <n v="699502.37280000001"/>
    <m/>
    <n v="0"/>
    <m/>
    <n v="0"/>
    <m/>
    <n v="0"/>
    <m/>
    <n v="0"/>
    <m/>
    <n v="0"/>
    <m/>
    <n v="0"/>
    <m/>
    <n v="0"/>
    <s v="No aplica"/>
  </r>
  <r>
    <s v="Red Gel  Nucleic Acid Gel Stain."/>
    <s v="Biotum. 41003"/>
    <s v="Vial"/>
    <x v="0"/>
    <x v="0"/>
    <n v="8"/>
    <n v="1687283.2"/>
    <n v="13498265.6"/>
    <m/>
    <n v="0"/>
    <n v="7"/>
    <n v="11810982.4"/>
    <n v="1"/>
    <n v="1687283.2"/>
    <m/>
    <n v="0"/>
    <m/>
    <n v="0"/>
    <m/>
    <n v="0"/>
    <m/>
    <n v="0"/>
    <m/>
    <n v="0"/>
    <m/>
    <n v="0"/>
    <s v="No aplica"/>
  </r>
  <r>
    <s v="RNA Later Solution Tissue collection RNA stabilization solution "/>
    <s v="INVITROGEN AMBION AM 7021"/>
    <s v="Unidad "/>
    <x v="0"/>
    <x v="1"/>
    <n v="2"/>
    <n v="4180108.6208000001"/>
    <n v="8360217.2416000003"/>
    <m/>
    <n v="0"/>
    <n v="1"/>
    <n v="4180108.6208000001"/>
    <n v="1"/>
    <n v="4180108.6208000001"/>
    <m/>
    <n v="0"/>
    <m/>
    <n v="0"/>
    <m/>
    <n v="0"/>
    <m/>
    <n v="0"/>
    <m/>
    <n v="0"/>
    <m/>
    <n v="0"/>
    <s v="No aplica"/>
  </r>
  <r>
    <s v="RNase AWAY en Spray solucion para descontaminar material de laboratorio como mesas y micropipetas de RNAsas. "/>
    <s v="VWR  17810-491"/>
    <s v="Frasco x 475 ml"/>
    <x v="0"/>
    <x v="0"/>
    <n v="52"/>
    <n v="1132806.3152000001"/>
    <n v="58905928.390400007"/>
    <m/>
    <n v="0"/>
    <n v="26"/>
    <n v="29452964.195200004"/>
    <n v="8"/>
    <n v="9062450.5216000006"/>
    <m/>
    <n v="0"/>
    <n v="18"/>
    <n v="20390513.673600003"/>
    <m/>
    <n v="0"/>
    <m/>
    <n v="0"/>
    <m/>
    <n v="0"/>
    <m/>
    <n v="0"/>
    <s v="No aplica"/>
  </r>
  <r>
    <s v="RNase Inhibitor. Proteína recombinante con inhibidor de rnasa neutro, 40U/µl"/>
    <s v="Invitrogen "/>
    <s v="AM2684"/>
    <x v="0"/>
    <x v="1"/>
    <n v="5"/>
    <n v="3796221.0943999998"/>
    <n v="18981105.471999999"/>
    <m/>
    <n v="0"/>
    <n v="2"/>
    <n v="7592442.1887999997"/>
    <n v="2"/>
    <n v="7592442.1887999997"/>
    <m/>
    <n v="0"/>
    <n v="1"/>
    <n v="3796221.0943999998"/>
    <m/>
    <n v="0"/>
    <m/>
    <n v="0"/>
    <m/>
    <n v="0"/>
    <m/>
    <n v="0"/>
    <s v="No aplica"/>
  </r>
  <r>
    <s v="RNase OUT.   Es un potente inhibibor de ribonucleasas de tipo pancreático tales como la Rnase A, RNasa B, Rnasa C "/>
    <s v="Invitrogen _x000a_Ref 10777019 "/>
    <s v="Kit x 5000 Und"/>
    <x v="0"/>
    <x v="1"/>
    <n v="23"/>
    <n v="1642185.5296"/>
    <n v="37770267.180799998"/>
    <m/>
    <n v="0"/>
    <m/>
    <n v="0"/>
    <m/>
    <n v="0"/>
    <m/>
    <n v="0"/>
    <n v="14"/>
    <n v="22990597.4144"/>
    <n v="9"/>
    <n v="14779669.7664"/>
    <m/>
    <n v="0"/>
    <m/>
    <n v="0"/>
    <m/>
    <n v="0"/>
    <s v="No aplica"/>
  </r>
  <r>
    <s v="RNaseA  (20mg/ml)"/>
    <s v="SIGMA ALDRICH_x000a_R 4642-10MG"/>
    <s v="Frasco x 10mg"/>
    <x v="0"/>
    <x v="0"/>
    <n v="30"/>
    <n v="253714.28320000001"/>
    <n v="7611428.4960000003"/>
    <m/>
    <n v="0"/>
    <m/>
    <n v="0"/>
    <m/>
    <n v="0"/>
    <m/>
    <n v="0"/>
    <n v="20"/>
    <n v="5074285.6639999999"/>
    <n v="10"/>
    <n v="2537142.8319999999"/>
    <m/>
    <n v="0"/>
    <m/>
    <n v="0"/>
    <m/>
    <n v="0"/>
    <s v="No aplica"/>
  </r>
  <r>
    <s v="Rojo de metilo"/>
    <s v="LABKEM"/>
    <s v="Frasco x 25g"/>
    <x v="0"/>
    <x v="0"/>
    <n v="3"/>
    <n v="1217204.352"/>
    <n v="3651613.0559999999"/>
    <n v="3"/>
    <n v="3651613.0559999999"/>
    <m/>
    <n v="0"/>
    <m/>
    <n v="0"/>
    <m/>
    <n v="0"/>
    <m/>
    <n v="0"/>
    <m/>
    <n v="0"/>
    <m/>
    <n v="0"/>
    <m/>
    <n v="0"/>
    <m/>
    <n v="0"/>
    <s v="No aplica"/>
  </r>
  <r>
    <s v="Safranina"/>
    <s v="MP BIOMEDICA"/>
    <s v="Frasco x 25g"/>
    <x v="0"/>
    <x v="0"/>
    <n v="1"/>
    <n v="726031.18559999997"/>
    <n v="726031.18559999997"/>
    <m/>
    <n v="0"/>
    <m/>
    <n v="0"/>
    <n v="1"/>
    <n v="726031.18559999997"/>
    <m/>
    <n v="0"/>
    <m/>
    <n v="0"/>
    <m/>
    <n v="0"/>
    <m/>
    <n v="0"/>
    <m/>
    <n v="0"/>
    <m/>
    <n v="0"/>
    <s v="No aplica"/>
  </r>
  <r>
    <s v="Salicina"/>
    <s v="SIGMA S0625"/>
    <s v="Frasco x 100g"/>
    <x v="0"/>
    <x v="0"/>
    <n v="1"/>
    <n v="4263986.4847999997"/>
    <n v="4263986.4847999997"/>
    <m/>
    <n v="0"/>
    <m/>
    <n v="0"/>
    <n v="1"/>
    <n v="4263986.4847999997"/>
    <m/>
    <n v="0"/>
    <m/>
    <n v="0"/>
    <m/>
    <n v="0"/>
    <m/>
    <n v="0"/>
    <m/>
    <n v="0"/>
    <m/>
    <n v="0"/>
    <s v="No aplica"/>
  </r>
  <r>
    <s v="Salmonella enterica subsp. enterica (ex Kauffmann and Edwards) Le Minor and Popoff serovar enteritidis _x000a_(pase 1)"/>
    <s v="LIOFILCHEM ATCC® 13076™ "/>
    <s v="KWIK STIK, Criovial, Vial Liofilizado"/>
    <x v="0"/>
    <x v="0"/>
    <n v="2"/>
    <n v="1262069.2560000001"/>
    <n v="2524138.5120000001"/>
    <m/>
    <n v="0"/>
    <n v="1"/>
    <n v="1262069.2560000001"/>
    <n v="1"/>
    <n v="1262069.2560000001"/>
    <m/>
    <n v="0"/>
    <m/>
    <n v="0"/>
    <m/>
    <n v="0"/>
    <m/>
    <n v="0"/>
    <m/>
    <n v="0"/>
    <m/>
    <n v="0"/>
    <s v="No aplica"/>
  </r>
  <r>
    <s v="Salmonella enterica subsp. enterica (ex Kauffmann and Edwards) Le Minor and Popoff serovar Pullorum_x000a_(Pase 1)"/>
    <s v="MICROBIOLOGICS  ATCC 13036"/>
    <s v="KWIK STIK, Criovial, Vial Liofilizado"/>
    <x v="0"/>
    <x v="0"/>
    <n v="2"/>
    <n v="638121.98239999998"/>
    <n v="1276243.9648"/>
    <m/>
    <n v="0"/>
    <n v="1"/>
    <n v="638121.98239999998"/>
    <n v="1"/>
    <n v="638121.98239999998"/>
    <m/>
    <n v="0"/>
    <m/>
    <n v="0"/>
    <m/>
    <n v="0"/>
    <m/>
    <n v="0"/>
    <m/>
    <n v="0"/>
    <m/>
    <n v="0"/>
    <s v="No aplica"/>
  </r>
  <r>
    <s v="Salmonella enterica subsp. enterica (ex Kauffmann and Edwards) Le Minor and Popoff serovar Typhimurium (Pase 1) ATCC® 13311D-5™"/>
    <s v="ATCC® 13311D-5™"/>
    <s v="KWIK STIK, Criovial, Vial Liofilizado"/>
    <x v="0"/>
    <x v="2"/>
    <n v="2"/>
    <n v="629452.80000000005"/>
    <n v="1258905.6000000001"/>
    <m/>
    <n v="0"/>
    <n v="1"/>
    <n v="629452.80000000005"/>
    <n v="1"/>
    <n v="629452.80000000005"/>
    <m/>
    <n v="0"/>
    <m/>
    <n v="0"/>
    <m/>
    <n v="0"/>
    <m/>
    <n v="0"/>
    <m/>
    <n v="0"/>
    <m/>
    <n v="0"/>
    <s v="No aplica"/>
  </r>
  <r>
    <s v="Salmonella enterica subsp. enterica (ex Kauffmann and Edwards) Le Minor and Popoff serovar Typhimurium (Pase 1) ATCC® 14028™"/>
    <s v="MICROBIOLOGICS ATCC® 14028™"/>
    <s v="KWIK STIK, Criovial, Vial Liofilizado"/>
    <x v="0"/>
    <x v="0"/>
    <n v="2"/>
    <n v="638121.98239999998"/>
    <n v="1276243.9648"/>
    <m/>
    <n v="0"/>
    <n v="1"/>
    <n v="638121.98239999998"/>
    <n v="1"/>
    <n v="638121.98239999998"/>
    <m/>
    <n v="0"/>
    <m/>
    <n v="0"/>
    <m/>
    <n v="0"/>
    <m/>
    <n v="0"/>
    <m/>
    <n v="0"/>
    <m/>
    <n v="0"/>
    <s v="No aplica"/>
  </r>
  <r>
    <s v="Salmonella O Antiserum GRP D1 Factor 1&amp;9"/>
    <s v="Difco o equivalente"/>
    <s v="Frasco x 3 ml"/>
    <x v="0"/>
    <x v="2"/>
    <n v="1"/>
    <n v="1367092.8"/>
    <n v="1367092.8"/>
    <m/>
    <n v="0"/>
    <n v="1"/>
    <n v="1367092.8"/>
    <m/>
    <n v="0"/>
    <m/>
    <n v="0"/>
    <m/>
    <n v="0"/>
    <m/>
    <n v="0"/>
    <m/>
    <n v="0"/>
    <m/>
    <n v="0"/>
    <m/>
    <n v="0"/>
    <s v="No aplica"/>
  </r>
  <r>
    <s v="SDS"/>
    <s v="SIGMA ALDRICH_x000a_Ref: L5750-500G"/>
    <s v="Frasco x 500 g"/>
    <x v="0"/>
    <x v="0"/>
    <n v="1"/>
    <n v="445918.13280000002"/>
    <n v="445918.13280000002"/>
    <m/>
    <n v="0"/>
    <m/>
    <n v="0"/>
    <m/>
    <n v="0"/>
    <m/>
    <n v="0"/>
    <n v="1"/>
    <n v="445918.13280000002"/>
    <m/>
    <n v="0"/>
    <m/>
    <n v="0"/>
    <m/>
    <n v="0"/>
    <m/>
    <n v="0"/>
    <s v="No aplica"/>
  </r>
  <r>
    <s v="Sensidiscos de Amoxycillin 2ug"/>
    <s v="Merck, Acumedia, BBL, Sharlau, Sigma"/>
    <s v="Caja x 5 tubos x 50 discos"/>
    <x v="0"/>
    <x v="2"/>
    <n v="1"/>
    <n v="134960.79999999999"/>
    <n v="134960.79999999999"/>
    <m/>
    <n v="0"/>
    <m/>
    <n v="0"/>
    <n v="1"/>
    <n v="134960.79999999999"/>
    <m/>
    <n v="0"/>
    <m/>
    <n v="0"/>
    <m/>
    <n v="0"/>
    <m/>
    <n v="0"/>
    <m/>
    <n v="0"/>
    <m/>
    <n v="0"/>
    <s v="No aplica"/>
  </r>
  <r>
    <s v="Sensidiscos de Ampicillin/sulbactam 2:1"/>
    <s v="Merck, Acumedia, BBL, Sharlau, Sigma"/>
    <s v="Caja x 5 tubos x 50 discos"/>
    <x v="0"/>
    <x v="2"/>
    <n v="1"/>
    <n v="134960.79999999999"/>
    <n v="134960.79999999999"/>
    <m/>
    <n v="0"/>
    <m/>
    <n v="0"/>
    <n v="1"/>
    <n v="134960.79999999999"/>
    <m/>
    <n v="0"/>
    <m/>
    <n v="0"/>
    <m/>
    <n v="0"/>
    <m/>
    <n v="0"/>
    <m/>
    <n v="0"/>
    <m/>
    <n v="0"/>
    <s v="No aplica"/>
  </r>
  <r>
    <s v="Sensidiscos de bacitracina 0.04 ug"/>
    <s v="Merck, Acumedia, BBL, Sharlau, Sigma"/>
    <s v="Caja x 5 tubos x 50 discos"/>
    <x v="0"/>
    <x v="2"/>
    <n v="1"/>
    <n v="134960.79999999999"/>
    <n v="134960.79999999999"/>
    <m/>
    <n v="0"/>
    <m/>
    <n v="0"/>
    <n v="1"/>
    <n v="134960.79999999999"/>
    <m/>
    <n v="0"/>
    <m/>
    <n v="0"/>
    <m/>
    <n v="0"/>
    <m/>
    <n v="0"/>
    <m/>
    <n v="0"/>
    <m/>
    <n v="0"/>
    <s v="No aplica"/>
  </r>
  <r>
    <s v="Sensidiscos de Penicilina/novobiocina 10unidades/30 ug"/>
    <s v="Merck, Acumedia, BBL, Sharlau, Sigma"/>
    <s v="Caja x 5 tubos x 50 discos"/>
    <x v="0"/>
    <x v="2"/>
    <n v="1"/>
    <n v="1594382.0863999999"/>
    <n v="1594382.0863999999"/>
    <m/>
    <n v="0"/>
    <m/>
    <n v="0"/>
    <n v="1"/>
    <n v="1594382.0863999999"/>
    <m/>
    <n v="0"/>
    <m/>
    <n v="0"/>
    <m/>
    <n v="0"/>
    <m/>
    <n v="0"/>
    <m/>
    <n v="0"/>
    <m/>
    <n v="0"/>
    <s v="No aplica"/>
  </r>
  <r>
    <s v="Sensidiscos de Sulfametoxasol 15 ug"/>
    <s v="Merck, Acumedia, BBL, Sharlau, Sigma"/>
    <s v="Caja x 5 tubos x 50 discos"/>
    <x v="0"/>
    <x v="2"/>
    <n v="1"/>
    <n v="1594382.0863999999"/>
    <n v="1594382.0863999999"/>
    <m/>
    <n v="0"/>
    <m/>
    <n v="0"/>
    <n v="1"/>
    <n v="1594382.0863999999"/>
    <m/>
    <n v="0"/>
    <m/>
    <n v="0"/>
    <m/>
    <n v="0"/>
    <m/>
    <n v="0"/>
    <m/>
    <n v="0"/>
    <m/>
    <n v="0"/>
    <s v="No aplica"/>
  </r>
  <r>
    <s v="Sistema de identificación Api 20E"/>
    <s v="BIOMERIEUX 20100"/>
    <s v="Caja x 25 pbas"/>
    <x v="0"/>
    <x v="0"/>
    <n v="4"/>
    <n v="1388991.4191999999"/>
    <n v="5555965.6767999995"/>
    <n v="4"/>
    <n v="5555965.6767999995"/>
    <m/>
    <n v="0"/>
    <m/>
    <n v="0"/>
    <m/>
    <n v="0"/>
    <m/>
    <n v="0"/>
    <m/>
    <n v="0"/>
    <m/>
    <n v="0"/>
    <m/>
    <n v="0"/>
    <m/>
    <n v="0"/>
    <s v="No aplica"/>
  </r>
  <r>
    <s v="Sistema de identificación API Listeria. "/>
    <s v="BIOMERIEUX 10300"/>
    <s v="Caja x 10 pbas"/>
    <x v="0"/>
    <x v="0"/>
    <n v="2"/>
    <n v="1479891.6159999999"/>
    <n v="2959783.2319999998"/>
    <n v="2"/>
    <n v="2959783.2319999998"/>
    <m/>
    <n v="0"/>
    <m/>
    <n v="0"/>
    <m/>
    <n v="0"/>
    <m/>
    <n v="0"/>
    <m/>
    <n v="0"/>
    <m/>
    <n v="0"/>
    <m/>
    <n v="0"/>
    <m/>
    <n v="0"/>
    <s v="No aplica"/>
  </r>
  <r>
    <s v="Sodio citrato tribasico dihidratado "/>
    <s v="SCHARLAU"/>
    <s v="Frasco x 500g"/>
    <x v="0"/>
    <x v="6"/>
    <n v="10"/>
    <n v="144347.95199999999"/>
    <n v="1443479.52"/>
    <m/>
    <n v="0"/>
    <m/>
    <n v="0"/>
    <m/>
    <n v="0"/>
    <m/>
    <n v="0"/>
    <m/>
    <n v="0"/>
    <m/>
    <n v="0"/>
    <m/>
    <n v="0"/>
    <n v="10"/>
    <n v="1443479.52"/>
    <m/>
    <n v="0"/>
    <s v="No aplica"/>
  </r>
  <r>
    <s v="Sodio Fosfato Bibasico dodecahidrato Na2HPO4 12H2O"/>
    <s v="PANREAC 141678.1211"/>
    <s v="Frasco x 1kg"/>
    <x v="0"/>
    <x v="0"/>
    <n v="10"/>
    <n v="402353.66080000001"/>
    <n v="4023536.608"/>
    <n v="8"/>
    <n v="3218829.2864000001"/>
    <n v="1"/>
    <n v="402353.66080000001"/>
    <n v="1"/>
    <n v="402353.66080000001"/>
    <m/>
    <n v="0"/>
    <m/>
    <n v="0"/>
    <m/>
    <n v="0"/>
    <m/>
    <n v="0"/>
    <m/>
    <n v="0"/>
    <m/>
    <n v="0"/>
    <s v="No aplica"/>
  </r>
  <r>
    <s v="Solución de Hanks"/>
    <s v="Thermofisher 88284"/>
    <s v="Frasco x 500 ml"/>
    <x v="0"/>
    <x v="2"/>
    <n v="10"/>
    <n v="234621.97440000001"/>
    <n v="2346219.7439999999"/>
    <m/>
    <n v="0"/>
    <m/>
    <n v="0"/>
    <n v="10"/>
    <n v="2346219.7439999999"/>
    <m/>
    <n v="0"/>
    <m/>
    <n v="0"/>
    <m/>
    <n v="0"/>
    <m/>
    <n v="0"/>
    <m/>
    <n v="0"/>
    <m/>
    <n v="0"/>
    <s v="No aplica"/>
  </r>
  <r>
    <s v="Solución Patrón de Arsénico 1000 mg As/L , trazable a SRM de NIST H₃AsO₄ en HNO₃ 0,5 mol/l 1000 mg/l As Certipur®"/>
    <s v="MERCK"/>
    <s v="Frasco x 100 mL"/>
    <x v="0"/>
    <x v="7"/>
    <n v="1"/>
    <n v="386228.304"/>
    <n v="386228.304"/>
    <m/>
    <n v="0"/>
    <m/>
    <n v="0"/>
    <m/>
    <n v="0"/>
    <m/>
    <n v="0"/>
    <m/>
    <n v="0"/>
    <m/>
    <n v="0"/>
    <m/>
    <n v="0"/>
    <n v="1"/>
    <n v="386228.304"/>
    <m/>
    <n v="0"/>
    <s v="No aplica"/>
  </r>
  <r>
    <s v="Solución Patrón de Boro 1000 mg B/L , trazable a SRM de NIST H₃ BO₃ en H₂O 1000 mg/l B Certipur®"/>
    <s v="MERCK"/>
    <s v="Frasco x 100 mL"/>
    <x v="0"/>
    <x v="2"/>
    <n v="1"/>
    <n v="515232.2512"/>
    <n v="515232.2512"/>
    <m/>
    <n v="0"/>
    <m/>
    <n v="0"/>
    <m/>
    <n v="0"/>
    <m/>
    <n v="0"/>
    <m/>
    <n v="0"/>
    <m/>
    <n v="0"/>
    <m/>
    <n v="0"/>
    <n v="1"/>
    <n v="515232.2512"/>
    <m/>
    <n v="0"/>
    <s v="No aplica"/>
  </r>
  <r>
    <s v="Solución Patrón de Cromo 1000 mg Cr/L trazable a SRM de NIST Cr(NO₃)₂ en HNO₃ 0,5 mol/l 1000 mg/L Cr Certipur®"/>
    <s v="MERCK"/>
    <s v="Frasco x 100 mL"/>
    <x v="0"/>
    <x v="7"/>
    <n v="1"/>
    <n v="474657.68"/>
    <n v="474657.68"/>
    <m/>
    <n v="0"/>
    <m/>
    <n v="0"/>
    <m/>
    <n v="0"/>
    <m/>
    <n v="0"/>
    <m/>
    <n v="0"/>
    <m/>
    <n v="0"/>
    <m/>
    <n v="0"/>
    <n v="1"/>
    <n v="474657.68"/>
    <m/>
    <n v="0"/>
    <s v="No aplica"/>
  </r>
  <r>
    <s v="Solución Patrón de Hierro 1000 mg Fe/L"/>
    <s v="SCHARLAU HI0302"/>
    <s v="Frasco x 100 mL"/>
    <x v="0"/>
    <x v="6"/>
    <n v="2"/>
    <n v="152150.54399999999"/>
    <n v="304301.08799999999"/>
    <n v="1"/>
    <n v="152150.54399999999"/>
    <m/>
    <n v="0"/>
    <m/>
    <n v="0"/>
    <m/>
    <n v="0"/>
    <m/>
    <n v="0"/>
    <m/>
    <n v="0"/>
    <m/>
    <n v="0"/>
    <n v="1"/>
    <n v="152150.54399999999"/>
    <m/>
    <n v="0"/>
    <s v="No aplica"/>
  </r>
  <r>
    <s v="Solución Patrón de Mercurio 1000 mg Hg/L , trazable a SRM de NIST Hg(NO₃)₂ en HNO₃ 2 mol/l  Certipur® "/>
    <s v="MERCK"/>
    <s v="Frasco x 100 mL"/>
    <x v="0"/>
    <x v="7"/>
    <n v="1"/>
    <n v="336811.88799999998"/>
    <n v="336811.88799999998"/>
    <m/>
    <n v="0"/>
    <m/>
    <n v="0"/>
    <m/>
    <n v="0"/>
    <m/>
    <n v="0"/>
    <m/>
    <n v="0"/>
    <m/>
    <n v="0"/>
    <m/>
    <n v="0"/>
    <n v="1"/>
    <n v="336811.88799999998"/>
    <m/>
    <n v="0"/>
    <s v="No aplica"/>
  </r>
  <r>
    <s v="Solución Patrón de Plomo 1000 mg Pb/L"/>
    <s v="Supelco Merck 119776"/>
    <s v="Frasco x 100 ml"/>
    <x v="0"/>
    <x v="7"/>
    <n v="2"/>
    <n v="240579.92"/>
    <n v="481159.84"/>
    <n v="1"/>
    <n v="240579.92"/>
    <m/>
    <n v="0"/>
    <m/>
    <n v="0"/>
    <m/>
    <n v="0"/>
    <m/>
    <n v="0"/>
    <m/>
    <n v="0"/>
    <m/>
    <n v="0"/>
    <n v="1"/>
    <n v="240579.92"/>
    <m/>
    <n v="0"/>
    <s v="No aplica"/>
  </r>
  <r>
    <s v="Solución Patrón de Potasio 1000 mg K/L"/>
    <s v="LGC - VHG LABS"/>
    <s v="Frasco x 100 ml"/>
    <x v="0"/>
    <x v="11"/>
    <n v="3"/>
    <n v="182060.48"/>
    <n v="546181.44000000006"/>
    <n v="1"/>
    <n v="182060.48"/>
    <m/>
    <n v="0"/>
    <m/>
    <n v="0"/>
    <m/>
    <n v="0"/>
    <m/>
    <n v="0"/>
    <m/>
    <n v="0"/>
    <m/>
    <n v="0"/>
    <n v="2"/>
    <n v="364120.96"/>
    <m/>
    <n v="0"/>
    <s v="No aplica"/>
  </r>
  <r>
    <s v="Sonda Custom TaqMan Probe, diseñada por usted mismo purificacada con HPLC X20,000 pmol (20nm), marcada con 6FAM/ VIC/ TET/ NED como reportero y MGBNFQ como atenuador."/>
    <s v="Applied Biosystem Ref 4316033"/>
    <s v="Unidad "/>
    <x v="0"/>
    <x v="1"/>
    <n v="2"/>
    <n v="5342434.7423999999"/>
    <n v="10684869.4848"/>
    <m/>
    <n v="0"/>
    <m/>
    <n v="0"/>
    <n v="2"/>
    <n v="10684869.4848"/>
    <m/>
    <n v="0"/>
    <m/>
    <n v="0"/>
    <m/>
    <n v="0"/>
    <m/>
    <n v="0"/>
    <m/>
    <n v="0"/>
    <m/>
    <n v="0"/>
    <s v="No aplica"/>
  </r>
  <r>
    <s v="Sonda dual de hasta 35 bases en escala de 25nM a 100nM con BHQ como atenuador"/>
    <s v="BIONNER"/>
    <s v="Unidad"/>
    <x v="0"/>
    <x v="3"/>
    <n v="1"/>
    <n v="3551600"/>
    <n v="3551600"/>
    <m/>
    <n v="0"/>
    <m/>
    <n v="0"/>
    <n v="1"/>
    <n v="3551600"/>
    <m/>
    <n v="0"/>
    <m/>
    <n v="0"/>
    <m/>
    <n v="0"/>
    <m/>
    <n v="0"/>
    <m/>
    <n v="0"/>
    <m/>
    <n v="0"/>
    <s v="No aplica"/>
  </r>
  <r>
    <s v="Sonda para PCR en tiempo real de rango 15-35pb en escala de 200nM marcación dual , marcaje BHQ"/>
    <s v="BIONNER"/>
    <s v="Unidad"/>
    <x v="0"/>
    <x v="3"/>
    <n v="32"/>
    <n v="5791840"/>
    <n v="185338880"/>
    <m/>
    <n v="0"/>
    <n v="8"/>
    <n v="46334720"/>
    <n v="6"/>
    <n v="34751040"/>
    <m/>
    <n v="0"/>
    <n v="6"/>
    <n v="34751040"/>
    <n v="12"/>
    <n v="69502080"/>
    <m/>
    <n v="0"/>
    <m/>
    <n v="0"/>
    <m/>
    <n v="0"/>
    <s v="No aplica"/>
  </r>
  <r>
    <s v="Sonda Taqman de Marcaje dual purificada.  Longitud: Hasta 30 bases. Escala de síntesis:  25nmol a 100nmol . Marcada con FAM/ VIC/ TET/ HEX/NED como reportero y TAMRA como atenuador. "/>
    <s v="BIONNER"/>
    <s v="Unidad"/>
    <x v="0"/>
    <x v="3"/>
    <n v="36"/>
    <n v="4043360"/>
    <n v="145560960"/>
    <m/>
    <n v="0"/>
    <m/>
    <n v="0"/>
    <n v="3"/>
    <n v="12130080"/>
    <m/>
    <n v="0"/>
    <n v="27"/>
    <n v="109170720"/>
    <n v="6"/>
    <n v="24260160"/>
    <m/>
    <n v="0"/>
    <m/>
    <n v="0"/>
    <m/>
    <n v="0"/>
    <s v="No aplica"/>
  </r>
  <r>
    <s v="Sorbitol"/>
    <s v="Sigma Aldrich_x000a_Ref: S1876-100G"/>
    <s v="Frasco x 100 g "/>
    <x v="0"/>
    <x v="7"/>
    <n v="3"/>
    <n v="280893.31199999998"/>
    <n v="842679.93599999999"/>
    <m/>
    <n v="0"/>
    <m/>
    <n v="0"/>
    <n v="1"/>
    <n v="280893.31199999998"/>
    <m/>
    <n v="0"/>
    <n v="2"/>
    <n v="561786.62399999995"/>
    <m/>
    <n v="0"/>
    <m/>
    <n v="0"/>
    <m/>
    <n v="0"/>
    <m/>
    <n v="0"/>
    <s v="No aplica"/>
  </r>
  <r>
    <s v="Staphylococcus aureus subsp. aureus con certificado de laboratorio acreditado en 17034_x000a_(Pase 1 0 2) "/>
    <s v="ATCC 49444, Microbiologics o Equivalente"/>
    <s v="KWIK STIK, Criovial, Vial Liofilizado"/>
    <x v="0"/>
    <x v="2"/>
    <n v="2"/>
    <n v="569348.80000000005"/>
    <n v="1138697.6000000001"/>
    <m/>
    <n v="0"/>
    <n v="2"/>
    <n v="1138697.6000000001"/>
    <m/>
    <n v="0"/>
    <m/>
    <n v="0"/>
    <m/>
    <n v="0"/>
    <m/>
    <n v="0"/>
    <m/>
    <n v="0"/>
    <m/>
    <n v="0"/>
    <m/>
    <n v="0"/>
    <s v="No aplica"/>
  </r>
  <r>
    <s v="Stick de Pseudomonas fluorescens  (Pase 1 o 2)"/>
    <s v="LIOFILCHE, ATCC 13525 "/>
    <s v="KWIK STIK, Criovial, Vial Liofilizado"/>
    <x v="0"/>
    <x v="0"/>
    <n v="1"/>
    <n v="2503331.6"/>
    <n v="2503331.6"/>
    <m/>
    <n v="0"/>
    <n v="1"/>
    <n v="2503331.6"/>
    <m/>
    <n v="0"/>
    <m/>
    <n v="0"/>
    <m/>
    <n v="0"/>
    <m/>
    <n v="0"/>
    <m/>
    <n v="0"/>
    <m/>
    <n v="0"/>
    <m/>
    <n v="0"/>
    <s v="No aplica"/>
  </r>
  <r>
    <s v="Streptavidina - HRP"/>
    <s v="SIGMA RABHRP3"/>
    <s v="Vial 6 ul - 600ul"/>
    <x v="0"/>
    <x v="0"/>
    <n v="3"/>
    <n v="479859.408"/>
    <n v="1439578.2239999999"/>
    <m/>
    <n v="0"/>
    <m/>
    <n v="0"/>
    <n v="3"/>
    <n v="1439578.2239999999"/>
    <m/>
    <n v="0"/>
    <m/>
    <n v="0"/>
    <m/>
    <n v="0"/>
    <m/>
    <n v="0"/>
    <m/>
    <n v="0"/>
    <m/>
    <n v="0"/>
    <s v="No aplica"/>
  </r>
  <r>
    <s v="Substrato TMB (Enhanced K Blue TMB Substrate) "/>
    <s v="Neogen 308175"/>
    <s v="Frasco x 200 mL"/>
    <x v="0"/>
    <x v="2"/>
    <n v="8"/>
    <n v="491760"/>
    <n v="3934080"/>
    <m/>
    <n v="0"/>
    <m/>
    <n v="0"/>
    <n v="8"/>
    <n v="3934080"/>
    <m/>
    <n v="0"/>
    <m/>
    <n v="0"/>
    <m/>
    <n v="0"/>
    <m/>
    <n v="0"/>
    <m/>
    <n v="0"/>
    <m/>
    <n v="0"/>
    <s v="No aplica"/>
  </r>
  <r>
    <s v="Suero bovino adulto esteril"/>
    <s v="SIGMA B9433-500ML"/>
    <s v="Frasco x 500ml"/>
    <x v="0"/>
    <x v="0"/>
    <n v="5"/>
    <n v="530836.34239999996"/>
    <n v="2654181.7119999998"/>
    <m/>
    <n v="0"/>
    <m/>
    <n v="0"/>
    <n v="5"/>
    <n v="2654181.7119999998"/>
    <m/>
    <n v="0"/>
    <m/>
    <n v="0"/>
    <m/>
    <n v="0"/>
    <m/>
    <n v="0"/>
    <m/>
    <n v="0"/>
    <m/>
    <n v="0"/>
    <s v="No aplica"/>
  </r>
  <r>
    <s v="Suero control negativo de referencia internacional para Brucella abortus"/>
    <s v="NVSL  12N"/>
    <s v="Vial x 2ml"/>
    <x v="0"/>
    <x v="0"/>
    <n v="5"/>
    <n v="2032445.1728000001"/>
    <n v="10162225.864"/>
    <m/>
    <n v="0"/>
    <m/>
    <n v="0"/>
    <n v="5"/>
    <n v="10162225.864"/>
    <m/>
    <n v="0"/>
    <m/>
    <n v="0"/>
    <m/>
    <n v="0"/>
    <m/>
    <n v="0"/>
    <m/>
    <n v="0"/>
    <m/>
    <n v="0"/>
    <s v="No aplica"/>
  </r>
  <r>
    <s v="Suero control positivo fuerte de referencia internacional para Brucella abortus"/>
    <s v="NVSL o laboratorio de referencia OMSA"/>
    <s v="Vial x 1 ml"/>
    <x v="0"/>
    <x v="2"/>
    <n v="3"/>
    <n v="615898.80160000001"/>
    <n v="1847696.4048000001"/>
    <m/>
    <n v="0"/>
    <m/>
    <n v="0"/>
    <n v="3"/>
    <n v="1847696.4048000001"/>
    <m/>
    <n v="0"/>
    <m/>
    <n v="0"/>
    <m/>
    <n v="0"/>
    <m/>
    <n v="0"/>
    <m/>
    <n v="0"/>
    <m/>
    <n v="0"/>
    <s v="No aplica"/>
  </r>
  <r>
    <s v="Suero control positivo moderado o debil  de referencia internacional para Brucella abortus"/>
    <s v="NVSL - 12L"/>
    <s v="Vial x 2 ml"/>
    <x v="0"/>
    <x v="0"/>
    <n v="3"/>
    <n v="2032445.1728000001"/>
    <n v="6097335.5184000004"/>
    <m/>
    <n v="0"/>
    <m/>
    <n v="0"/>
    <n v="3"/>
    <n v="6097335.5184000004"/>
    <m/>
    <n v="0"/>
    <m/>
    <n v="0"/>
    <m/>
    <n v="0"/>
    <m/>
    <n v="0"/>
    <m/>
    <n v="0"/>
    <m/>
    <n v="0"/>
    <s v="No aplica"/>
  </r>
  <r>
    <s v="Suero de oveja"/>
    <s v="SIGMA S2263-100ML "/>
    <s v="5 frascos x100 ml"/>
    <x v="0"/>
    <x v="0"/>
    <n v="1"/>
    <n v="1139048.3888000001"/>
    <n v="1139048.3888000001"/>
    <m/>
    <n v="0"/>
    <m/>
    <n v="0"/>
    <n v="1"/>
    <n v="1139048.3888000001"/>
    <m/>
    <n v="0"/>
    <m/>
    <n v="0"/>
    <m/>
    <n v="0"/>
    <m/>
    <n v="0"/>
    <m/>
    <n v="0"/>
    <m/>
    <n v="0"/>
    <s v="No aplica"/>
  </r>
  <r>
    <s v="Suero de referencia internacional &quot;International standard negative ELISA serum&quot;"/>
    <s v="Laborarorio referencia OMSA"/>
    <s v="Vial x 1 ml"/>
    <x v="0"/>
    <x v="2"/>
    <n v="1"/>
    <n v="1016234.0608"/>
    <n v="1016234.0608"/>
    <m/>
    <n v="0"/>
    <m/>
    <n v="0"/>
    <n v="1"/>
    <n v="1016234.0608"/>
    <m/>
    <n v="0"/>
    <m/>
    <n v="0"/>
    <m/>
    <n v="0"/>
    <m/>
    <n v="0"/>
    <m/>
    <n v="0"/>
    <m/>
    <n v="0"/>
    <s v="No aplica"/>
  </r>
  <r>
    <s v="Suero de referencia internacional &quot;International standard weak positive ELISA serum&quot;"/>
    <s v="Laborarorio referencia OMSA"/>
    <s v="Vial x 1 ml"/>
    <x v="0"/>
    <x v="2"/>
    <n v="1"/>
    <n v="1016234.0608"/>
    <n v="1016234.0608"/>
    <m/>
    <n v="0"/>
    <m/>
    <n v="0"/>
    <n v="1"/>
    <n v="1016234.0608"/>
    <m/>
    <n v="0"/>
    <m/>
    <n v="0"/>
    <m/>
    <n v="0"/>
    <m/>
    <n v="0"/>
    <m/>
    <n v="0"/>
    <m/>
    <n v="0"/>
    <s v="No aplica"/>
  </r>
  <r>
    <s v="Suero de referencia negativo AIID Inmunodifusion Influenza Aviar "/>
    <s v="NVSL -905- ADV AMES"/>
    <s v="Frasco liofilizado  x 0,6 ml"/>
    <x v="0"/>
    <x v="2"/>
    <n v="9"/>
    <n v="175618.424"/>
    <n v="1580565.8160000001"/>
    <m/>
    <n v="0"/>
    <m/>
    <n v="0"/>
    <n v="9"/>
    <n v="1580565.8160000001"/>
    <m/>
    <n v="0"/>
    <m/>
    <n v="0"/>
    <m/>
    <n v="0"/>
    <m/>
    <n v="0"/>
    <m/>
    <n v="0"/>
    <m/>
    <n v="0"/>
    <s v="No aplica"/>
  </r>
  <r>
    <s v="Suero de Referencia Positivo para Diarrea Viral Bovina tipo 2"/>
    <s v="NVSL Ref 546 BDV"/>
    <s v="Frasco x 1 ml"/>
    <x v="0"/>
    <x v="2"/>
    <n v="2"/>
    <n v="415731.71840000001"/>
    <n v="831463.43680000002"/>
    <m/>
    <n v="0"/>
    <m/>
    <n v="0"/>
    <n v="2"/>
    <n v="831463.43680000002"/>
    <m/>
    <n v="0"/>
    <m/>
    <n v="0"/>
    <m/>
    <n v="0"/>
    <m/>
    <n v="0"/>
    <m/>
    <n v="0"/>
    <m/>
    <n v="0"/>
    <s v="No aplica"/>
  </r>
  <r>
    <s v="Suero de Referencia Negativo para Diarrea Viral Bovina p80"/>
    <s v="NVSL o APHA o equivalente"/>
    <s v="Frasco x 2 ml"/>
    <x v="0"/>
    <x v="2"/>
    <n v="3"/>
    <n v="415731.71840000001"/>
    <n v="1247195.1551999999"/>
    <m/>
    <n v="0"/>
    <m/>
    <n v="0"/>
    <n v="3"/>
    <n v="1247195.1551999999"/>
    <m/>
    <n v="0"/>
    <m/>
    <n v="0"/>
    <m/>
    <n v="0"/>
    <m/>
    <n v="0"/>
    <m/>
    <n v="0"/>
    <m/>
    <n v="0"/>
    <s v="No aplica"/>
  </r>
  <r>
    <s v="Suero de Referencia Negativo para el Virus Parainfuenza Bovina PI3"/>
    <s v="NVSL o APHA o equivalente"/>
    <s v="Frasco x 2 ml"/>
    <x v="0"/>
    <x v="2"/>
    <n v="1"/>
    <n v="390129.6"/>
    <n v="390129.6"/>
    <m/>
    <n v="0"/>
    <m/>
    <n v="0"/>
    <n v="1"/>
    <n v="390129.6"/>
    <m/>
    <n v="0"/>
    <m/>
    <n v="0"/>
    <m/>
    <n v="0"/>
    <m/>
    <n v="0"/>
    <m/>
    <n v="0"/>
    <m/>
    <n v="0"/>
    <s v="No aplica"/>
  </r>
  <r>
    <s v="Suero de Referencia Negativo para Leucosis Enzoótica Bovina"/>
    <s v="NVSL o APHA o equivalente"/>
    <s v="Frasco x 1 ml"/>
    <x v="0"/>
    <x v="2"/>
    <n v="1"/>
    <n v="415731.71840000001"/>
    <n v="415731.71840000001"/>
    <m/>
    <n v="0"/>
    <m/>
    <n v="0"/>
    <n v="1"/>
    <n v="415731.71840000001"/>
    <m/>
    <n v="0"/>
    <m/>
    <n v="0"/>
    <m/>
    <n v="0"/>
    <m/>
    <n v="0"/>
    <m/>
    <n v="0"/>
    <m/>
    <n v="0"/>
    <s v="No aplica"/>
  </r>
  <r>
    <s v="Suero de Referencia Negativo para Mycobacterium paratuberculoso"/>
    <s v="NVSL 133-N"/>
    <s v="Frasco x 2 ml"/>
    <x v="0"/>
    <x v="0"/>
    <n v="1"/>
    <n v="862186.41599999997"/>
    <n v="862186.41599999997"/>
    <m/>
    <n v="0"/>
    <m/>
    <n v="0"/>
    <n v="1"/>
    <n v="862186.41599999997"/>
    <m/>
    <n v="0"/>
    <m/>
    <n v="0"/>
    <m/>
    <n v="0"/>
    <m/>
    <n v="0"/>
    <m/>
    <n v="0"/>
    <m/>
    <n v="0"/>
    <s v="No aplica"/>
  </r>
  <r>
    <s v="Suero Bovina  de Referencia Negativo para Neospora caninum"/>
    <s v="NVSL o APHA o equivalente"/>
    <s v="Frasco x 1 ml"/>
    <x v="0"/>
    <x v="2"/>
    <n v="1"/>
    <n v="307949.9472"/>
    <n v="307949.9472"/>
    <m/>
    <n v="0"/>
    <m/>
    <n v="0"/>
    <n v="1"/>
    <n v="307949.9472"/>
    <m/>
    <n v="0"/>
    <m/>
    <n v="0"/>
    <m/>
    <n v="0"/>
    <m/>
    <n v="0"/>
    <m/>
    <n v="0"/>
    <m/>
    <n v="0"/>
    <s v="No aplica"/>
  </r>
  <r>
    <s v="Suero de Referencia Negativo para Rinotraqueitis Infecciosa Bovina"/>
    <s v="NVSL o APHA o equivalente"/>
    <s v="Frasco x 1 ml"/>
    <x v="0"/>
    <x v="2"/>
    <n v="1"/>
    <n v="415731.71840000001"/>
    <n v="415731.71840000001"/>
    <m/>
    <n v="0"/>
    <m/>
    <n v="0"/>
    <n v="1"/>
    <n v="415731.71840000001"/>
    <m/>
    <n v="0"/>
    <m/>
    <n v="0"/>
    <m/>
    <n v="0"/>
    <m/>
    <n v="0"/>
    <m/>
    <n v="0"/>
    <m/>
    <n v="0"/>
    <s v="No aplica"/>
  </r>
  <r>
    <s v="Suero de Referencia Negativo para Artritis y Encefalitis Caprina (CAEV)"/>
    <s v="NVSL o APHA o equivalente"/>
    <s v="Frasco x 2 ml"/>
    <x v="0"/>
    <x v="2"/>
    <n v="1"/>
    <n v="415731.71840000001"/>
    <n v="415731.71840000001"/>
    <m/>
    <n v="0"/>
    <m/>
    <n v="0"/>
    <n v="1"/>
    <n v="415731.71840000001"/>
    <m/>
    <n v="0"/>
    <m/>
    <n v="0"/>
    <m/>
    <n v="0"/>
    <m/>
    <n v="0"/>
    <m/>
    <n v="0"/>
    <m/>
    <n v="0"/>
    <s v="No aplica"/>
  </r>
  <r>
    <s v="Suero de Referencia Negativo para Mycobacterium bovis"/>
    <s v="NVSL SBP-MB"/>
    <s v="4 Frasco x 0,5 ml"/>
    <x v="0"/>
    <x v="0"/>
    <n v="1"/>
    <n v="732143.21600000001"/>
    <n v="732143.21600000001"/>
    <m/>
    <n v="0"/>
    <m/>
    <n v="0"/>
    <n v="1"/>
    <n v="732143.21600000001"/>
    <m/>
    <n v="0"/>
    <m/>
    <n v="0"/>
    <m/>
    <n v="0"/>
    <m/>
    <n v="0"/>
    <m/>
    <n v="0"/>
    <m/>
    <n v="0"/>
    <s v="No aplica"/>
  </r>
  <r>
    <s v="Suero de referencia positivo debil AIID Inmunodifusion Influenza Aviar "/>
    <s v="NVSL 903-ADV  AMES"/>
    <s v="Frasco liofilizado  x 0,6 ml"/>
    <x v="0"/>
    <x v="2"/>
    <n v="8"/>
    <n v="165430.24960000001"/>
    <n v="1323441.9968000001"/>
    <m/>
    <n v="0"/>
    <m/>
    <n v="0"/>
    <n v="8"/>
    <n v="1323441.9968000001"/>
    <m/>
    <n v="0"/>
    <m/>
    <n v="0"/>
    <m/>
    <n v="0"/>
    <m/>
    <n v="0"/>
    <m/>
    <n v="0"/>
    <m/>
    <n v="0"/>
    <s v="No aplica"/>
  </r>
  <r>
    <s v="Suero de referencia positivo fuerte AIID Inmunodifusion Influenza Aviar "/>
    <s v="NVSL  902-ADV-AMES"/>
    <s v="Frasco liofilizado x 0,6 ml"/>
    <x v="0"/>
    <x v="2"/>
    <n v="3"/>
    <n v="165430.24960000001"/>
    <n v="496290.74880000006"/>
    <m/>
    <n v="0"/>
    <m/>
    <n v="0"/>
    <n v="3"/>
    <n v="496290.74880000006"/>
    <m/>
    <n v="0"/>
    <m/>
    <n v="0"/>
    <m/>
    <n v="0"/>
    <m/>
    <n v="0"/>
    <m/>
    <n v="0"/>
    <m/>
    <n v="0"/>
    <s v="No aplica"/>
  </r>
  <r>
    <s v="Suero de Referencia Positivo Fuerte para Leucosis Enzoótica Bovina"/>
    <s v="NVSL o APHA o equivalente"/>
    <s v="Frasco x 1 ml"/>
    <x v="0"/>
    <x v="2"/>
    <n v="1"/>
    <n v="395380.50400000002"/>
    <n v="395380.50400000002"/>
    <m/>
    <n v="0"/>
    <m/>
    <n v="0"/>
    <n v="1"/>
    <n v="395380.50400000002"/>
    <m/>
    <n v="0"/>
    <m/>
    <n v="0"/>
    <m/>
    <n v="0"/>
    <m/>
    <n v="0"/>
    <m/>
    <n v="0"/>
    <m/>
    <n v="0"/>
    <s v="No aplica"/>
  </r>
  <r>
    <s v="Suero de Referencia Negativo  para Leucosis Enzoótica Bovina"/>
    <s v="NVSL o APHA o equivalente"/>
    <s v="Frasco x 1 ml"/>
    <x v="0"/>
    <x v="2"/>
    <n v="1"/>
    <n v="395380.50400000002"/>
    <n v="395380.50400000002"/>
    <m/>
    <n v="0"/>
    <m/>
    <n v="0"/>
    <n v="1"/>
    <n v="395380.50400000002"/>
    <m/>
    <n v="0"/>
    <m/>
    <n v="0"/>
    <m/>
    <n v="0"/>
    <m/>
    <n v="0"/>
    <m/>
    <n v="0"/>
    <m/>
    <n v="0"/>
    <s v="No aplica"/>
  </r>
  <r>
    <s v="Suero de Referencia Positivo para Diarrea Viral Bovina (antígeno) tipo 2"/>
    <s v="NVSL Ref 546 BDV"/>
    <s v="Frasco x 1 ml"/>
    <x v="0"/>
    <x v="2"/>
    <n v="1"/>
    <n v="395380.50400000002"/>
    <n v="395380.50400000002"/>
    <m/>
    <n v="0"/>
    <m/>
    <n v="0"/>
    <n v="1"/>
    <n v="395380.50400000002"/>
    <m/>
    <n v="0"/>
    <m/>
    <n v="0"/>
    <m/>
    <n v="0"/>
    <m/>
    <n v="0"/>
    <m/>
    <n v="0"/>
    <m/>
    <n v="0"/>
    <s v="No aplica"/>
  </r>
  <r>
    <s v="Suero de Referencia Positivo para Diarrea Viral Bovina (antígeno) tipo 2"/>
    <s v="NVSL o APHA o equivalente"/>
    <s v="Frasco x 1 ml"/>
    <x v="0"/>
    <x v="2"/>
    <n v="1"/>
    <n v="395380.50400000002"/>
    <n v="395380.50400000002"/>
    <m/>
    <n v="0"/>
    <m/>
    <n v="0"/>
    <n v="1"/>
    <n v="395380.50400000002"/>
    <m/>
    <n v="0"/>
    <m/>
    <n v="0"/>
    <m/>
    <n v="0"/>
    <m/>
    <n v="0"/>
    <m/>
    <n v="0"/>
    <m/>
    <n v="0"/>
    <s v="No aplica"/>
  </r>
  <r>
    <s v="Suero de Referencia Positivo para Diarrea Viral Bovina"/>
    <s v="NVSL 455 BDV"/>
    <s v="Frasco x 2 ml"/>
    <x v="0"/>
    <x v="0"/>
    <n v="1"/>
    <n v="1260118.608"/>
    <n v="1260118.608"/>
    <m/>
    <n v="0"/>
    <m/>
    <n v="0"/>
    <n v="1"/>
    <n v="1260118.608"/>
    <m/>
    <n v="0"/>
    <m/>
    <n v="0"/>
    <m/>
    <n v="0"/>
    <m/>
    <n v="0"/>
    <m/>
    <n v="0"/>
    <m/>
    <n v="0"/>
    <s v="No aplica"/>
  </r>
  <r>
    <s v="Suero de Referencia Positivo para el Virus Parainfuenza Bovina PI3"/>
    <s v="NVSL 475 BDV"/>
    <s v="Frasco x 2 ml"/>
    <x v="0"/>
    <x v="0"/>
    <n v="1"/>
    <n v="1842712.1440000001"/>
    <n v="1842712.1440000001"/>
    <m/>
    <n v="0"/>
    <m/>
    <n v="0"/>
    <n v="1"/>
    <n v="1842712.1440000001"/>
    <m/>
    <n v="0"/>
    <m/>
    <n v="0"/>
    <m/>
    <n v="0"/>
    <m/>
    <n v="0"/>
    <m/>
    <n v="0"/>
    <m/>
    <n v="0"/>
    <s v="No aplica"/>
  </r>
  <r>
    <s v="Suero de Referencia Positivo para Mycobacterium paratuberculoso"/>
    <s v="NVSL 133-P"/>
    <s v="Frasco x 1 ml"/>
    <x v="0"/>
    <x v="0"/>
    <n v="1"/>
    <n v="966741.14879999997"/>
    <n v="966741.14879999997"/>
    <m/>
    <n v="0"/>
    <m/>
    <n v="0"/>
    <n v="1"/>
    <n v="966741.14879999997"/>
    <m/>
    <n v="0"/>
    <m/>
    <n v="0"/>
    <m/>
    <n v="0"/>
    <m/>
    <n v="0"/>
    <m/>
    <n v="0"/>
    <m/>
    <n v="0"/>
    <s v="No aplica"/>
  </r>
  <r>
    <s v="Suero de Referencia Positivo para Mycobacterium paratuberculoso"/>
    <s v="NVSL 133-P"/>
    <s v="Frasco x 1 ml"/>
    <x v="0"/>
    <x v="0"/>
    <n v="1"/>
    <n v="966741.14879999997"/>
    <n v="966741.14879999997"/>
    <m/>
    <n v="0"/>
    <m/>
    <n v="0"/>
    <n v="1"/>
    <n v="966741.14879999997"/>
    <m/>
    <n v="0"/>
    <m/>
    <n v="0"/>
    <m/>
    <n v="0"/>
    <m/>
    <n v="0"/>
    <m/>
    <n v="0"/>
    <m/>
    <n v="0"/>
    <s v="No aplica"/>
  </r>
  <r>
    <s v="Suero de Referencia Positivo para Neospora caninum"/>
    <s v="NVSL o APHA o equivalente"/>
    <s v="Frasco x 1 ml"/>
    <x v="0"/>
    <x v="2"/>
    <n v="1"/>
    <n v="3033304.6304000001"/>
    <n v="3033304.6304000001"/>
    <m/>
    <n v="0"/>
    <m/>
    <n v="0"/>
    <n v="1"/>
    <n v="3033304.6304000001"/>
    <m/>
    <n v="0"/>
    <m/>
    <n v="0"/>
    <m/>
    <n v="0"/>
    <m/>
    <n v="0"/>
    <m/>
    <n v="0"/>
    <m/>
    <n v="0"/>
    <s v="No aplica"/>
  </r>
  <r>
    <s v="Suero de Referencia Positivo para Rinotraqueitis Infecciosa Bovina"/>
    <s v="NVSL 355 BDV"/>
    <s v="Frasco x 2 ml"/>
    <x v="0"/>
    <x v="0"/>
    <n v="1"/>
    <n v="422640.4"/>
    <n v="422640.4"/>
    <m/>
    <n v="0"/>
    <m/>
    <n v="0"/>
    <n v="1"/>
    <n v="422640.4"/>
    <m/>
    <n v="0"/>
    <m/>
    <n v="0"/>
    <m/>
    <n v="0"/>
    <m/>
    <n v="0"/>
    <m/>
    <n v="0"/>
    <m/>
    <n v="0"/>
    <s v="No aplica"/>
  </r>
  <r>
    <s v="Suero de Referencia Positivo para Rinotraqueitis Infecciosa Bovina"/>
    <s v="NVSL 355 BDV"/>
    <s v="Frasco x 2 ml"/>
    <x v="0"/>
    <x v="0"/>
    <n v="1"/>
    <n v="682856.8432"/>
    <n v="682856.8432"/>
    <m/>
    <n v="0"/>
    <m/>
    <n v="0"/>
    <n v="1"/>
    <n v="682856.8432"/>
    <m/>
    <n v="0"/>
    <m/>
    <n v="0"/>
    <m/>
    <n v="0"/>
    <m/>
    <n v="0"/>
    <m/>
    <n v="0"/>
    <m/>
    <n v="0"/>
    <s v="No aplica"/>
  </r>
  <r>
    <s v="Suero de Referencia Positivo para Artritis y Encefalitis Caprina (CAEV)"/>
    <s v="NVSL o APHA o equivalente"/>
    <s v="Frasco x 2 ml"/>
    <x v="0"/>
    <x v="2"/>
    <n v="1"/>
    <n v="395380.50400000002"/>
    <n v="395380.50400000002"/>
    <m/>
    <n v="0"/>
    <m/>
    <n v="0"/>
    <n v="1"/>
    <n v="395380.50400000002"/>
    <m/>
    <n v="0"/>
    <m/>
    <n v="0"/>
    <m/>
    <n v="0"/>
    <m/>
    <n v="0"/>
    <m/>
    <n v="0"/>
    <m/>
    <n v="0"/>
    <s v="No aplica"/>
  </r>
  <r>
    <s v="Suero de Referencia Positivo para Mycobacterium bovis"/>
    <s v="NVSL SBP-MB"/>
    <s v="4 Frasco x 0,5 ml"/>
    <x v="0"/>
    <x v="0"/>
    <n v="1"/>
    <n v="862186.41599999997"/>
    <n v="862186.41599999997"/>
    <m/>
    <n v="0"/>
    <m/>
    <n v="0"/>
    <n v="1"/>
    <n v="862186.41599999997"/>
    <m/>
    <n v="0"/>
    <m/>
    <n v="0"/>
    <m/>
    <n v="0"/>
    <m/>
    <n v="0"/>
    <m/>
    <n v="0"/>
    <m/>
    <n v="0"/>
    <s v="No aplica"/>
  </r>
  <r>
    <s v="Suero de Referencia Sospechoso para Diarrea Viral Bovina p80"/>
    <s v="NVSL o APHA o equivalente"/>
    <s v="Frasco x 2 ml"/>
    <x v="0"/>
    <x v="2"/>
    <n v="1"/>
    <n v="681946.54079999996"/>
    <n v="681946.54079999996"/>
    <m/>
    <n v="0"/>
    <m/>
    <n v="0"/>
    <n v="1"/>
    <n v="681946.54079999996"/>
    <m/>
    <n v="0"/>
    <m/>
    <n v="0"/>
    <m/>
    <n v="0"/>
    <m/>
    <n v="0"/>
    <m/>
    <n v="0"/>
    <m/>
    <n v="0"/>
    <s v="No aplica"/>
  </r>
  <r>
    <s v="Suero de Referencia Sospechoso para Mycobacterium paratuberculoso"/>
    <s v="NVSL 133 N"/>
    <s v="Frasco x 2 ml"/>
    <x v="0"/>
    <x v="0"/>
    <n v="1"/>
    <n v="615884.59519999998"/>
    <n v="615884.59519999998"/>
    <m/>
    <n v="0"/>
    <m/>
    <n v="0"/>
    <n v="1"/>
    <n v="615884.59519999998"/>
    <m/>
    <n v="0"/>
    <m/>
    <n v="0"/>
    <m/>
    <n v="0"/>
    <m/>
    <n v="0"/>
    <m/>
    <n v="0"/>
    <m/>
    <n v="0"/>
    <s v="No aplica"/>
  </r>
  <r>
    <s v="Suero de Referencia Sospechoso para Rinotraqueitis Infecciosa Bovina"/>
    <s v="NVSL o APHA o equivalente"/>
    <s v="Frasco x 1 ml"/>
    <x v="0"/>
    <x v="2"/>
    <n v="1"/>
    <n v="415731.71840000001"/>
    <n v="415731.71840000001"/>
    <m/>
    <n v="0"/>
    <m/>
    <n v="0"/>
    <n v="1"/>
    <n v="415731.71840000001"/>
    <m/>
    <n v="0"/>
    <m/>
    <n v="0"/>
    <m/>
    <n v="0"/>
    <m/>
    <n v="0"/>
    <m/>
    <n v="0"/>
    <m/>
    <n v="0"/>
    <s v="No aplica"/>
  </r>
  <r>
    <s v="Suero de Referencia Sospechoso para Virus Parainfuenza Bovina PI3"/>
    <s v="NVSL o APHA o equivalente"/>
    <s v="Frasco x 2 ml"/>
    <x v="0"/>
    <x v="2"/>
    <n v="1"/>
    <n v="390129.6"/>
    <n v="390129.6"/>
    <m/>
    <n v="0"/>
    <m/>
    <n v="0"/>
    <n v="1"/>
    <n v="390129.6"/>
    <m/>
    <n v="0"/>
    <m/>
    <n v="0"/>
    <m/>
    <n v="0"/>
    <m/>
    <n v="0"/>
    <m/>
    <n v="0"/>
    <m/>
    <n v="0"/>
    <s v="No aplica"/>
  </r>
  <r>
    <s v="Suero de Referencia Sospechoso para Artritis y Encefalitis Caprina (CAEV)"/>
    <s v="NVSL 410-CDV"/>
    <s v="Frasco x 2 ml"/>
    <x v="0"/>
    <x v="0"/>
    <n v="2"/>
    <n v="681946.54079999996"/>
    <n v="1363893.0815999999"/>
    <m/>
    <n v="0"/>
    <m/>
    <n v="0"/>
    <n v="2"/>
    <n v="1363893.0815999999"/>
    <m/>
    <n v="0"/>
    <m/>
    <n v="0"/>
    <m/>
    <n v="0"/>
    <m/>
    <n v="0"/>
    <m/>
    <n v="0"/>
    <m/>
    <n v="0"/>
    <s v="No aplica"/>
  </r>
  <r>
    <s v="Suero Equino Estéril"/>
    <s v="GIBCO 16050122"/>
    <s v="Frasco x 500ml"/>
    <x v="0"/>
    <x v="1"/>
    <n v="1"/>
    <n v="607821.91680000001"/>
    <n v="607821.91680000001"/>
    <m/>
    <n v="0"/>
    <m/>
    <n v="0"/>
    <n v="1"/>
    <n v="607821.91680000001"/>
    <m/>
    <n v="0"/>
    <m/>
    <n v="0"/>
    <m/>
    <n v="0"/>
    <m/>
    <n v="0"/>
    <m/>
    <n v="0"/>
    <m/>
    <n v="0"/>
    <s v="No aplica"/>
  </r>
  <r>
    <s v="Suero fetal bovino gamma irradiado"/>
    <s v="SIGMA F3885"/>
    <s v="Frasco x 500ml"/>
    <x v="0"/>
    <x v="7"/>
    <n v="5"/>
    <n v="7972948.5920000002"/>
    <n v="39864742.960000001"/>
    <n v="2"/>
    <n v="15945897.184"/>
    <m/>
    <n v="0"/>
    <n v="3"/>
    <n v="23918845.776000001"/>
    <m/>
    <n v="0"/>
    <m/>
    <n v="0"/>
    <m/>
    <n v="0"/>
    <m/>
    <n v="0"/>
    <m/>
    <n v="0"/>
    <m/>
    <n v="0"/>
    <s v="No aplica"/>
  </r>
  <r>
    <s v="Suero Negativo de pollo libre de patogenos especificos "/>
    <s v="NVSL 907-ADV"/>
    <s v="Frasco liofilizado  x 5 ml"/>
    <x v="0"/>
    <x v="0"/>
    <n v="4"/>
    <n v="1435676.9280000001"/>
    <n v="5742707.7120000003"/>
    <m/>
    <n v="0"/>
    <m/>
    <n v="0"/>
    <n v="4"/>
    <n v="5742707.7120000003"/>
    <m/>
    <n v="0"/>
    <m/>
    <n v="0"/>
    <m/>
    <n v="0"/>
    <m/>
    <n v="0"/>
    <m/>
    <n v="0"/>
    <m/>
    <n v="0"/>
    <s v="No aplica"/>
  </r>
  <r>
    <s v="Suero negativo para Newcastle"/>
    <s v="NVSL 907-ADV"/>
    <s v="Frasco x 5 ml"/>
    <x v="0"/>
    <x v="2"/>
    <n v="6"/>
    <n v="776207.09759999998"/>
    <n v="4657242.5855999999"/>
    <m/>
    <n v="0"/>
    <m/>
    <n v="0"/>
    <n v="6"/>
    <n v="4657242.5855999999"/>
    <m/>
    <n v="0"/>
    <m/>
    <n v="0"/>
    <m/>
    <n v="0"/>
    <m/>
    <n v="0"/>
    <m/>
    <n v="0"/>
    <m/>
    <n v="0"/>
    <s v="No aplica"/>
  </r>
  <r>
    <s v="Suero porcino"/>
    <s v="GIBCO 26250084"/>
    <s v="Frasco x 500ml"/>
    <x v="0"/>
    <x v="1"/>
    <n v="3"/>
    <n v="609345.28000000003"/>
    <n v="1828035.84"/>
    <m/>
    <n v="0"/>
    <m/>
    <n v="0"/>
    <n v="3"/>
    <n v="1828035.84"/>
    <m/>
    <n v="0"/>
    <m/>
    <n v="0"/>
    <m/>
    <n v="0"/>
    <m/>
    <n v="0"/>
    <m/>
    <n v="0"/>
    <m/>
    <n v="0"/>
    <s v="No aplica"/>
  </r>
  <r>
    <s v="Sulfato de cobre pentahidratado 98-102%"/>
    <s v="PANREAC 131270"/>
    <s v="Frasco x 500 g"/>
    <x v="0"/>
    <x v="0"/>
    <n v="5"/>
    <n v="340973.27039999998"/>
    <n v="1704866.352"/>
    <n v="5"/>
    <n v="1704866.352"/>
    <m/>
    <n v="0"/>
    <m/>
    <n v="0"/>
    <m/>
    <n v="0"/>
    <m/>
    <n v="0"/>
    <m/>
    <n v="0"/>
    <m/>
    <n v="0"/>
    <m/>
    <n v="0"/>
    <m/>
    <n v="0"/>
    <s v="No aplica"/>
  </r>
  <r>
    <s v="Sulfato de estreptomicina CAS-3810-74-0"/>
    <s v="CDH_x000a_Ref: 224575"/>
    <s v="Frasco x 25g"/>
    <x v="0"/>
    <x v="8"/>
    <n v="2"/>
    <n v="215871.712"/>
    <n v="431743.424"/>
    <m/>
    <n v="0"/>
    <m/>
    <n v="0"/>
    <m/>
    <n v="0"/>
    <m/>
    <n v="0"/>
    <n v="1"/>
    <n v="215871.712"/>
    <n v="1"/>
    <n v="215871.712"/>
    <m/>
    <n v="0"/>
    <m/>
    <n v="0"/>
    <m/>
    <n v="0"/>
    <s v="No aplica"/>
  </r>
  <r>
    <s v="Sulfato de magnesio anhidro"/>
    <s v="JTBaker"/>
    <s v="Frasco x 1 Kg"/>
    <x v="0"/>
    <x v="0"/>
    <n v="27"/>
    <n v="593257.0784"/>
    <n v="16017941.116799999"/>
    <m/>
    <n v="0"/>
    <m/>
    <n v="0"/>
    <m/>
    <n v="0"/>
    <m/>
    <n v="0"/>
    <m/>
    <n v="0"/>
    <m/>
    <n v="0"/>
    <m/>
    <n v="0"/>
    <n v="27"/>
    <n v="16017941.116799999"/>
    <m/>
    <n v="0"/>
    <s v="No aplica"/>
  </r>
  <r>
    <s v="Sulfato de magnesio heptahidratado (MgSO4.7H2O) &gt; 99%"/>
    <s v="JT BAKER _x000a_Ref: JT 2500-1"/>
    <s v="Frasco x 500 g"/>
    <x v="0"/>
    <x v="0"/>
    <n v="1"/>
    <n v="372703.8112"/>
    <n v="372703.8112"/>
    <m/>
    <n v="0"/>
    <m/>
    <n v="0"/>
    <m/>
    <n v="0"/>
    <m/>
    <n v="0"/>
    <n v="1"/>
    <n v="372703.8112"/>
    <m/>
    <n v="0"/>
    <m/>
    <n v="0"/>
    <m/>
    <n v="0"/>
    <m/>
    <n v="0"/>
    <s v="No aplica"/>
  </r>
  <r>
    <s v="Sulfato de Potasio "/>
    <s v="JT BAKER CAS 7778-80-5"/>
    <s v="Frasco x 1 Kg"/>
    <x v="0"/>
    <x v="0"/>
    <n v="1"/>
    <n v="495204.50559999997"/>
    <n v="495204.50559999997"/>
    <n v="1"/>
    <n v="495204.50559999997"/>
    <m/>
    <n v="0"/>
    <m/>
    <n v="0"/>
    <m/>
    <n v="0"/>
    <m/>
    <n v="0"/>
    <m/>
    <n v="0"/>
    <m/>
    <n v="0"/>
    <m/>
    <n v="0"/>
    <m/>
    <n v="0"/>
    <s v="No aplica"/>
  </r>
  <r>
    <s v="Sulfato de sodio anhidro granulado PA con certificado de análisis trazable por lote y descargable mediante el website del fabricante"/>
    <s v="JT BAKER  CAS 7757-82-6"/>
    <s v="Frasco x 500 g "/>
    <x v="0"/>
    <x v="0"/>
    <n v="1"/>
    <n v="173997.80160000001"/>
    <n v="173997.80160000001"/>
    <n v="1"/>
    <n v="173997.80160000001"/>
    <m/>
    <n v="0"/>
    <m/>
    <n v="0"/>
    <m/>
    <n v="0"/>
    <m/>
    <n v="0"/>
    <m/>
    <n v="0"/>
    <m/>
    <n v="0"/>
    <m/>
    <n v="0"/>
    <m/>
    <n v="0"/>
    <s v="No aplica"/>
  </r>
  <r>
    <s v="SuperScript II, en concentración [200Und/μl], Transcriptasa reversa. con una mutación que elimino la actividad de RNAsa H, por lo cual el RNA molde sirve para muchas copias optimizando el rendimiento de la enzima."/>
    <s v="Invitrogen Ref: 18064071"/>
    <s v="4 x 10.000Und son 40.000und 200 rxns Aprox. "/>
    <x v="0"/>
    <x v="1"/>
    <n v="2"/>
    <n v="10727523.6544"/>
    <n v="21455047.308800001"/>
    <m/>
    <n v="0"/>
    <n v="1"/>
    <n v="10727523.6544"/>
    <n v="1"/>
    <n v="10727523.6544"/>
    <m/>
    <n v="0"/>
    <m/>
    <n v="0"/>
    <m/>
    <n v="0"/>
    <m/>
    <n v="0"/>
    <m/>
    <n v="0"/>
    <m/>
    <n v="0"/>
    <s v="No aplica"/>
  </r>
  <r>
    <s v="SuperScript™ III One-Step RT-PCR System with Platinum™ Taq High Fidelity DNA Polymerase. "/>
    <s v="Invitrogen Ref: 12574035"/>
    <s v="Unidad "/>
    <x v="0"/>
    <x v="1"/>
    <n v="5"/>
    <n v="7144573.4079999998"/>
    <n v="35722867.039999999"/>
    <m/>
    <n v="0"/>
    <m/>
    <n v="0"/>
    <n v="5"/>
    <n v="35722867.039999999"/>
    <m/>
    <n v="0"/>
    <m/>
    <n v="0"/>
    <m/>
    <n v="0"/>
    <m/>
    <n v="0"/>
    <m/>
    <n v="0"/>
    <m/>
    <n v="0"/>
    <s v="No aplica"/>
  </r>
  <r>
    <s v="SuperScript™ III Platinum™ One-Step qRT-PCR Kit. "/>
    <s v="Invitrogen   11732-020 "/>
    <s v="Kit"/>
    <x v="0"/>
    <x v="1"/>
    <n v="6"/>
    <n v="2633894.9728000001"/>
    <n v="15803369.836800002"/>
    <m/>
    <n v="0"/>
    <m/>
    <n v="0"/>
    <n v="6"/>
    <n v="15803369.836800002"/>
    <m/>
    <n v="0"/>
    <m/>
    <n v="0"/>
    <m/>
    <n v="0"/>
    <m/>
    <n v="0"/>
    <m/>
    <n v="0"/>
    <m/>
    <n v="0"/>
    <s v="No aplica"/>
  </r>
  <r>
    <s v="SuperScript™ III RT- First strand syntesis system for RT-PCR "/>
    <s v="Invitrogen Ref: 18080051"/>
    <s v="Unidad "/>
    <x v="0"/>
    <x v="1"/>
    <n v="1"/>
    <n v="4020155.4847999997"/>
    <n v="4020155.4847999997"/>
    <m/>
    <n v="0"/>
    <m/>
    <n v="0"/>
    <n v="1"/>
    <n v="4020155.4847999997"/>
    <m/>
    <n v="0"/>
    <m/>
    <n v="0"/>
    <m/>
    <n v="0"/>
    <m/>
    <n v="0"/>
    <m/>
    <n v="0"/>
    <m/>
    <n v="0"/>
    <s v="No aplica"/>
  </r>
  <r>
    <s v="Suplemento Extracto de malta"/>
    <s v="Merck, Oxoid , A&amp;A Biotechnology"/>
    <s v="Frasco x 500 g"/>
    <x v="0"/>
    <x v="2"/>
    <n v="4"/>
    <n v="1791753.7871999999"/>
    <n v="7167015.1487999996"/>
    <m/>
    <n v="0"/>
    <m/>
    <n v="0"/>
    <n v="1"/>
    <n v="1791753.7871999999"/>
    <m/>
    <n v="0"/>
    <m/>
    <n v="0"/>
    <n v="3"/>
    <n v="5375261.3615999995"/>
    <m/>
    <n v="0"/>
    <m/>
    <n v="0"/>
    <m/>
    <n v="0"/>
    <s v="No aplica"/>
  </r>
  <r>
    <s v="SYBR Green PCR Master Mix. "/>
    <s v="Applied Biosystems Ref 4364344"/>
    <s v="Set x 2 x 5 ml"/>
    <x v="0"/>
    <x v="1"/>
    <n v="15"/>
    <n v="6437138.4000000004"/>
    <n v="96557076"/>
    <m/>
    <n v="0"/>
    <m/>
    <n v="0"/>
    <n v="1"/>
    <n v="6437138.4000000004"/>
    <m/>
    <n v="0"/>
    <n v="6"/>
    <n v="38622830.400000006"/>
    <n v="8"/>
    <n v="51497107.200000003"/>
    <m/>
    <n v="0"/>
    <m/>
    <n v="0"/>
    <m/>
    <n v="0"/>
    <s v="No aplica"/>
  </r>
  <r>
    <s v="SYBR Safe (10.000X), para tinción de ácidos nucleicos en gel. "/>
    <s v="Invitrogen Ref S33102 "/>
    <s v="Vial x 400 ul"/>
    <x v="0"/>
    <x v="1"/>
    <n v="18"/>
    <n v="671803.17119999998"/>
    <n v="12092457.081599999"/>
    <m/>
    <n v="0"/>
    <m/>
    <n v="0"/>
    <m/>
    <n v="0"/>
    <m/>
    <n v="0"/>
    <n v="8"/>
    <n v="5374425.3695999999"/>
    <n v="10"/>
    <n v="6718031.7119999994"/>
    <m/>
    <n v="0"/>
    <m/>
    <n v="0"/>
    <m/>
    <n v="0"/>
    <s v="No aplica"/>
  </r>
  <r>
    <s v="SYBR Safe para tinción de geles de agarosa (10.000X)"/>
    <s v="Invitrogen Ref S33102 "/>
    <s v="Vial x 400 ul"/>
    <x v="0"/>
    <x v="1"/>
    <n v="2"/>
    <n v="671803.17119999998"/>
    <n v="1343606.3424"/>
    <m/>
    <n v="0"/>
    <m/>
    <n v="0"/>
    <m/>
    <n v="0"/>
    <m/>
    <n v="0"/>
    <n v="2"/>
    <n v="1343606.3424"/>
    <m/>
    <n v="0"/>
    <m/>
    <n v="0"/>
    <m/>
    <n v="0"/>
    <m/>
    <n v="0"/>
    <s v="No aplica"/>
  </r>
  <r>
    <s v="Tabletas catalizadoras  kjeldahl 3,5g K2SO4, 0,4 g de CuSO4x5H2O Rererencia avantor 85529"/>
    <s v="Avantor VWR"/>
    <s v="Frasco x 1000 Tabletas"/>
    <x v="0"/>
    <x v="2"/>
    <n v="3"/>
    <n v="2346190.2384000001"/>
    <n v="7038570.7152000004"/>
    <n v="2"/>
    <n v="4692380.4768000003"/>
    <m/>
    <n v="0"/>
    <m/>
    <n v="0"/>
    <m/>
    <n v="0"/>
    <m/>
    <n v="0"/>
    <m/>
    <n v="0"/>
    <m/>
    <n v="0"/>
    <n v="1"/>
    <n v="2346190.2384000001"/>
    <m/>
    <n v="0"/>
    <s v="No aplica"/>
  </r>
  <r>
    <s v="TAQ DNA Polimerasa Recombinante, origen Brasil, en concentración 5Und/µl.Incluye un vial de MgCl2 y un vial de Buffer 10X. "/>
    <s v="Invitrogen _x000a_Ref 11615010 "/>
    <s v="Kit x 500 Und"/>
    <x v="0"/>
    <x v="1"/>
    <n v="19"/>
    <n v="821092.7648"/>
    <n v="15600762.531199999"/>
    <m/>
    <n v="0"/>
    <m/>
    <n v="0"/>
    <m/>
    <n v="0"/>
    <m/>
    <n v="0"/>
    <n v="5"/>
    <n v="4105463.824"/>
    <n v="14"/>
    <n v="11495298.7072"/>
    <m/>
    <n v="0"/>
    <m/>
    <n v="0"/>
    <m/>
    <n v="0"/>
    <s v="No aplica"/>
  </r>
  <r>
    <s v="Tego 51"/>
    <s v="MERCK"/>
    <s v="Frasco x 5 litros"/>
    <x v="0"/>
    <x v="7"/>
    <n v="35"/>
    <n v="356318.36800000002"/>
    <n v="12471142.880000001"/>
    <n v="6"/>
    <n v="2137910.2080000001"/>
    <n v="2"/>
    <n v="712636.73600000003"/>
    <m/>
    <n v="0"/>
    <m/>
    <n v="0"/>
    <n v="6"/>
    <n v="2137910.2080000001"/>
    <n v="5"/>
    <n v="1781591.84"/>
    <n v="6"/>
    <n v="2137910.2080000001"/>
    <n v="10"/>
    <n v="3563183.68"/>
    <m/>
    <n v="0"/>
    <s v="No aplica"/>
  </r>
  <r>
    <s v="Tert-Butyl methyl ether 98%"/>
    <s v="SCHARLAU_x000a_ME05512500"/>
    <s v="Frasco X 2,5 L"/>
    <x v="0"/>
    <x v="6"/>
    <n v="5"/>
    <n v="360219.66399999999"/>
    <n v="1801098.3199999998"/>
    <n v="5"/>
    <n v="1801098.3199999998"/>
    <m/>
    <n v="0"/>
    <m/>
    <n v="0"/>
    <m/>
    <n v="0"/>
    <m/>
    <n v="0"/>
    <m/>
    <n v="0"/>
    <m/>
    <n v="0"/>
    <m/>
    <n v="0"/>
    <m/>
    <n v="0"/>
    <s v="No aplica"/>
  </r>
  <r>
    <s v="Test de inmunodifusión en Gel de Agar para la detección de anticuerpos contra el virus de Anemia Infecciosa Equina"/>
    <s v="IDVET"/>
    <s v="200 reacciones"/>
    <x v="0"/>
    <x v="0"/>
    <n v="150"/>
    <n v="1623900.8"/>
    <n v="243585120"/>
    <m/>
    <n v="0"/>
    <n v="140"/>
    <n v="227346112"/>
    <n v="10"/>
    <n v="16239008"/>
    <m/>
    <n v="0"/>
    <m/>
    <n v="0"/>
    <m/>
    <n v="0"/>
    <m/>
    <n v="0"/>
    <m/>
    <n v="0"/>
    <m/>
    <n v="0"/>
    <s v="No aplica"/>
  </r>
  <r>
    <s v="Timsen"/>
    <s v="FLORICULTURA  TIMSEN - UPI"/>
    <s v="Frasco x 1 Kg"/>
    <x v="0"/>
    <x v="0"/>
    <n v="10"/>
    <n v="418479.01760000002"/>
    <n v="4184790.176"/>
    <m/>
    <n v="0"/>
    <m/>
    <n v="0"/>
    <m/>
    <n v="0"/>
    <m/>
    <n v="0"/>
    <n v="5"/>
    <n v="2092395.088"/>
    <n v="5"/>
    <n v="2092395.088"/>
    <m/>
    <n v="0"/>
    <m/>
    <n v="0"/>
    <m/>
    <n v="0"/>
    <s v="No aplica"/>
  </r>
  <r>
    <s v="Tiras para prueba de oxidasa"/>
    <s v="MERCK MILLIPORE 1,00181"/>
    <s v="Frasco x 50 tiras "/>
    <x v="0"/>
    <x v="0"/>
    <n v="30"/>
    <n v="254364.49919999999"/>
    <n v="7630934.9759999998"/>
    <n v="1"/>
    <n v="254364.49919999999"/>
    <n v="13"/>
    <n v="3306738.4896"/>
    <n v="1"/>
    <n v="254364.49919999999"/>
    <m/>
    <n v="0"/>
    <n v="8"/>
    <n v="2034915.9935999999"/>
    <n v="5"/>
    <n v="1271822.496"/>
    <m/>
    <n v="0"/>
    <n v="2"/>
    <n v="508728.99839999998"/>
    <m/>
    <n v="0"/>
    <s v="No aplica"/>
  </r>
  <r>
    <s v="TOPO™ TA Cloning™ Kit for Sequencing, with pCR™4-TOPO™ Vector, One Shot™ TOP10 Chemically Competent E. coli."/>
    <s v="Invitrogen  K457502"/>
    <s v="Unidad "/>
    <x v="0"/>
    <x v="1"/>
    <n v="1"/>
    <n v="5736985.8112000003"/>
    <n v="5736985.8112000003"/>
    <m/>
    <n v="0"/>
    <m/>
    <n v="0"/>
    <n v="1"/>
    <n v="5736985.8112000003"/>
    <m/>
    <n v="0"/>
    <m/>
    <n v="0"/>
    <m/>
    <n v="0"/>
    <m/>
    <n v="0"/>
    <m/>
    <n v="0"/>
    <m/>
    <n v="0"/>
    <s v="No aplica"/>
  </r>
  <r>
    <s v="TOPO™ TA Cloning™ Kit, with pCR™2.1-TOPO™, One Shot TOP10 Chemically Competent E. coli. "/>
    <s v="Invitrogen Catalog number: K450002"/>
    <s v="Kit"/>
    <x v="0"/>
    <x v="1"/>
    <n v="1"/>
    <n v="5385088.9119999995"/>
    <n v="5385088.9119999995"/>
    <m/>
    <n v="0"/>
    <m/>
    <n v="0"/>
    <n v="1"/>
    <n v="5385088.9119999995"/>
    <m/>
    <n v="0"/>
    <m/>
    <n v="0"/>
    <m/>
    <n v="0"/>
    <m/>
    <n v="0"/>
    <m/>
    <n v="0"/>
    <m/>
    <n v="0"/>
    <s v="No aplica"/>
  </r>
  <r>
    <s v="Tracklt 100bp DNA Ladder, consiste en la adición de 2 colorantes de corrida, uno que va con la muestra y otro que corre delante de la muestra indicando el momento de mejor visualización. Listo para usar. "/>
    <s v="Invitrogen Ref. 10488058"/>
    <s v="Kit x 100 aplicaciones"/>
    <x v="0"/>
    <x v="1"/>
    <n v="5"/>
    <n v="799765.68"/>
    <n v="3998828.4000000004"/>
    <m/>
    <n v="0"/>
    <m/>
    <n v="0"/>
    <n v="2"/>
    <n v="1599531.36"/>
    <m/>
    <n v="0"/>
    <m/>
    <n v="0"/>
    <n v="3"/>
    <n v="2399297.04"/>
    <m/>
    <n v="0"/>
    <m/>
    <n v="0"/>
    <m/>
    <n v="0"/>
    <s v="No aplica"/>
  </r>
  <r>
    <s v="Trehalosa"/>
    <s v="CDH 038063"/>
    <s v="Frasco x 5g"/>
    <x v="0"/>
    <x v="8"/>
    <n v="1"/>
    <n v="409636.08"/>
    <n v="409636.08"/>
    <m/>
    <n v="0"/>
    <m/>
    <n v="0"/>
    <n v="1"/>
    <n v="409636.08"/>
    <m/>
    <n v="0"/>
    <m/>
    <n v="0"/>
    <m/>
    <n v="0"/>
    <m/>
    <n v="0"/>
    <m/>
    <n v="0"/>
    <m/>
    <n v="0"/>
    <s v="No aplica"/>
  </r>
  <r>
    <s v="Tripsina TPCK 25 µg"/>
    <s v="Sigma T1426-100MG. CAS 9002-07-7"/>
    <s v="Frasco x 100mg"/>
    <x v="0"/>
    <x v="0"/>
    <n v="1"/>
    <n v="617965.28639999998"/>
    <n v="617965.28639999998"/>
    <m/>
    <n v="0"/>
    <m/>
    <n v="0"/>
    <n v="1"/>
    <n v="617965.28639999998"/>
    <m/>
    <n v="0"/>
    <m/>
    <n v="0"/>
    <m/>
    <n v="0"/>
    <m/>
    <n v="0"/>
    <m/>
    <n v="0"/>
    <m/>
    <n v="0"/>
    <s v="No aplica"/>
  </r>
  <r>
    <s v="Tris - HCL (Listo para usar en Polvo)"/>
    <s v="VWR LIFE SCIENCE  _x000a_Ref: 97063-754"/>
    <s v="Frasco x 1 Kg"/>
    <x v="0"/>
    <x v="0"/>
    <n v="6"/>
    <n v="1584560"/>
    <n v="9507360"/>
    <m/>
    <n v="0"/>
    <m/>
    <n v="0"/>
    <n v="2"/>
    <n v="3169120"/>
    <m/>
    <n v="0"/>
    <n v="3"/>
    <n v="4753680"/>
    <n v="1"/>
    <n v="1584560"/>
    <m/>
    <n v="0"/>
    <m/>
    <n v="0"/>
    <m/>
    <n v="0"/>
    <s v="No aplica"/>
  </r>
  <r>
    <s v="Tris base. Grado ACS "/>
    <s v="SIGMA ALDRICH _x000a_Ref: T6791-500G"/>
    <s v="Frasco x 500 g"/>
    <x v="0"/>
    <x v="0"/>
    <n v="1"/>
    <n v="1737377.152"/>
    <n v="1737377.152"/>
    <m/>
    <n v="0"/>
    <m/>
    <n v="0"/>
    <m/>
    <n v="0"/>
    <m/>
    <n v="0"/>
    <n v="1"/>
    <n v="1737377.152"/>
    <m/>
    <n v="0"/>
    <m/>
    <n v="0"/>
    <m/>
    <n v="0"/>
    <m/>
    <n v="0"/>
    <s v="No aplica"/>
  </r>
  <r>
    <s v="Triton X-100 (1%)"/>
    <s v="SIGMA X100"/>
    <s v="Frasco 10 ml"/>
    <x v="0"/>
    <x v="7"/>
    <n v="1"/>
    <n v="465554.65600000002"/>
    <n v="465554.65600000002"/>
    <m/>
    <n v="0"/>
    <m/>
    <n v="0"/>
    <n v="1"/>
    <n v="465554.65600000002"/>
    <m/>
    <n v="0"/>
    <m/>
    <n v="0"/>
    <m/>
    <n v="0"/>
    <m/>
    <n v="0"/>
    <m/>
    <n v="0"/>
    <m/>
    <n v="0"/>
    <s v="No aplica"/>
  </r>
  <r>
    <s v="Trizol LS Reagent"/>
    <s v="SIGMA T3934"/>
    <s v="Frasco x 200mL"/>
    <x v="0"/>
    <x v="0"/>
    <n v="2"/>
    <n v="6124254.4607999995"/>
    <n v="12248508.921599999"/>
    <m/>
    <n v="0"/>
    <m/>
    <n v="0"/>
    <n v="2"/>
    <n v="12248508.921599999"/>
    <m/>
    <n v="0"/>
    <m/>
    <n v="0"/>
    <m/>
    <n v="0"/>
    <m/>
    <n v="0"/>
    <m/>
    <n v="0"/>
    <m/>
    <n v="0"/>
    <s v="No aplica"/>
  </r>
  <r>
    <s v="Trizol Reagent"/>
    <s v="SIGMA T9424"/>
    <s v="Frasco x 200mL"/>
    <x v="0"/>
    <x v="0"/>
    <n v="5"/>
    <n v="4556973.8143999996"/>
    <n v="22784869.071999997"/>
    <n v="2"/>
    <n v="9113947.6287999991"/>
    <m/>
    <n v="0"/>
    <n v="3"/>
    <n v="13670921.4432"/>
    <m/>
    <n v="0"/>
    <m/>
    <n v="0"/>
    <m/>
    <n v="0"/>
    <m/>
    <n v="0"/>
    <m/>
    <n v="0"/>
    <m/>
    <n v="0"/>
    <s v="No aplica"/>
  </r>
  <r>
    <s v="TrypLE™ Express Enzyme (1X), no phenol red"/>
    <s v="GIBCO 12604013"/>
    <s v="Frasco x 100 ml"/>
    <x v="0"/>
    <x v="1"/>
    <n v="1"/>
    <n v="255925.01759999999"/>
    <n v="255925.01759999999"/>
    <m/>
    <n v="0"/>
    <m/>
    <n v="0"/>
    <n v="1"/>
    <n v="255925.01759999999"/>
    <m/>
    <n v="0"/>
    <m/>
    <n v="0"/>
    <m/>
    <n v="0"/>
    <m/>
    <n v="0"/>
    <m/>
    <n v="0"/>
    <m/>
    <n v="0"/>
    <s v="No aplica"/>
  </r>
  <r>
    <s v="Trypsin 1:250"/>
    <s v="THOMAS - MP BIOMEDICALS"/>
    <s v="Frasco x 100g"/>
    <x v="0"/>
    <x v="0"/>
    <n v="3"/>
    <n v="2557152"/>
    <n v="7671456"/>
    <n v="2"/>
    <n v="5114304"/>
    <m/>
    <n v="0"/>
    <n v="1"/>
    <n v="2557152"/>
    <m/>
    <n v="0"/>
    <m/>
    <n v="0"/>
    <m/>
    <n v="0"/>
    <m/>
    <n v="0"/>
    <m/>
    <n v="0"/>
    <m/>
    <n v="0"/>
    <s v="No aplica"/>
  </r>
  <r>
    <s v="Trypsina EDTA 0.05%"/>
    <s v="Inviitrogen Gibco 2530054"/>
    <s v="Frasco x 100 ml "/>
    <x v="0"/>
    <x v="1"/>
    <n v="1"/>
    <n v="138626.05119999999"/>
    <n v="138626.05119999999"/>
    <m/>
    <n v="0"/>
    <m/>
    <n v="0"/>
    <n v="1"/>
    <n v="138626.05119999999"/>
    <m/>
    <n v="0"/>
    <m/>
    <n v="0"/>
    <m/>
    <n v="0"/>
    <m/>
    <n v="0"/>
    <m/>
    <n v="0"/>
    <m/>
    <n v="0"/>
    <s v="No aplica"/>
  </r>
  <r>
    <s v="Trysina TPCK tratada "/>
    <s v="Thermofisher 4370285 o equivalente"/>
    <s v="Frasco x  50 mg"/>
    <x v="0"/>
    <x v="2"/>
    <n v="1"/>
    <n v="750952.48959999997"/>
    <n v="750952.48959999997"/>
    <m/>
    <n v="0"/>
    <m/>
    <n v="0"/>
    <n v="1"/>
    <n v="750952.48959999997"/>
    <m/>
    <n v="0"/>
    <m/>
    <n v="0"/>
    <m/>
    <n v="0"/>
    <m/>
    <n v="0"/>
    <m/>
    <n v="0"/>
    <m/>
    <n v="0"/>
    <s v="No aplica"/>
  </r>
  <r>
    <s v="Tube Bacte MGIT 7ML"/>
    <s v="BD 245122"/>
    <s v="CAJA X 100"/>
    <x v="0"/>
    <x v="2"/>
    <n v="2"/>
    <n v="3787508.2"/>
    <n v="7575016.4000000004"/>
    <m/>
    <n v="0"/>
    <m/>
    <n v="0"/>
    <n v="2"/>
    <n v="7575016.4000000004"/>
    <m/>
    <n v="0"/>
    <m/>
    <n v="0"/>
    <m/>
    <n v="0"/>
    <m/>
    <n v="0"/>
    <m/>
    <n v="0"/>
    <m/>
    <n v="0"/>
    <s v="No aplica"/>
  </r>
  <r>
    <s v="Tween 20"/>
    <s v="CDH _x000a_Ref: 056270"/>
    <s v="Frasco x 500 ml"/>
    <x v="0"/>
    <x v="8"/>
    <n v="16"/>
    <n v="422640.4"/>
    <n v="6762246.4000000004"/>
    <n v="5"/>
    <n v="2113202"/>
    <n v="1"/>
    <n v="422640.4"/>
    <n v="4"/>
    <n v="1690561.6"/>
    <m/>
    <n v="0"/>
    <m/>
    <n v="0"/>
    <m/>
    <n v="0"/>
    <n v="6"/>
    <n v="2535842.4000000004"/>
    <m/>
    <n v="0"/>
    <m/>
    <n v="0"/>
    <s v="No aplica"/>
  </r>
  <r>
    <s v="Tween 80"/>
    <s v="CDH 056300"/>
    <s v="Frasco x 500 ml"/>
    <x v="0"/>
    <x v="8"/>
    <n v="10"/>
    <n v="422640.4"/>
    <n v="4226404"/>
    <n v="5"/>
    <n v="2113202"/>
    <n v="1"/>
    <n v="422640.4"/>
    <n v="2"/>
    <n v="845280.8"/>
    <m/>
    <n v="0"/>
    <m/>
    <n v="0"/>
    <m/>
    <n v="0"/>
    <m/>
    <n v="0"/>
    <n v="2"/>
    <n v="845280.8"/>
    <m/>
    <n v="0"/>
    <s v="No aplica"/>
  </r>
  <r>
    <s v="UltraPure Agarose; "/>
    <s v="VWR 0710"/>
    <s v="Frasco x 500 g  "/>
    <x v="0"/>
    <x v="0"/>
    <n v="5"/>
    <n v="5787052.4431999996"/>
    <n v="28935262.215999998"/>
    <m/>
    <n v="0"/>
    <n v="4"/>
    <n v="23148209.772799999"/>
    <n v="1"/>
    <n v="5787052.4431999996"/>
    <m/>
    <n v="0"/>
    <m/>
    <n v="0"/>
    <m/>
    <n v="0"/>
    <m/>
    <n v="0"/>
    <m/>
    <n v="0"/>
    <m/>
    <n v="0"/>
    <s v="No aplica"/>
  </r>
  <r>
    <s v="Urea"/>
    <s v="PANREAC 131754.1211"/>
    <s v="Frasco x 1kg"/>
    <x v="0"/>
    <x v="0"/>
    <n v="15"/>
    <n v="269189.424"/>
    <n v="4037841.36"/>
    <m/>
    <n v="0"/>
    <n v="6"/>
    <n v="1615136.544"/>
    <n v="8"/>
    <n v="2153515.392"/>
    <m/>
    <n v="0"/>
    <n v="1"/>
    <n v="269189.424"/>
    <m/>
    <n v="0"/>
    <m/>
    <n v="0"/>
    <m/>
    <n v="0"/>
    <m/>
    <n v="0"/>
    <s v="No aplica"/>
  </r>
  <r>
    <s v="Varsol"/>
    <s v="10388 PROTOKIMICAS (NACIONAL)"/>
    <s v="Frasco x 1.9 litro"/>
    <x v="0"/>
    <x v="0"/>
    <n v="5"/>
    <n v="191683.67679999999"/>
    <n v="958418.38399999996"/>
    <n v="3"/>
    <n v="575051.03039999993"/>
    <m/>
    <n v="0"/>
    <m/>
    <n v="0"/>
    <m/>
    <n v="0"/>
    <n v="2"/>
    <n v="383367.35359999997"/>
    <m/>
    <n v="0"/>
    <m/>
    <n v="0"/>
    <m/>
    <n v="0"/>
    <m/>
    <n v="0"/>
    <s v="No aplica"/>
  </r>
  <r>
    <s v="Vaselina"/>
    <s v="PROTOKIMICA"/>
    <s v="Frasco x 500g"/>
    <x v="0"/>
    <x v="0"/>
    <n v="1"/>
    <n v="98832.831999999995"/>
    <n v="98832.831999999995"/>
    <n v="1"/>
    <n v="98832.831999999995"/>
    <m/>
    <n v="0"/>
    <m/>
    <n v="0"/>
    <m/>
    <n v="0"/>
    <m/>
    <n v="0"/>
    <m/>
    <n v="0"/>
    <m/>
    <n v="0"/>
    <m/>
    <n v="0"/>
    <m/>
    <n v="0"/>
    <s v="No aplica"/>
  </r>
  <r>
    <s v="Verde malaquita oxalato"/>
    <s v="SIGMA 32745"/>
    <s v="Frasco x 10g"/>
    <x v="0"/>
    <x v="7"/>
    <n v="2"/>
    <n v="504567.61599999998"/>
    <n v="1009135.232"/>
    <m/>
    <n v="0"/>
    <m/>
    <n v="0"/>
    <n v="1"/>
    <n v="504567.61599999998"/>
    <m/>
    <n v="0"/>
    <n v="1"/>
    <n v="504567.61599999998"/>
    <m/>
    <n v="0"/>
    <m/>
    <n v="0"/>
    <m/>
    <n v="0"/>
    <m/>
    <n v="0"/>
    <s v="No aplica"/>
  </r>
  <r>
    <s v="Vermiculita grado agrícola"/>
    <s v="Cualquier marca"/>
    <s v="Bulto x 30 Kg"/>
    <x v="0"/>
    <x v="2"/>
    <n v="1"/>
    <n v="238373.55679999999"/>
    <n v="238373.55679999999"/>
    <m/>
    <n v="0"/>
    <m/>
    <n v="0"/>
    <m/>
    <n v="0"/>
    <m/>
    <n v="0"/>
    <m/>
    <n v="0"/>
    <n v="1"/>
    <n v="238373.55679999999"/>
    <m/>
    <n v="0"/>
    <m/>
    <n v="0"/>
    <m/>
    <n v="0"/>
    <s v="No aplica"/>
  </r>
  <r>
    <s v="Vesicular stomatitis (VS) virus  neutralization (VN) New Jersey positive control serum"/>
    <s v="NVSL 473-VDV"/>
    <s v="VIAL 2 ML "/>
    <x v="0"/>
    <x v="2"/>
    <n v="1"/>
    <n v="395380.50400000002"/>
    <n v="395380.50400000002"/>
    <m/>
    <n v="0"/>
    <m/>
    <n v="0"/>
    <n v="1"/>
    <n v="395380.50400000002"/>
    <m/>
    <n v="0"/>
    <m/>
    <n v="0"/>
    <m/>
    <n v="0"/>
    <m/>
    <n v="0"/>
    <m/>
    <n v="0"/>
    <m/>
    <n v="0"/>
    <s v="No aplica"/>
  </r>
  <r>
    <s v="Vesicular stomatitis (VS) virus neutralization (VN) Indiana positive control serum"/>
    <s v="NVSL 470-VDV"/>
    <s v="VIAL 2 ML "/>
    <x v="0"/>
    <x v="2"/>
    <n v="1"/>
    <n v="395380.50400000002"/>
    <n v="395380.50400000002"/>
    <m/>
    <n v="0"/>
    <m/>
    <n v="0"/>
    <n v="1"/>
    <n v="395380.50400000002"/>
    <m/>
    <n v="0"/>
    <m/>
    <n v="0"/>
    <m/>
    <n v="0"/>
    <m/>
    <n v="0"/>
    <m/>
    <n v="0"/>
    <m/>
    <n v="0"/>
    <s v="No aplica"/>
  </r>
  <r>
    <s v="Vesicular stomatitis (VS) virus_x000a_neutralization (VN) negative control_x000a_serum"/>
    <s v="NVSL 480-BDV"/>
    <s v="VIAL 2 ML "/>
    <x v="0"/>
    <x v="0"/>
    <n v="1"/>
    <n v="585974.65919999999"/>
    <n v="585974.65919999999"/>
    <m/>
    <n v="0"/>
    <m/>
    <n v="0"/>
    <n v="1"/>
    <n v="585974.65919999999"/>
    <m/>
    <n v="0"/>
    <m/>
    <n v="0"/>
    <m/>
    <n v="0"/>
    <m/>
    <n v="0"/>
    <m/>
    <n v="0"/>
    <m/>
    <n v="0"/>
    <s v="No aplica"/>
  </r>
  <r>
    <s v="Vesicular stomatitis (VS) virus, New_x000a_Jersey (NJ)"/>
    <s v="NVSL073-VDV"/>
    <s v="Vial x 0.6 ml"/>
    <x v="0"/>
    <x v="0"/>
    <n v="1"/>
    <n v="483110.48800000001"/>
    <n v="483110.48800000001"/>
    <m/>
    <n v="0"/>
    <m/>
    <n v="0"/>
    <n v="1"/>
    <n v="483110.48800000001"/>
    <m/>
    <n v="0"/>
    <m/>
    <n v="0"/>
    <m/>
    <n v="0"/>
    <m/>
    <n v="0"/>
    <m/>
    <n v="0"/>
    <m/>
    <n v="0"/>
    <s v="No aplica"/>
  </r>
  <r>
    <s v="Vesicular stomatitis (VS) virus,_x000a_Indiana (IN)"/>
    <s v="NVSL070-VDV"/>
    <s v="Vial x 0.6 ml"/>
    <x v="0"/>
    <x v="0"/>
    <n v="1"/>
    <n v="483110.48800000001"/>
    <n v="483110.48800000001"/>
    <m/>
    <n v="0"/>
    <m/>
    <n v="0"/>
    <n v="1"/>
    <n v="483110.48800000001"/>
    <m/>
    <n v="0"/>
    <m/>
    <n v="0"/>
    <m/>
    <n v="0"/>
    <m/>
    <n v="0"/>
    <m/>
    <n v="0"/>
    <m/>
    <n v="0"/>
    <s v="No aplica"/>
  </r>
  <r>
    <s v="VetMAX™-Gold AIV Detection"/>
    <s v="Applied Biosystem.  Catalog number: 4485261"/>
    <s v="Kit"/>
    <x v="0"/>
    <x v="2"/>
    <n v="4"/>
    <n v="4722209.5455999998"/>
    <n v="18888838.182399999"/>
    <m/>
    <n v="0"/>
    <m/>
    <n v="0"/>
    <n v="4"/>
    <n v="18888838.182399999"/>
    <m/>
    <n v="0"/>
    <m/>
    <n v="0"/>
    <m/>
    <n v="0"/>
    <m/>
    <n v="0"/>
    <m/>
    <n v="0"/>
    <m/>
    <n v="0"/>
    <s v="No aplica"/>
  </r>
  <r>
    <s v="Virkons"/>
    <s v="Lanxess "/>
    <s v="Tarro x 5 kg"/>
    <x v="0"/>
    <x v="4"/>
    <n v="49"/>
    <n v="1049088"/>
    <n v="51405312"/>
    <n v="10"/>
    <n v="10490880"/>
    <n v="26"/>
    <n v="27276288"/>
    <n v="10"/>
    <n v="10490880"/>
    <m/>
    <n v="0"/>
    <n v="3"/>
    <n v="3147264"/>
    <m/>
    <n v="0"/>
    <m/>
    <n v="0"/>
    <m/>
    <n v="0"/>
    <m/>
    <n v="0"/>
    <s v="No aplica"/>
  </r>
  <r>
    <s v="Vitavax 400"/>
    <s v="ADAMA"/>
    <s v="Bolsa x 1Kg"/>
    <x v="0"/>
    <x v="0"/>
    <n v="6"/>
    <n v="234858.01920000001"/>
    <n v="1409148.1152000001"/>
    <m/>
    <n v="0"/>
    <m/>
    <n v="0"/>
    <m/>
    <n v="0"/>
    <m/>
    <n v="0"/>
    <m/>
    <n v="0"/>
    <m/>
    <n v="0"/>
    <n v="6"/>
    <n v="1409148.1152000001"/>
    <m/>
    <n v="0"/>
    <m/>
    <n v="0"/>
    <s v="No aplica"/>
  </r>
  <r>
    <s v="Xylenes (Xilol)"/>
    <s v="JT BAKER CAS 1330-20-7"/>
    <s v="Frasco x 500ml"/>
    <x v="0"/>
    <x v="0"/>
    <n v="1"/>
    <n v="452550.33600000001"/>
    <n v="452550.33600000001"/>
    <m/>
    <n v="0"/>
    <m/>
    <n v="0"/>
    <n v="1"/>
    <n v="452550.33600000001"/>
    <m/>
    <n v="0"/>
    <m/>
    <n v="0"/>
    <m/>
    <n v="0"/>
    <m/>
    <n v="0"/>
    <m/>
    <n v="0"/>
    <m/>
    <n v="0"/>
    <s v="No aplica"/>
  </r>
  <r>
    <s v="Yodo con fecha de vencimiento no inferior a 3 años"/>
    <s v="SUPELCO 104761"/>
    <s v="Frasco x 100 g"/>
    <x v="0"/>
    <x v="7"/>
    <n v="3"/>
    <n v="512370.20799999998"/>
    <n v="1537110.6239999998"/>
    <m/>
    <n v="0"/>
    <n v="1"/>
    <n v="512370.20799999998"/>
    <m/>
    <n v="0"/>
    <m/>
    <n v="0"/>
    <n v="1"/>
    <n v="512370.20799999998"/>
    <m/>
    <n v="0"/>
    <m/>
    <n v="0"/>
    <n v="1"/>
    <n v="512370.20799999998"/>
    <m/>
    <n v="0"/>
    <s v="No aplica"/>
  </r>
  <r>
    <s v="Yodo-bencil-Bromuro"/>
    <s v="SIGMA 427691-5G"/>
    <s v="5 Frascos x 5 g_x000a_"/>
    <x v="0"/>
    <x v="0"/>
    <n v="1"/>
    <n v="1433466.1935999999"/>
    <n v="1433466.1935999999"/>
    <n v="1"/>
    <n v="1433466.1935999999"/>
    <m/>
    <n v="0"/>
    <m/>
    <n v="0"/>
    <m/>
    <n v="0"/>
    <m/>
    <n v="0"/>
    <m/>
    <n v="0"/>
    <m/>
    <n v="0"/>
    <m/>
    <n v="0"/>
    <m/>
    <n v="0"/>
    <s v="No aplica"/>
  </r>
  <r>
    <s v="Yoduro de potasio "/>
    <s v="BIOQUIGEN_x000a_Ref: S050311"/>
    <s v="Frasco x 250g"/>
    <x v="0"/>
    <x v="0"/>
    <n v="2"/>
    <n v="635911.24800000002"/>
    <n v="1271822.496"/>
    <m/>
    <n v="0"/>
    <m/>
    <n v="0"/>
    <m/>
    <n v="0"/>
    <m/>
    <n v="0"/>
    <n v="1"/>
    <n v="635911.24800000002"/>
    <m/>
    <n v="0"/>
    <m/>
    <n v="0"/>
    <n v="1"/>
    <n v="635911.24800000002"/>
    <m/>
    <n v="0"/>
    <s v="No aplica"/>
  </r>
  <r>
    <s v="Aces buffer"/>
    <s v="Sigma/A-3594"/>
    <s v="Frasco x 100 g"/>
    <x v="0"/>
    <x v="12"/>
    <m/>
    <n v="1939046.6768296333"/>
    <n v="0"/>
    <m/>
    <n v="0"/>
    <m/>
    <n v="0"/>
    <m/>
    <n v="0"/>
    <m/>
    <n v="0"/>
    <m/>
    <n v="0"/>
    <m/>
    <n v="0"/>
    <m/>
    <n v="0"/>
    <m/>
    <n v="0"/>
    <m/>
    <n v="0"/>
    <m/>
  </r>
  <r>
    <s v="Acetato de zinc dihidrato, grado reactivo, pureza &gt; 98%. Con certificado de análisis trazable por lote"/>
    <s v="Merck o equivalente"/>
    <s v="Frasco X 1 kg"/>
    <x v="0"/>
    <x v="12"/>
    <m/>
    <n v="724913.5175986879"/>
    <n v="0"/>
    <m/>
    <n v="0"/>
    <m/>
    <n v="0"/>
    <m/>
    <n v="0"/>
    <m/>
    <n v="0"/>
    <m/>
    <n v="0"/>
    <m/>
    <n v="0"/>
    <m/>
    <n v="0"/>
    <m/>
    <n v="0"/>
    <m/>
    <n v="0"/>
    <m/>
  </r>
  <r>
    <s v="Ácido ascórbico"/>
    <s v="Cualquier marca"/>
    <s v="Frasco x 100g"/>
    <x v="0"/>
    <x v="12"/>
    <m/>
    <n v="196101.1695231387"/>
    <n v="0"/>
    <m/>
    <n v="0"/>
    <m/>
    <n v="0"/>
    <m/>
    <n v="0"/>
    <m/>
    <n v="0"/>
    <m/>
    <n v="0"/>
    <m/>
    <n v="0"/>
    <m/>
    <n v="0"/>
    <m/>
    <n v="0"/>
    <m/>
    <n v="0"/>
    <m/>
  </r>
  <r>
    <s v="Ácido fosfotúngstico"/>
    <s v="Sigma Aldrich / Merck / JT Baker o equivalente"/>
    <s v="Frasco x 25g"/>
    <x v="0"/>
    <x v="12"/>
    <m/>
    <n v="777472.45449294755"/>
    <n v="0"/>
    <m/>
    <n v="0"/>
    <m/>
    <n v="0"/>
    <m/>
    <n v="0"/>
    <m/>
    <n v="0"/>
    <m/>
    <n v="0"/>
    <m/>
    <n v="0"/>
    <m/>
    <n v="0"/>
    <m/>
    <n v="0"/>
    <m/>
    <n v="0"/>
    <m/>
  </r>
  <r>
    <s v="Adsorbente Z-Sep bulk, 22 um"/>
    <s v="Sigma Aldrich Referencia 55418-U o equivalente "/>
    <s v="Frasco x 20 g"/>
    <x v="0"/>
    <x v="12"/>
    <m/>
    <n v="2669474.804482914"/>
    <n v="0"/>
    <m/>
    <n v="0"/>
    <m/>
    <n v="0"/>
    <m/>
    <n v="0"/>
    <m/>
    <n v="0"/>
    <m/>
    <n v="0"/>
    <m/>
    <n v="0"/>
    <m/>
    <n v="0"/>
    <m/>
    <n v="0"/>
    <m/>
    <n v="0"/>
    <m/>
  </r>
  <r>
    <s v="Agar enterocococel"/>
    <s v="BD o equivalente"/>
    <s v="Frasco x 500 g"/>
    <x v="0"/>
    <x v="12"/>
    <m/>
    <n v="936886.88563033869"/>
    <n v="0"/>
    <m/>
    <n v="0"/>
    <m/>
    <n v="0"/>
    <m/>
    <n v="0"/>
    <m/>
    <n v="0"/>
    <m/>
    <n v="0"/>
    <m/>
    <n v="0"/>
    <m/>
    <n v="0"/>
    <m/>
    <n v="0"/>
    <m/>
    <n v="0"/>
    <m/>
  </r>
  <r>
    <s v="Alcohol bencílico"/>
    <s v="Cualquier marca"/>
    <s v="Frasco x  1 Litro"/>
    <x v="0"/>
    <x v="12"/>
    <m/>
    <n v="492139.49083125516"/>
    <n v="0"/>
    <m/>
    <n v="0"/>
    <m/>
    <n v="0"/>
    <m/>
    <n v="0"/>
    <m/>
    <n v="0"/>
    <m/>
    <n v="0"/>
    <m/>
    <n v="0"/>
    <m/>
    <n v="0"/>
    <m/>
    <n v="0"/>
    <m/>
    <n v="0"/>
    <m/>
  </r>
  <r>
    <s v="Antibody Diluent with Background Reducing Components_x000d_"/>
    <s v="DAKO"/>
    <s v="Unidad"/>
    <x v="0"/>
    <x v="12"/>
    <m/>
    <n v="1288264.1508730813"/>
    <n v="0"/>
    <m/>
    <n v="0"/>
    <m/>
    <n v="0"/>
    <m/>
    <n v="0"/>
    <m/>
    <n v="0"/>
    <m/>
    <n v="0"/>
    <m/>
    <n v="0"/>
    <m/>
    <n v="0"/>
    <m/>
    <n v="0"/>
    <m/>
    <n v="0"/>
    <m/>
  </r>
  <r>
    <s v="Antibody Diluent, Ready to Use"/>
    <s v="Dako S0809"/>
    <s v="Frasco x 100 ml"/>
    <x v="0"/>
    <x v="12"/>
    <m/>
    <n v="1202305.4721735499"/>
    <n v="0"/>
    <m/>
    <n v="0"/>
    <m/>
    <n v="0"/>
    <m/>
    <n v="0"/>
    <m/>
    <n v="0"/>
    <m/>
    <n v="0"/>
    <m/>
    <n v="0"/>
    <m/>
    <n v="0"/>
    <m/>
    <n v="0"/>
    <m/>
    <n v="0"/>
    <m/>
  </r>
  <r>
    <s v="Anti-Bovine IgG (whole molecule)−Peroxidase antibody produced in rabbit"/>
    <s v="Sigma A8917"/>
    <s v="Frascos x 1 ml"/>
    <x v="0"/>
    <x v="12"/>
    <m/>
    <n v="2218539.1623685015"/>
    <n v="0"/>
    <m/>
    <n v="0"/>
    <m/>
    <n v="0"/>
    <m/>
    <n v="0"/>
    <m/>
    <n v="0"/>
    <m/>
    <n v="0"/>
    <m/>
    <n v="0"/>
    <m/>
    <n v="0"/>
    <m/>
    <n v="0"/>
    <m/>
    <n v="0"/>
    <m/>
  </r>
  <r>
    <s v="Antisuero Brucella contra antigeno R"/>
    <s v="NVSL o VLA"/>
    <s v="Vial x 1 ml"/>
    <x v="0"/>
    <x v="12"/>
    <m/>
    <n v="947546.77247999993"/>
    <n v="0"/>
    <m/>
    <n v="0"/>
    <m/>
    <n v="0"/>
    <m/>
    <n v="0"/>
    <m/>
    <n v="0"/>
    <m/>
    <n v="0"/>
    <m/>
    <n v="0"/>
    <m/>
    <n v="0"/>
    <m/>
    <n v="0"/>
    <m/>
    <n v="0"/>
    <m/>
  </r>
  <r>
    <s v="Antisuero flagelar Salmonella Z37"/>
    <s v="Difco o equivalente"/>
    <s v="Frasco x 3 ml"/>
    <x v="0"/>
    <x v="12"/>
    <m/>
    <n v="3425928"/>
    <n v="0"/>
    <m/>
    <n v="0"/>
    <m/>
    <n v="0"/>
    <m/>
    <n v="0"/>
    <m/>
    <n v="0"/>
    <m/>
    <n v="0"/>
    <m/>
    <n v="0"/>
    <m/>
    <n v="0"/>
    <m/>
    <n v="0"/>
    <m/>
    <n v="0"/>
    <m/>
  </r>
  <r>
    <s v="Antisuero Salmonella Factor 46 (O)"/>
    <s v="SSI Diagnostica o Pro-lab o equivalente"/>
    <s v="Frasco x 2ml "/>
    <x v="0"/>
    <x v="12"/>
    <m/>
    <n v="3322112"/>
    <n v="0"/>
    <m/>
    <n v="0"/>
    <m/>
    <n v="0"/>
    <m/>
    <n v="0"/>
    <m/>
    <n v="0"/>
    <m/>
    <n v="0"/>
    <m/>
    <n v="0"/>
    <m/>
    <n v="0"/>
    <m/>
    <n v="0"/>
    <m/>
    <n v="0"/>
    <m/>
  </r>
  <r>
    <s v="Antisuero Salmonella Factor 7 (H)"/>
    <s v="SSI Diagnostica o Pro-lab o equivalente"/>
    <s v="Frasco x 2ml "/>
    <x v="0"/>
    <x v="12"/>
    <m/>
    <n v="1787820.8"/>
    <n v="0"/>
    <m/>
    <n v="0"/>
    <m/>
    <n v="0"/>
    <m/>
    <n v="0"/>
    <m/>
    <n v="0"/>
    <m/>
    <n v="0"/>
    <m/>
    <n v="0"/>
    <m/>
    <n v="0"/>
    <m/>
    <n v="0"/>
    <m/>
    <n v="0"/>
    <m/>
  </r>
  <r>
    <s v="Antisuero Salmonella Factor D (H)"/>
    <s v="SSI Diagnostica o Pro-lab o equivalente"/>
    <s v="Frasco x 2ml "/>
    <x v="0"/>
    <x v="12"/>
    <m/>
    <n v="0"/>
    <n v="0"/>
    <m/>
    <n v="0"/>
    <m/>
    <n v="0"/>
    <m/>
    <n v="0"/>
    <m/>
    <n v="0"/>
    <m/>
    <n v="0"/>
    <m/>
    <n v="0"/>
    <m/>
    <n v="0"/>
    <m/>
    <n v="0"/>
    <m/>
    <n v="0"/>
    <m/>
  </r>
  <r>
    <s v="Azometina H (Reactivo del Boro) con certificado de análisis y ficha de seguridad"/>
    <s v="Merck 111962 o equivalente"/>
    <s v="Frasco x 10 g"/>
    <x v="0"/>
    <x v="12"/>
    <m/>
    <n v="3246429.1995317298"/>
    <n v="0"/>
    <m/>
    <n v="0"/>
    <m/>
    <n v="0"/>
    <m/>
    <n v="0"/>
    <m/>
    <n v="0"/>
    <m/>
    <n v="0"/>
    <m/>
    <n v="0"/>
    <m/>
    <n v="0"/>
    <m/>
    <n v="0"/>
    <m/>
    <n v="0"/>
    <m/>
  </r>
  <r>
    <s v="Bovine Serum Albumin (Fracción de albúmina bovina ≥98% )"/>
    <s v="Sigma"/>
    <s v="Frasco 50 gramos  "/>
    <x v="0"/>
    <x v="12"/>
    <m/>
    <n v="2219729.3349199374"/>
    <n v="0"/>
    <m/>
    <n v="0"/>
    <m/>
    <n v="0"/>
    <m/>
    <n v="0"/>
    <m/>
    <n v="0"/>
    <m/>
    <n v="0"/>
    <m/>
    <n v="0"/>
    <m/>
    <n v="0"/>
    <m/>
    <n v="0"/>
    <m/>
    <n v="0"/>
    <m/>
  </r>
  <r>
    <s v="Bovine Tuberculosis Freeze-dried positive extraction control PEC-TUB ID VET"/>
    <s v="iDvet"/>
    <s v="Control de extracción"/>
    <x v="0"/>
    <x v="12"/>
    <m/>
    <n v="0"/>
    <n v="0"/>
    <m/>
    <n v="0"/>
    <m/>
    <n v="0"/>
    <m/>
    <n v="0"/>
    <m/>
    <n v="0"/>
    <m/>
    <n v="0"/>
    <m/>
    <n v="0"/>
    <m/>
    <n v="0"/>
    <m/>
    <n v="0"/>
    <m/>
    <n v="0"/>
    <m/>
  </r>
  <r>
    <s v="Carboxileno"/>
    <s v="Merck, Fisher, Sigma, Merck millipore o equivalente"/>
    <s v="Frasco x 5g"/>
    <x v="0"/>
    <x v="12"/>
    <m/>
    <n v="1655229.4582536439"/>
    <n v="0"/>
    <m/>
    <n v="0"/>
    <m/>
    <n v="0"/>
    <m/>
    <n v="0"/>
    <m/>
    <n v="0"/>
    <m/>
    <n v="0"/>
    <m/>
    <n v="0"/>
    <m/>
    <n v="0"/>
    <m/>
    <n v="0"/>
    <m/>
    <n v="0"/>
    <m/>
  </r>
  <r>
    <s v="Cepa Azotobacter croococcum Fecha  de vencimiento  no  inferior  a un año, con certificado del proveedor con acreditación con 17034"/>
    <s v="ATCC o  Colección Equivalente "/>
    <s v="Vial Liofilizado"/>
    <x v="0"/>
    <x v="12"/>
    <m/>
    <n v="4915632.96"/>
    <n v="0"/>
    <m/>
    <n v="0"/>
    <m/>
    <n v="0"/>
    <m/>
    <n v="0"/>
    <m/>
    <n v="0"/>
    <m/>
    <n v="0"/>
    <m/>
    <n v="0"/>
    <m/>
    <n v="0"/>
    <m/>
    <n v="0"/>
    <m/>
    <n v="0"/>
    <m/>
  </r>
  <r>
    <s v="Cepa Candida albicans"/>
    <s v="ATCC 10231"/>
    <s v="Vial"/>
    <x v="0"/>
    <x v="12"/>
    <m/>
    <n v="638195.19999999995"/>
    <n v="0"/>
    <m/>
    <n v="0"/>
    <m/>
    <n v="0"/>
    <m/>
    <n v="0"/>
    <m/>
    <n v="0"/>
    <m/>
    <n v="0"/>
    <m/>
    <n v="0"/>
    <m/>
    <n v="0"/>
    <m/>
    <n v="0"/>
    <m/>
    <n v="0"/>
    <m/>
  </r>
  <r>
    <s v="Cepa Candida albicans"/>
    <s v="ATCC 10231"/>
    <m/>
    <x v="0"/>
    <x v="12"/>
    <m/>
    <n v="638195.19999999995"/>
    <n v="0"/>
    <m/>
    <n v="0"/>
    <m/>
    <n v="0"/>
    <m/>
    <n v="0"/>
    <m/>
    <n v="0"/>
    <m/>
    <n v="0"/>
    <m/>
    <n v="0"/>
    <m/>
    <n v="0"/>
    <m/>
    <n v="0"/>
    <m/>
    <n v="0"/>
    <m/>
  </r>
  <r>
    <s v="Cepa Clostridium sporogenes"/>
    <s v="ATCC 19404"/>
    <s v="Vial Liofilizado"/>
    <x v="0"/>
    <x v="12"/>
    <m/>
    <n v="638195.19999999995"/>
    <n v="0"/>
    <m/>
    <n v="0"/>
    <m/>
    <n v="0"/>
    <m/>
    <n v="0"/>
    <m/>
    <n v="0"/>
    <m/>
    <n v="0"/>
    <m/>
    <n v="0"/>
    <m/>
    <n v="0"/>
    <m/>
    <n v="0"/>
    <m/>
    <n v="0"/>
    <m/>
  </r>
  <r>
    <s v="Cepa de aspergillus brasiliensis"/>
    <s v="ATCC 16404"/>
    <s v="Vial Liofilizado"/>
    <x v="0"/>
    <x v="12"/>
    <m/>
    <n v="638195.19999999995"/>
    <n v="0"/>
    <m/>
    <n v="0"/>
    <m/>
    <n v="0"/>
    <m/>
    <n v="0"/>
    <m/>
    <n v="0"/>
    <m/>
    <n v="0"/>
    <m/>
    <n v="0"/>
    <m/>
    <n v="0"/>
    <m/>
    <n v="0"/>
    <m/>
    <n v="0"/>
    <m/>
  </r>
  <r>
    <s v="Cepa de Bacillus subtilis"/>
    <s v="ATCC 6633"/>
    <s v="Vial Liofilizado"/>
    <x v="0"/>
    <x v="12"/>
    <m/>
    <n v="638195.19999999995"/>
    <n v="0"/>
    <m/>
    <n v="0"/>
    <m/>
    <n v="0"/>
    <m/>
    <n v="0"/>
    <m/>
    <n v="0"/>
    <m/>
    <n v="0"/>
    <m/>
    <n v="0"/>
    <m/>
    <n v="0"/>
    <m/>
    <n v="0"/>
    <m/>
    <n v="0"/>
    <m/>
  </r>
  <r>
    <s v="Cepa Ralstonia solanacearum ATCC"/>
    <s v="ATCC BAA-1114"/>
    <s v="Unidad vial"/>
    <x v="0"/>
    <x v="12"/>
    <m/>
    <n v="8407292.8800000008"/>
    <n v="0"/>
    <m/>
    <n v="0"/>
    <m/>
    <n v="0"/>
    <m/>
    <n v="0"/>
    <m/>
    <n v="0"/>
    <m/>
    <n v="0"/>
    <m/>
    <n v="0"/>
    <m/>
    <n v="0"/>
    <m/>
    <n v="0"/>
    <m/>
    <n v="0"/>
    <m/>
  </r>
  <r>
    <s v="Cepa Reovirus FC"/>
    <s v="NVSL AMES"/>
    <s v="Frasco suspensión líquida x 1.0 ml"/>
    <x v="0"/>
    <x v="12"/>
    <m/>
    <n v="436945.152"/>
    <n v="0"/>
    <m/>
    <n v="0"/>
    <m/>
    <n v="0"/>
    <m/>
    <n v="0"/>
    <m/>
    <n v="0"/>
    <m/>
    <n v="0"/>
    <m/>
    <n v="0"/>
    <m/>
    <n v="0"/>
    <m/>
    <n v="0"/>
    <m/>
    <n v="0"/>
    <m/>
  </r>
  <r>
    <s v="Cloruro de amonio NH4Cl ACS Para análisis con certificado de análisis trazable por lote"/>
    <s v="Panreac, Merck o equivalente"/>
    <s v="Frasco x 500 g "/>
    <x v="0"/>
    <x v="12"/>
    <m/>
    <n v="356735.48185150599"/>
    <n v="0"/>
    <m/>
    <n v="0"/>
    <m/>
    <n v="0"/>
    <m/>
    <n v="0"/>
    <m/>
    <n v="0"/>
    <m/>
    <n v="0"/>
    <m/>
    <n v="0"/>
    <m/>
    <n v="0"/>
    <m/>
    <n v="0"/>
    <m/>
    <n v="0"/>
    <m/>
  </r>
  <r>
    <s v="Cloruro de Litio (LiCl) grado biología molecular"/>
    <s v="Cualquier marca"/>
    <s v="Frasco x 250g "/>
    <x v="0"/>
    <x v="12"/>
    <m/>
    <n v="908790.43361458706"/>
    <n v="0"/>
    <m/>
    <n v="0"/>
    <m/>
    <n v="0"/>
    <m/>
    <n v="0"/>
    <m/>
    <n v="0"/>
    <m/>
    <n v="0"/>
    <m/>
    <n v="0"/>
    <m/>
    <n v="0"/>
    <m/>
    <n v="0"/>
    <m/>
    <n v="0"/>
    <m/>
  </r>
  <r>
    <s v="Cloruro de magnesio 6-hidratado (MgCl2.6H2O) con certificado de análisis trazable por lote"/>
    <s v="JT Baker, Merck o equivalente"/>
    <s v="Frasco x 500 g"/>
    <x v="0"/>
    <x v="12"/>
    <m/>
    <n v="376935.82669247198"/>
    <n v="0"/>
    <m/>
    <n v="0"/>
    <m/>
    <n v="0"/>
    <m/>
    <n v="0"/>
    <m/>
    <n v="0"/>
    <m/>
    <n v="0"/>
    <m/>
    <n v="0"/>
    <m/>
    <n v="0"/>
    <m/>
    <n v="0"/>
    <m/>
    <n v="0"/>
    <m/>
  </r>
  <r>
    <s v="Complement fixation test buffer 20x"/>
    <s v="IDvet"/>
    <s v="Vial x 50ml"/>
    <x v="0"/>
    <x v="12"/>
    <m/>
    <n v="874240"/>
    <n v="0"/>
    <m/>
    <n v="0"/>
    <m/>
    <n v="0"/>
    <m/>
    <n v="0"/>
    <m/>
    <n v="0"/>
    <m/>
    <n v="0"/>
    <m/>
    <n v="0"/>
    <m/>
    <n v="0"/>
    <m/>
    <n v="0"/>
    <m/>
    <n v="0"/>
    <m/>
  </r>
  <r>
    <s v="Conjugado Anti-DIG AP "/>
    <s v="Sigma o equivalente"/>
    <s v="vial 500microlitros"/>
    <x v="0"/>
    <x v="12"/>
    <m/>
    <n v="3623081.8718472971"/>
    <n v="0"/>
    <m/>
    <n v="0"/>
    <m/>
    <n v="0"/>
    <m/>
    <n v="0"/>
    <m/>
    <n v="0"/>
    <m/>
    <n v="0"/>
    <m/>
    <n v="0"/>
    <m/>
    <n v="0"/>
    <m/>
    <n v="0"/>
    <m/>
    <n v="0"/>
    <m/>
  </r>
  <r>
    <s v="Control de Positivo para Ivermectina en leche de bovino"/>
    <s v="FAPAS o Equivalente"/>
    <s v="Frasco x 25 mL"/>
    <x v="0"/>
    <x v="12"/>
    <m/>
    <n v="0"/>
    <n v="0"/>
    <m/>
    <n v="0"/>
    <m/>
    <n v="0"/>
    <m/>
    <n v="0"/>
    <m/>
    <n v="0"/>
    <m/>
    <n v="0"/>
    <m/>
    <n v="0"/>
    <m/>
    <n v="0"/>
    <m/>
    <n v="0"/>
    <m/>
    <n v="0"/>
    <m/>
  </r>
  <r>
    <s v="Control in vitro transcrito. GeneArt"/>
    <s v="Unidad sintetizada"/>
    <s v="Unidad "/>
    <x v="0"/>
    <x v="12"/>
    <m/>
    <n v="0"/>
    <n v="0"/>
    <m/>
    <n v="0"/>
    <m/>
    <n v="0"/>
    <m/>
    <n v="0"/>
    <m/>
    <n v="0"/>
    <m/>
    <n v="0"/>
    <m/>
    <n v="0"/>
    <m/>
    <n v="0"/>
    <m/>
    <n v="0"/>
    <m/>
    <n v="0"/>
    <m/>
  </r>
  <r>
    <s v="DAPI (4'6'-DIAMNINO-2-PHENYLINDOLE)"/>
    <s v="Imvitrogen"/>
    <s v="FRASCO X 10mg"/>
    <x v="0"/>
    <x v="12"/>
    <m/>
    <n v="2049480.8319999999"/>
    <n v="0"/>
    <m/>
    <n v="0"/>
    <m/>
    <n v="0"/>
    <m/>
    <n v="0"/>
    <m/>
    <n v="0"/>
    <m/>
    <n v="0"/>
    <m/>
    <n v="0"/>
    <m/>
    <n v="0"/>
    <m/>
    <n v="0"/>
    <m/>
    <n v="0"/>
    <m/>
  </r>
  <r>
    <n v="1"/>
    <s v="thermofisher o equivalente "/>
    <s v="Frasco 100 ml"/>
    <x v="0"/>
    <x v="12"/>
    <m/>
    <n v="2398628.2464000001"/>
    <n v="0"/>
    <m/>
    <n v="0"/>
    <m/>
    <n v="0"/>
    <m/>
    <n v="0"/>
    <m/>
    <n v="0"/>
    <m/>
    <n v="0"/>
    <m/>
    <n v="0"/>
    <m/>
    <n v="0"/>
    <m/>
    <n v="0"/>
    <m/>
    <n v="0"/>
    <m/>
  </r>
  <r>
    <s v="Dextran sulfate sodium salt, powder"/>
    <s v="bioglyco o equivalente"/>
    <s v="Frasco 100g"/>
    <x v="0"/>
    <x v="12"/>
    <m/>
    <n v="9956500.2308333348"/>
    <n v="0"/>
    <m/>
    <n v="0"/>
    <m/>
    <n v="0"/>
    <m/>
    <n v="0"/>
    <m/>
    <n v="0"/>
    <m/>
    <n v="0"/>
    <m/>
    <n v="0"/>
    <m/>
    <n v="0"/>
    <m/>
    <n v="0"/>
    <m/>
    <n v="0"/>
    <m/>
  </r>
  <r>
    <s v="di-Amonio hidrogenocitrato p.a. ACS,Reag. Ph Eur "/>
    <s v="Merck (referencia 1011540500) o equivalente"/>
    <s v="Frasco x 500g"/>
    <x v="0"/>
    <x v="12"/>
    <m/>
    <n v="953776.98724360415"/>
    <n v="0"/>
    <m/>
    <n v="0"/>
    <m/>
    <n v="0"/>
    <m/>
    <n v="0"/>
    <m/>
    <n v="0"/>
    <m/>
    <n v="0"/>
    <m/>
    <n v="0"/>
    <m/>
    <n v="0"/>
    <m/>
    <n v="0"/>
    <m/>
    <n v="0"/>
    <m/>
  </r>
  <r>
    <s v="Diciclohexilftalato pureza mayor a 99% para GC "/>
    <s v="JTBaker, merck o equivalente"/>
    <s v="Frasco x 500 ml"/>
    <x v="0"/>
    <x v="12"/>
    <m/>
    <n v="706019.87403525133"/>
    <n v="0"/>
    <m/>
    <n v="0"/>
    <m/>
    <n v="0"/>
    <m/>
    <n v="0"/>
    <m/>
    <n v="0"/>
    <m/>
    <n v="0"/>
    <m/>
    <n v="0"/>
    <m/>
    <n v="0"/>
    <m/>
    <n v="0"/>
    <m/>
    <n v="0"/>
    <m/>
  </r>
  <r>
    <s v="Dicromato de potasio reactivo analítico con certificado de análisis. ACS"/>
    <s v="cualquier marca"/>
    <s v="Frasco x 500g"/>
    <x v="0"/>
    <x v="12"/>
    <m/>
    <n v="554680.56548116589"/>
    <n v="0"/>
    <m/>
    <n v="0"/>
    <m/>
    <n v="0"/>
    <m/>
    <n v="0"/>
    <m/>
    <n v="0"/>
    <m/>
    <n v="0"/>
    <m/>
    <n v="0"/>
    <m/>
    <n v="0"/>
    <m/>
    <n v="0"/>
    <m/>
    <n v="0"/>
    <m/>
  </r>
  <r>
    <s v="Dicyclohexyl phthalate"/>
    <s v="Merck, Sigma aldrich o equivalente"/>
    <s v="Frasco x 1 kg"/>
    <x v="0"/>
    <x v="12"/>
    <m/>
    <n v="1487121.6187209629"/>
    <n v="0"/>
    <m/>
    <n v="0"/>
    <m/>
    <n v="0"/>
    <m/>
    <n v="0"/>
    <m/>
    <n v="0"/>
    <m/>
    <n v="0"/>
    <m/>
    <n v="0"/>
    <m/>
    <n v="0"/>
    <m/>
    <n v="0"/>
    <m/>
    <n v="0"/>
    <m/>
  </r>
  <r>
    <s v="DIG RNA Labeling Kit (SP6/T7)"/>
    <s v="Roche o eqiuivalente"/>
    <s v="KIT x 10 reacciones"/>
    <x v="0"/>
    <x v="12"/>
    <m/>
    <n v="7039468.7008333346"/>
    <n v="0"/>
    <m/>
    <n v="0"/>
    <m/>
    <n v="0"/>
    <m/>
    <n v="0"/>
    <m/>
    <n v="0"/>
    <m/>
    <n v="0"/>
    <m/>
    <n v="0"/>
    <m/>
    <n v="0"/>
    <m/>
    <n v="0"/>
    <m/>
    <n v="0"/>
    <m/>
  </r>
  <r>
    <s v="Dimetoato D6, estandar deuterado con certificado de análisis y fecha de vencimiento superior a 6 meses"/>
    <s v="Dr Ehrenstorfer, HPC Standars, Sigma o equivalentes "/>
    <s v="Frasco x 10 mg"/>
    <x v="0"/>
    <x v="12"/>
    <m/>
    <n v="18669815.087880909"/>
    <n v="0"/>
    <m/>
    <n v="0"/>
    <m/>
    <n v="0"/>
    <m/>
    <n v="0"/>
    <m/>
    <n v="0"/>
    <m/>
    <n v="0"/>
    <m/>
    <n v="0"/>
    <m/>
    <n v="0"/>
    <m/>
    <n v="0"/>
    <m/>
    <n v="0"/>
    <m/>
  </r>
  <r>
    <s v="D-Manitol microbiología ,≥98%"/>
    <s v="Sigma/Merck"/>
    <s v="Frasco x 100g"/>
    <x v="0"/>
    <x v="12"/>
    <m/>
    <n v="497872.74255642976"/>
    <n v="0"/>
    <m/>
    <n v="0"/>
    <m/>
    <n v="0"/>
    <m/>
    <n v="0"/>
    <m/>
    <n v="0"/>
    <m/>
    <n v="0"/>
    <m/>
    <n v="0"/>
    <m/>
    <n v="0"/>
    <m/>
    <n v="0"/>
    <m/>
    <n v="0"/>
    <m/>
  </r>
  <r>
    <s v="EDTA de hierro sodio Fe3Na EDTA E6760-500G"/>
    <s v="Sigma/Merck o equivalente"/>
    <s v="Unidad x 500 g"/>
    <x v="0"/>
    <x v="12"/>
    <m/>
    <n v="1720283.8539488965"/>
    <n v="0"/>
    <m/>
    <n v="0"/>
    <m/>
    <n v="0"/>
    <m/>
    <n v="0"/>
    <m/>
    <n v="0"/>
    <m/>
    <n v="0"/>
    <m/>
    <n v="0"/>
    <m/>
    <n v="0"/>
    <m/>
    <n v="0"/>
    <m/>
    <n v="0"/>
    <m/>
  </r>
  <r>
    <s v="EIA Buffer:Dilutes enzyme conjugates, standards, and samples for Boldenone ELISA KIT. "/>
    <s v="Neogen Product # 301276"/>
    <s v="Frasco X 500 ml"/>
    <x v="0"/>
    <x v="12"/>
    <m/>
    <n v="0"/>
    <n v="0"/>
    <m/>
    <n v="0"/>
    <m/>
    <n v="0"/>
    <m/>
    <n v="0"/>
    <m/>
    <n v="0"/>
    <m/>
    <n v="0"/>
    <m/>
    <n v="0"/>
    <m/>
    <n v="0"/>
    <m/>
    <n v="0"/>
    <m/>
    <n v="0"/>
    <m/>
  </r>
  <r>
    <s v="Estandar 4,4-DDD con certificado de análisis y fecha de vencimiento inferior a 6 meses"/>
    <s v="Dr Ehrenstorfer, HPC Standars, Sigma o equivalentes "/>
    <s v="frasco x 10 mg"/>
    <x v="0"/>
    <x v="12"/>
    <m/>
    <n v="678592.37648026377"/>
    <n v="0"/>
    <m/>
    <n v="0"/>
    <m/>
    <n v="0"/>
    <m/>
    <n v="0"/>
    <m/>
    <n v="0"/>
    <m/>
    <n v="0"/>
    <m/>
    <n v="0"/>
    <m/>
    <n v="0"/>
    <m/>
    <n v="0"/>
    <m/>
    <n v="0"/>
    <m/>
  </r>
  <r>
    <s v="Estandar 4,4-DDE con certificado de análisis y fecha de vencimiento mayor o igual a 6 meses"/>
    <s v="Dr Ehrenstorfer, HPC Standars, Sigma o equivalentes "/>
    <s v="frasco x 10 mg"/>
    <x v="0"/>
    <x v="12"/>
    <m/>
    <n v="1023090.3958081348"/>
    <n v="0"/>
    <m/>
    <n v="0"/>
    <m/>
    <n v="0"/>
    <m/>
    <n v="0"/>
    <m/>
    <n v="0"/>
    <m/>
    <n v="0"/>
    <m/>
    <n v="0"/>
    <m/>
    <n v="0"/>
    <m/>
    <n v="0"/>
    <m/>
    <n v="0"/>
    <m/>
  </r>
  <r>
    <s v="Estandar 4,4-DDT con certificado de análisis y fecha de vencimiento mayor o igual a 6 meses"/>
    <s v="Dr Ehrenstorfer, HPC Standars, Sigma o equivalentes "/>
    <s v="frasco x 10 mg"/>
    <x v="0"/>
    <x v="12"/>
    <m/>
    <n v="774682.52068898489"/>
    <n v="0"/>
    <m/>
    <n v="0"/>
    <m/>
    <n v="0"/>
    <m/>
    <n v="0"/>
    <m/>
    <n v="0"/>
    <m/>
    <n v="0"/>
    <m/>
    <n v="0"/>
    <m/>
    <n v="0"/>
    <m/>
    <n v="0"/>
    <m/>
    <n v="0"/>
    <m/>
  </r>
  <r>
    <s v="Estándar Albendazole _x000a_fecha de vigencia ó con fecha no menor a 2 años_x000a_ N° de CAS 54965-21-8"/>
    <s v="USP_x000a_Ref. 1012553"/>
    <s v="Frasco x 200 mg"/>
    <x v="0"/>
    <x v="12"/>
    <m/>
    <n v="2311918.5166777973"/>
    <n v="0"/>
    <m/>
    <n v="0"/>
    <m/>
    <n v="0"/>
    <m/>
    <n v="0"/>
    <m/>
    <n v="0"/>
    <m/>
    <n v="0"/>
    <m/>
    <n v="0"/>
    <m/>
    <n v="0"/>
    <m/>
    <n v="0"/>
    <m/>
    <n v="0"/>
    <m/>
  </r>
  <r>
    <s v="Estándar Albendazole _x000a_fecha de vigencia ó con fecha no menor a 2 años_x000a_N° CAS 54965-21-8"/>
    <s v="Dr. Ehrenstorfer _x000a_Ref. DRE-C10065000"/>
    <s v="Frasco x 100mg"/>
    <x v="0"/>
    <x v="12"/>
    <m/>
    <n v="1247258.7008765377"/>
    <n v="0"/>
    <m/>
    <n v="0"/>
    <m/>
    <n v="0"/>
    <m/>
    <n v="0"/>
    <m/>
    <n v="0"/>
    <m/>
    <n v="0"/>
    <m/>
    <n v="0"/>
    <m/>
    <n v="0"/>
    <m/>
    <n v="0"/>
    <m/>
    <n v="0"/>
    <m/>
  </r>
  <r>
    <s v="Estándar Albendazole _x000a_fecha de vigencia ó con fecha no menor a 2 años_x000a_N° CAS 54965-21-8"/>
    <s v="Sigma Aldrich Supelco _x000a_Ref: PHR31281-1G"/>
    <s v="Frasco x 1 g"/>
    <x v="0"/>
    <x v="12"/>
    <m/>
    <n v="876823.35065030691"/>
    <n v="0"/>
    <m/>
    <n v="0"/>
    <m/>
    <n v="0"/>
    <m/>
    <n v="0"/>
    <m/>
    <n v="0"/>
    <m/>
    <n v="0"/>
    <m/>
    <n v="0"/>
    <m/>
    <n v="0"/>
    <m/>
    <n v="0"/>
    <m/>
    <n v="0"/>
    <m/>
  </r>
  <r>
    <s v="Estandar Aldrin con certificado de análisis y fecha de vencimiento mayor o igual a 6 meses"/>
    <s v="Dr Ehrenstorfer, HPC Standars, Sigma o equivalentes "/>
    <s v="Frasco x 10 mg"/>
    <x v="0"/>
    <x v="12"/>
    <m/>
    <n v="782072.27981640887"/>
    <n v="0"/>
    <m/>
    <n v="0"/>
    <m/>
    <n v="0"/>
    <m/>
    <n v="0"/>
    <m/>
    <n v="0"/>
    <m/>
    <n v="0"/>
    <m/>
    <n v="0"/>
    <m/>
    <n v="0"/>
    <m/>
    <n v="0"/>
    <m/>
    <n v="0"/>
    <m/>
  </r>
  <r>
    <s v="Estandar Amitraz_x000a_fecha de vigencia ó con fecha no menor a 2 años_x000a_N° CAS 33089-61-1"/>
    <s v="Dr. Ehrenstorfer _x000a_Ref. DRE-C10230000"/>
    <s v="Frasco x 250mg"/>
    <x v="0"/>
    <x v="12"/>
    <m/>
    <n v="819896.61610768014"/>
    <n v="0"/>
    <m/>
    <n v="0"/>
    <m/>
    <n v="0"/>
    <m/>
    <n v="0"/>
    <m/>
    <n v="0"/>
    <m/>
    <n v="0"/>
    <m/>
    <n v="0"/>
    <m/>
    <n v="0"/>
    <m/>
    <n v="0"/>
    <m/>
    <n v="0"/>
    <m/>
  </r>
  <r>
    <s v="Estandar Amitraz_x000a_fecha de vigencia ó con fecha no menor a 2 años_x000a_N° CAS 33089-61-1"/>
    <s v="USP_x000a_Ref. 1028000"/>
    <s v="Frasco x 200 mg"/>
    <x v="0"/>
    <x v="12"/>
    <m/>
    <n v="1912450.7075353959"/>
    <n v="0"/>
    <m/>
    <n v="0"/>
    <m/>
    <n v="0"/>
    <m/>
    <n v="0"/>
    <m/>
    <n v="0"/>
    <m/>
    <n v="0"/>
    <m/>
    <n v="0"/>
    <m/>
    <n v="0"/>
    <m/>
    <n v="0"/>
    <m/>
    <n v="0"/>
    <m/>
  </r>
  <r>
    <s v="Estandar Amoxicilina Trihidrato _x000a_fecha de vigencia ó con fecha no menor a 2 años_x000a_N° CAS  61336-70-7"/>
    <s v="Sigma Aldrich Supelco_x000a_Ref: PHR1127-1G"/>
    <s v="Frasco x 1 g"/>
    <x v="0"/>
    <x v="12"/>
    <m/>
    <n v="905347.61476419587"/>
    <n v="0"/>
    <m/>
    <n v="0"/>
    <m/>
    <n v="0"/>
    <m/>
    <n v="0"/>
    <m/>
    <n v="0"/>
    <m/>
    <n v="0"/>
    <m/>
    <n v="0"/>
    <m/>
    <n v="0"/>
    <m/>
    <n v="0"/>
    <m/>
    <n v="0"/>
    <m/>
  </r>
  <r>
    <s v="Estandar Amoxicilina Trihidrato _x000a_fecha de vigencia ó con fecha no menor a 2 años_x000a_N° CAS  61336-70-7"/>
    <s v="USP_x000a_Ref. 1031503"/>
    <s v="Frasco x 200 mg"/>
    <x v="0"/>
    <x v="12"/>
    <m/>
    <n v="1857600.4572215502"/>
    <n v="0"/>
    <m/>
    <n v="0"/>
    <m/>
    <n v="0"/>
    <m/>
    <n v="0"/>
    <m/>
    <n v="0"/>
    <m/>
    <n v="0"/>
    <m/>
    <n v="0"/>
    <m/>
    <n v="0"/>
    <m/>
    <n v="0"/>
    <m/>
    <n v="0"/>
    <m/>
  </r>
  <r>
    <s v="Estandar Ampicillin Trihydrate_x000a_fecha de vigencia ó con fecha no menor a 2 años_x000a_N° CAS 7177-48-2"/>
    <s v="USP_x000a_Ref.1033407"/>
    <s v="Frasco x 200 mg"/>
    <x v="0"/>
    <x v="12"/>
    <m/>
    <n v="3054206.2558035962"/>
    <n v="0"/>
    <m/>
    <n v="0"/>
    <m/>
    <n v="0"/>
    <m/>
    <n v="0"/>
    <m/>
    <n v="0"/>
    <m/>
    <n v="0"/>
    <m/>
    <n v="0"/>
    <m/>
    <n v="0"/>
    <m/>
    <n v="0"/>
    <m/>
    <n v="0"/>
    <m/>
  </r>
  <r>
    <s v="Estándar Amprolium _x000a_fecha de vigencia ó con fecha no menor a 2 años_x000a_N° CAS  137-88-2"/>
    <s v="USP_x000a_Ref.1034002"/>
    <s v="Frasco x 200 mg"/>
    <x v="0"/>
    <x v="12"/>
    <m/>
    <n v="1314823.1224841701"/>
    <n v="0"/>
    <m/>
    <n v="0"/>
    <m/>
    <n v="0"/>
    <m/>
    <n v="0"/>
    <m/>
    <n v="0"/>
    <m/>
    <n v="0"/>
    <m/>
    <n v="0"/>
    <m/>
    <n v="0"/>
    <m/>
    <n v="0"/>
    <m/>
    <n v="0"/>
    <m/>
  </r>
  <r>
    <s v="Estándar Amprolium Hyrdrochoride_x000a_fecha de vigencia ó con fecha no menor a 2 años_x000a_N° CAS  137-88-2"/>
    <s v="Dr. Ehrenstorfer _x000a_Ref. DRE-C10243100"/>
    <s v="Frasco x 250 mg"/>
    <x v="0"/>
    <x v="12"/>
    <m/>
    <n v="1048040.3275215273"/>
    <n v="0"/>
    <m/>
    <n v="0"/>
    <m/>
    <n v="0"/>
    <m/>
    <n v="0"/>
    <m/>
    <n v="0"/>
    <m/>
    <n v="0"/>
    <m/>
    <n v="0"/>
    <m/>
    <n v="0"/>
    <m/>
    <n v="0"/>
    <m/>
    <n v="0"/>
    <m/>
  </r>
  <r>
    <s v="Estandar Betamethasone Sodium Phosphate  _x000a_fecha de vigencia ó con fecha no menor a 2 años_x000a_N° CAS 151-73-5"/>
    <s v="USP_x000a_Ref.1068004"/>
    <s v="Frasco x 500 mg"/>
    <x v="0"/>
    <x v="12"/>
    <m/>
    <n v="8622742.3560134135"/>
    <n v="0"/>
    <m/>
    <n v="0"/>
    <m/>
    <n v="0"/>
    <m/>
    <n v="0"/>
    <m/>
    <n v="0"/>
    <m/>
    <n v="0"/>
    <m/>
    <n v="0"/>
    <m/>
    <n v="0"/>
    <m/>
    <n v="0"/>
    <m/>
    <n v="0"/>
    <m/>
  </r>
  <r>
    <s v="Estandar Boldenona Undecilenato_x000a_fecha de vigencia  no menor a 1 año_x000a_N° CAS 13103-34-9, Peso Molecular 452,67"/>
    <s v="_x000a_Dr. Ehrenstorfer_x000a_Ref. DRE-C10662200"/>
    <s v="Frasco x 10 mg"/>
    <x v="0"/>
    <x v="12"/>
    <m/>
    <n v="2142287.0858641514"/>
    <n v="0"/>
    <m/>
    <n v="0"/>
    <m/>
    <n v="0"/>
    <m/>
    <n v="0"/>
    <m/>
    <n v="0"/>
    <m/>
    <n v="0"/>
    <m/>
    <n v="0"/>
    <m/>
    <n v="0"/>
    <m/>
    <n v="0"/>
    <m/>
    <n v="0"/>
    <m/>
  </r>
  <r>
    <s v="Estandar Cefalexina _x000a_Fecha de vigencia o con fecha menor a 2 años._x000a_N° CAS 23325-78-2"/>
    <s v="Dr. Ehrenstorfer_x000a_Ref. DRE-C11064000_x000a_"/>
    <s v="Frasco x 250 mg"/>
    <x v="0"/>
    <x v="12"/>
    <m/>
    <n v="2070498.8379688335"/>
    <n v="0"/>
    <m/>
    <n v="0"/>
    <m/>
    <n v="0"/>
    <m/>
    <n v="0"/>
    <m/>
    <n v="0"/>
    <m/>
    <n v="0"/>
    <m/>
    <n v="0"/>
    <m/>
    <n v="0"/>
    <m/>
    <n v="0"/>
    <m/>
    <n v="0"/>
    <m/>
  </r>
  <r>
    <s v="Estandar Cefalexina _x000a_Fecha de vigencia o con fecha menor a 2 años._x000a_N° CAS 23325-78-2"/>
    <s v="USP_x000a_Ref.  1099008_x000a_"/>
    <s v="Frasco x 400 mg"/>
    <x v="0"/>
    <x v="12"/>
    <m/>
    <n v="2776506.2660635021"/>
    <n v="0"/>
    <m/>
    <n v="0"/>
    <m/>
    <n v="0"/>
    <m/>
    <n v="0"/>
    <m/>
    <n v="0"/>
    <m/>
    <n v="0"/>
    <m/>
    <n v="0"/>
    <m/>
    <n v="0"/>
    <m/>
    <n v="0"/>
    <m/>
    <n v="0"/>
    <m/>
  </r>
  <r>
    <s v="Estandar Ceftiofur Hydrochloride_x000a_fecha de vigencia ó con fecha no menor a 2 años_x000a_N° CAS 103980-44-5"/>
    <s v="USP_x000a_Ref.1098071"/>
    <s v="Frasco x 100mg"/>
    <x v="0"/>
    <x v="12"/>
    <m/>
    <n v="3252250.9730001981"/>
    <n v="0"/>
    <m/>
    <n v="0"/>
    <m/>
    <n v="0"/>
    <m/>
    <n v="0"/>
    <m/>
    <n v="0"/>
    <m/>
    <n v="0"/>
    <m/>
    <n v="0"/>
    <m/>
    <n v="0"/>
    <m/>
    <n v="0"/>
    <m/>
    <n v="0"/>
    <m/>
  </r>
  <r>
    <s v="Estandar Ceftiofur Sodium  trazable, con fecha de vencimiento no inferior a 2 años. Número CAS: 104010-37-9"/>
    <s v="Ref. DRE-C10243100"/>
    <s v="Frasco x 25mg"/>
    <x v="0"/>
    <x v="12"/>
    <m/>
    <n v="1537776.4513340481"/>
    <n v="0"/>
    <m/>
    <n v="0"/>
    <m/>
    <n v="0"/>
    <m/>
    <n v="0"/>
    <m/>
    <n v="0"/>
    <m/>
    <n v="0"/>
    <m/>
    <n v="0"/>
    <m/>
    <n v="0"/>
    <m/>
    <n v="0"/>
    <m/>
    <n v="0"/>
    <m/>
  </r>
  <r>
    <s v="Estandar Clotrimazole _x000a_fecha de vigencia ó con fecha no menor a 2 años _x000a_N° CAS 23593-75-1"/>
    <s v="Dr. Ehrenstorfer _x000a_Ref. DRE-C11692000"/>
    <s v="Frasco x 100mg"/>
    <x v="0"/>
    <x v="12"/>
    <m/>
    <n v="1619832.6377350357"/>
    <n v="0"/>
    <m/>
    <n v="0"/>
    <m/>
    <n v="0"/>
    <m/>
    <n v="0"/>
    <m/>
    <n v="0"/>
    <m/>
    <n v="0"/>
    <m/>
    <n v="0"/>
    <m/>
    <n v="0"/>
    <m/>
    <n v="0"/>
    <m/>
    <n v="0"/>
    <m/>
  </r>
  <r>
    <s v="Estandar Clotrimazole _x000a_fecha de vigencia ó con fecha no menor a 2 años _x000a_N° CAS 23593-75-1"/>
    <s v="USP_x000a_Ref.1141002"/>
    <s v="Frasco x 200mg"/>
    <x v="0"/>
    <x v="12"/>
    <m/>
    <n v="1910855.1035191666"/>
    <n v="0"/>
    <m/>
    <n v="0"/>
    <m/>
    <n v="0"/>
    <m/>
    <n v="0"/>
    <m/>
    <n v="0"/>
    <m/>
    <n v="0"/>
    <m/>
    <n v="0"/>
    <m/>
    <n v="0"/>
    <m/>
    <n v="0"/>
    <m/>
    <n v="0"/>
    <m/>
  </r>
  <r>
    <s v="Estandar Cloxacillin Sodium _x000a_fecha de vigencia ó con fecha no menor a 2 años_x000a_N° CAS 7081-44-9"/>
    <s v="Dr. Ehrenstorfer _x000a_Ref. DRE-C11692100"/>
    <s v="Frasco x 250 mg"/>
    <x v="0"/>
    <x v="12"/>
    <m/>
    <n v="1360458.7491301058"/>
    <n v="0"/>
    <m/>
    <n v="0"/>
    <m/>
    <n v="0"/>
    <m/>
    <n v="0"/>
    <m/>
    <n v="0"/>
    <m/>
    <n v="0"/>
    <m/>
    <n v="0"/>
    <m/>
    <n v="0"/>
    <m/>
    <n v="0"/>
    <m/>
    <n v="0"/>
    <m/>
  </r>
  <r>
    <s v="Estandar Cloxacillin Sodium _x000a_fecha de vigencia ó con fecha no menor a 2 años_x000a_N° CAS 7081-44-9"/>
    <s v="Sigma Aldrich Supelco_x000a_Ref: PHR1922-500MG"/>
    <s v="Frasco x 500 mg"/>
    <x v="0"/>
    <x v="12"/>
    <m/>
    <n v="1223344.6183430185"/>
    <n v="0"/>
    <m/>
    <n v="0"/>
    <m/>
    <n v="0"/>
    <m/>
    <n v="0"/>
    <m/>
    <n v="0"/>
    <m/>
    <n v="0"/>
    <m/>
    <n v="0"/>
    <m/>
    <n v="0"/>
    <m/>
    <n v="0"/>
    <m/>
    <n v="0"/>
    <m/>
  </r>
  <r>
    <s v="Estandar Cloxacillin Sodium _x000a_fecha de vigencia ó con fecha no menor a 2 años_x000a_N° CAS 7081-44-9"/>
    <s v="USP_x000a_Ref.1142005"/>
    <s v="Frasco x  200 mg"/>
    <x v="0"/>
    <x v="12"/>
    <m/>
    <n v="1906244.8872271737"/>
    <n v="0"/>
    <m/>
    <n v="0"/>
    <m/>
    <n v="0"/>
    <m/>
    <n v="0"/>
    <m/>
    <n v="0"/>
    <m/>
    <n v="0"/>
    <m/>
    <n v="0"/>
    <m/>
    <n v="0"/>
    <m/>
    <n v="0"/>
    <m/>
    <n v="0"/>
    <m/>
  </r>
  <r>
    <s v="Estandar de Acido fosfonico con vigencia no menor a 1 año"/>
    <s v="USP_x000a_Dr. Ehrenstorfer_x000a_Sigma Aldrich"/>
    <s v="Frasco x 250 mg"/>
    <x v="0"/>
    <x v="12"/>
    <m/>
    <n v="786585.48488491424"/>
    <n v="0"/>
    <m/>
    <n v="0"/>
    <m/>
    <n v="0"/>
    <m/>
    <n v="0"/>
    <m/>
    <n v="0"/>
    <m/>
    <n v="0"/>
    <m/>
    <n v="0"/>
    <m/>
    <n v="0"/>
    <m/>
    <n v="0"/>
    <m/>
    <n v="0"/>
    <m/>
  </r>
  <r>
    <s v="Estandar de Acido Metil Fosfonico (AMPA) C13, N15 (marcado isotopicamente), solución de 100 ug/mLcon vigencia no menor a 1 año"/>
    <s v="USP_x000a_Dr. Ehrenstorfer_x000a_Sigma Aldrich, Referencia DRE-XA10205100WA"/>
    <s v="Frasco x 1 mL"/>
    <x v="0"/>
    <x v="12"/>
    <m/>
    <n v="9071126.417550236"/>
    <n v="0"/>
    <m/>
    <n v="0"/>
    <m/>
    <n v="0"/>
    <m/>
    <n v="0"/>
    <m/>
    <n v="0"/>
    <m/>
    <n v="0"/>
    <m/>
    <n v="0"/>
    <m/>
    <n v="0"/>
    <m/>
    <n v="0"/>
    <m/>
    <n v="0"/>
    <m/>
  </r>
  <r>
    <s v="Estandar de AMPA con vigencia no menor a 1 año"/>
    <s v="USP_x000a_Dr. Ehrenstorfer_x000a_Sigma Aldrich"/>
    <s v="Frasco x 2,5 mg"/>
    <x v="0"/>
    <x v="12"/>
    <m/>
    <n v="2583295.719360271"/>
    <n v="0"/>
    <m/>
    <n v="0"/>
    <m/>
    <n v="0"/>
    <m/>
    <n v="0"/>
    <m/>
    <n v="0"/>
    <m/>
    <n v="0"/>
    <m/>
    <n v="0"/>
    <m/>
    <n v="0"/>
    <m/>
    <n v="0"/>
    <m/>
    <n v="0"/>
    <m/>
  </r>
  <r>
    <s v="Estandar de carbonato de sodio anhidro"/>
    <s v="USP_x000a_Dr. Ehrenstorfer_x000a_Sigma Aldrich (Estándar primario o secundario)."/>
    <s v="Frasco 1g"/>
    <x v="0"/>
    <x v="12"/>
    <m/>
    <n v="3193917.6782380119"/>
    <n v="0"/>
    <m/>
    <n v="0"/>
    <m/>
    <n v="0"/>
    <m/>
    <n v="0"/>
    <m/>
    <n v="0"/>
    <m/>
    <n v="0"/>
    <m/>
    <n v="0"/>
    <m/>
    <n v="0"/>
    <m/>
    <n v="0"/>
    <m/>
    <n v="0"/>
    <m/>
  </r>
  <r>
    <s v="Estandar de Cloruro de Chlormequat con vigencia no menor a 1 año"/>
    <s v="USP_x000a_Dr. Ehrenstorfer_x000a_Sigma Aldrich"/>
    <s v="Frasco x 250 mg"/>
    <x v="0"/>
    <x v="12"/>
    <m/>
    <n v="213087.00107181669"/>
    <n v="0"/>
    <m/>
    <n v="0"/>
    <m/>
    <n v="0"/>
    <m/>
    <n v="0"/>
    <m/>
    <n v="0"/>
    <m/>
    <n v="0"/>
    <m/>
    <n v="0"/>
    <m/>
    <n v="0"/>
    <m/>
    <n v="0"/>
    <m/>
    <n v="0"/>
    <m/>
  </r>
  <r>
    <s v="Estandar de Cloruro de Mepiquat con vigencia no menor a 1 año"/>
    <s v="USP_x000a_Dr. Ehrenstorfer_x000a_Sigma Aldrich"/>
    <s v="Frasco x 100 mg"/>
    <x v="0"/>
    <x v="12"/>
    <m/>
    <n v="396125.04452215822"/>
    <n v="0"/>
    <m/>
    <n v="0"/>
    <m/>
    <n v="0"/>
    <m/>
    <n v="0"/>
    <m/>
    <n v="0"/>
    <m/>
    <n v="0"/>
    <m/>
    <n v="0"/>
    <m/>
    <n v="0"/>
    <m/>
    <n v="0"/>
    <m/>
    <n v="0"/>
    <m/>
  </r>
  <r>
    <s v="Estandar de Dicloruro de Paraquat con vigencia no menor a 1 año"/>
    <s v="USP_x000a_Dr. Ehrenstorfer_x000a_Sigma Aldrich, Referencia DRE-C15870000"/>
    <s v="Frasco x 10 mg"/>
    <x v="0"/>
    <x v="12"/>
    <m/>
    <n v="1347729.3916532672"/>
    <n v="0"/>
    <m/>
    <n v="0"/>
    <m/>
    <n v="0"/>
    <m/>
    <n v="0"/>
    <m/>
    <n v="0"/>
    <m/>
    <n v="0"/>
    <m/>
    <n v="0"/>
    <m/>
    <n v="0"/>
    <m/>
    <n v="0"/>
    <m/>
    <n v="0"/>
    <m/>
  </r>
  <r>
    <s v="Estandar de Difenzoquat methyl sulfato con vigencia no menor a 1 año"/>
    <s v="USP_x000a_Dr. Ehrenstorfer_x000a_Sigma Aldrich, Referencia DRE-C12620000"/>
    <s v="Frasco x 250 mg"/>
    <x v="0"/>
    <x v="12"/>
    <m/>
    <n v="873289.31793056929"/>
    <n v="0"/>
    <m/>
    <n v="0"/>
    <m/>
    <n v="0"/>
    <m/>
    <n v="0"/>
    <m/>
    <n v="0"/>
    <m/>
    <n v="0"/>
    <m/>
    <n v="0"/>
    <m/>
    <n v="0"/>
    <m/>
    <n v="0"/>
    <m/>
    <n v="0"/>
    <m/>
  </r>
  <r>
    <s v="Estandar de Ethephon con vigencia no menor a 1 año"/>
    <s v="USP_x000a_Dr. Ehrenstorfer_x000a_Sigma Aldrich"/>
    <s v="Frasco x 250 mg"/>
    <x v="0"/>
    <x v="12"/>
    <m/>
    <n v="642772.78826587019"/>
    <n v="0"/>
    <m/>
    <n v="0"/>
    <m/>
    <n v="0"/>
    <m/>
    <n v="0"/>
    <m/>
    <n v="0"/>
    <m/>
    <n v="0"/>
    <m/>
    <n v="0"/>
    <m/>
    <n v="0"/>
    <m/>
    <n v="0"/>
    <m/>
    <n v="0"/>
    <m/>
  </r>
  <r>
    <s v="Estandar de Ethepohon-D4, marcado isotopicamente con vigencia no menor a 1 año"/>
    <s v="USP_x000a_Dr. Ehrenstorfer_x000a_Sigma Aldrich, Referencia DRE-CA13230100"/>
    <s v="Frosco x 10 mg"/>
    <x v="0"/>
    <x v="12"/>
    <m/>
    <n v="2365895.9442461538"/>
    <n v="0"/>
    <m/>
    <n v="0"/>
    <m/>
    <n v="0"/>
    <m/>
    <n v="0"/>
    <m/>
    <n v="0"/>
    <m/>
    <n v="0"/>
    <m/>
    <n v="0"/>
    <m/>
    <n v="0"/>
    <m/>
    <n v="0"/>
    <m/>
    <n v="0"/>
    <m/>
  </r>
  <r>
    <s v="Estandar de Fosetyl aluminio con vigencia no menor a 1 año"/>
    <s v="USP_x000a_Dr. Ehrenstorfer_x000a_Sigma Aldrich"/>
    <s v="Frasco x 250 mg"/>
    <x v="0"/>
    <x v="12"/>
    <m/>
    <n v="2208227.3588618175"/>
    <n v="0"/>
    <m/>
    <n v="0"/>
    <m/>
    <n v="0"/>
    <m/>
    <n v="0"/>
    <m/>
    <n v="0"/>
    <m/>
    <n v="0"/>
    <m/>
    <n v="0"/>
    <m/>
    <n v="0"/>
    <m/>
    <n v="0"/>
    <m/>
    <n v="0"/>
    <m/>
  </r>
  <r>
    <s v="Estandar de Glifosato-C13 Fecha de vencimiento  no inferior a 5 meses."/>
    <s v="Dr Ehrenstorfer o equivalente"/>
    <s v="Frasco x 10mg"/>
    <x v="0"/>
    <x v="12"/>
    <m/>
    <n v="8267244.4565714365"/>
    <n v="0"/>
    <m/>
    <n v="0"/>
    <m/>
    <n v="0"/>
    <m/>
    <n v="0"/>
    <m/>
    <n v="0"/>
    <m/>
    <n v="0"/>
    <m/>
    <n v="0"/>
    <m/>
    <n v="0"/>
    <m/>
    <n v="0"/>
    <m/>
    <n v="0"/>
    <m/>
  </r>
  <r>
    <s v="Estandar de Glufosinato de amonio con vigencia no menor a 1 año"/>
    <s v="USP_x000a_Dr. Ehrenstorfer_x000a_Sigma Aldrich"/>
    <s v="Frasco x 100 mg"/>
    <x v="0"/>
    <x v="12"/>
    <m/>
    <n v="580059.03379226977"/>
    <n v="0"/>
    <m/>
    <n v="0"/>
    <m/>
    <n v="0"/>
    <m/>
    <n v="0"/>
    <m/>
    <n v="0"/>
    <m/>
    <n v="0"/>
    <m/>
    <n v="0"/>
    <m/>
    <n v="0"/>
    <m/>
    <n v="0"/>
    <m/>
    <n v="0"/>
    <m/>
  </r>
  <r>
    <s v="Estandar de Hidrazina Maleica con vigencia no menor a 1 año"/>
    <s v="USP_x000a_Dr. Ehrenstorfer_x000a_Sigma Aldrich"/>
    <s v="Frasco x 250 mg"/>
    <x v="0"/>
    <x v="12"/>
    <m/>
    <n v="294649.02317979879"/>
    <n v="0"/>
    <m/>
    <n v="0"/>
    <m/>
    <n v="0"/>
    <m/>
    <n v="0"/>
    <m/>
    <n v="0"/>
    <m/>
    <n v="0"/>
    <m/>
    <n v="0"/>
    <m/>
    <n v="0"/>
    <m/>
    <n v="0"/>
    <m/>
    <n v="0"/>
    <m/>
  </r>
  <r>
    <s v="Estandar de Mancozeb con vigencia no menor a 1 año"/>
    <s v="USP_x000a_Dr. Ehrenstorfer_x000a_Sigma Aldrich"/>
    <s v="Frasco x 100 mg"/>
    <x v="0"/>
    <x v="12"/>
    <m/>
    <n v="596025.65427924087"/>
    <n v="0"/>
    <m/>
    <n v="0"/>
    <m/>
    <n v="0"/>
    <m/>
    <n v="0"/>
    <m/>
    <n v="0"/>
    <m/>
    <n v="0"/>
    <m/>
    <n v="0"/>
    <m/>
    <n v="0"/>
    <m/>
    <n v="0"/>
    <m/>
    <n v="0"/>
    <m/>
  </r>
  <r>
    <s v="Estandar de Maneb con vigencia no menor a 1 año"/>
    <s v="USP_x000a_Dr. Ehrenstorfer_x000a_Sigma Aldrich"/>
    <s v="Frasco x 250 mg"/>
    <x v="0"/>
    <x v="12"/>
    <m/>
    <n v="385377.35044926597"/>
    <n v="0"/>
    <m/>
    <n v="0"/>
    <m/>
    <n v="0"/>
    <m/>
    <n v="0"/>
    <m/>
    <n v="0"/>
    <m/>
    <n v="0"/>
    <m/>
    <n v="0"/>
    <m/>
    <n v="0"/>
    <m/>
    <n v="0"/>
    <m/>
    <n v="0"/>
    <m/>
  </r>
  <r>
    <s v="Estandar de Methiram con vigencia no menor a 1 año"/>
    <s v="USP_x000a_Dr. Ehrenstorfer_x000a_Sigma Aldrich"/>
    <s v="Frasco x 250 mg"/>
    <x v="0"/>
    <x v="12"/>
    <m/>
    <n v="700948.35425000952"/>
    <n v="0"/>
    <m/>
    <n v="0"/>
    <m/>
    <n v="0"/>
    <m/>
    <n v="0"/>
    <m/>
    <n v="0"/>
    <m/>
    <n v="0"/>
    <m/>
    <n v="0"/>
    <m/>
    <n v="0"/>
    <m/>
    <n v="0"/>
    <m/>
    <n v="0"/>
    <m/>
  </r>
  <r>
    <s v="Estandar de MPPA con vigencia no menor a 1 año"/>
    <s v="USP_x000a_Dr. Ehrenstorfer_x000a_Sigma Aldrich, Referencia TRC-M326160"/>
    <s v="Frasco x 10 mg"/>
    <x v="0"/>
    <x v="12"/>
    <m/>
    <n v="2605524.7220622138"/>
    <n v="0"/>
    <m/>
    <n v="0"/>
    <m/>
    <n v="0"/>
    <m/>
    <n v="0"/>
    <m/>
    <n v="0"/>
    <m/>
    <n v="0"/>
    <m/>
    <n v="0"/>
    <m/>
    <n v="0"/>
    <m/>
    <n v="0"/>
    <m/>
    <n v="0"/>
    <m/>
  </r>
  <r>
    <s v="Estandar de N-Acetil AMPA con vigencia no menor a 1 año"/>
    <s v="USP_x000a_Dr. Ehrenstorfer_x000a_Sigma Aldrich"/>
    <s v="Frasco x 10 mg"/>
    <x v="0"/>
    <x v="12"/>
    <m/>
    <n v="12283867.937031168"/>
    <n v="0"/>
    <m/>
    <n v="0"/>
    <m/>
    <n v="0"/>
    <m/>
    <n v="0"/>
    <m/>
    <n v="0"/>
    <m/>
    <n v="0"/>
    <m/>
    <n v="0"/>
    <m/>
    <n v="0"/>
    <m/>
    <n v="0"/>
    <m/>
    <n v="0"/>
    <m/>
  </r>
  <r>
    <s v="Estandar de N-Acetil glufosinato con vigencia no menor a 1 año"/>
    <s v="USP_x000a_Dr. Ehrenstorfer_x000a_Sigma Aldrich"/>
    <s v="Frasco x 10 mg"/>
    <x v="0"/>
    <x v="12"/>
    <m/>
    <n v="4151530.1534554921"/>
    <n v="0"/>
    <m/>
    <n v="0"/>
    <m/>
    <n v="0"/>
    <m/>
    <n v="0"/>
    <m/>
    <n v="0"/>
    <m/>
    <n v="0"/>
    <m/>
    <n v="0"/>
    <m/>
    <n v="0"/>
    <m/>
    <n v="0"/>
    <m/>
    <n v="0"/>
    <m/>
  </r>
  <r>
    <s v="Estandar de Propineb con vigencia no menor a 1 año"/>
    <s v="USP_x000a_Dr. Ehrenstorfer_x000a_Sigma Aldrich"/>
    <s v="Frasco x 250 mg"/>
    <x v="0"/>
    <x v="12"/>
    <m/>
    <n v="249284.46286227606"/>
    <n v="0"/>
    <m/>
    <n v="0"/>
    <m/>
    <n v="0"/>
    <m/>
    <n v="0"/>
    <m/>
    <n v="0"/>
    <m/>
    <n v="0"/>
    <m/>
    <n v="0"/>
    <m/>
    <n v="0"/>
    <m/>
    <n v="0"/>
    <m/>
    <n v="0"/>
    <m/>
  </r>
  <r>
    <s v="Estandar de Thiram con vigencia no menor a 1 año"/>
    <s v="USP_x000a_Dr. Ehrenstorfer_x000a_Sigma Aldrich"/>
    <s v="Frasco x 250 mg"/>
    <x v="0"/>
    <x v="12"/>
    <m/>
    <n v="355883.29023268155"/>
    <n v="0"/>
    <m/>
    <n v="0"/>
    <m/>
    <n v="0"/>
    <m/>
    <n v="0"/>
    <m/>
    <n v="0"/>
    <m/>
    <n v="0"/>
    <m/>
    <n v="0"/>
    <m/>
    <n v="0"/>
    <m/>
    <n v="0"/>
    <m/>
    <n v="0"/>
    <m/>
  </r>
  <r>
    <s v="Estandar de Ziram con vigencia no menor a 1 año"/>
    <s v="USP_x000a_Dr. Ehrenstorfer_x000a_Sigma Aldrich"/>
    <s v="Frasco x 250 mg"/>
    <x v="0"/>
    <x v="12"/>
    <m/>
    <n v="346099.62162114668"/>
    <n v="0"/>
    <m/>
    <n v="0"/>
    <m/>
    <n v="0"/>
    <m/>
    <n v="0"/>
    <m/>
    <n v="0"/>
    <m/>
    <n v="0"/>
    <m/>
    <n v="0"/>
    <m/>
    <n v="0"/>
    <m/>
    <n v="0"/>
    <m/>
    <n v="0"/>
    <m/>
  </r>
  <r>
    <s v="Estandar Dexamethasone Acetate _x000a_fecha de vigencia ó con fecha no menor a 2 años_x000a_N° CAS 1177-87-3"/>
    <s v="_x000a__x000a_Sigma Aldrich Supelco_x000a_Ref PHR1527-1G"/>
    <s v="Frasco x 1 g"/>
    <x v="0"/>
    <x v="12"/>
    <m/>
    <n v="673475.81939450849"/>
    <n v="0"/>
    <m/>
    <n v="0"/>
    <m/>
    <n v="0"/>
    <m/>
    <n v="0"/>
    <m/>
    <n v="0"/>
    <m/>
    <n v="0"/>
    <m/>
    <n v="0"/>
    <m/>
    <n v="0"/>
    <m/>
    <n v="0"/>
    <m/>
    <n v="0"/>
    <m/>
  </r>
  <r>
    <s v="Estandar Dexamethasone Acetate _x000a_fecha de vigencia ó con fecha no menor a 2 años_x000a_N° CAS 1177-87-3"/>
    <s v="USP_x000a_Ref 1176506"/>
    <s v="Frasco x 200 mg"/>
    <x v="0"/>
    <x v="12"/>
    <m/>
    <n v="2723569.3515527877"/>
    <n v="0"/>
    <m/>
    <n v="0"/>
    <m/>
    <n v="0"/>
    <m/>
    <n v="0"/>
    <m/>
    <n v="0"/>
    <m/>
    <n v="0"/>
    <m/>
    <n v="0"/>
    <m/>
    <n v="0"/>
    <m/>
    <n v="0"/>
    <m/>
    <n v="0"/>
    <m/>
  </r>
  <r>
    <s v="Estandar Dexamethasone Sodium Phosphate _x000a_fecha de vigencia ó con fecha no menor a 2 años_x000a_N° CAS 2392-39-4"/>
    <s v="Dr. Ehrenstorfer_x000a_Ref: DRE-C12170450"/>
    <s v="Frasco x 250 mg"/>
    <x v="0"/>
    <x v="12"/>
    <m/>
    <n v="1764967.8876137503"/>
    <n v="0"/>
    <m/>
    <n v="0"/>
    <m/>
    <n v="0"/>
    <m/>
    <n v="0"/>
    <m/>
    <n v="0"/>
    <m/>
    <n v="0"/>
    <m/>
    <n v="0"/>
    <m/>
    <n v="0"/>
    <m/>
    <n v="0"/>
    <m/>
    <n v="0"/>
    <m/>
  </r>
  <r>
    <s v="Estandar Dexamethasone Sodium Phosphate _x000a_fecha de vigencia ó con fecha no menor a 2 años_x000a_N° CAS 2392-39-4"/>
    <s v="_x000a__x000a_Sigma Aldrich Supelco_x000a_Ref PHR1768-1G"/>
    <s v="Frasco x  1 g"/>
    <x v="0"/>
    <x v="12"/>
    <m/>
    <n v="930383.08712781628"/>
    <n v="0"/>
    <m/>
    <n v="0"/>
    <m/>
    <n v="0"/>
    <m/>
    <n v="0"/>
    <m/>
    <n v="0"/>
    <m/>
    <n v="0"/>
    <m/>
    <n v="0"/>
    <m/>
    <n v="0"/>
    <m/>
    <n v="0"/>
    <m/>
    <n v="0"/>
    <m/>
  </r>
  <r>
    <s v="Estandar Dexamethasone Sodium Phosphate _x000a_fecha de vigencia ó con fecha no menor a 2 años_x000a_N° CAS 2392-39-4"/>
    <s v="USP_x000a_Ref 1177032"/>
    <s v="Frasco x  500mg"/>
    <x v="0"/>
    <x v="12"/>
    <m/>
    <n v="2848917.1415931899"/>
    <n v="0"/>
    <m/>
    <n v="0"/>
    <m/>
    <n v="0"/>
    <m/>
    <n v="0"/>
    <m/>
    <n v="0"/>
    <m/>
    <n v="0"/>
    <m/>
    <n v="0"/>
    <m/>
    <n v="0"/>
    <m/>
    <n v="0"/>
    <m/>
    <n v="0"/>
    <m/>
  </r>
  <r>
    <s v="Estandar Diclofenaco sodico _x000a_fecha de vigencia ó con fecha no menor a 2 años_x000a_N° CAS 15307-79-6"/>
    <s v="Dr. Ehrenstorfer _x000a_Ref  DRE-C12537500"/>
    <s v="Frasco x 100 mg"/>
    <x v="0"/>
    <x v="12"/>
    <m/>
    <n v="1289854.3298965937"/>
    <n v="0"/>
    <m/>
    <n v="0"/>
    <m/>
    <n v="0"/>
    <m/>
    <n v="0"/>
    <m/>
    <n v="0"/>
    <m/>
    <n v="0"/>
    <m/>
    <n v="0"/>
    <m/>
    <n v="0"/>
    <m/>
    <n v="0"/>
    <m/>
    <n v="0"/>
    <m/>
  </r>
  <r>
    <s v="Estandar Diclofenaco sodico _x000a_fecha de vigencia ó con fecha no menor a 2 años_x000a_N° CAS 15307-79-6"/>
    <s v="USP_x000a_Ref 1188800"/>
    <s v="Frasco x 200 mg"/>
    <x v="0"/>
    <x v="12"/>
    <m/>
    <n v="2362662.9242949998"/>
    <n v="0"/>
    <m/>
    <n v="0"/>
    <m/>
    <n v="0"/>
    <m/>
    <n v="0"/>
    <m/>
    <n v="0"/>
    <m/>
    <n v="0"/>
    <m/>
    <n v="0"/>
    <m/>
    <n v="0"/>
    <m/>
    <n v="0"/>
    <m/>
    <n v="0"/>
    <m/>
  </r>
  <r>
    <s v="Estandar Dieldrin con certificado de análisis y fecha de vencimiento inferior a 6 meses"/>
    <s v="Dr Ehrenstorfer, HPC Standars, Sigma o equivalentes "/>
    <s v="Frasco x 50 mg"/>
    <x v="0"/>
    <x v="12"/>
    <m/>
    <n v="563033.75461946672"/>
    <n v="0"/>
    <m/>
    <n v="0"/>
    <m/>
    <n v="0"/>
    <m/>
    <n v="0"/>
    <m/>
    <n v="0"/>
    <m/>
    <n v="0"/>
    <m/>
    <n v="0"/>
    <m/>
    <n v="0"/>
    <m/>
    <n v="0"/>
    <m/>
    <n v="0"/>
    <m/>
  </r>
  <r>
    <s v="Estandar Doxycycline hyclate _x000a_Fecha de vigencia o con fecha menor a 2 años._x000a_N° CAS 24390-14-5"/>
    <s v="USP_x000a_Ref.1226003_x000a_"/>
    <s v="Frasco x 200 mg"/>
    <x v="0"/>
    <x v="12"/>
    <m/>
    <n v="2223597.264500367"/>
    <n v="0"/>
    <m/>
    <n v="0"/>
    <m/>
    <n v="0"/>
    <m/>
    <n v="0"/>
    <m/>
    <n v="0"/>
    <m/>
    <n v="0"/>
    <m/>
    <n v="0"/>
    <m/>
    <n v="0"/>
    <m/>
    <n v="0"/>
    <m/>
    <n v="0"/>
    <m/>
  </r>
  <r>
    <s v="Estandar Endrin con certificado de análisis y fecha de vencimiento inferior a 6 meses"/>
    <s v="Dr Ehrenstorfer, HPC Standars, Sigma o equivalentes "/>
    <s v="Frasco x 50 mg"/>
    <x v="0"/>
    <x v="12"/>
    <m/>
    <n v="1068091.5245557548"/>
    <n v="0"/>
    <m/>
    <n v="0"/>
    <m/>
    <n v="0"/>
    <m/>
    <n v="0"/>
    <m/>
    <n v="0"/>
    <m/>
    <n v="0"/>
    <m/>
    <n v="0"/>
    <m/>
    <n v="0"/>
    <m/>
    <n v="0"/>
    <m/>
    <n v="0"/>
    <m/>
  </r>
  <r>
    <s v="Estandar Enrofloxacina_x000a_fecha de vigencia no menor a 2 años_x000a_N° CAS 93106-60-6"/>
    <s v="_x000a__x000a_Sigma Aldrich Supelco_x000a_Ref PHR1513-500MG"/>
    <s v="Frasco x  500 mg"/>
    <x v="0"/>
    <x v="12"/>
    <m/>
    <n v="1074776.5330918611"/>
    <n v="0"/>
    <m/>
    <n v="0"/>
    <m/>
    <n v="0"/>
    <m/>
    <n v="0"/>
    <m/>
    <n v="0"/>
    <m/>
    <n v="0"/>
    <m/>
    <n v="0"/>
    <m/>
    <n v="0"/>
    <m/>
    <n v="0"/>
    <m/>
    <n v="0"/>
    <m/>
  </r>
  <r>
    <s v="Estandar Enrofloxacina_x000a_fecha de vigencia no menor a 2 años_x000a_N° CAS 93106-60-6"/>
    <s v="USP_x000a_Ref 1235900"/>
    <s v="Frasco x  200 mg"/>
    <x v="0"/>
    <x v="12"/>
    <m/>
    <n v="2260720.8955948451"/>
    <n v="0"/>
    <m/>
    <n v="0"/>
    <m/>
    <n v="0"/>
    <m/>
    <n v="0"/>
    <m/>
    <n v="0"/>
    <m/>
    <n v="0"/>
    <m/>
    <n v="0"/>
    <m/>
    <n v="0"/>
    <m/>
    <n v="0"/>
    <m/>
    <n v="0"/>
    <m/>
  </r>
  <r>
    <s v="Estandar Erythomycin _x000a_Fecha de vigencia o con fecha menor a 2 años._x000a_N° CAS 114-07-8"/>
    <s v="Dr. Ehrenstorfer_x000a_Ref. DRE-C13203490"/>
    <s v="Frasco x 100 mg"/>
    <x v="0"/>
    <x v="12"/>
    <m/>
    <n v="833514.34281374793"/>
    <n v="0"/>
    <m/>
    <n v="0"/>
    <m/>
    <n v="0"/>
    <m/>
    <n v="0"/>
    <m/>
    <n v="0"/>
    <m/>
    <n v="0"/>
    <m/>
    <n v="0"/>
    <m/>
    <n v="0"/>
    <m/>
    <n v="0"/>
    <m/>
    <n v="0"/>
    <m/>
  </r>
  <r>
    <s v="Estandar Erythomycin _x000a_Fecha de vigencia o con fecha menor a 2 años._x000a_N° CAS 114-07-8"/>
    <s v="USP _x000a_Ref.1242000_x000a_"/>
    <s v="Frasco x 250 mg"/>
    <x v="0"/>
    <x v="12"/>
    <m/>
    <n v="1636079.1235238505"/>
    <n v="0"/>
    <m/>
    <n v="0"/>
    <m/>
    <n v="0"/>
    <m/>
    <n v="0"/>
    <m/>
    <n v="0"/>
    <m/>
    <n v="0"/>
    <m/>
    <n v="0"/>
    <m/>
    <n v="0"/>
    <m/>
    <n v="0"/>
    <m/>
    <n v="0"/>
    <m/>
  </r>
  <r>
    <s v="Estandar Fenbendazol_x000a_fecha de vigencia  no menor a 2 años._x000a_N° CAS 43210-67-9"/>
    <s v="Dr. Ehrenstorfer_x000a_Ref: DRE-C13446000"/>
    <s v="Frasco x 100 mg"/>
    <x v="0"/>
    <x v="12"/>
    <m/>
    <n v="890824.23165243235"/>
    <n v="0"/>
    <m/>
    <n v="0"/>
    <m/>
    <n v="0"/>
    <m/>
    <n v="0"/>
    <m/>
    <n v="0"/>
    <m/>
    <n v="0"/>
    <m/>
    <n v="0"/>
    <m/>
    <n v="0"/>
    <m/>
    <n v="0"/>
    <m/>
    <n v="0"/>
    <m/>
  </r>
  <r>
    <s v="Estandar Fenbendazol_x000a_fecha de vigencia  no menor a 2 años._x000a_N° CAS 43210-67-9"/>
    <s v="_x000a__x000a_Sigma Aldrich Supelco_x000a_Ref PHR1832-200MG"/>
    <s v="Frasco x  200 mg"/>
    <x v="0"/>
    <x v="12"/>
    <m/>
    <n v="1109072.9776624467"/>
    <n v="0"/>
    <m/>
    <n v="0"/>
    <m/>
    <n v="0"/>
    <m/>
    <n v="0"/>
    <m/>
    <n v="0"/>
    <m/>
    <n v="0"/>
    <m/>
    <n v="0"/>
    <m/>
    <n v="0"/>
    <m/>
    <n v="0"/>
    <m/>
    <n v="0"/>
    <m/>
  </r>
  <r>
    <s v="Estandar Fenbendazol_x000a_fecha de vigencia  no menor a 2 años._x000a_N° CAS 43210-67-9"/>
    <s v="USP_x000a_Ref 1269403"/>
    <s v="Frasco x  100 mg"/>
    <x v="0"/>
    <x v="12"/>
    <m/>
    <n v="1683991.0838240727"/>
    <n v="0"/>
    <m/>
    <n v="0"/>
    <m/>
    <n v="0"/>
    <m/>
    <n v="0"/>
    <m/>
    <n v="0"/>
    <m/>
    <n v="0"/>
    <m/>
    <n v="0"/>
    <m/>
    <n v="0"/>
    <m/>
    <n v="0"/>
    <m/>
    <n v="0"/>
    <m/>
  </r>
  <r>
    <s v="Estandar Flunixin Meglumine_x000a_Fecha de vigencia o con fecha menor a 2 años._x000a_N° CAS 42461-84-7_x000d_"/>
    <s v="Dr. Ehrenstorfer_x000a_Ref. DRE-C13727000_x000a_"/>
    <s v="Frasco x 100 mg"/>
    <x v="0"/>
    <x v="12"/>
    <m/>
    <n v="2797699.181547238"/>
    <n v="0"/>
    <m/>
    <n v="0"/>
    <m/>
    <n v="0"/>
    <m/>
    <n v="0"/>
    <m/>
    <n v="0"/>
    <m/>
    <n v="0"/>
    <m/>
    <n v="0"/>
    <m/>
    <n v="0"/>
    <m/>
    <n v="0"/>
    <m/>
    <n v="0"/>
    <m/>
  </r>
  <r>
    <s v="Estandar Flunixin Meglumine_x000a_Fecha de vigencia o con fecha menor a 2 años._x000a_N° CAS 42461-84-7_x000d_"/>
    <s v="USP_x000a_Ref.1274607_x000a_"/>
    <s v="Frasco x 300 mg"/>
    <x v="0"/>
    <x v="12"/>
    <m/>
    <n v="3400413.2795924316"/>
    <n v="0"/>
    <m/>
    <n v="0"/>
    <m/>
    <n v="0"/>
    <m/>
    <n v="0"/>
    <m/>
    <n v="0"/>
    <m/>
    <n v="0"/>
    <m/>
    <n v="0"/>
    <m/>
    <n v="0"/>
    <m/>
    <n v="0"/>
    <m/>
    <n v="0"/>
    <m/>
  </r>
  <r>
    <s v="Estandar Heptaclor con certificado de análisis y fecha de vencimiento inferior a 6 meses"/>
    <s v="Dr Ehrenstorfer, HPC Standars, Sigma o equivalentes "/>
    <s v="frasco x 100mg"/>
    <x v="0"/>
    <x v="12"/>
    <m/>
    <n v="1896698.0677980236"/>
    <n v="0"/>
    <m/>
    <n v="0"/>
    <m/>
    <n v="0"/>
    <m/>
    <n v="0"/>
    <m/>
    <n v="0"/>
    <m/>
    <n v="0"/>
    <m/>
    <n v="0"/>
    <m/>
    <n v="0"/>
    <m/>
    <n v="0"/>
    <m/>
    <n v="0"/>
    <m/>
  </r>
  <r>
    <s v="Estandar Hexacloro benceno con certificado de análisis y fecha de vencimiento inferior a 6 meses"/>
    <s v="Dr Ehrenstorfer, HPC Standars, Sigma o equivalentes "/>
    <s v="frasco x 100mg"/>
    <x v="0"/>
    <x v="12"/>
    <m/>
    <n v="372626.1050098635"/>
    <n v="0"/>
    <m/>
    <n v="0"/>
    <m/>
    <n v="0"/>
    <m/>
    <n v="0"/>
    <m/>
    <n v="0"/>
    <m/>
    <n v="0"/>
    <m/>
    <n v="0"/>
    <m/>
    <n v="0"/>
    <m/>
    <n v="0"/>
    <m/>
    <n v="0"/>
    <m/>
  </r>
  <r>
    <s v="Estándar Ipronidazole 50 mg. Trazable, con certificado con método de análisis e incertidumbre, v fecha de vencimiento no inferior a 2 años"/>
    <s v="Dr Ehrenstorfer DRE‐C14370700"/>
    <s v="Frasco x 50 mg"/>
    <x v="0"/>
    <x v="12"/>
    <m/>
    <n v="4083940.7527171322"/>
    <n v="0"/>
    <m/>
    <n v="0"/>
    <m/>
    <n v="0"/>
    <m/>
    <n v="0"/>
    <m/>
    <n v="0"/>
    <m/>
    <n v="0"/>
    <m/>
    <n v="0"/>
    <m/>
    <n v="0"/>
    <m/>
    <n v="0"/>
    <m/>
    <n v="0"/>
    <m/>
  </r>
  <r>
    <s v="Estandar Ivermectina trazable._x000a_Fecha de vencimiento no inferior a 2 años. _x000a_N° CAS: 70288-86-7"/>
    <s v="USP_x000a_Ref 1354309"/>
    <s v="Frasco x 200 mg"/>
    <x v="0"/>
    <x v="12"/>
    <m/>
    <n v="2322431.2758248365"/>
    <n v="0"/>
    <m/>
    <n v="0"/>
    <m/>
    <n v="0"/>
    <m/>
    <n v="0"/>
    <m/>
    <n v="0"/>
    <m/>
    <n v="0"/>
    <m/>
    <n v="0"/>
    <m/>
    <n v="0"/>
    <m/>
    <n v="0"/>
    <m/>
    <n v="0"/>
    <m/>
  </r>
  <r>
    <s v="Estandar ketamina HCl_x000a_Fecha de vigencia ó con fecha no menor a 2 años._x000a_N° CAS 1867-66-9"/>
    <s v="Dr. Ehrenstorfer_x000a_Ref: DRE-C14531000"/>
    <s v="Frasco x   100 mg"/>
    <x v="0"/>
    <x v="12"/>
    <m/>
    <n v="2269855.5202608597"/>
    <n v="0"/>
    <m/>
    <n v="0"/>
    <m/>
    <n v="0"/>
    <m/>
    <n v="0"/>
    <m/>
    <n v="0"/>
    <m/>
    <n v="0"/>
    <m/>
    <n v="0"/>
    <m/>
    <n v="0"/>
    <m/>
    <n v="0"/>
    <m/>
    <n v="0"/>
    <m/>
  </r>
  <r>
    <s v="Estandar ketamina HCl_x000a_Fecha de vigencia ó con fecha no menor a 2 años._x000a_N° CAS 1867-66-9"/>
    <s v="USP_x000a_Ref 1356009"/>
    <s v="Frasco x 250 mg"/>
    <x v="0"/>
    <x v="12"/>
    <m/>
    <n v="2509283.5772307692"/>
    <n v="0"/>
    <m/>
    <n v="0"/>
    <m/>
    <n v="0"/>
    <m/>
    <n v="0"/>
    <m/>
    <n v="0"/>
    <m/>
    <n v="0"/>
    <m/>
    <n v="0"/>
    <m/>
    <n v="0"/>
    <m/>
    <n v="0"/>
    <m/>
    <n v="0"/>
    <m/>
  </r>
  <r>
    <s v="Estandar ketoprofeno_x000a_Fecha de vigencia ó con fecha no menor a 2 años._x000a_N° CAS 22071-15-4"/>
    <s v="Dr. Ehrenstorfer_x000a_Ref: DRE-C14532100"/>
    <s v="Frasco x   100 mg"/>
    <x v="0"/>
    <x v="12"/>
    <m/>
    <n v="1412892.5871056044"/>
    <n v="0"/>
    <m/>
    <n v="0"/>
    <m/>
    <n v="0"/>
    <m/>
    <n v="0"/>
    <m/>
    <n v="0"/>
    <m/>
    <n v="0"/>
    <m/>
    <n v="0"/>
    <m/>
    <n v="0"/>
    <m/>
    <n v="0"/>
    <m/>
    <n v="0"/>
    <m/>
  </r>
  <r>
    <s v="Estandar ketoprofeno_x000a_Fecha de vigencia ó con fecha no menor a 2 años._x000a_N° CAS 22071-15-4"/>
    <s v="USP_x000a_Ref 1356632"/>
    <s v="Frasco x 250 mg"/>
    <x v="0"/>
    <x v="12"/>
    <m/>
    <n v="1954968.0649493558"/>
    <n v="0"/>
    <m/>
    <n v="0"/>
    <m/>
    <n v="0"/>
    <m/>
    <n v="0"/>
    <m/>
    <n v="0"/>
    <m/>
    <n v="0"/>
    <m/>
    <n v="0"/>
    <m/>
    <n v="0"/>
    <m/>
    <n v="0"/>
    <m/>
    <n v="0"/>
    <m/>
  </r>
  <r>
    <s v="Estandar Levamisole Hydrochloride_x000a_Fecha de vigencia ó con fecha no menor a 2 años._x000a_N° CAS 16595-80-5"/>
    <s v="Dr. Ehrenstorfer_x000a_Ref: DRE-C14629700"/>
    <s v="Frasco x   250 mg"/>
    <x v="0"/>
    <x v="12"/>
    <m/>
    <n v="1299028.2485403533"/>
    <n v="0"/>
    <m/>
    <n v="0"/>
    <m/>
    <n v="0"/>
    <m/>
    <n v="0"/>
    <m/>
    <n v="0"/>
    <m/>
    <n v="0"/>
    <m/>
    <n v="0"/>
    <m/>
    <n v="0"/>
    <m/>
    <n v="0"/>
    <m/>
    <n v="0"/>
    <m/>
  </r>
  <r>
    <s v="Estandar Levamisole Hydrochloride_x000a_Fecha de vigencia ó con fecha no menor a 2 años._x000a_N° CAS 16595-80-5"/>
    <s v="_x000a__x000a_Sigma Aldrich Supelco_x000a_Ref PHR1798-250MG"/>
    <s v="Frasco x   250 mg"/>
    <x v="0"/>
    <x v="12"/>
    <m/>
    <n v="1316079.1973288876"/>
    <n v="0"/>
    <m/>
    <n v="0"/>
    <m/>
    <n v="0"/>
    <m/>
    <n v="0"/>
    <m/>
    <n v="0"/>
    <m/>
    <n v="0"/>
    <m/>
    <n v="0"/>
    <m/>
    <n v="0"/>
    <m/>
    <n v="0"/>
    <m/>
    <n v="0"/>
    <m/>
  </r>
  <r>
    <s v="Estandar Levamisole Hydrochloride_x000a_Fecha de vigencia ó con fecha no menor a 2 años._x000a_N° CAS 16595-80-5"/>
    <s v="USP_x000a_Ref 1359302"/>
    <s v="Frasco x 125 mg"/>
    <x v="0"/>
    <x v="12"/>
    <m/>
    <n v="1723080.7584653976"/>
    <n v="0"/>
    <m/>
    <n v="0"/>
    <m/>
    <n v="0"/>
    <m/>
    <n v="0"/>
    <m/>
    <n v="0"/>
    <m/>
    <n v="0"/>
    <m/>
    <n v="0"/>
    <m/>
    <n v="0"/>
    <m/>
    <n v="0"/>
    <m/>
    <n v="0"/>
    <m/>
  </r>
  <r>
    <s v="Estandar Mebendazole_x000a_Fecha de vigencia ó con fecha no menor a 2 años_x000a_N° CAS 31431-39-7"/>
    <s v="Dr. Ehrenstorfer_x000a_Ref: DRE-C14798000"/>
    <s v="Frasco x   100 mg"/>
    <x v="0"/>
    <x v="12"/>
    <m/>
    <n v="1484692.928312131"/>
    <n v="0"/>
    <m/>
    <n v="0"/>
    <m/>
    <n v="0"/>
    <m/>
    <n v="0"/>
    <m/>
    <n v="0"/>
    <m/>
    <n v="0"/>
    <m/>
    <n v="0"/>
    <m/>
    <n v="0"/>
    <m/>
    <n v="0"/>
    <m/>
    <n v="0"/>
    <m/>
  </r>
  <r>
    <s v="Estandar Mebendazole_x000a_Fecha de vigencia ó con fecha no menor a 2 años_x000a_N° CAS 31431-39-7"/>
    <s v="_x000a__x000a_Sigma Aldrich Supelco_x000a_Ref PHR2448-300MG"/>
    <s v="Frasco x   300 mg"/>
    <x v="0"/>
    <x v="12"/>
    <m/>
    <n v="1935962.6179945352"/>
    <n v="0"/>
    <m/>
    <n v="0"/>
    <m/>
    <n v="0"/>
    <m/>
    <n v="0"/>
    <m/>
    <n v="0"/>
    <m/>
    <n v="0"/>
    <m/>
    <n v="0"/>
    <m/>
    <n v="0"/>
    <m/>
    <n v="0"/>
    <m/>
    <n v="0"/>
    <m/>
  </r>
  <r>
    <s v="Estandar Mebendazole_x000a_Fecha de vigencia ó con fecha no menor a 2 años_x000a_N° CAS 31431-39-7"/>
    <s v="USP_x000a_Ref 1375502"/>
    <s v="Frasco x  200 mg"/>
    <x v="0"/>
    <x v="12"/>
    <m/>
    <n v="1999254.9548498173"/>
    <n v="0"/>
    <m/>
    <n v="0"/>
    <m/>
    <n v="0"/>
    <m/>
    <n v="0"/>
    <m/>
    <n v="0"/>
    <m/>
    <n v="0"/>
    <m/>
    <n v="0"/>
    <m/>
    <n v="0"/>
    <m/>
    <n v="0"/>
    <m/>
    <n v="0"/>
    <m/>
  </r>
  <r>
    <s v="Estandar Meloxicam _x000a_Fecha de vigencia ó con fecha no menor a 2 años._x000a_N° CAS 71125-38-7"/>
    <s v="Dr. Ehrenstorfer_x000a_Ref: DRE-C14862500"/>
    <s v="Frasco x   100 mg"/>
    <x v="0"/>
    <x v="12"/>
    <m/>
    <n v="2916927.2426565597"/>
    <n v="0"/>
    <m/>
    <n v="0"/>
    <m/>
    <n v="0"/>
    <m/>
    <n v="0"/>
    <m/>
    <n v="0"/>
    <m/>
    <n v="0"/>
    <m/>
    <n v="0"/>
    <m/>
    <n v="0"/>
    <m/>
    <n v="0"/>
    <m/>
    <n v="0"/>
    <m/>
  </r>
  <r>
    <s v="Estandar Meloxicam _x000a_Fecha de vigencia ó con fecha no menor a 2 años._x000a_N° CAS 71125-38-7"/>
    <s v="_x000a__x000a_Sigma Aldrich Supelco_x000a_Ref PHR1799-500MG"/>
    <s v="Frasco x 500 mg"/>
    <x v="0"/>
    <x v="12"/>
    <m/>
    <n v="1538700.40489588"/>
    <n v="0"/>
    <m/>
    <n v="0"/>
    <m/>
    <n v="0"/>
    <m/>
    <n v="0"/>
    <m/>
    <n v="0"/>
    <m/>
    <n v="0"/>
    <m/>
    <n v="0"/>
    <m/>
    <n v="0"/>
    <m/>
    <n v="0"/>
    <m/>
    <n v="0"/>
    <m/>
  </r>
  <r>
    <s v="Estandar Meloxicam _x000a_Fecha de vigencia ó con fecha no menor a 2 años._x000a_N° CAS 71125-38-7"/>
    <s v="USP_x000a_Ref 1379401"/>
    <s v="Frasco x  400 mg"/>
    <x v="0"/>
    <x v="12"/>
    <m/>
    <n v="3098916.9250599351"/>
    <n v="0"/>
    <m/>
    <n v="0"/>
    <m/>
    <n v="0"/>
    <m/>
    <n v="0"/>
    <m/>
    <n v="0"/>
    <m/>
    <n v="0"/>
    <m/>
    <n v="0"/>
    <m/>
    <n v="0"/>
    <m/>
    <n v="0"/>
    <m/>
    <n v="0"/>
    <m/>
  </r>
  <r>
    <s v="Estandar Mezcla AOAC IS Solution"/>
    <s v="Restek , Dr. Ehrenstorfer_x000a_Sigma Aldrich o equivalente Referencia 31963"/>
    <s v="Frasco x 5 mL"/>
    <x v="0"/>
    <x v="12"/>
    <m/>
    <n v="1273528.4127009229"/>
    <n v="0"/>
    <m/>
    <n v="0"/>
    <m/>
    <n v="0"/>
    <m/>
    <n v="0"/>
    <m/>
    <n v="0"/>
    <m/>
    <n v="0"/>
    <m/>
    <n v="0"/>
    <m/>
    <n v="0"/>
    <m/>
    <n v="0"/>
    <m/>
    <n v="0"/>
    <m/>
  </r>
  <r>
    <s v="Estandar Mezcla de Fumonisins B1 y B2  marcadas con C13 (Isotopic label standar) con fecha de caducidad no menor a un año"/>
    <s v="USP_x000a_Dr. Ehrenstorfer_x000a_Sigma Aldrich (Estándar primario o secundario). Referencia DRE-A30000009WL"/>
    <s v="Frasco x 1,2 mL"/>
    <x v="0"/>
    <x v="12"/>
    <m/>
    <n v="28795885.405580651"/>
    <n v="0"/>
    <m/>
    <n v="0"/>
    <m/>
    <n v="0"/>
    <m/>
    <n v="0"/>
    <m/>
    <n v="0"/>
    <m/>
    <n v="0"/>
    <m/>
    <n v="0"/>
    <m/>
    <n v="0"/>
    <m/>
    <n v="0"/>
    <m/>
    <n v="0"/>
    <m/>
  </r>
  <r>
    <s v="Estandar Mezcla de Ochratoxin A y B  con fecha de caducidad no menor a un año"/>
    <s v="USP_x000a_Dr. Ehrenstorfer_x000a_Sigma Aldrich Referencia DRE-A50000592AL"/>
    <s v="Frasco x 1 mL"/>
    <x v="0"/>
    <x v="12"/>
    <m/>
    <n v="6790775.2778516533"/>
    <n v="0"/>
    <m/>
    <n v="0"/>
    <m/>
    <n v="0"/>
    <m/>
    <n v="0"/>
    <m/>
    <n v="0"/>
    <m/>
    <n v="0"/>
    <m/>
    <n v="0"/>
    <m/>
    <n v="0"/>
    <m/>
    <n v="0"/>
    <m/>
    <n v="0"/>
    <m/>
  </r>
  <r>
    <s v="Estandar Mezcla plaguicidas organoclorados  con fecha de caducidad no menor a un año"/>
    <s v="USP_x000a_Dr. Ehrenstorfer_x000a_Sigma Aldrich Referencia 47557-U"/>
    <s v="Frasco x 1 mL"/>
    <x v="0"/>
    <x v="12"/>
    <m/>
    <n v="508595.82663353393"/>
    <n v="0"/>
    <m/>
    <n v="0"/>
    <m/>
    <n v="0"/>
    <m/>
    <n v="0"/>
    <m/>
    <n v="0"/>
    <m/>
    <n v="0"/>
    <m/>
    <n v="0"/>
    <m/>
    <n v="0"/>
    <m/>
    <n v="0"/>
    <m/>
    <n v="0"/>
    <m/>
  </r>
  <r>
    <s v="Estandar Mirex con certificado de análisis y fecha de vencimiento inferior a 6 meses"/>
    <s v="Dr Ehrenstorfer, HPC Standars, Sigma o equivalentes "/>
    <s v="frasco x 100 mg"/>
    <x v="0"/>
    <x v="12"/>
    <m/>
    <n v="780359.39937996876"/>
    <n v="0"/>
    <m/>
    <n v="0"/>
    <m/>
    <n v="0"/>
    <m/>
    <n v="0"/>
    <m/>
    <n v="0"/>
    <m/>
    <n v="0"/>
    <m/>
    <n v="0"/>
    <m/>
    <n v="0"/>
    <m/>
    <n v="0"/>
    <m/>
    <n v="0"/>
    <m/>
  </r>
  <r>
    <s v="Estandar Niacinamide o Nicotinamide_x000a_Fecha de vigencia ó con fecha no menor a 2 años_x000a_N° CAS 98-92-0"/>
    <s v="Dr. Ehrenstorfer _x000a_Ref  DRE-C15519500"/>
    <s v="Frasco x 250 mg"/>
    <x v="0"/>
    <x v="12"/>
    <m/>
    <n v="774925.63049681776"/>
    <n v="0"/>
    <m/>
    <n v="0"/>
    <m/>
    <n v="0"/>
    <m/>
    <n v="0"/>
    <m/>
    <n v="0"/>
    <m/>
    <n v="0"/>
    <m/>
    <n v="0"/>
    <m/>
    <n v="0"/>
    <m/>
    <n v="0"/>
    <m/>
    <n v="0"/>
    <m/>
  </r>
  <r>
    <s v="Estandar Niacinamide o Nicotinamide_x000a_Fecha de vigencia ó con fecha no menor a 2 años_x000a_N° CAS 98-92-0"/>
    <s v="USP_x000a_Ref 1462006"/>
    <s v="Frasco x 500 mg"/>
    <x v="0"/>
    <x v="12"/>
    <m/>
    <n v="2239608.5164172696"/>
    <n v="0"/>
    <m/>
    <n v="0"/>
    <m/>
    <n v="0"/>
    <m/>
    <n v="0"/>
    <m/>
    <n v="0"/>
    <m/>
    <n v="0"/>
    <m/>
    <n v="0"/>
    <m/>
    <n v="0"/>
    <m/>
    <n v="0"/>
    <m/>
    <n v="0"/>
    <m/>
  </r>
  <r>
    <s v="Estandar Nitrofurantoina"/>
    <s v="USP_x000a_Dr. Ehrenstorfer_x000a_Sigma Aldrich (Estándar primario o secundario)."/>
    <s v="La presentación depende del proveedor (Cantidad requerida: 100 mg)"/>
    <x v="0"/>
    <x v="12"/>
    <m/>
    <n v="754457.96811264136"/>
    <n v="0"/>
    <m/>
    <n v="0"/>
    <m/>
    <n v="0"/>
    <m/>
    <n v="0"/>
    <m/>
    <n v="0"/>
    <m/>
    <n v="0"/>
    <m/>
    <n v="0"/>
    <m/>
    <n v="0"/>
    <m/>
    <n v="0"/>
    <m/>
    <n v="0"/>
    <m/>
  </r>
  <r>
    <s v="Estandar Oxytetracycline Hydrochloride. _x000a_Fecha de vigencia ó con fecha no menor a 2 años_x000a_N° CAS: 2058-46-0"/>
    <s v="_x000a__x000a_Sigma Aldrich Supelco_x000a_Ref PHR1325-500MG"/>
    <s v="Frasco x 500 mg"/>
    <x v="0"/>
    <x v="12"/>
    <m/>
    <n v="852820.54771202907"/>
    <n v="0"/>
    <m/>
    <n v="0"/>
    <m/>
    <n v="0"/>
    <m/>
    <n v="0"/>
    <m/>
    <n v="0"/>
    <m/>
    <n v="0"/>
    <m/>
    <n v="0"/>
    <m/>
    <n v="0"/>
    <m/>
    <n v="0"/>
    <m/>
    <n v="0"/>
    <m/>
  </r>
  <r>
    <s v="Estandar Oxytetracycline Hydrochloride. _x000a_Fecha de vigencia ó con fecha no menor a 2 años_x000a_N° CAS: 2058-46-0"/>
    <s v="USP_x000a_Ref 1491015"/>
    <s v="Frasco x  200 mg"/>
    <x v="0"/>
    <x v="12"/>
    <m/>
    <n v="1577884.5943023339"/>
    <n v="0"/>
    <m/>
    <n v="0"/>
    <m/>
    <n v="0"/>
    <m/>
    <n v="0"/>
    <m/>
    <n v="0"/>
    <m/>
    <n v="0"/>
    <m/>
    <n v="0"/>
    <m/>
    <n v="0"/>
    <m/>
    <n v="0"/>
    <m/>
    <n v="0"/>
    <m/>
  </r>
  <r>
    <s v="Estandar PCB 101 con certificado de análisis y fecha de vencimiento inferior a 6 meses"/>
    <s v="Dr Ehrenstorfer, HPC Standars, Sigma o equivalentes "/>
    <s v="frasco x 10 mg"/>
    <x v="0"/>
    <x v="12"/>
    <m/>
    <n v="1243795.1154798095"/>
    <n v="0"/>
    <m/>
    <n v="0"/>
    <m/>
    <n v="0"/>
    <m/>
    <n v="0"/>
    <m/>
    <n v="0"/>
    <m/>
    <n v="0"/>
    <m/>
    <n v="0"/>
    <m/>
    <n v="0"/>
    <m/>
    <n v="0"/>
    <m/>
    <n v="0"/>
    <m/>
  </r>
  <r>
    <s v="Estandar PCB 138 con certificado de análisis y fecha de vencimiento inferior a 6 meses"/>
    <s v="Dr Ehrenstorfer, HPC Standars, Sigma o equivalentes "/>
    <s v="frasco x 10 mg"/>
    <x v="0"/>
    <x v="12"/>
    <m/>
    <n v="1751419.2847921364"/>
    <n v="0"/>
    <m/>
    <n v="0"/>
    <m/>
    <n v="0"/>
    <m/>
    <n v="0"/>
    <m/>
    <n v="0"/>
    <m/>
    <n v="0"/>
    <m/>
    <n v="0"/>
    <m/>
    <n v="0"/>
    <m/>
    <n v="0"/>
    <m/>
    <n v="0"/>
    <m/>
  </r>
  <r>
    <s v="Estandar PCB 153 con certificado de análisis y fecha de vencimiento inferior a 6 meses"/>
    <s v="Dr Ehrenstorfer, HPC Standars, Sigma o equivalentes "/>
    <s v="frasco x 10 mg"/>
    <x v="0"/>
    <x v="12"/>
    <m/>
    <n v="936162.44210644218"/>
    <n v="0"/>
    <m/>
    <n v="0"/>
    <m/>
    <n v="0"/>
    <m/>
    <n v="0"/>
    <m/>
    <n v="0"/>
    <m/>
    <n v="0"/>
    <m/>
    <n v="0"/>
    <m/>
    <n v="0"/>
    <m/>
    <n v="0"/>
    <m/>
    <n v="0"/>
    <m/>
  </r>
  <r>
    <s v="Estandar PCB 180 con certificado de análisis y fecha de vencimiento inferior a 6 meses"/>
    <s v="Recuperando datos. Espere unos segundos e intente cortar o copiar de nuevo."/>
    <s v="frasco x 10 mg"/>
    <x v="0"/>
    <x v="12"/>
    <m/>
    <n v="1427347.2376479937"/>
    <n v="0"/>
    <m/>
    <n v="0"/>
    <m/>
    <n v="0"/>
    <m/>
    <n v="0"/>
    <m/>
    <n v="0"/>
    <m/>
    <n v="0"/>
    <m/>
    <n v="0"/>
    <m/>
    <n v="0"/>
    <m/>
    <n v="0"/>
    <m/>
    <n v="0"/>
    <m/>
  </r>
  <r>
    <s v="Estandar PCB 28 con certificado de análisis y fecha de vencimiento inferior a 6 meses"/>
    <s v="Dr Ehrenstorfer, HPC Standars, Sigma o equivalentes "/>
    <s v="frasco x 10 mg"/>
    <x v="0"/>
    <x v="12"/>
    <m/>
    <n v="1751419.2847921364"/>
    <n v="0"/>
    <m/>
    <n v="0"/>
    <m/>
    <n v="0"/>
    <m/>
    <n v="0"/>
    <m/>
    <n v="0"/>
    <m/>
    <n v="0"/>
    <m/>
    <n v="0"/>
    <m/>
    <n v="0"/>
    <m/>
    <n v="0"/>
    <m/>
    <n v="0"/>
    <m/>
  </r>
  <r>
    <s v="Estandar Phosphated 5 Riboflavin Sodium_x000a_fecha de vigencia ó con fecha no menor a 2 años._x000a_N° CAS 130-40-5"/>
    <s v="Dr. Ehrenstorfer _x000a_Ref DRE-C16813610"/>
    <s v="Frasco x 250 mg"/>
    <x v="0"/>
    <x v="12"/>
    <m/>
    <n v="956636.24257337628"/>
    <n v="0"/>
    <m/>
    <n v="0"/>
    <m/>
    <n v="0"/>
    <m/>
    <n v="0"/>
    <m/>
    <n v="0"/>
    <m/>
    <n v="0"/>
    <m/>
    <n v="0"/>
    <m/>
    <n v="0"/>
    <m/>
    <n v="0"/>
    <m/>
    <n v="0"/>
    <m/>
  </r>
  <r>
    <s v="Estandar Phosphated 5 Riboflavin Sodium_x000a_fecha de vigencia ó con fecha no menor a 2 años._x000a_N° CAS 6184-17-4"/>
    <s v="USP_x000a_Ref 1535700"/>
    <s v="Frasco x 100 mg"/>
    <x v="0"/>
    <x v="12"/>
    <m/>
    <n v="3886711.0840538172"/>
    <n v="0"/>
    <m/>
    <n v="0"/>
    <m/>
    <n v="0"/>
    <m/>
    <n v="0"/>
    <m/>
    <n v="0"/>
    <m/>
    <n v="0"/>
    <m/>
    <n v="0"/>
    <m/>
    <n v="0"/>
    <m/>
    <n v="0"/>
    <m/>
    <n v="0"/>
    <m/>
  </r>
  <r>
    <s v="Estandar Piroxicam_x000a_Fecha de vigencia ó con fecha no menor a 2 años_x000a_N° CAS 36322-90-4"/>
    <s v="Dr. Ehrenstorfer _x000a_Ref  DRE-C16278000"/>
    <s v="Frasco x 250 mg"/>
    <x v="0"/>
    <x v="12"/>
    <m/>
    <n v="1925937.6764838849"/>
    <n v="0"/>
    <m/>
    <n v="0"/>
    <m/>
    <n v="0"/>
    <m/>
    <n v="0"/>
    <m/>
    <n v="0"/>
    <m/>
    <n v="0"/>
    <m/>
    <n v="0"/>
    <m/>
    <n v="0"/>
    <m/>
    <n v="0"/>
    <m/>
    <n v="0"/>
    <m/>
  </r>
  <r>
    <s v="Estandar Piroxicam_x000a_Fecha de vigencia ó con fecha no menor a 2 años_x000a_N° CAS 36322-90-4"/>
    <s v="_x000a__x000a_Sigma Aldrich Supelco_x000a_Ref PHR1588-200MG"/>
    <s v="Frasco x 200 mg"/>
    <x v="0"/>
    <x v="12"/>
    <m/>
    <n v="1262725.0133820588"/>
    <n v="0"/>
    <m/>
    <n v="0"/>
    <m/>
    <n v="0"/>
    <m/>
    <n v="0"/>
    <m/>
    <n v="0"/>
    <m/>
    <n v="0"/>
    <m/>
    <n v="0"/>
    <m/>
    <n v="0"/>
    <m/>
    <n v="0"/>
    <m/>
    <n v="0"/>
    <m/>
  </r>
  <r>
    <s v="Estandar Piroxicam_x000a_Fecha de vigencia ó con fecha no menor a 2 años_x000a_N° CAS 36322-90-4"/>
    <s v="USP_x000a_Ref 1544508"/>
    <s v="Frasco x 125 mg"/>
    <x v="0"/>
    <x v="12"/>
    <m/>
    <n v="2038891.0480072857"/>
    <n v="0"/>
    <m/>
    <n v="0"/>
    <m/>
    <n v="0"/>
    <m/>
    <n v="0"/>
    <m/>
    <n v="0"/>
    <m/>
    <n v="0"/>
    <m/>
    <n v="0"/>
    <m/>
    <n v="0"/>
    <m/>
    <n v="0"/>
    <m/>
    <n v="0"/>
    <m/>
  </r>
  <r>
    <s v="Estandar Praziquantel_x000a_Fecha de vigencia ó con fecha no menor a 2 años_x000a_N° CAS 55268-74-1"/>
    <s v="Dr. Ehrenstorfer _x000a_Ref  DRE-C16286300"/>
    <s v="Frasco x 250 mg"/>
    <x v="0"/>
    <x v="12"/>
    <m/>
    <n v="1202441.0658959486"/>
    <n v="0"/>
    <m/>
    <n v="0"/>
    <m/>
    <n v="0"/>
    <m/>
    <n v="0"/>
    <m/>
    <n v="0"/>
    <m/>
    <n v="0"/>
    <m/>
    <n v="0"/>
    <m/>
    <n v="0"/>
    <m/>
    <n v="0"/>
    <m/>
    <n v="0"/>
    <m/>
  </r>
  <r>
    <s v="Estandar Praziquantel_x000a_Fecha de vigencia ó con fecha no menor a 2 años_x000a_N° CAS 55268-74-1"/>
    <s v="_x000a__x000a_Sigma Aldrich Supelco_x000a_Ref PHR1391-1G"/>
    <s v="Frasco x 1 g"/>
    <x v="0"/>
    <x v="12"/>
    <m/>
    <n v="799071.9570647293"/>
    <n v="0"/>
    <m/>
    <n v="0"/>
    <m/>
    <n v="0"/>
    <m/>
    <n v="0"/>
    <m/>
    <n v="0"/>
    <m/>
    <n v="0"/>
    <m/>
    <n v="0"/>
    <m/>
    <n v="0"/>
    <m/>
    <n v="0"/>
    <m/>
    <n v="0"/>
    <m/>
  </r>
  <r>
    <s v="Estandar Praziquantel_x000a_Fecha de vigencia ó con fecha no menor a 2 años_x000a_N° CAS 55268-74-1"/>
    <s v="USP_x000a_Ref 1554603"/>
    <s v="Frasco x 200 mg"/>
    <x v="0"/>
    <x v="12"/>
    <m/>
    <n v="1218794.8803692306"/>
    <n v="0"/>
    <m/>
    <n v="0"/>
    <m/>
    <n v="0"/>
    <m/>
    <n v="0"/>
    <m/>
    <n v="0"/>
    <m/>
    <n v="0"/>
    <m/>
    <n v="0"/>
    <m/>
    <n v="0"/>
    <m/>
    <n v="0"/>
    <m/>
    <n v="0"/>
    <m/>
  </r>
  <r>
    <s v="Estandar Pyrantel Pamoate_x000a_Fecha de vigencia ó con fecha no menor a 2 años_x000a_N° CAS 22204-24-6"/>
    <s v="Dr. Ehrenstorfer _x000a_Ref  DRE-C16600100"/>
    <s v="Frasco x 250 mg"/>
    <x v="0"/>
    <x v="12"/>
    <m/>
    <n v="1125754.7256861629"/>
    <n v="0"/>
    <m/>
    <n v="0"/>
    <m/>
    <n v="0"/>
    <m/>
    <n v="0"/>
    <m/>
    <n v="0"/>
    <m/>
    <n v="0"/>
    <m/>
    <n v="0"/>
    <m/>
    <n v="0"/>
    <m/>
    <n v="0"/>
    <m/>
    <n v="0"/>
    <m/>
  </r>
  <r>
    <s v="Estandar Pyrantel Pamoate_x000a_Fecha de vigencia ó con fecha no menor a 2 años_x000a_N° CAS 22204-24-6"/>
    <s v="_x000a__x000a_Sigma Aldrich Supelco_x000a_Ref PHR2080-1G"/>
    <s v="Frasco x 1 g"/>
    <x v="0"/>
    <x v="12"/>
    <m/>
    <n v="1255345.1529348211"/>
    <n v="0"/>
    <m/>
    <n v="0"/>
    <m/>
    <n v="0"/>
    <m/>
    <n v="0"/>
    <m/>
    <n v="0"/>
    <m/>
    <n v="0"/>
    <m/>
    <n v="0"/>
    <m/>
    <n v="0"/>
    <m/>
    <n v="0"/>
    <m/>
    <n v="0"/>
    <m/>
  </r>
  <r>
    <s v="Estandar Pyrantel Pamoate_x000a_Fecha de vigencia ó con fecha no menor a 2 años_x000a_N° CAS 22204-24-6"/>
    <s v="USP_x000a_Ref 1584003"/>
    <s v="Frasco x 500 mg"/>
    <x v="0"/>
    <x v="12"/>
    <m/>
    <n v="1615598.339497051"/>
    <n v="0"/>
    <m/>
    <n v="0"/>
    <m/>
    <n v="0"/>
    <m/>
    <n v="0"/>
    <m/>
    <n v="0"/>
    <m/>
    <n v="0"/>
    <m/>
    <n v="0"/>
    <m/>
    <n v="0"/>
    <m/>
    <n v="0"/>
    <m/>
    <n v="0"/>
    <m/>
  </r>
  <r>
    <s v="Estandar Pyridoxine Hydrochloride_x000a_Fecha de vigencia ó con fecha no menor a 2 años_x000a_N° CAS 58-56-0"/>
    <s v="Dr. Ehrenstorfer _x000a_Ref  DRE-C16652000"/>
    <s v="Frasco x 250 mg"/>
    <x v="0"/>
    <x v="12"/>
    <m/>
    <n v="1038513.0808097172"/>
    <n v="0"/>
    <m/>
    <n v="0"/>
    <m/>
    <n v="0"/>
    <m/>
    <n v="0"/>
    <m/>
    <n v="0"/>
    <m/>
    <n v="0"/>
    <m/>
    <n v="0"/>
    <m/>
    <n v="0"/>
    <m/>
    <n v="0"/>
    <m/>
    <n v="0"/>
    <m/>
  </r>
  <r>
    <s v="Estandar Pyridoxine Hydrochloride_x000a_Fecha de vigencia ó con fecha no menor a 2 años_x000a_N° CAS 58-56-0"/>
    <s v="_x000a__x000a_Sigma Aldrich Supelco_x000a_Ref PHR1036-500MG"/>
    <s v="Frasco x 500 mg"/>
    <x v="0"/>
    <x v="12"/>
    <m/>
    <n v="891058.26626418706"/>
    <n v="0"/>
    <m/>
    <n v="0"/>
    <m/>
    <n v="0"/>
    <m/>
    <n v="0"/>
    <m/>
    <n v="0"/>
    <m/>
    <n v="0"/>
    <m/>
    <n v="0"/>
    <m/>
    <n v="0"/>
    <m/>
    <n v="0"/>
    <m/>
    <n v="0"/>
    <m/>
  </r>
  <r>
    <s v="Estandar Pyridoxine Hydrochloride_x000a_Fecha de vigencia ó con fecha no menor a 2 años_x000a_N° CAS 58-56-0"/>
    <s v="USP_x000a_Ref 1587001"/>
    <s v="Frasco x 200 mg"/>
    <x v="0"/>
    <x v="12"/>
    <m/>
    <n v="1471126.6284917123"/>
    <n v="0"/>
    <m/>
    <n v="0"/>
    <m/>
    <n v="0"/>
    <m/>
    <n v="0"/>
    <m/>
    <n v="0"/>
    <m/>
    <n v="0"/>
    <m/>
    <n v="0"/>
    <m/>
    <n v="0"/>
    <m/>
    <n v="0"/>
    <m/>
    <n v="0"/>
    <m/>
  </r>
  <r>
    <s v="Estandar Retinyl Palmitate (Vitamina A palmitato)_x000a_Fecha de vigencia ó con fecha no menor a 2 años_x000a_N° CAS 79-81-2"/>
    <s v="USP_x000a_Ref 1602502"/>
    <s v="4 ampolletas  x 50 mg"/>
    <x v="0"/>
    <x v="12"/>
    <m/>
    <n v="1661190.7137989912"/>
    <n v="0"/>
    <m/>
    <n v="0"/>
    <m/>
    <n v="0"/>
    <m/>
    <n v="0"/>
    <m/>
    <n v="0"/>
    <m/>
    <n v="0"/>
    <m/>
    <n v="0"/>
    <m/>
    <n v="0"/>
    <m/>
    <n v="0"/>
    <m/>
    <n v="0"/>
    <m/>
  </r>
  <r>
    <s v="Estandar Retinyl Propionate (Vitamina A propionato)_x000a_fecha de vigencia ó con fecha no menor a 2 años_x000a_N° CAS 7069-42-3"/>
    <s v="_x000a__x000a_TRC (LGC)_x000a_Ref TRC-R275550-500MG"/>
    <s v="Frasco x  500 mg"/>
    <x v="0"/>
    <x v="12"/>
    <m/>
    <n v="903342.08780307695"/>
    <n v="0"/>
    <m/>
    <n v="0"/>
    <m/>
    <n v="0"/>
    <m/>
    <n v="0"/>
    <m/>
    <n v="0"/>
    <m/>
    <n v="0"/>
    <m/>
    <n v="0"/>
    <m/>
    <n v="0"/>
    <m/>
    <n v="0"/>
    <m/>
    <n v="0"/>
    <m/>
  </r>
  <r>
    <s v="Estandar solucion mecla de plaguicidas GC Pestimix 4"/>
    <s v="USP_x000a_Dr. Ehrenstorfer_x000a_Sigma Aldrich Referencia DRE-A50000295IT"/>
    <s v="Frasco x 1 mL"/>
    <x v="0"/>
    <x v="12"/>
    <m/>
    <n v="23114918.14975192"/>
    <n v="0"/>
    <m/>
    <n v="0"/>
    <m/>
    <n v="0"/>
    <m/>
    <n v="0"/>
    <m/>
    <n v="0"/>
    <m/>
    <n v="0"/>
    <m/>
    <n v="0"/>
    <m/>
    <n v="0"/>
    <m/>
    <n v="0"/>
    <m/>
    <n v="0"/>
    <m/>
  </r>
  <r>
    <s v="Estandar solucion mecla de plaguicidas GC Pestimix 5"/>
    <s v="USP_x000a_Dr. Ehrenstorfer_x000a_Sigma Aldrich Referencia DRE-A50000296IT"/>
    <s v="Frasco x 1 mL"/>
    <x v="0"/>
    <x v="12"/>
    <m/>
    <n v="16225039.308374615"/>
    <n v="0"/>
    <m/>
    <n v="0"/>
    <m/>
    <n v="0"/>
    <m/>
    <n v="0"/>
    <m/>
    <n v="0"/>
    <m/>
    <n v="0"/>
    <m/>
    <n v="0"/>
    <m/>
    <n v="0"/>
    <m/>
    <n v="0"/>
    <m/>
    <n v="0"/>
    <m/>
  </r>
  <r>
    <s v="Estandar solución mexcla de plaguicidas GC Pestimix 2"/>
    <s v="USP_x000a_Dr. Ehrenstorfer_x000a_Sigma Aldrich Referencia DRE-A50000293IT"/>
    <s v="Frasco x 1 mL"/>
    <x v="0"/>
    <x v="12"/>
    <m/>
    <n v="13201445.831040476"/>
    <n v="0"/>
    <m/>
    <n v="0"/>
    <m/>
    <n v="0"/>
    <m/>
    <n v="0"/>
    <m/>
    <n v="0"/>
    <m/>
    <n v="0"/>
    <m/>
    <n v="0"/>
    <m/>
    <n v="0"/>
    <m/>
    <n v="0"/>
    <m/>
    <n v="0"/>
    <m/>
  </r>
  <r>
    <s v="Estandar solución mezcla de plaguicidas GC Pestimix 1, solucion de 10 ug/mL"/>
    <s v="USP_x000a_Dr. Ehrenstorfer_x000a_Sigma Aldrich Referencia DRE-A50000292IT"/>
    <s v="Frasco x 1 mL"/>
    <x v="0"/>
    <x v="12"/>
    <m/>
    <n v="13201445.831040476"/>
    <n v="0"/>
    <m/>
    <n v="0"/>
    <m/>
    <n v="0"/>
    <m/>
    <n v="0"/>
    <m/>
    <n v="0"/>
    <m/>
    <n v="0"/>
    <m/>
    <n v="0"/>
    <m/>
    <n v="0"/>
    <m/>
    <n v="0"/>
    <m/>
    <n v="0"/>
    <m/>
  </r>
  <r>
    <s v="Estandar solución mezcla de plaguicidas GC Pestimix 3"/>
    <s v="USP_x000a_Dr. Ehrenstorfer_x000a_Sigma Aldrich Referencia DRE-A50000294IT"/>
    <s v="Frasco x 1 mL"/>
    <x v="0"/>
    <x v="12"/>
    <m/>
    <n v="13201445.831040476"/>
    <n v="0"/>
    <m/>
    <n v="0"/>
    <m/>
    <n v="0"/>
    <m/>
    <n v="0"/>
    <m/>
    <n v="0"/>
    <m/>
    <n v="0"/>
    <m/>
    <n v="0"/>
    <m/>
    <n v="0"/>
    <m/>
    <n v="0"/>
    <m/>
    <n v="0"/>
    <m/>
  </r>
  <r>
    <s v="Estandar Solucion mezcla PestiMix Smartsolutions V400 GC Kit 1"/>
    <s v="USP_x000a_Dr. Ehrenstorfer_x000a_Sigma Aldrich Referencia DRE-K50000291IT"/>
    <s v="Frasco x 1mL (5 unidades)"/>
    <x v="0"/>
    <x v="12"/>
    <m/>
    <n v="69823858.871709302"/>
    <n v="0"/>
    <m/>
    <n v="0"/>
    <m/>
    <n v="0"/>
    <m/>
    <n v="0"/>
    <m/>
    <n v="0"/>
    <m/>
    <n v="0"/>
    <m/>
    <n v="0"/>
    <m/>
    <n v="0"/>
    <m/>
    <n v="0"/>
    <m/>
    <n v="0"/>
    <m/>
  </r>
  <r>
    <s v="Estandar Sulfadiazine_x000a_Fecha de vigencia ó con fecha no menor a 2 años_x000a_N° CAS 68-35-9"/>
    <s v="Dr. Ehrenstorfer _x000a_Ref DRE-C16990500"/>
    <s v="Frasco x 100 mg"/>
    <x v="0"/>
    <x v="12"/>
    <m/>
    <n v="768146.02547718352"/>
    <n v="0"/>
    <m/>
    <n v="0"/>
    <m/>
    <n v="0"/>
    <m/>
    <n v="0"/>
    <m/>
    <n v="0"/>
    <m/>
    <n v="0"/>
    <m/>
    <n v="0"/>
    <m/>
    <n v="0"/>
    <m/>
    <n v="0"/>
    <m/>
    <n v="0"/>
    <m/>
  </r>
  <r>
    <s v="Estandar Sulfadiazine_x000a_Fecha de vigencia ó con fecha no menor a 2 años_x000a_N° CAS 68-35-9"/>
    <s v="USP_x000a_Ref 1625009"/>
    <s v="Frasco x 200 mg"/>
    <x v="0"/>
    <x v="12"/>
    <m/>
    <n v="1554188.5261030027"/>
    <n v="0"/>
    <m/>
    <n v="0"/>
    <m/>
    <n v="0"/>
    <m/>
    <n v="0"/>
    <m/>
    <n v="0"/>
    <m/>
    <n v="0"/>
    <m/>
    <n v="0"/>
    <m/>
    <n v="0"/>
    <m/>
    <n v="0"/>
    <m/>
    <n v="0"/>
    <m/>
  </r>
  <r>
    <s v="Estandar Thiamine Hydrochloride_x000a_Fecha de vigencia ó con fecha no menor a 2 años_x000a_N° CAS 67-03-8"/>
    <s v="Dr. Ehrenstorfer _x000a_Ref DRE-C17455000"/>
    <s v="Frasco x 250 mg"/>
    <x v="0"/>
    <x v="12"/>
    <m/>
    <n v="1080371.7946649501"/>
    <n v="0"/>
    <m/>
    <n v="0"/>
    <m/>
    <n v="0"/>
    <m/>
    <n v="0"/>
    <m/>
    <n v="0"/>
    <m/>
    <n v="0"/>
    <m/>
    <n v="0"/>
    <m/>
    <n v="0"/>
    <m/>
    <n v="0"/>
    <m/>
    <n v="0"/>
    <m/>
  </r>
  <r>
    <s v="Estandar Thiamine Hydrochloride_x000a_Fecha de vigencia ó con fecha no menor a 2 años_x000a_N° CAS 67-03-8"/>
    <s v="USP_x000a_Ref 1656002"/>
    <s v="Frasco x 500 mg"/>
    <x v="0"/>
    <x v="12"/>
    <m/>
    <n v="1231153.1485772985"/>
    <n v="0"/>
    <m/>
    <n v="0"/>
    <m/>
    <n v="0"/>
    <m/>
    <n v="0"/>
    <m/>
    <n v="0"/>
    <m/>
    <n v="0"/>
    <m/>
    <n v="0"/>
    <m/>
    <n v="0"/>
    <m/>
    <n v="0"/>
    <m/>
    <n v="0"/>
    <m/>
  </r>
  <r>
    <s v="Estándar Tiamfenicol trazable, con fecha de vencimiento no inferior a 2 años. Número CAS:"/>
    <s v="LGC DRE-C17457000 o equivalente"/>
    <s v="Frasco X 100 mg"/>
    <x v="0"/>
    <x v="12"/>
    <m/>
    <n v="1250746.7907577094"/>
    <n v="0"/>
    <m/>
    <n v="0"/>
    <m/>
    <n v="0"/>
    <m/>
    <n v="0"/>
    <m/>
    <n v="0"/>
    <m/>
    <n v="0"/>
    <m/>
    <n v="0"/>
    <m/>
    <n v="0"/>
    <m/>
    <n v="0"/>
    <m/>
    <n v="0"/>
    <m/>
  </r>
  <r>
    <s v="Estandar Triclosan_x000a_fecha de vigencia ó con fecha no menor a 2 años_x000a_N° CAS 3380-34-5"/>
    <s v="Dr. Ehrenstorfer _x000a_Ref   DRE-C17803000"/>
    <s v="Frasco x 250 mg"/>
    <x v="0"/>
    <x v="12"/>
    <m/>
    <n v="939081.41352408426"/>
    <n v="0"/>
    <m/>
    <n v="0"/>
    <m/>
    <n v="0"/>
    <m/>
    <n v="0"/>
    <m/>
    <n v="0"/>
    <m/>
    <n v="0"/>
    <m/>
    <n v="0"/>
    <m/>
    <n v="0"/>
    <m/>
    <n v="0"/>
    <m/>
    <n v="0"/>
    <m/>
  </r>
  <r>
    <s v="Estandar Triclosan_x000a_fecha de vigencia ó con fecha no menor a 2 años_x000a_N° CAS 3380-34-5"/>
    <s v="_x000a__x000a_Sigma Aldrich Supelco_x000a_Ref PHR1338-1G"/>
    <s v="Frasco x 1 g"/>
    <x v="0"/>
    <x v="12"/>
    <m/>
    <n v="865959.03684594983"/>
    <n v="0"/>
    <m/>
    <n v="0"/>
    <m/>
    <n v="0"/>
    <m/>
    <n v="0"/>
    <m/>
    <n v="0"/>
    <m/>
    <n v="0"/>
    <m/>
    <n v="0"/>
    <m/>
    <n v="0"/>
    <m/>
    <n v="0"/>
    <m/>
    <n v="0"/>
    <m/>
  </r>
  <r>
    <s v="Estandar Triclosan_x000a_fecha de vigencia ó con fecha no menor a 2 años_x000a_N° CAS 3380-34-5"/>
    <s v="USP_x000a_Ref 1682206"/>
    <s v="Frasco x 200 mg"/>
    <x v="0"/>
    <x v="12"/>
    <m/>
    <n v="4706034.9483097745"/>
    <n v="0"/>
    <m/>
    <n v="0"/>
    <m/>
    <n v="0"/>
    <m/>
    <n v="0"/>
    <m/>
    <n v="0"/>
    <m/>
    <n v="0"/>
    <m/>
    <n v="0"/>
    <m/>
    <n v="0"/>
    <m/>
    <n v="0"/>
    <m/>
    <n v="0"/>
    <m/>
  </r>
  <r>
    <s v="ExtraBond Bulk GCB "/>
    <s v="Scharlau o equivalente"/>
    <s v="Frasco x 100 g"/>
    <x v="0"/>
    <x v="12"/>
    <m/>
    <n v="0"/>
    <n v="0"/>
    <m/>
    <n v="0"/>
    <m/>
    <n v="0"/>
    <m/>
    <n v="0"/>
    <m/>
    <n v="0"/>
    <m/>
    <n v="0"/>
    <m/>
    <n v="0"/>
    <m/>
    <n v="0"/>
    <m/>
    <n v="0"/>
    <m/>
    <n v="0"/>
    <m/>
  </r>
  <r>
    <s v="Fenol en cristales grado biología molecular"/>
    <s v="Merck, JT. Baker o equivalente"/>
    <s v="Frasco x 500g"/>
    <x v="0"/>
    <x v="12"/>
    <m/>
    <n v="1474220.5154878453"/>
    <n v="0"/>
    <m/>
    <n v="0"/>
    <m/>
    <n v="0"/>
    <m/>
    <n v="0"/>
    <m/>
    <n v="0"/>
    <m/>
    <n v="0"/>
    <m/>
    <n v="0"/>
    <m/>
    <n v="0"/>
    <m/>
    <n v="0"/>
    <m/>
    <n v="0"/>
    <m/>
  </r>
  <r>
    <s v="Fenolftaleina para análisis indicado ACS"/>
    <s v="Merck 1072330025 o equivalente"/>
    <s v="Frasco x 25 g"/>
    <x v="0"/>
    <x v="12"/>
    <m/>
    <n v="220100.96843554592"/>
    <n v="0"/>
    <m/>
    <n v="0"/>
    <m/>
    <n v="0"/>
    <m/>
    <n v="0"/>
    <m/>
    <n v="0"/>
    <m/>
    <n v="0"/>
    <m/>
    <n v="0"/>
    <m/>
    <n v="0"/>
    <m/>
    <n v="0"/>
    <m/>
    <n v="0"/>
    <m/>
  </r>
  <r>
    <s v="Feromona o Paraferomona sexual atrayente de machos de N. elegantalis"/>
    <s v="neoelegantol®  o equivalente"/>
    <s v="Frasco x 1 Litro"/>
    <x v="0"/>
    <x v="12"/>
    <m/>
    <n v="0"/>
    <n v="0"/>
    <m/>
    <n v="0"/>
    <m/>
    <n v="0"/>
    <m/>
    <n v="0"/>
    <m/>
    <n v="0"/>
    <m/>
    <n v="0"/>
    <m/>
    <n v="0"/>
    <m/>
    <n v="0"/>
    <m/>
    <n v="0"/>
    <m/>
    <n v="0"/>
    <m/>
  </r>
  <r>
    <s v="Formamida deionizada para biología molecular"/>
    <s v="Panreac o equivalente"/>
    <s v="Frasco x 500ml"/>
    <x v="0"/>
    <x v="12"/>
    <m/>
    <n v="895316.97474122315"/>
    <n v="0"/>
    <m/>
    <n v="0"/>
    <m/>
    <n v="0"/>
    <m/>
    <n v="0"/>
    <m/>
    <n v="0"/>
    <m/>
    <n v="0"/>
    <m/>
    <n v="0"/>
    <m/>
    <n v="0"/>
    <m/>
    <n v="0"/>
    <m/>
    <n v="0"/>
    <m/>
  </r>
  <r>
    <s v="Fosfato de amonio monobasico analytical standard, for nitrogen determination according to Kjeldahl method, ≥99.5%"/>
    <s v="Sigma Ref:  88431-25G"/>
    <s v="Frasco x25 g"/>
    <x v="0"/>
    <x v="12"/>
    <m/>
    <n v="574749.77230490779"/>
    <n v="0"/>
    <m/>
    <n v="0"/>
    <m/>
    <n v="0"/>
    <m/>
    <n v="0"/>
    <m/>
    <n v="0"/>
    <m/>
    <n v="0"/>
    <m/>
    <n v="0"/>
    <m/>
    <n v="0"/>
    <m/>
    <n v="0"/>
    <m/>
    <n v="0"/>
    <m/>
  </r>
  <r>
    <s v="Fosfato de potasio Di hidrogenado para Análisis.CAS 7778-77-0. ISO. "/>
    <s v="Merck o equivalente"/>
    <s v="Frasco x 250g"/>
    <x v="0"/>
    <x v="12"/>
    <m/>
    <n v="223307.67347190491"/>
    <n v="0"/>
    <m/>
    <n v="0"/>
    <m/>
    <n v="0"/>
    <m/>
    <n v="0"/>
    <m/>
    <n v="0"/>
    <m/>
    <n v="0"/>
    <m/>
    <n v="0"/>
    <m/>
    <n v="0"/>
    <m/>
    <n v="0"/>
    <m/>
    <n v="0"/>
    <m/>
  </r>
  <r>
    <s v="Freeze-dried positive extraction control PEC-FLUH9 ID VET"/>
    <s v="IDvet"/>
    <s v="Frasco 1 control"/>
    <x v="0"/>
    <x v="12"/>
    <m/>
    <n v="240416"/>
    <n v="0"/>
    <m/>
    <n v="0"/>
    <m/>
    <n v="0"/>
    <m/>
    <n v="0"/>
    <m/>
    <n v="0"/>
    <m/>
    <n v="0"/>
    <m/>
    <n v="0"/>
    <m/>
    <n v="0"/>
    <m/>
    <n v="0"/>
    <m/>
    <n v="0"/>
    <m/>
  </r>
  <r>
    <s v="Freeze-dried positive extraction control PEC-FLUA ID VET"/>
    <s v="IDvet"/>
    <s v="Frasco 1 control"/>
    <x v="0"/>
    <x v="12"/>
    <m/>
    <n v="240416"/>
    <n v="0"/>
    <m/>
    <n v="0"/>
    <m/>
    <n v="0"/>
    <m/>
    <n v="0"/>
    <m/>
    <n v="0"/>
    <m/>
    <n v="0"/>
    <m/>
    <n v="0"/>
    <m/>
    <n v="0"/>
    <m/>
    <n v="0"/>
    <m/>
    <n v="0"/>
    <m/>
  </r>
  <r>
    <s v="Freund′s Adjuvant, Complete"/>
    <s v="Sigma F5881 "/>
    <s v="Frasco x 10ml"/>
    <x v="0"/>
    <x v="12"/>
    <m/>
    <n v="277499.54679326038"/>
    <n v="0"/>
    <m/>
    <n v="0"/>
    <m/>
    <n v="0"/>
    <m/>
    <n v="0"/>
    <m/>
    <n v="0"/>
    <m/>
    <n v="0"/>
    <m/>
    <n v="0"/>
    <m/>
    <n v="0"/>
    <m/>
    <n v="0"/>
    <m/>
    <n v="0"/>
    <m/>
  </r>
  <r>
    <s v="Gelrite gellan gum CAS-71-010-52-1"/>
    <s v="GelzamTM CM; Sigma G 1910"/>
    <s v="Frasco x 250 g"/>
    <x v="0"/>
    <x v="12"/>
    <m/>
    <n v="1335400.7617526157"/>
    <n v="0"/>
    <m/>
    <n v="0"/>
    <m/>
    <n v="0"/>
    <m/>
    <n v="0"/>
    <m/>
    <n v="0"/>
    <m/>
    <n v="0"/>
    <m/>
    <n v="0"/>
    <m/>
    <n v="0"/>
    <m/>
    <n v="0"/>
    <m/>
    <n v="0"/>
    <m/>
  </r>
  <r>
    <s v="Glifosato (Herbicida Amplio espectro)"/>
    <s v="Cualquier marca"/>
    <s v="Frasco x 1000ml"/>
    <x v="0"/>
    <x v="12"/>
    <m/>
    <n v="0"/>
    <n v="0"/>
    <m/>
    <n v="0"/>
    <m/>
    <n v="0"/>
    <m/>
    <n v="0"/>
    <m/>
    <n v="0"/>
    <m/>
    <n v="0"/>
    <m/>
    <n v="0"/>
    <m/>
    <n v="0"/>
    <m/>
    <n v="0"/>
    <m/>
    <n v="0"/>
    <m/>
  </r>
  <r>
    <s v="Graphitized Carbon Black (GCB) "/>
    <s v="Scharlau, Agilent, Waters o equivalente"/>
    <s v="Frasco x 25 g"/>
    <x v="0"/>
    <x v="12"/>
    <m/>
    <n v="1274423.3600000001"/>
    <n v="0"/>
    <m/>
    <n v="0"/>
    <m/>
    <n v="0"/>
    <m/>
    <n v="0"/>
    <m/>
    <n v="0"/>
    <m/>
    <n v="0"/>
    <m/>
    <n v="0"/>
    <m/>
    <n v="0"/>
    <m/>
    <n v="0"/>
    <m/>
    <n v="0"/>
    <m/>
  </r>
  <r>
    <s v="grippotyphosa, strain Andaman, liquid culture"/>
    <m/>
    <m/>
    <x v="0"/>
    <x v="12"/>
    <m/>
    <n v="896096"/>
    <n v="0"/>
    <m/>
    <n v="0"/>
    <m/>
    <n v="0"/>
    <m/>
    <n v="0"/>
    <m/>
    <n v="0"/>
    <m/>
    <n v="0"/>
    <m/>
    <n v="0"/>
    <m/>
    <n v="0"/>
    <m/>
    <n v="0"/>
    <m/>
    <n v="0"/>
    <m/>
  </r>
  <r>
    <s v="Hemin chloride CAS-16009-13-5"/>
    <s v="Sigma, Merck o equivalente"/>
    <s v="Frasco x 5g"/>
    <x v="0"/>
    <x v="12"/>
    <m/>
    <n v="887896.68381782563"/>
    <n v="0"/>
    <m/>
    <n v="0"/>
    <m/>
    <n v="0"/>
    <m/>
    <n v="0"/>
    <m/>
    <n v="0"/>
    <m/>
    <n v="0"/>
    <m/>
    <n v="0"/>
    <m/>
    <n v="0"/>
    <m/>
    <n v="0"/>
    <m/>
    <n v="0"/>
    <m/>
  </r>
  <r>
    <s v="Hexano para análisis de residuos"/>
    <s v="Merck, Supelco, PanReac o similares"/>
    <s v="Frasco x 4 litros"/>
    <x v="0"/>
    <x v="12"/>
    <m/>
    <n v="952433.69857887295"/>
    <n v="0"/>
    <m/>
    <n v="0"/>
    <m/>
    <n v="0"/>
    <m/>
    <n v="0"/>
    <m/>
    <n v="0"/>
    <m/>
    <n v="0"/>
    <m/>
    <n v="0"/>
    <m/>
    <n v="0"/>
    <m/>
    <n v="0"/>
    <m/>
    <n v="0"/>
    <m/>
  </r>
  <r>
    <s v="Hidrocloruro de cisteina"/>
    <s v="Sigma Aldrich C-7880 o equivalente"/>
    <s v="Frasco x 100g"/>
    <x v="0"/>
    <x v="12"/>
    <m/>
    <n v="602826.54813374113"/>
    <n v="0"/>
    <m/>
    <n v="0"/>
    <m/>
    <n v="0"/>
    <m/>
    <n v="0"/>
    <m/>
    <n v="0"/>
    <m/>
    <n v="0"/>
    <m/>
    <n v="0"/>
    <m/>
    <n v="0"/>
    <m/>
    <n v="0"/>
    <m/>
    <n v="0"/>
    <m/>
  </r>
  <r>
    <s v="ID Gene™ Bluetongue Duplex IDBTV-100 ID VET"/>
    <s v="IDvet"/>
    <s v="Kit x 100 pruebas"/>
    <x v="0"/>
    <x v="12"/>
    <m/>
    <n v="11552456.5184"/>
    <n v="0"/>
    <m/>
    <n v="0"/>
    <m/>
    <n v="0"/>
    <m/>
    <n v="0"/>
    <m/>
    <n v="0"/>
    <m/>
    <n v="0"/>
    <m/>
    <n v="0"/>
    <m/>
    <n v="0"/>
    <m/>
    <n v="0"/>
    <m/>
    <n v="0"/>
    <m/>
  </r>
  <r>
    <s v="ID Gene™ BVD/BD Triplex"/>
    <s v="ID VET.IDBVD-100"/>
    <s v="Kit x 100"/>
    <x v="0"/>
    <x v="12"/>
    <m/>
    <n v="20841590.186666667"/>
    <n v="0"/>
    <m/>
    <n v="0"/>
    <m/>
    <n v="0"/>
    <m/>
    <n v="0"/>
    <m/>
    <n v="0"/>
    <m/>
    <n v="0"/>
    <m/>
    <n v="0"/>
    <m/>
    <n v="0"/>
    <m/>
    <n v="0"/>
    <m/>
    <n v="0"/>
    <m/>
  </r>
  <r>
    <s v="ID Gene™ MG/MS Triplex Liquid format IDMGMS-100 ID VET"/>
    <s v="IDvet"/>
    <s v="Kit x 100 pruebas"/>
    <x v="0"/>
    <x v="12"/>
    <m/>
    <n v="9217768"/>
    <n v="0"/>
    <m/>
    <n v="0"/>
    <m/>
    <n v="0"/>
    <m/>
    <n v="0"/>
    <m/>
    <n v="0"/>
    <m/>
    <n v="0"/>
    <m/>
    <n v="0"/>
    <m/>
    <n v="0"/>
    <m/>
    <n v="0"/>
    <m/>
    <n v="0"/>
    <m/>
  </r>
  <r>
    <s v="ID Gene™ Mycobacterium tuberculosis complex Duplex"/>
    <s v="ID VET. IDTUB-100"/>
    <s v="Kit x 100"/>
    <x v="0"/>
    <x v="12"/>
    <m/>
    <n v="18206048"/>
    <n v="0"/>
    <m/>
    <n v="0"/>
    <m/>
    <n v="0"/>
    <m/>
    <n v="0"/>
    <m/>
    <n v="0"/>
    <m/>
    <n v="0"/>
    <m/>
    <n v="0"/>
    <m/>
    <n v="0"/>
    <m/>
    <n v="0"/>
    <m/>
    <n v="0"/>
    <m/>
  </r>
  <r>
    <s v="ID Gene™ Paratuberculosis Duplex"/>
    <s v="ID VET.IDMAP-100"/>
    <s v="Kit x 100"/>
    <x v="0"/>
    <x v="12"/>
    <m/>
    <n v="13977642.507884081"/>
    <n v="0"/>
    <m/>
    <n v="0"/>
    <m/>
    <n v="0"/>
    <m/>
    <n v="0"/>
    <m/>
    <n v="0"/>
    <m/>
    <n v="0"/>
    <m/>
    <n v="0"/>
    <m/>
    <n v="0"/>
    <m/>
    <n v="0"/>
    <m/>
    <n v="0"/>
    <m/>
  </r>
  <r>
    <s v="Kaolin acido"/>
    <s v="Fisher 10010220"/>
    <s v="Frasco x 1 kg"/>
    <x v="0"/>
    <x v="12"/>
    <m/>
    <n v="1002416.3333333334"/>
    <n v="0"/>
    <m/>
    <n v="0"/>
    <m/>
    <n v="0"/>
    <m/>
    <n v="0"/>
    <m/>
    <n v="0"/>
    <m/>
    <n v="0"/>
    <m/>
    <n v="0"/>
    <m/>
    <n v="0"/>
    <m/>
    <n v="0"/>
    <m/>
    <n v="0"/>
    <m/>
  </r>
  <r>
    <s v="Kit Antisuero brucella contraantigeno  A y M_x000a_(ref ZM01/30164801. por 2 ml/_x000a_ZM02/30164901. por 2 ml"/>
    <s v="NVSL u otro laboratorio de referencia"/>
    <s v="Kit"/>
    <x v="0"/>
    <x v="12"/>
    <m/>
    <n v="2275756"/>
    <n v="0"/>
    <m/>
    <n v="0"/>
    <m/>
    <n v="0"/>
    <m/>
    <n v="0"/>
    <m/>
    <n v="0"/>
    <m/>
    <n v="0"/>
    <m/>
    <n v="0"/>
    <m/>
    <n v="0"/>
    <m/>
    <n v="0"/>
    <m/>
    <n v="0"/>
    <m/>
  </r>
  <r>
    <s v="Kit de estandares analisis de plaguicidas por cromatografía de gases (GC Multiresidue Pesticide Kit) con fecha de caducidad no menor a un año"/>
    <s v="Restek , Dr. Ehrenstorfer_x000a_Sigma Aldrich o equivalente Referencia 31963"/>
    <s v="Kit"/>
    <x v="0"/>
    <x v="12"/>
    <m/>
    <n v="0"/>
    <n v="0"/>
    <m/>
    <n v="0"/>
    <m/>
    <n v="0"/>
    <m/>
    <n v="0"/>
    <m/>
    <n v="0"/>
    <m/>
    <n v="0"/>
    <m/>
    <n v="0"/>
    <m/>
    <n v="0"/>
    <m/>
    <n v="0"/>
    <m/>
    <n v="0"/>
    <m/>
  </r>
  <r>
    <s v="Kit de estandares analisis de plaguicidas por cromatografía liquida (LC Multiresidue Pesticide Kit) con fecha de caducidad no menor a un año"/>
    <s v="Restek , Dr. Ehrenstorfer_x000a_Sigma Aldrich o equivalente Referencia 31963"/>
    <s v="Kit"/>
    <x v="0"/>
    <x v="12"/>
    <m/>
    <n v="0"/>
    <n v="0"/>
    <m/>
    <n v="0"/>
    <m/>
    <n v="0"/>
    <m/>
    <n v="0"/>
    <m/>
    <n v="0"/>
    <m/>
    <n v="0"/>
    <m/>
    <n v="0"/>
    <m/>
    <n v="0"/>
    <m/>
    <n v="0"/>
    <m/>
    <n v="0"/>
    <m/>
  </r>
  <r>
    <s v="Kit Mycoprep 75ML"/>
    <s v="BD 240862"/>
    <s v="Caja x 100"/>
    <x v="0"/>
    <x v="12"/>
    <m/>
    <n v="910218.41376666678"/>
    <n v="0"/>
    <m/>
    <n v="0"/>
    <m/>
    <n v="0"/>
    <m/>
    <n v="0"/>
    <m/>
    <n v="0"/>
    <m/>
    <n v="0"/>
    <m/>
    <n v="0"/>
    <m/>
    <n v="0"/>
    <m/>
    <n v="0"/>
    <m/>
    <n v="0"/>
    <m/>
  </r>
  <r>
    <s v="L-15 MEDIUM (LEIBOVITZ), WITH L-"/>
    <s v="Sigma L1518-500ML  o equivalente"/>
    <s v="Frasco 500 ml"/>
    <x v="0"/>
    <x v="12"/>
    <m/>
    <n v="363622.35366243799"/>
    <n v="0"/>
    <m/>
    <n v="0"/>
    <m/>
    <n v="0"/>
    <m/>
    <n v="0"/>
    <m/>
    <n v="0"/>
    <m/>
    <n v="0"/>
    <m/>
    <n v="0"/>
    <m/>
    <n v="0"/>
    <m/>
    <n v="0"/>
    <m/>
    <n v="0"/>
    <m/>
  </r>
  <r>
    <s v="L-arabitol"/>
    <s v="Merck o equivalente"/>
    <s v="Frasco x 100g"/>
    <x v="0"/>
    <x v="12"/>
    <m/>
    <n v="5206342.4063404379"/>
    <n v="0"/>
    <m/>
    <n v="0"/>
    <m/>
    <n v="0"/>
    <m/>
    <n v="0"/>
    <m/>
    <n v="0"/>
    <m/>
    <n v="0"/>
    <m/>
    <n v="0"/>
    <m/>
    <n v="0"/>
    <m/>
    <n v="0"/>
    <m/>
    <n v="0"/>
    <m/>
  </r>
  <r>
    <s v="L-Arginina"/>
    <s v="Merck o equivalente"/>
    <s v="Frasco x 100 g"/>
    <x v="0"/>
    <x v="12"/>
    <m/>
    <n v="372561.98447471124"/>
    <n v="0"/>
    <m/>
    <n v="0"/>
    <m/>
    <n v="0"/>
    <m/>
    <n v="0"/>
    <m/>
    <n v="0"/>
    <m/>
    <n v="0"/>
    <m/>
    <n v="0"/>
    <m/>
    <n v="0"/>
    <m/>
    <n v="0"/>
    <m/>
    <n v="0"/>
    <m/>
  </r>
  <r>
    <s v="L-Cisteína"/>
    <s v="Merck o equivalente"/>
    <s v="Frasco x 500 g"/>
    <x v="0"/>
    <x v="12"/>
    <m/>
    <n v="1814312.6408534704"/>
    <n v="0"/>
    <m/>
    <n v="0"/>
    <m/>
    <n v="0"/>
    <m/>
    <n v="0"/>
    <m/>
    <n v="0"/>
    <m/>
    <n v="0"/>
    <m/>
    <n v="0"/>
    <m/>
    <n v="0"/>
    <m/>
    <n v="0"/>
    <m/>
    <n v="0"/>
    <m/>
  </r>
  <r>
    <s v="Leptospira microscopic agglutination"/>
    <s v="NVSL"/>
    <s v="Frasco x 2 ml"/>
    <x v="0"/>
    <x v="12"/>
    <m/>
    <n v="586033.47546301631"/>
    <n v="0"/>
    <m/>
    <n v="0"/>
    <m/>
    <n v="0"/>
    <m/>
    <n v="0"/>
    <m/>
    <n v="0"/>
    <m/>
    <n v="0"/>
    <m/>
    <n v="0"/>
    <m/>
    <n v="0"/>
    <m/>
    <n v="0"/>
    <m/>
    <n v="0"/>
    <m/>
  </r>
  <r>
    <s v="Leptospira reference serovar hardjo,"/>
    <s v="NVSL"/>
    <s v="Frasco x 10.0 ml"/>
    <x v="0"/>
    <x v="12"/>
    <m/>
    <n v="1157032.9587970127"/>
    <n v="0"/>
    <m/>
    <n v="0"/>
    <m/>
    <n v="0"/>
    <m/>
    <n v="0"/>
    <m/>
    <n v="0"/>
    <m/>
    <n v="0"/>
    <m/>
    <n v="0"/>
    <m/>
    <n v="0"/>
    <m/>
    <n v="0"/>
    <m/>
    <n v="0"/>
    <m/>
  </r>
  <r>
    <s v="Light Green"/>
    <s v="Sigma Aldrich / Merck / JT Baker"/>
    <s v="Frasco x 25g"/>
    <x v="0"/>
    <x v="12"/>
    <m/>
    <n v="1128030.2047542636"/>
    <n v="0"/>
    <m/>
    <n v="0"/>
    <m/>
    <n v="0"/>
    <m/>
    <n v="0"/>
    <m/>
    <n v="0"/>
    <m/>
    <n v="0"/>
    <m/>
    <n v="0"/>
    <m/>
    <n v="0"/>
    <m/>
    <n v="0"/>
    <m/>
    <n v="0"/>
    <m/>
  </r>
  <r>
    <s v="Listeria innocua ATCC con certificado de laboratorio acreditado en 17034 "/>
    <s v="ATCC 33090 Microbiologics o Equivalente"/>
    <s v="KWIK STIK, Criovial, Vial Liofilizado"/>
    <x v="0"/>
    <x v="12"/>
    <m/>
    <n v="1746818.2454012583"/>
    <n v="0"/>
    <m/>
    <n v="0"/>
    <m/>
    <n v="0"/>
    <m/>
    <n v="0"/>
    <m/>
    <n v="0"/>
    <m/>
    <n v="0"/>
    <m/>
    <n v="0"/>
    <m/>
    <n v="0"/>
    <m/>
    <n v="0"/>
    <m/>
    <n v="0"/>
    <m/>
  </r>
  <r>
    <s v="Listeria ivanovii subsp. ivanovii ATCC con certificado de laboratorio acreditado en 17034"/>
    <s v="ATCC 19119, Microbiologics o Equivalente"/>
    <s v="KWIK STIK, Criovial, Vial Liofilizado"/>
    <x v="0"/>
    <x v="12"/>
    <m/>
    <n v="1328006.0629355574"/>
    <n v="0"/>
    <m/>
    <n v="0"/>
    <m/>
    <n v="0"/>
    <m/>
    <n v="0"/>
    <m/>
    <n v="0"/>
    <m/>
    <n v="0"/>
    <m/>
    <n v="0"/>
    <m/>
    <n v="0"/>
    <m/>
    <n v="0"/>
    <m/>
    <n v="0"/>
    <m/>
  </r>
  <r>
    <s v="Listeria monocytogenes ATCC con certificado de laboratorio acreditado en 17034 "/>
    <s v="ATCC 19115, Microbiologics o Equivalente"/>
    <s v="KWIK STIK, Criovial, Vial Liofilizado"/>
    <x v="0"/>
    <x v="12"/>
    <m/>
    <n v="1746818.2454012583"/>
    <n v="0"/>
    <m/>
    <n v="0"/>
    <m/>
    <n v="0"/>
    <m/>
    <n v="0"/>
    <m/>
    <n v="0"/>
    <m/>
    <n v="0"/>
    <m/>
    <n v="0"/>
    <m/>
    <n v="0"/>
    <m/>
    <n v="0"/>
    <m/>
    <n v="0"/>
    <m/>
  </r>
  <r>
    <s v="Material de referencia certificado (CRM) fertilizante_x000a_que contenga P, K, Cd,  Ca, Cu, Fe, Mg, Mn, N. Con certificado que incluya los valores certificados y sus respectivas incertidumbres. "/>
    <s v="NIST Standard Reference Material® 695 o equivalente, merck o equivalente ISO"/>
    <s v="Frasco o empaque con 70 g o más"/>
    <x v="0"/>
    <x v="12"/>
    <m/>
    <n v="20628102.600000001"/>
    <n v="0"/>
    <m/>
    <n v="0"/>
    <m/>
    <n v="0"/>
    <m/>
    <n v="0"/>
    <m/>
    <n v="0"/>
    <m/>
    <n v="0"/>
    <m/>
    <n v="0"/>
    <m/>
    <n v="0"/>
    <m/>
    <n v="0"/>
    <m/>
    <n v="0"/>
    <m/>
  </r>
  <r>
    <s v="Material de Referencia Certificado Calcium ammonium nitrate Fertilizante_x000a_BCR-178. Con certificado de análisis que incluya la incertidumbre"/>
    <s v="Merck, Sigma aldrich o equivalente"/>
    <s v="Frasco x 100g "/>
    <x v="0"/>
    <x v="12"/>
    <m/>
    <n v="0"/>
    <n v="0"/>
    <m/>
    <n v="0"/>
    <m/>
    <n v="0"/>
    <m/>
    <n v="0"/>
    <m/>
    <n v="0"/>
    <m/>
    <n v="0"/>
    <m/>
    <n v="0"/>
    <m/>
    <n v="0"/>
    <m/>
    <n v="0"/>
    <m/>
    <n v="0"/>
    <m/>
  </r>
  <r>
    <s v="Material de referencia certificado Cloruro de Potasio Fertilizante_x000a_BCR - 113. Con certificado de análisis que incluya sus valores certificados y sus respectivas incertidumbres. "/>
    <s v="Merck, Sigma aldrich o equivalente"/>
    <s v="Frasco x 100g "/>
    <x v="0"/>
    <x v="12"/>
    <m/>
    <n v="5271951.3279999997"/>
    <n v="0"/>
    <m/>
    <n v="0"/>
    <m/>
    <n v="0"/>
    <m/>
    <n v="0"/>
    <m/>
    <n v="0"/>
    <m/>
    <n v="0"/>
    <m/>
    <n v="0"/>
    <m/>
    <n v="0"/>
    <m/>
    <n v="0"/>
    <m/>
    <n v="0"/>
    <m/>
  </r>
  <r>
    <s v="Material de referencia de Aflatoxinas en harina de maiz"/>
    <s v="Fapas o Test  Veritas o equivalente, Referencia FCMA2-CCP30RM"/>
    <s v="Frasco x 55 g"/>
    <x v="0"/>
    <x v="12"/>
    <m/>
    <n v="2670729.4998178282"/>
    <n v="0"/>
    <m/>
    <n v="0"/>
    <m/>
    <n v="0"/>
    <m/>
    <n v="0"/>
    <m/>
    <n v="0"/>
    <m/>
    <n v="0"/>
    <m/>
    <n v="0"/>
    <m/>
    <n v="0"/>
    <m/>
    <n v="0"/>
    <m/>
    <n v="0"/>
    <m/>
  </r>
  <r>
    <s v="MEM Vitamin Solution (100X) "/>
    <s v="Gibco 11120052 o equivalente"/>
    <s v="Frasco x 100 ml"/>
    <x v="0"/>
    <x v="12"/>
    <m/>
    <n v="218652.68398572117"/>
    <n v="0"/>
    <m/>
    <n v="0"/>
    <m/>
    <n v="0"/>
    <m/>
    <n v="0"/>
    <m/>
    <n v="0"/>
    <m/>
    <n v="0"/>
    <m/>
    <n v="0"/>
    <m/>
    <n v="0"/>
    <m/>
    <n v="0"/>
    <m/>
    <n v="0"/>
    <m/>
  </r>
  <r>
    <s v="Mezcla metales pesados para AA horno de grafito"/>
    <s v="Merck o equivalente"/>
    <s v="Frasco x 100 mL"/>
    <x v="0"/>
    <x v="12"/>
    <m/>
    <n v="1210702.192"/>
    <n v="0"/>
    <m/>
    <n v="0"/>
    <m/>
    <n v="0"/>
    <m/>
    <n v="0"/>
    <m/>
    <n v="0"/>
    <m/>
    <n v="0"/>
    <m/>
    <n v="0"/>
    <m/>
    <n v="0"/>
    <m/>
    <n v="0"/>
    <m/>
    <n v="0"/>
    <m/>
  </r>
  <r>
    <s v="MGIT TBC identification test"/>
    <s v="BD"/>
    <s v="Caja x 25"/>
    <x v="0"/>
    <x v="12"/>
    <m/>
    <n v="2774254.9333333336"/>
    <n v="0"/>
    <m/>
    <n v="0"/>
    <m/>
    <n v="0"/>
    <m/>
    <n v="0"/>
    <m/>
    <n v="0"/>
    <m/>
    <n v="0"/>
    <m/>
    <n v="0"/>
    <m/>
    <n v="0"/>
    <m/>
    <n v="0"/>
    <m/>
    <n v="0"/>
    <m/>
  </r>
  <r>
    <s v="Modificador de matriz Pd AA HG"/>
    <s v="Merck o equivalente"/>
    <s v="Frasco x 50 mL"/>
    <x v="0"/>
    <x v="12"/>
    <m/>
    <n v="2192937.5499147484"/>
    <n v="0"/>
    <m/>
    <n v="0"/>
    <m/>
    <n v="0"/>
    <m/>
    <n v="0"/>
    <m/>
    <n v="0"/>
    <m/>
    <n v="0"/>
    <m/>
    <n v="0"/>
    <m/>
    <n v="0"/>
    <m/>
    <n v="0"/>
    <m/>
    <n v="0"/>
    <m/>
  </r>
  <r>
    <s v="Monoclonal antibody SDOW-17F conjugated with fluorescein"/>
    <s v="Life  Science Marketplace SZABO SCANDIC  o 4rtilab"/>
    <s v="vial"/>
    <x v="0"/>
    <x v="12"/>
    <m/>
    <n v="12138232.288000001"/>
    <n v="0"/>
    <m/>
    <n v="0"/>
    <m/>
    <n v="0"/>
    <m/>
    <n v="0"/>
    <m/>
    <n v="0"/>
    <m/>
    <n v="0"/>
    <m/>
    <n v="0"/>
    <m/>
    <n v="0"/>
    <m/>
    <n v="0"/>
    <m/>
    <n v="0"/>
    <m/>
  </r>
  <r>
    <s v="N,N DIMETHYLFORMAMIDA "/>
    <s v="Merck"/>
    <s v="Frasco x 1 Litro"/>
    <x v="0"/>
    <x v="12"/>
    <m/>
    <n v="610746.10172390949"/>
    <n v="0"/>
    <m/>
    <n v="0"/>
    <m/>
    <n v="0"/>
    <m/>
    <n v="0"/>
    <m/>
    <n v="0"/>
    <m/>
    <n v="0"/>
    <m/>
    <n v="0"/>
    <m/>
    <n v="0"/>
    <m/>
    <n v="0"/>
    <m/>
    <n v="0"/>
    <m/>
  </r>
  <r>
    <s v="Naftalina"/>
    <s v="Sigma, Merck o equivalente"/>
    <s v="Frasco x 100g"/>
    <x v="0"/>
    <x v="12"/>
    <m/>
    <n v="416557.71290770138"/>
    <n v="0"/>
    <m/>
    <n v="0"/>
    <m/>
    <n v="0"/>
    <m/>
    <n v="0"/>
    <m/>
    <n v="0"/>
    <m/>
    <n v="0"/>
    <m/>
    <n v="0"/>
    <m/>
    <n v="0"/>
    <m/>
    <n v="0"/>
    <m/>
    <n v="0"/>
    <m/>
  </r>
  <r>
    <s v="negative control serum"/>
    <m/>
    <m/>
    <x v="0"/>
    <x v="12"/>
    <m/>
    <n v="10171979.104"/>
    <n v="0"/>
    <m/>
    <n v="0"/>
    <m/>
    <n v="0"/>
    <m/>
    <n v="0"/>
    <m/>
    <n v="0"/>
    <m/>
    <n v="0"/>
    <m/>
    <n v="0"/>
    <m/>
    <n v="0"/>
    <m/>
    <n v="0"/>
    <m/>
    <n v="0"/>
    <m/>
  </r>
  <r>
    <s v="Negro de Clorazol"/>
    <s v="Sigma o equivalente"/>
    <s v="Frasco x 25g"/>
    <x v="0"/>
    <x v="12"/>
    <m/>
    <n v="927312.18132496532"/>
    <n v="0"/>
    <m/>
    <n v="0"/>
    <m/>
    <n v="0"/>
    <m/>
    <n v="0"/>
    <m/>
    <n v="0"/>
    <m/>
    <n v="0"/>
    <m/>
    <n v="0"/>
    <m/>
    <n v="0"/>
    <m/>
    <n v="0"/>
    <m/>
    <n v="0"/>
    <m/>
  </r>
  <r>
    <s v="Negro de eriocromo T"/>
    <s v="Merck o equivalente"/>
    <s v="Frasco x  25g"/>
    <x v="0"/>
    <x v="12"/>
    <m/>
    <n v="357506.88677755574"/>
    <n v="0"/>
    <m/>
    <n v="0"/>
    <m/>
    <n v="0"/>
    <m/>
    <n v="0"/>
    <m/>
    <n v="0"/>
    <m/>
    <n v="0"/>
    <m/>
    <n v="0"/>
    <m/>
    <n v="0"/>
    <m/>
    <n v="0"/>
    <m/>
    <n v="0"/>
    <m/>
  </r>
  <r>
    <s v="Neopeptona "/>
    <s v="Difco 0119"/>
    <s v="Frasco x 100 g"/>
    <x v="0"/>
    <x v="12"/>
    <m/>
    <n v="1029942.144"/>
    <n v="0"/>
    <m/>
    <n v="0"/>
    <m/>
    <n v="0"/>
    <m/>
    <n v="0"/>
    <m/>
    <n v="0"/>
    <m/>
    <n v="0"/>
    <m/>
    <n v="0"/>
    <m/>
    <n v="0"/>
    <m/>
    <n v="0"/>
    <m/>
    <n v="0"/>
    <m/>
  </r>
  <r>
    <s v="Nicotinamide adenine dinucelotide free acid for biochemistry (NAD)"/>
    <s v="Difco"/>
    <s v="frasco x 3 ml"/>
    <x v="0"/>
    <x v="12"/>
    <m/>
    <n v="10822195.104"/>
    <n v="0"/>
    <m/>
    <n v="0"/>
    <m/>
    <n v="0"/>
    <m/>
    <n v="0"/>
    <m/>
    <n v="0"/>
    <m/>
    <n v="0"/>
    <m/>
    <n v="0"/>
    <m/>
    <n v="0"/>
    <m/>
    <n v="0"/>
    <m/>
    <n v="0"/>
    <m/>
  </r>
  <r>
    <s v="Pastillas de fosfamina de 3g"/>
    <s v="Cualquier marca"/>
    <s v="Frasco por 100 pastillas"/>
    <x v="0"/>
    <x v="12"/>
    <m/>
    <n v="0"/>
    <n v="0"/>
    <m/>
    <n v="0"/>
    <m/>
    <n v="0"/>
    <m/>
    <n v="0"/>
    <m/>
    <n v="0"/>
    <m/>
    <n v="0"/>
    <m/>
    <n v="0"/>
    <m/>
    <n v="0"/>
    <m/>
    <n v="0"/>
    <m/>
    <n v="0"/>
    <m/>
  </r>
  <r>
    <s v="PCB 103"/>
    <s v="Dr. Ehrenstorfer o equivalente"/>
    <s v="Frasco x 10 mg"/>
    <x v="0"/>
    <x v="12"/>
    <m/>
    <n v="1589958.1176548044"/>
    <n v="0"/>
    <m/>
    <n v="0"/>
    <m/>
    <n v="0"/>
    <m/>
    <n v="0"/>
    <m/>
    <n v="0"/>
    <m/>
    <n v="0"/>
    <m/>
    <n v="0"/>
    <m/>
    <n v="0"/>
    <m/>
    <n v="0"/>
    <m/>
    <n v="0"/>
    <m/>
  </r>
  <r>
    <s v="PCB 52"/>
    <s v="Dr. Ehrenstorfer o equivalente"/>
    <s v="Frasco x 10 mg"/>
    <x v="0"/>
    <x v="12"/>
    <m/>
    <n v="748349.6017799339"/>
    <n v="0"/>
    <m/>
    <n v="0"/>
    <m/>
    <n v="0"/>
    <m/>
    <n v="0"/>
    <m/>
    <n v="0"/>
    <m/>
    <n v="0"/>
    <m/>
    <n v="0"/>
    <m/>
    <n v="0"/>
    <m/>
    <n v="0"/>
    <m/>
    <n v="0"/>
    <m/>
  </r>
  <r>
    <s v="Phytone peptone "/>
    <s v="BD/211906 o equivalente"/>
    <s v="Frasco x 500g"/>
    <x v="0"/>
    <x v="12"/>
    <m/>
    <n v="903601.41107924352"/>
    <n v="0"/>
    <m/>
    <n v="0"/>
    <m/>
    <n v="0"/>
    <m/>
    <n v="0"/>
    <m/>
    <n v="0"/>
    <m/>
    <n v="0"/>
    <m/>
    <n v="0"/>
    <m/>
    <n v="0"/>
    <m/>
    <n v="0"/>
    <m/>
    <n v="0"/>
    <m/>
  </r>
  <r>
    <s v="Placas  de Fosfuro de Magnesio"/>
    <s v="Fumicel placa"/>
    <s v="Sobre  de aluminio X 117g"/>
    <x v="0"/>
    <x v="12"/>
    <m/>
    <n v="0"/>
    <n v="0"/>
    <m/>
    <n v="0"/>
    <m/>
    <n v="0"/>
    <m/>
    <n v="0"/>
    <m/>
    <n v="0"/>
    <m/>
    <n v="0"/>
    <m/>
    <n v="0"/>
    <m/>
    <n v="0"/>
    <m/>
    <n v="0"/>
    <m/>
    <n v="0"/>
    <m/>
  </r>
  <r>
    <s v="Proteasa pectona"/>
    <s v="Merck millipore o equivalente"/>
    <s v="Frasco x 250g"/>
    <x v="0"/>
    <x v="12"/>
    <m/>
    <n v="1067391.3395692396"/>
    <n v="0"/>
    <m/>
    <n v="0"/>
    <m/>
    <n v="0"/>
    <m/>
    <n v="0"/>
    <m/>
    <n v="0"/>
    <m/>
    <n v="0"/>
    <m/>
    <n v="0"/>
    <m/>
    <n v="0"/>
    <m/>
    <n v="0"/>
    <m/>
    <n v="0"/>
    <m/>
  </r>
  <r>
    <s v="PROTEINA A PEROXIDASA  "/>
    <s v="Sigma"/>
    <s v="FRASCO X 1 mg"/>
    <x v="0"/>
    <x v="12"/>
    <m/>
    <n v="4696794.6375000002"/>
    <n v="0"/>
    <m/>
    <n v="0"/>
    <m/>
    <n v="0"/>
    <m/>
    <n v="0"/>
    <m/>
    <n v="0"/>
    <m/>
    <n v="0"/>
    <m/>
    <n v="0"/>
    <m/>
    <n v="0"/>
    <m/>
    <n v="0"/>
    <m/>
    <n v="0"/>
    <m/>
  </r>
  <r>
    <s v="Prueba de aglutinacion en latex E.coli O157 DrySopt "/>
    <s v="Thermo "/>
    <s v="kit x120  test"/>
    <x v="0"/>
    <x v="12"/>
    <m/>
    <n v="4096360.8"/>
    <n v="0"/>
    <m/>
    <n v="0"/>
    <m/>
    <n v="0"/>
    <m/>
    <n v="0"/>
    <m/>
    <n v="0"/>
    <m/>
    <n v="0"/>
    <m/>
    <n v="0"/>
    <m/>
    <n v="0"/>
    <m/>
    <n v="0"/>
    <m/>
    <n v="0"/>
    <m/>
  </r>
  <r>
    <s v="Pseudomonas aeruginosa con certificado de laboratorio acreditado en 17034 "/>
    <s v="ATCC 9027, Microbiologics o Equivalente"/>
    <s v="KWIK STIK, Criovial, Vial Liofilizado"/>
    <x v="0"/>
    <x v="12"/>
    <m/>
    <n v="1746818.2454012583"/>
    <n v="0"/>
    <m/>
    <n v="0"/>
    <m/>
    <n v="0"/>
    <m/>
    <n v="0"/>
    <m/>
    <n v="0"/>
    <m/>
    <n v="0"/>
    <m/>
    <n v="0"/>
    <m/>
    <n v="0"/>
    <m/>
    <n v="0"/>
    <m/>
    <n v="0"/>
    <m/>
  </r>
  <r>
    <s v="Pseudomonas syringae pv syringae"/>
    <s v="Cepa ATCC"/>
    <s v="Vial "/>
    <x v="0"/>
    <x v="12"/>
    <m/>
    <n v="7841604.96"/>
    <n v="0"/>
    <m/>
    <n v="0"/>
    <m/>
    <n v="0"/>
    <m/>
    <n v="0"/>
    <m/>
    <n v="0"/>
    <m/>
    <n v="0"/>
    <m/>
    <n v="0"/>
    <m/>
    <n v="0"/>
    <m/>
    <n v="0"/>
    <m/>
    <n v="0"/>
    <m/>
  </r>
  <r>
    <s v="PSTEUR0200 Solución mix para análisis de plaguicidas, usada en métodos multiresiduos- 200 componentes _x000a_Componentes Vial 1: 170 componentes_x000a_Componentes Vial 2 :30 componentes"/>
    <s v="Scharlau"/>
    <s v="Viales "/>
    <x v="0"/>
    <x v="12"/>
    <m/>
    <n v="0"/>
    <n v="0"/>
    <m/>
    <n v="0"/>
    <m/>
    <n v="0"/>
    <m/>
    <n v="0"/>
    <m/>
    <n v="0"/>
    <m/>
    <n v="0"/>
    <m/>
    <n v="0"/>
    <m/>
    <n v="0"/>
    <m/>
    <n v="0"/>
    <m/>
    <n v="0"/>
    <m/>
  </r>
  <r>
    <s v="Pyrofosfato ferrico"/>
    <s v="Sigma/P-6526"/>
    <s v="Frasco x 100g"/>
    <x v="0"/>
    <x v="12"/>
    <m/>
    <n v="0"/>
    <n v="0"/>
    <m/>
    <n v="0"/>
    <m/>
    <n v="0"/>
    <m/>
    <n v="0"/>
    <m/>
    <n v="0"/>
    <m/>
    <n v="0"/>
    <m/>
    <n v="0"/>
    <m/>
    <n v="0"/>
    <m/>
    <n v="0"/>
    <m/>
    <n v="0"/>
    <m/>
  </r>
  <r>
    <s v="Quant-iT RNA HS Kit. rango 5-100ng. Para uso con el Qubit."/>
    <s v="Invitrogen Ref Q32852  "/>
    <s v="Kit x100Rxns. "/>
    <x v="0"/>
    <x v="12"/>
    <m/>
    <n v="1660486.4450221383"/>
    <n v="0"/>
    <m/>
    <n v="0"/>
    <m/>
    <n v="0"/>
    <m/>
    <n v="0"/>
    <m/>
    <n v="0"/>
    <m/>
    <n v="0"/>
    <m/>
    <n v="0"/>
    <m/>
    <n v="0"/>
    <m/>
    <n v="0"/>
    <m/>
    <n v="0"/>
    <m/>
  </r>
  <r>
    <s v="Qubit 1X ds DNA HS Assay Kit x 500 assays."/>
    <s v="Invitrogen Ref Q33231"/>
    <s v="Unidad "/>
    <x v="0"/>
    <x v="12"/>
    <m/>
    <n v="4031955.3428807189"/>
    <n v="0"/>
    <m/>
    <n v="0"/>
    <m/>
    <n v="0"/>
    <m/>
    <n v="0"/>
    <m/>
    <n v="0"/>
    <m/>
    <n v="0"/>
    <m/>
    <n v="0"/>
    <m/>
    <n v="0"/>
    <m/>
    <n v="0"/>
    <m/>
    <n v="0"/>
    <m/>
  </r>
  <r>
    <s v="Reactivo TDA para kits API."/>
    <s v="Biomerieux"/>
    <s v="Caja x 2 Ampolletas x 5 ml"/>
    <x v="0"/>
    <x v="12"/>
    <m/>
    <n v="286559.48"/>
    <n v="0"/>
    <m/>
    <n v="0"/>
    <m/>
    <n v="0"/>
    <m/>
    <n v="0"/>
    <m/>
    <n v="0"/>
    <m/>
    <n v="0"/>
    <m/>
    <n v="0"/>
    <m/>
    <n v="0"/>
    <m/>
    <n v="0"/>
    <m/>
    <n v="0"/>
    <m/>
  </r>
  <r>
    <s v="Reactivos VPA-VPB para kits API."/>
    <s v="Biomerieux"/>
    <s v="Caja x 4 Ampolletas x 5 ml"/>
    <x v="0"/>
    <x v="12"/>
    <m/>
    <n v="341131.18"/>
    <n v="0"/>
    <m/>
    <n v="0"/>
    <m/>
    <n v="0"/>
    <m/>
    <n v="0"/>
    <m/>
    <n v="0"/>
    <m/>
    <n v="0"/>
    <m/>
    <n v="0"/>
    <m/>
    <n v="0"/>
    <m/>
    <n v="0"/>
    <m/>
    <n v="0"/>
    <m/>
  </r>
  <r>
    <s v="Red Stop Solution for Boldenone ELISA KIT. "/>
    <s v="Neogen Product # 301474"/>
    <s v="Frasco X 200 ml"/>
    <x v="0"/>
    <x v="12"/>
    <m/>
    <n v="0"/>
    <n v="0"/>
    <m/>
    <n v="0"/>
    <m/>
    <n v="0"/>
    <m/>
    <n v="0"/>
    <m/>
    <n v="0"/>
    <m/>
    <n v="0"/>
    <m/>
    <n v="0"/>
    <m/>
    <n v="0"/>
    <m/>
    <n v="0"/>
    <m/>
    <n v="0"/>
    <m/>
  </r>
  <r>
    <s v="Rhodococcus equi ATCC con certificado de laboratorio acreditado en 17034"/>
    <s v="ATCC 6939, Microbiologics o Equivalente"/>
    <s v="KWIK STIK, Criovial, Vial Liofilizado"/>
    <x v="0"/>
    <x v="12"/>
    <m/>
    <n v="1318750.3495768427"/>
    <n v="0"/>
    <m/>
    <n v="0"/>
    <m/>
    <n v="0"/>
    <m/>
    <n v="0"/>
    <m/>
    <n v="0"/>
    <m/>
    <n v="0"/>
    <m/>
    <n v="0"/>
    <m/>
    <n v="0"/>
    <m/>
    <n v="0"/>
    <m/>
    <n v="0"/>
    <m/>
  </r>
  <r>
    <s v="Rojo Fenol"/>
    <s v="Merck, Sigma o equivalente"/>
    <s v="Frasco x 5g"/>
    <x v="0"/>
    <x v="12"/>
    <m/>
    <n v="366475.98574366822"/>
    <n v="0"/>
    <m/>
    <n v="0"/>
    <m/>
    <n v="0"/>
    <m/>
    <n v="0"/>
    <m/>
    <n v="0"/>
    <m/>
    <n v="0"/>
    <m/>
    <n v="0"/>
    <m/>
    <n v="0"/>
    <m/>
    <n v="0"/>
    <m/>
    <n v="0"/>
    <m/>
  </r>
  <r>
    <s v="Safer TAC pegante para uso agricola"/>
    <s v="Safer Agrobioogicos o similar"/>
    <s v="Frasco x 1 L"/>
    <x v="0"/>
    <x v="12"/>
    <m/>
    <n v="0"/>
    <n v="0"/>
    <m/>
    <n v="0"/>
    <m/>
    <n v="0"/>
    <m/>
    <n v="0"/>
    <m/>
    <n v="0"/>
    <m/>
    <n v="0"/>
    <m/>
    <n v="0"/>
    <m/>
    <n v="0"/>
    <m/>
    <n v="0"/>
    <m/>
    <n v="0"/>
    <m/>
  </r>
  <r>
    <s v="Sanivec"/>
    <s v="Vecol"/>
    <s v="Garrafa plástica por 4 litros"/>
    <x v="0"/>
    <x v="12"/>
    <m/>
    <n v="0"/>
    <n v="0"/>
    <m/>
    <n v="0"/>
    <m/>
    <n v="0"/>
    <m/>
    <n v="0"/>
    <m/>
    <n v="0"/>
    <m/>
    <n v="0"/>
    <m/>
    <n v="0"/>
    <m/>
    <n v="0"/>
    <m/>
    <n v="0"/>
    <m/>
    <n v="0"/>
    <m/>
  </r>
  <r>
    <s v="Sensititre Standard AST Plates"/>
    <s v="THERMO SCIENTIFIC"/>
    <s v="Caja x 10"/>
    <x v="0"/>
    <x v="12"/>
    <m/>
    <n v="1580517.0434953845"/>
    <n v="0"/>
    <m/>
    <n v="0"/>
    <m/>
    <n v="0"/>
    <m/>
    <n v="0"/>
    <m/>
    <n v="0"/>
    <m/>
    <n v="0"/>
    <m/>
    <n v="0"/>
    <m/>
    <n v="0"/>
    <m/>
    <n v="0"/>
    <m/>
    <n v="0"/>
    <m/>
  </r>
  <r>
    <s v="Sonda dual de hasta 35 bases en escala de 50nM con BHQ como atenuador"/>
    <s v="Invitrogen,  Bionner o marca equivalente"/>
    <s v="Unidad"/>
    <x v="0"/>
    <x v="12"/>
    <m/>
    <n v="3559344.0461906544"/>
    <n v="0"/>
    <m/>
    <n v="0"/>
    <m/>
    <n v="0"/>
    <m/>
    <n v="0"/>
    <m/>
    <n v="0"/>
    <m/>
    <n v="0"/>
    <m/>
    <n v="0"/>
    <m/>
    <n v="0"/>
    <m/>
    <n v="0"/>
    <m/>
    <n v="0"/>
    <m/>
  </r>
  <r>
    <s v="Stick de Bacillus pumilus derivada ATCC® _x000a_(Pase 1)"/>
    <s v="ATCC 700814"/>
    <s v="KWIK STIK, Criovial, Vial Liofilizado"/>
    <x v="0"/>
    <x v="12"/>
    <m/>
    <n v="629452.80000000005"/>
    <n v="0"/>
    <m/>
    <n v="0"/>
    <m/>
    <n v="0"/>
    <m/>
    <n v="0"/>
    <m/>
    <n v="0"/>
    <m/>
    <n v="0"/>
    <m/>
    <n v="0"/>
    <m/>
    <n v="0"/>
    <m/>
    <n v="0"/>
    <m/>
    <n v="0"/>
    <m/>
  </r>
  <r>
    <s v="strain Hardjoprajtino, liquid culture"/>
    <m/>
    <m/>
    <x v="0"/>
    <x v="12"/>
    <m/>
    <n v="896096"/>
    <n v="0"/>
    <m/>
    <n v="0"/>
    <m/>
    <n v="0"/>
    <m/>
    <n v="0"/>
    <m/>
    <n v="0"/>
    <m/>
    <n v="0"/>
    <m/>
    <n v="0"/>
    <m/>
    <n v="0"/>
    <m/>
    <n v="0"/>
    <m/>
    <n v="0"/>
    <m/>
  </r>
  <r>
    <s v="strain M 84, liquid culture"/>
    <m/>
    <m/>
    <x v="0"/>
    <x v="12"/>
    <m/>
    <n v="0"/>
    <n v="0"/>
    <m/>
    <n v="0"/>
    <m/>
    <n v="0"/>
    <m/>
    <n v="0"/>
    <m/>
    <n v="0"/>
    <m/>
    <n v="0"/>
    <m/>
    <n v="0"/>
    <m/>
    <n v="0"/>
    <m/>
    <n v="0"/>
    <m/>
    <n v="0"/>
    <m/>
  </r>
  <r>
    <s v="Succinato Disodico"/>
    <s v="Sigma, S-2378"/>
    <s v="Frasco x 500g"/>
    <x v="0"/>
    <x v="12"/>
    <m/>
    <n v="720321.96928295365"/>
    <n v="0"/>
    <m/>
    <n v="0"/>
    <m/>
    <n v="0"/>
    <m/>
    <n v="0"/>
    <m/>
    <n v="0"/>
    <m/>
    <n v="0"/>
    <m/>
    <n v="0"/>
    <m/>
    <n v="0"/>
    <m/>
    <n v="0"/>
    <m/>
    <n v="0"/>
    <m/>
  </r>
  <r>
    <s v="Suero control negativo aviar (Chiken negative control serum- VLDIA030"/>
    <s v="GD Animal Health."/>
    <s v="Frasco liofilizado x 1ml"/>
    <x v="0"/>
    <x v="12"/>
    <m/>
    <n v="898598.51199999999"/>
    <n v="0"/>
    <m/>
    <n v="0"/>
    <m/>
    <n v="0"/>
    <m/>
    <n v="0"/>
    <m/>
    <n v="0"/>
    <m/>
    <n v="0"/>
    <m/>
    <n v="0"/>
    <m/>
    <n v="0"/>
    <m/>
    <n v="0"/>
    <m/>
    <n v="0"/>
    <m/>
  </r>
  <r>
    <s v="Sulfato de amonio, pureza ≥99,5%, trazable a NIST"/>
    <s v="Sigma Flujka 59845 o equivalente"/>
    <s v="Frasco x 25g"/>
    <x v="0"/>
    <x v="12"/>
    <m/>
    <n v="338615.17500143289"/>
    <n v="0"/>
    <m/>
    <n v="0"/>
    <m/>
    <n v="0"/>
    <m/>
    <n v="0"/>
    <m/>
    <n v="0"/>
    <m/>
    <n v="0"/>
    <m/>
    <n v="0"/>
    <m/>
    <n v="0"/>
    <m/>
    <n v="0"/>
    <m/>
    <n v="0"/>
    <m/>
  </r>
  <r>
    <s v="Sulfato de hierro heptahidratado 98-102%"/>
    <s v="panreac, JT Baker, Merck o equivalente"/>
    <s v="Frasco x 100 g"/>
    <x v="0"/>
    <x v="12"/>
    <m/>
    <n v="414266.54729076632"/>
    <n v="0"/>
    <m/>
    <n v="0"/>
    <m/>
    <n v="0"/>
    <m/>
    <n v="0"/>
    <m/>
    <n v="0"/>
    <m/>
    <n v="0"/>
    <m/>
    <n v="0"/>
    <m/>
    <n v="0"/>
    <m/>
    <n v="0"/>
    <m/>
    <n v="0"/>
    <m/>
  </r>
  <r>
    <s v="Sulfato de manganeso II R.A. &gt;= 99%"/>
    <s v="Sigma-Aldrich M7634 o equivalente"/>
    <s v="Frasco x 500g "/>
    <x v="0"/>
    <x v="12"/>
    <m/>
    <n v="440688.34493606078"/>
    <n v="0"/>
    <m/>
    <n v="0"/>
    <m/>
    <n v="0"/>
    <m/>
    <n v="0"/>
    <m/>
    <n v="0"/>
    <m/>
    <n v="0"/>
    <m/>
    <n v="0"/>
    <m/>
    <n v="0"/>
    <m/>
    <n v="0"/>
    <m/>
    <n v="0"/>
    <m/>
  </r>
  <r>
    <s v="Sulfato Ferroso ACS, ISO"/>
    <s v="Merck o equivalente"/>
    <s v="Frasco por 500g"/>
    <x v="0"/>
    <x v="12"/>
    <m/>
    <n v="465786.40992666985"/>
    <n v="0"/>
    <m/>
    <n v="0"/>
    <m/>
    <n v="0"/>
    <m/>
    <n v="0"/>
    <m/>
    <n v="0"/>
    <m/>
    <n v="0"/>
    <m/>
    <n v="0"/>
    <m/>
    <n v="0"/>
    <m/>
    <n v="0"/>
    <m/>
    <n v="0"/>
    <m/>
  </r>
  <r>
    <s v="Sulfito de sodio (Na2SO3)"/>
    <s v="Sigma-Aldrich o equivalente"/>
    <s v="Frasco x 500 g "/>
    <x v="0"/>
    <x v="12"/>
    <m/>
    <n v="293397.97475628048"/>
    <n v="0"/>
    <m/>
    <n v="0"/>
    <m/>
    <n v="0"/>
    <m/>
    <n v="0"/>
    <m/>
    <n v="0"/>
    <m/>
    <n v="0"/>
    <m/>
    <n v="0"/>
    <m/>
    <n v="0"/>
    <m/>
    <n v="0"/>
    <m/>
    <n v="0"/>
    <m/>
  </r>
  <r>
    <s v="Target Retrieval Solution, 10X Concentrate"/>
    <s v="Dako S1699 o equivalente"/>
    <s v="Frasco x 500ml"/>
    <x v="0"/>
    <x v="12"/>
    <m/>
    <n v="2186936.4944000002"/>
    <n v="0"/>
    <m/>
    <n v="0"/>
    <m/>
    <n v="0"/>
    <m/>
    <n v="0"/>
    <m/>
    <n v="0"/>
    <m/>
    <n v="0"/>
    <m/>
    <n v="0"/>
    <m/>
    <n v="0"/>
    <m/>
    <n v="0"/>
    <m/>
    <n v="0"/>
    <m/>
  </r>
  <r>
    <s v="Taxo o tiras para prueba de Niacina"/>
    <s v="BD  TB TIRAS PK/25 o  equivalente"/>
    <s v="Frasco"/>
    <x v="0"/>
    <x v="12"/>
    <m/>
    <n v="1335998.8152000003"/>
    <n v="0"/>
    <m/>
    <n v="0"/>
    <m/>
    <n v="0"/>
    <m/>
    <n v="0"/>
    <m/>
    <n v="0"/>
    <m/>
    <n v="0"/>
    <m/>
    <n v="0"/>
    <m/>
    <n v="0"/>
    <m/>
    <n v="0"/>
    <m/>
    <n v="0"/>
    <m/>
  </r>
  <r>
    <s v="Tetrabutilamonio hidrógeno sufato para HPLC"/>
    <s v="Merck o equivalente"/>
    <s v="Frasco x 500g"/>
    <x v="0"/>
    <x v="12"/>
    <m/>
    <n v="1370534.40963407"/>
    <n v="0"/>
    <m/>
    <n v="0"/>
    <m/>
    <n v="0"/>
    <m/>
    <n v="0"/>
    <m/>
    <n v="0"/>
    <m/>
    <n v="0"/>
    <m/>
    <n v="0"/>
    <m/>
    <n v="0"/>
    <m/>
    <n v="0"/>
    <m/>
    <n v="0"/>
    <m/>
  </r>
  <r>
    <s v="Tiocianato de guanidina"/>
    <s v="Sigma Aldrich"/>
    <s v="Frasco x 250 g"/>
    <x v="0"/>
    <x v="12"/>
    <m/>
    <n v="2107333.481504831"/>
    <n v="0"/>
    <m/>
    <n v="0"/>
    <m/>
    <n v="0"/>
    <m/>
    <n v="0"/>
    <m/>
    <n v="0"/>
    <m/>
    <n v="0"/>
    <m/>
    <n v="0"/>
    <m/>
    <n v="0"/>
    <m/>
    <n v="0"/>
    <m/>
    <n v="0"/>
    <m/>
  </r>
  <r>
    <s v="Tiosulfato de sodio pentahidratado PA con certificado de análisis trazable por lote "/>
    <s v="JT Baker, Merck o equivalente"/>
    <s v="Frasco x 500 g "/>
    <x v="0"/>
    <x v="12"/>
    <m/>
    <n v="218747.07956351389"/>
    <n v="0"/>
    <m/>
    <n v="0"/>
    <m/>
    <n v="0"/>
    <m/>
    <n v="0"/>
    <m/>
    <n v="0"/>
    <m/>
    <n v="0"/>
    <m/>
    <n v="0"/>
    <m/>
    <n v="0"/>
    <m/>
    <n v="0"/>
    <m/>
    <n v="0"/>
    <m/>
  </r>
  <r>
    <s v="Trimedlure. Paraferomona sexual atrayente de machos de moscas de las frutas del género Ceratitis o mosca del mediterráneo."/>
    <s v=" "/>
    <s v="Frasco x 1L"/>
    <x v="0"/>
    <x v="12"/>
    <m/>
    <n v="0"/>
    <n v="0"/>
    <m/>
    <n v="0"/>
    <m/>
    <n v="0"/>
    <m/>
    <n v="0"/>
    <m/>
    <n v="0"/>
    <m/>
    <n v="0"/>
    <m/>
    <n v="0"/>
    <m/>
    <n v="0"/>
    <m/>
    <n v="0"/>
    <m/>
    <n v="0"/>
    <m/>
  </r>
  <r>
    <s v="Triphenyl Phosphate (Trifenilo fosfato), pureza ≥ 99%,  CAS 115-86-6"/>
    <s v="Merck o equivalente"/>
    <s v="Frasco x 100g"/>
    <x v="0"/>
    <x v="12"/>
    <m/>
    <n v="299837.41236094531"/>
    <n v="0"/>
    <m/>
    <n v="0"/>
    <m/>
    <n v="0"/>
    <m/>
    <n v="0"/>
    <m/>
    <n v="0"/>
    <m/>
    <n v="0"/>
    <m/>
    <n v="0"/>
    <m/>
    <n v="0"/>
    <m/>
    <n v="0"/>
    <m/>
    <n v="0"/>
    <m/>
  </r>
  <r>
    <s v="Trizma® base"/>
    <s v="Merck millipore"/>
    <s v="Frasco 100g"/>
    <x v="0"/>
    <x v="12"/>
    <m/>
    <n v="431889.38783329894"/>
    <n v="0"/>
    <m/>
    <n v="0"/>
    <m/>
    <n v="0"/>
    <m/>
    <n v="0"/>
    <m/>
    <n v="0"/>
    <m/>
    <n v="0"/>
    <m/>
    <n v="0"/>
    <m/>
    <n v="0"/>
    <m/>
    <n v="0"/>
    <m/>
    <n v="0"/>
    <m/>
  </r>
  <r>
    <s v="Tube Lowenstein- Jensen Gruft 100EA"/>
    <s v="BD 297653"/>
    <s v="CAJA X 100"/>
    <x v="0"/>
    <x v="12"/>
    <m/>
    <n v="2089664.1808"/>
    <n v="0"/>
    <m/>
    <n v="0"/>
    <m/>
    <n v="0"/>
    <m/>
    <n v="0"/>
    <m/>
    <n v="0"/>
    <m/>
    <n v="0"/>
    <m/>
    <n v="0"/>
    <m/>
    <n v="0"/>
    <m/>
    <n v="0"/>
    <m/>
    <n v="0"/>
    <m/>
  </r>
  <r>
    <s v="UltraPure™ Salmon Sperm DNA Solution"/>
    <s v="thermofisher o equivalente"/>
    <s v="Caja con 5 viales cada uno de1 ml"/>
    <x v="0"/>
    <x v="12"/>
    <m/>
    <n v="2769920.16"/>
    <n v="0"/>
    <m/>
    <n v="0"/>
    <m/>
    <n v="0"/>
    <m/>
    <n v="0"/>
    <m/>
    <n v="0"/>
    <m/>
    <n v="0"/>
    <m/>
    <n v="0"/>
    <m/>
    <n v="0"/>
    <m/>
    <n v="0"/>
    <m/>
    <n v="0"/>
    <m/>
  </r>
  <r>
    <s v="Virus del ECTIMA CONTAGIOSO"/>
    <s v="NVSL o un laboratorio de referencia"/>
    <s v="VIAL"/>
    <x v="0"/>
    <x v="12"/>
    <m/>
    <n v="4737473.7759999996"/>
    <n v="0"/>
    <m/>
    <n v="0"/>
    <m/>
    <n v="0"/>
    <m/>
    <n v="0"/>
    <m/>
    <n v="0"/>
    <m/>
    <n v="0"/>
    <m/>
    <n v="0"/>
    <m/>
    <n v="0"/>
    <m/>
    <n v="0"/>
    <m/>
    <n v="0"/>
    <m/>
  </r>
  <r>
    <s v="Vitamina K"/>
    <s v="Sigma - Merck o equivalente"/>
    <s v="Frasco x 100 g"/>
    <x v="0"/>
    <x v="12"/>
    <m/>
    <n v="1023864.5605111279"/>
    <n v="0"/>
    <m/>
    <n v="0"/>
    <m/>
    <n v="0"/>
    <m/>
    <n v="0"/>
    <m/>
    <n v="0"/>
    <m/>
    <n v="0"/>
    <m/>
    <n v="0"/>
    <m/>
    <n v="0"/>
    <m/>
    <n v="0"/>
    <m/>
    <n v="0"/>
    <m/>
  </r>
  <r>
    <s v="Yeast hydrolysate enzymatic"/>
    <s v="MP Biomedicals "/>
    <s v="Caneca x 5 libras"/>
    <x v="0"/>
    <x v="12"/>
    <m/>
    <n v="2184823.2924000002"/>
    <n v="0"/>
    <m/>
    <n v="0"/>
    <m/>
    <n v="0"/>
    <m/>
    <n v="0"/>
    <m/>
    <n v="0"/>
    <m/>
    <n v="0"/>
    <m/>
    <n v="0"/>
    <m/>
    <n v="0"/>
    <m/>
    <n v="0"/>
    <m/>
    <n v="0"/>
    <m/>
  </r>
  <r>
    <s v="Yoduro de etilo"/>
    <s v="Sigma Aldrich 75-03-6 o equivalente"/>
    <s v="Frasco x 500 g"/>
    <x v="0"/>
    <x v="12"/>
    <m/>
    <n v="0"/>
    <n v="0"/>
    <m/>
    <n v="0"/>
    <m/>
    <n v="0"/>
    <m/>
    <n v="0"/>
    <m/>
    <n v="0"/>
    <m/>
    <n v="0"/>
    <m/>
    <n v="0"/>
    <m/>
    <n v="0"/>
    <m/>
    <n v="0"/>
    <m/>
    <n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aDinámica1" cacheId="5" applyNumberFormats="0" applyBorderFormats="0" applyFontFormats="0" applyPatternFormats="0" applyAlignmentFormats="0" applyWidthHeightFormats="1" dataCaption="Valores" updatedVersion="8" minRefreshableVersion="3" useAutoFormatting="1" itemPrintTitles="1" createdVersion="6" indent="0" compact="0" compactData="0" multipleFieldFilters="0" rowHeaderCaption="Reactivos">
  <location ref="A3:K18" firstHeaderRow="0" firstDataRow="1" firstDataCol="2"/>
  <pivotFields count="27">
    <pivotField compact="0" outline="0" showAll="0" defaultSubtotal="0"/>
    <pivotField compact="0" outline="0" showAll="0"/>
    <pivotField compact="0" outline="0" showAll="0"/>
    <pivotField axis="axisRow" compact="0" outline="0" showAll="0">
      <items count="4">
        <item m="1" x="2"/>
        <item x="0"/>
        <item m="1" x="1"/>
        <item t="default"/>
      </items>
    </pivotField>
    <pivotField axis="axisRow" compact="0" outline="0" showAll="0">
      <items count="28">
        <item m="1" x="23"/>
        <item m="1" x="14"/>
        <item x="6"/>
        <item m="1" x="25"/>
        <item m="1" x="16"/>
        <item x="0"/>
        <item x="3"/>
        <item m="1" x="18"/>
        <item m="1" x="24"/>
        <item x="1"/>
        <item x="8"/>
        <item x="2"/>
        <item x="5"/>
        <item x="9"/>
        <item m="1" x="22"/>
        <item x="10"/>
        <item m="1" x="26"/>
        <item m="1" x="20"/>
        <item m="1" x="21"/>
        <item m="1" x="15"/>
        <item m="1" x="19"/>
        <item m="1" x="17"/>
        <item x="11"/>
        <item x="4"/>
        <item x="7"/>
        <item x="12"/>
        <item m="1" x="13"/>
        <item t="default"/>
      </items>
    </pivotField>
    <pivotField compact="0" outline="0" showAll="0"/>
    <pivotField compact="0" outline="0" showAll="0"/>
    <pivotField dataField="1" compact="0" numFmtId="44" outline="0" showAll="0"/>
    <pivotField compact="0" outline="0" showAll="0"/>
    <pivotField dataField="1" compact="0" numFmtId="44" outline="0" showAll="0"/>
    <pivotField compact="0" outline="0" showAll="0"/>
    <pivotField dataField="1" compact="0" outline="0" showAll="0"/>
    <pivotField compact="0" outline="0" showAll="0"/>
    <pivotField dataField="1" compact="0" outline="0" showAll="0"/>
    <pivotField compact="0" outline="0" showAll="0" defaultSubtotal="0"/>
    <pivotField compact="0" numFmtId="44" outline="0" showAll="0" defaultSubtotal="0"/>
    <pivotField compact="0" outline="0" showAll="0"/>
    <pivotField dataField="1" compact="0" outline="0" showAll="0"/>
    <pivotField compact="0" outline="0" showAll="0"/>
    <pivotField dataField="1" compact="0" outline="0" showAll="0"/>
    <pivotField compact="0" outline="0" showAll="0"/>
    <pivotField dataField="1" compact="0" outline="0" showAll="0"/>
    <pivotField compact="0" outline="0" showAll="0"/>
    <pivotField dataField="1" compact="0" outline="0" showAll="0"/>
    <pivotField compact="0" outline="0" showAll="0"/>
    <pivotField dataField="1" compact="0" outline="0" showAll="0"/>
    <pivotField compact="0" outline="0" showAll="0"/>
  </pivotFields>
  <rowFields count="2">
    <field x="3"/>
    <field x="4"/>
  </rowFields>
  <rowItems count="15">
    <i>
      <x v="1"/>
      <x v="2"/>
    </i>
    <i r="1">
      <x v="5"/>
    </i>
    <i r="1">
      <x v="6"/>
    </i>
    <i r="1">
      <x v="9"/>
    </i>
    <i r="1">
      <x v="10"/>
    </i>
    <i r="1">
      <x v="11"/>
    </i>
    <i r="1">
      <x v="12"/>
    </i>
    <i r="1">
      <x v="13"/>
    </i>
    <i r="1">
      <x v="15"/>
    </i>
    <i r="1">
      <x v="22"/>
    </i>
    <i r="1">
      <x v="23"/>
    </i>
    <i r="1">
      <x v="24"/>
    </i>
    <i r="1">
      <x v="25"/>
    </i>
    <i t="default">
      <x v="1"/>
    </i>
    <i t="grand">
      <x/>
    </i>
  </rowItems>
  <colFields count="1">
    <field x="-2"/>
  </colFields>
  <colItems count="9">
    <i>
      <x/>
    </i>
    <i i="1">
      <x v="1"/>
    </i>
    <i i="2">
      <x v="2"/>
    </i>
    <i i="3">
      <x v="3"/>
    </i>
    <i i="4">
      <x v="4"/>
    </i>
    <i i="5">
      <x v="5"/>
    </i>
    <i i="6">
      <x v="6"/>
    </i>
    <i i="7">
      <x v="7"/>
    </i>
    <i i="8">
      <x v="8"/>
    </i>
  </colItems>
  <dataFields count="9">
    <dataField name="Suma de Valor total " fld="7" baseField="0" baseItem="0"/>
    <dataField name="Suma de Valor Total LNDV" fld="13" baseField="3" baseItem="0"/>
    <dataField name="Suma de Valor total LDV" fld="11" baseField="3" baseItem="0"/>
    <dataField name="Suma de Valor total LANIP" fld="9" baseField="0" baseItem="0"/>
    <dataField name="Suma de Valor Total LDF" fld="17" baseField="4" baseItem="6"/>
    <dataField name="Suma de Valor Total LDF&amp;MR" fld="19" baseField="4" baseItem="6"/>
    <dataField name="Suma de Valor Total SPA" fld="25" baseField="4" baseItem="6"/>
    <dataField name="Suma de Valor Total LANIA" fld="23" baseField="4" baseItem="6"/>
    <dataField name="Suma de Valor Total RED LASE" fld="21" baseField="4" baseItem="6"/>
  </dataFields>
  <formats count="10">
    <format dxfId="324">
      <pivotArea outline="0" collapsedLevelsAreSubtotals="1" fieldPosition="0"/>
    </format>
    <format dxfId="323">
      <pivotArea dataOnly="0" labelOnly="1" outline="0" fieldPosition="0">
        <references count="1">
          <reference field="3" count="0"/>
        </references>
      </pivotArea>
    </format>
    <format dxfId="322">
      <pivotArea dataOnly="0" labelOnly="1" outline="0" fieldPosition="0">
        <references count="1">
          <reference field="3" count="1" defaultSubtotal="1">
            <x v="0"/>
          </reference>
        </references>
      </pivotArea>
    </format>
    <format dxfId="321">
      <pivotArea dataOnly="0" labelOnly="1" outline="0" fieldPosition="0">
        <references count="2">
          <reference field="3" count="1" selected="0">
            <x v="0"/>
          </reference>
          <reference field="4" count="13">
            <x v="0"/>
            <x v="1"/>
            <x v="3"/>
            <x v="4"/>
            <x v="7"/>
            <x v="8"/>
            <x v="14"/>
            <x v="16"/>
            <x v="17"/>
            <x v="18"/>
            <x v="19"/>
            <x v="20"/>
            <x v="21"/>
          </reference>
        </references>
      </pivotArea>
    </format>
    <format dxfId="320">
      <pivotArea dataOnly="0" labelOnly="1" outline="0" fieldPosition="0">
        <references count="2">
          <reference field="3" count="1" selected="0">
            <x v="1"/>
          </reference>
          <reference field="4" count="13">
            <x v="2"/>
            <x v="5"/>
            <x v="6"/>
            <x v="9"/>
            <x v="10"/>
            <x v="11"/>
            <x v="12"/>
            <x v="13"/>
            <x v="15"/>
            <x v="22"/>
            <x v="23"/>
            <x v="24"/>
            <x v="25"/>
          </reference>
        </references>
      </pivotArea>
    </format>
    <format dxfId="319">
      <pivotArea field="3" type="button" dataOnly="0" labelOnly="1" outline="0" axis="axisRow" fieldPosition="0"/>
    </format>
    <format dxfId="318">
      <pivotArea field="4" type="button" dataOnly="0" labelOnly="1" outline="0" axis="axisRow" fieldPosition="1"/>
    </format>
    <format dxfId="317">
      <pivotArea dataOnly="0" labelOnly="1" outline="0" fieldPosition="0">
        <references count="1">
          <reference field="4294967294" count="9">
            <x v="0"/>
            <x v="1"/>
            <x v="2"/>
            <x v="3"/>
            <x v="4"/>
            <x v="5"/>
            <x v="6"/>
            <x v="7"/>
            <x v="8"/>
          </reference>
        </references>
      </pivotArea>
    </format>
    <format dxfId="316">
      <pivotArea dataOnly="0" labelOnly="1" outline="0" fieldPosition="0">
        <references count="2">
          <reference field="3" count="1" selected="0">
            <x v="0"/>
          </reference>
          <reference field="4" count="1">
            <x v="17"/>
          </reference>
        </references>
      </pivotArea>
    </format>
    <format dxfId="315">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TablaDinámica3" cacheId="3" applyNumberFormats="0" applyBorderFormats="0" applyFontFormats="0" applyPatternFormats="0" applyAlignmentFormats="0" applyWidthHeightFormats="1" dataCaption="Valores" updatedVersion="6" minRefreshableVersion="3" useAutoFormatting="1" itemPrintTitles="1" createdVersion="6" indent="0" compact="0" outline="1" outlineData="1" compactData="0" multipleFieldFilters="0">
  <location ref="A3:K26" firstHeaderRow="0" firstDataRow="1" firstDataCol="2"/>
  <pivotFields count="27">
    <pivotField compact="0" showAll="0"/>
    <pivotField compact="0" showAll="0"/>
    <pivotField compact="0" showAll="0"/>
    <pivotField compact="0" showAll="0"/>
    <pivotField axis="axisRow" compact="0" showAll="0">
      <items count="4">
        <item x="1"/>
        <item x="0"/>
        <item x="2"/>
        <item t="default"/>
      </items>
    </pivotField>
    <pivotField axis="axisRow" showAll="0">
      <items count="20">
        <item x="17"/>
        <item x="11"/>
        <item x="1"/>
        <item m="1" x="18"/>
        <item x="8"/>
        <item x="2"/>
        <item x="3"/>
        <item x="6"/>
        <item x="7"/>
        <item x="10"/>
        <item x="4"/>
        <item x="13"/>
        <item x="16"/>
        <item x="9"/>
        <item x="15"/>
        <item x="12"/>
        <item x="5"/>
        <item x="0"/>
        <item x="14"/>
        <item t="default"/>
      </items>
    </pivotField>
    <pivotField compact="0" numFmtId="1" showAll="0"/>
    <pivotField compact="0" numFmtId="44" showAll="0" defaultSubtotal="0"/>
    <pivotField dataField="1" compact="0" showAll="0"/>
    <pivotField compact="0" showAll="0"/>
    <pivotField dataField="1" compact="0" showAll="0"/>
    <pivotField compact="0" showAll="0"/>
    <pivotField dataField="1" compact="0" showAll="0"/>
    <pivotField compact="0" showAll="0"/>
    <pivotField dataField="1" compact="0" numFmtId="44" showAll="0"/>
    <pivotField compact="0" showAll="0" defaultSubtotal="0"/>
    <pivotField compact="0" numFmtId="44" showAll="0" defaultSubtotal="0"/>
    <pivotField compact="0" showAll="0"/>
    <pivotField dataField="1" compact="0" numFmtId="44" showAll="0"/>
    <pivotField compact="0" showAll="0"/>
    <pivotField dataField="1" compact="0" numFmtId="44" showAll="0"/>
    <pivotField compact="0" showAll="0"/>
    <pivotField dataField="1" compact="0" numFmtId="44" showAll="0"/>
    <pivotField compact="0" showAll="0"/>
    <pivotField dataField="1" compact="0" numFmtId="44" showAll="0"/>
    <pivotField compact="0" showAll="0"/>
    <pivotField dataField="1" compact="0" numFmtId="44" showAll="0"/>
  </pivotFields>
  <rowFields count="2">
    <field x="4"/>
    <field x="5"/>
  </rowFields>
  <rowItems count="23">
    <i>
      <x/>
    </i>
    <i r="1">
      <x/>
    </i>
    <i r="1">
      <x v="12"/>
    </i>
    <i r="1">
      <x v="14"/>
    </i>
    <i>
      <x v="1"/>
    </i>
    <i r="1">
      <x v="1"/>
    </i>
    <i r="1">
      <x v="2"/>
    </i>
    <i r="1">
      <x v="4"/>
    </i>
    <i r="1">
      <x v="5"/>
    </i>
    <i r="1">
      <x v="6"/>
    </i>
    <i r="1">
      <x v="7"/>
    </i>
    <i r="1">
      <x v="8"/>
    </i>
    <i r="1">
      <x v="9"/>
    </i>
    <i r="1">
      <x v="10"/>
    </i>
    <i r="1">
      <x v="11"/>
    </i>
    <i r="1">
      <x v="13"/>
    </i>
    <i r="1">
      <x v="15"/>
    </i>
    <i r="1">
      <x v="16"/>
    </i>
    <i r="1">
      <x v="17"/>
    </i>
    <i r="1">
      <x v="18"/>
    </i>
    <i>
      <x v="2"/>
    </i>
    <i r="1">
      <x v="18"/>
    </i>
    <i t="grand">
      <x/>
    </i>
  </rowItems>
  <colFields count="1">
    <field x="-2"/>
  </colFields>
  <colItems count="9">
    <i>
      <x/>
    </i>
    <i i="1">
      <x v="1"/>
    </i>
    <i i="2">
      <x v="2"/>
    </i>
    <i i="3">
      <x v="3"/>
    </i>
    <i i="4">
      <x v="4"/>
    </i>
    <i i="5">
      <x v="5"/>
    </i>
    <i i="6">
      <x v="6"/>
    </i>
    <i i="7">
      <x v="7"/>
    </i>
    <i i="8">
      <x v="8"/>
    </i>
  </colItems>
  <dataFields count="9">
    <dataField name="Suma de Valor total del adjudicado" fld="8" baseField="0" baseItem="0"/>
    <dataField name="Suma de Valor Total LNDV" fld="14" baseField="0" baseItem="0"/>
    <dataField name="Suma de Valor total LDV" fld="12" baseField="5" baseItem="7"/>
    <dataField name="Suma de Valor total LANIP" fld="10" baseField="0" baseItem="0"/>
    <dataField name="Suma de Valor Total LDF" fld="18" baseField="0" baseItem="0"/>
    <dataField name="Suma de Valor Total LDF&amp;MR" fld="20" baseField="0" baseItem="0"/>
    <dataField name="Suma de Valor Total RED LASE" fld="22" baseField="0" baseItem="0"/>
    <dataField name="Suma de Valor Total LANIA" fld="24" baseField="0" baseItem="0"/>
    <dataField name="Suma de Valor Total SPA" fld="26" baseField="0" baseItem="0"/>
  </dataFields>
  <formats count="10">
    <format dxfId="314">
      <pivotArea outline="0" collapsedLevelsAreSubtotals="1" fieldPosition="0"/>
    </format>
    <format dxfId="313">
      <pivotArea dataOnly="0" labelOnly="1" outline="0" fieldPosition="0">
        <references count="1">
          <reference field="4294967294" count="9">
            <x v="0"/>
            <x v="1"/>
            <x v="2"/>
            <x v="3"/>
            <x v="4"/>
            <x v="5"/>
            <x v="6"/>
            <x v="7"/>
            <x v="8"/>
          </reference>
        </references>
      </pivotArea>
    </format>
    <format dxfId="312">
      <pivotArea outline="0" collapsedLevelsAreSubtotals="1" fieldPosition="0"/>
    </format>
    <format dxfId="311">
      <pivotArea dataOnly="0" labelOnly="1" outline="0" fieldPosition="0">
        <references count="1">
          <reference field="4294967294" count="9">
            <x v="0"/>
            <x v="1"/>
            <x v="2"/>
            <x v="3"/>
            <x v="4"/>
            <x v="5"/>
            <x v="6"/>
            <x v="7"/>
            <x v="8"/>
          </reference>
        </references>
      </pivotArea>
    </format>
    <format dxfId="310">
      <pivotArea field="4" type="button" dataOnly="0" labelOnly="1" outline="0" axis="axisRow" fieldPosition="0"/>
    </format>
    <format dxfId="309">
      <pivotArea field="5" type="button" dataOnly="0" labelOnly="1" outline="0" axis="axisRow" fieldPosition="1"/>
    </format>
    <format dxfId="308">
      <pivotArea dataOnly="0" labelOnly="1" outline="0" fieldPosition="0">
        <references count="1">
          <reference field="4294967294" count="9">
            <x v="0"/>
            <x v="1"/>
            <x v="2"/>
            <x v="3"/>
            <x v="4"/>
            <x v="5"/>
            <x v="6"/>
            <x v="7"/>
            <x v="8"/>
          </reference>
        </references>
      </pivotArea>
    </format>
    <format dxfId="307">
      <pivotArea field="4" type="button" dataOnly="0" labelOnly="1" outline="0" axis="axisRow" fieldPosition="0"/>
    </format>
    <format dxfId="306">
      <pivotArea field="5" type="button" dataOnly="0" labelOnly="1" outline="0" axis="axisRow" fieldPosition="1"/>
    </format>
    <format dxfId="305">
      <pivotArea dataOnly="0" labelOnly="1" outline="0" fieldPosition="0">
        <references count="1">
          <reference field="4294967294" count="9">
            <x v="0"/>
            <x v="1"/>
            <x v="2"/>
            <x v="3"/>
            <x v="4"/>
            <x v="5"/>
            <x v="6"/>
            <x v="7"/>
            <x v="8"/>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400-000002000000}" name="TablaDinámica4" cacheId="4" applyNumberFormats="0" applyBorderFormats="0" applyFontFormats="0" applyPatternFormats="0" applyAlignmentFormats="0" applyWidthHeightFormats="1" dataCaption="Valores" updatedVersion="6" minRefreshableVersion="3" useAutoFormatting="1" itemPrintTitles="1" createdVersion="6" indent="0" compact="0" outline="1" outlineData="1" compactData="0" multipleFieldFilters="0">
  <location ref="A3:K13" firstHeaderRow="0" firstDataRow="1" firstDataCol="2"/>
  <pivotFields count="27">
    <pivotField compact="0" showAll="0"/>
    <pivotField compact="0" showAll="0"/>
    <pivotField compact="0" showAll="0"/>
    <pivotField compact="0" showAll="0"/>
    <pivotField compact="0" showAll="0"/>
    <pivotField axis="axisRow" compact="0" showAll="0">
      <items count="3">
        <item x="0"/>
        <item m="1" x="1"/>
        <item t="default"/>
      </items>
    </pivotField>
    <pivotField axis="axisRow" compact="0" showAll="0">
      <items count="9">
        <item x="5"/>
        <item x="6"/>
        <item x="7"/>
        <item x="1"/>
        <item x="4"/>
        <item x="2"/>
        <item x="3"/>
        <item x="0"/>
        <item t="default"/>
      </items>
    </pivotField>
    <pivotField compact="0" showAll="0"/>
    <pivotField dataField="1" compact="0" showAll="0"/>
    <pivotField compact="0" numFmtId="1" showAll="0"/>
    <pivotField dataField="1" compact="0" numFmtId="171" showAll="0"/>
    <pivotField compact="0" showAll="0"/>
    <pivotField dataField="1" compact="0" showAll="0"/>
    <pivotField compact="0" showAll="0"/>
    <pivotField dataField="1" compact="0" showAll="0"/>
    <pivotField compact="0" showAll="0"/>
    <pivotField dataField="1" compact="0" showAll="0"/>
    <pivotField compact="0" showAll="0"/>
    <pivotField dataField="1" compact="0" showAll="0"/>
    <pivotField compact="0" showAll="0"/>
    <pivotField dataField="1" compact="0" showAll="0"/>
    <pivotField compact="0" showAll="0"/>
    <pivotField dataField="1" compact="0" showAll="0"/>
    <pivotField compact="0" numFmtId="1" showAll="0" defaultSubtotal="0"/>
    <pivotField compact="0" showAll="0" defaultSubtotal="0"/>
    <pivotField compact="0" showAll="0"/>
    <pivotField dataField="1" compact="0" showAll="0"/>
  </pivotFields>
  <rowFields count="2">
    <field x="5"/>
    <field x="6"/>
  </rowFields>
  <rowItems count="10">
    <i>
      <x/>
    </i>
    <i r="1">
      <x/>
    </i>
    <i r="1">
      <x v="1"/>
    </i>
    <i r="1">
      <x v="2"/>
    </i>
    <i r="1">
      <x v="3"/>
    </i>
    <i r="1">
      <x v="4"/>
    </i>
    <i r="1">
      <x v="5"/>
    </i>
    <i r="1">
      <x v="6"/>
    </i>
    <i r="1">
      <x v="7"/>
    </i>
    <i t="grand">
      <x/>
    </i>
  </rowItems>
  <colFields count="1">
    <field x="-2"/>
  </colFields>
  <colItems count="9">
    <i>
      <x/>
    </i>
    <i i="1">
      <x v="1"/>
    </i>
    <i i="2">
      <x v="2"/>
    </i>
    <i i="3">
      <x v="3"/>
    </i>
    <i i="4">
      <x v="4"/>
    </i>
    <i i="5">
      <x v="5"/>
    </i>
    <i i="6">
      <x v="6"/>
    </i>
    <i i="7">
      <x v="7"/>
    </i>
    <i i="8">
      <x v="8"/>
    </i>
  </colItems>
  <dataFields count="9">
    <dataField name="Suma de Valor Total SAD" fld="8" baseField="5" baseItem="0"/>
    <dataField name="Suma de Valor Total RED LDF" fld="10" baseField="0" baseItem="0"/>
    <dataField name="Suma de Valor Total LDF&amp;MR" fld="12" baseField="5" baseItem="0"/>
    <dataField name="Suma de Valor Total LANIA" fld="14" baseField="5" baseItem="0"/>
    <dataField name="Suma de Valor Total RED LASE" fld="16" baseField="5" baseItem="0"/>
    <dataField name="Suma de Valor total RED LDV" fld="18" baseField="5" baseItem="0"/>
    <dataField name="Suma de Valor Total LNDV" fld="20" baseField="5" baseItem="0"/>
    <dataField name="Suma de  Valor Total LANIP" fld="22" baseField="5" baseItem="0"/>
    <dataField name="Suma de Valor Total SPA" fld="26" baseField="5" baseItem="0"/>
  </dataFields>
  <formats count="2">
    <format dxfId="216">
      <pivotArea dataOnly="0" labelOnly="1" outline="0" fieldPosition="0">
        <references count="1">
          <reference field="4294967294" count="9">
            <x v="0"/>
            <x v="1"/>
            <x v="2"/>
            <x v="3"/>
            <x v="4"/>
            <x v="5"/>
            <x v="6"/>
            <x v="7"/>
            <x v="8"/>
          </reference>
        </references>
      </pivotArea>
    </format>
    <format dxfId="215">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Reactivos_" displayName="Reactivos_" ref="D2:AF732" totalsRowCount="1" headerRowDxfId="304" dataDxfId="303" totalsRowDxfId="302">
  <autoFilter ref="D2:AF731"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sortState xmlns:xlrd2="http://schemas.microsoft.com/office/spreadsheetml/2017/richdata2" ref="D3:J1073">
    <sortCondition ref="D2:D1073"/>
  </sortState>
  <tableColumns count="29">
    <tableColumn id="1" xr3:uid="{00000000-0010-0000-0000-000001000000}" name="ítem" totalsRowLabel="Total" dataDxfId="301" totalsRowDxfId="28" dataCellStyle="Normal 3"/>
    <tableColumn id="2" xr3:uid="{00000000-0010-0000-0000-000002000000}" name="Descripción técnica" totalsRowFunction="count" dataDxfId="300" totalsRowDxfId="27"/>
    <tableColumn id="32" xr3:uid="{00000000-0010-0000-0000-000020000000}" name="NUMERO CAS-_x000a_PARA LOS QUE APLIQUE" dataDxfId="299" totalsRowDxfId="26"/>
    <tableColumn id="33" xr3:uid="{00000000-0010-0000-0000-000021000000}" name="FORMULA _x000a_PARA LOS QUE APLIQUE" dataDxfId="298" totalsRowDxfId="25"/>
    <tableColumn id="3" xr3:uid="{00000000-0010-0000-0000-000003000000}" name="Marca-Ref" dataDxfId="297" totalsRowDxfId="24"/>
    <tableColumn id="4" xr3:uid="{00000000-0010-0000-0000-000004000000}" name="Presentación" dataDxfId="296" totalsRowDxfId="23"/>
    <tableColumn id="12" xr3:uid="{00000000-0010-0000-0000-00000C000000}" name="Cantidad" totalsRowFunction="sum" dataDxfId="295" totalsRowDxfId="22"/>
    <tableColumn id="29" xr3:uid="{00000000-0010-0000-0000-00001D000000}" name="Valor de referencia" totalsRowFunction="sum" dataDxfId="294" totalsRowDxfId="21"/>
    <tableColumn id="28" xr3:uid="{00000000-0010-0000-0000-00001C000000}" name="Valor Total" totalsRowFunction="sum" dataDxfId="293" totalsRowDxfId="20">
      <calculatedColumnFormula>+Reactivos_[[#This Row],[Cantidad]]*Reactivos_[[#This Row],[Valor de referencia]]</calculatedColumnFormula>
    </tableColumn>
    <tableColumn id="5" xr3:uid="{00000000-0010-0000-0000-000005000000}" name="Cantidad LANIP" totalsRowFunction="custom" dataDxfId="292" totalsRowDxfId="19">
      <totalsRowFormula>SUBTOTAL(109,M3:M731)</totalsRowFormula>
    </tableColumn>
    <tableColumn id="6" xr3:uid="{00000000-0010-0000-0000-000006000000}" name="Valor total LANIP" totalsRowFunction="sum" dataDxfId="291" totalsRowDxfId="18">
      <calculatedColumnFormula>+Reactivos_[[#This Row],[Valor de referencia]]*Reactivos_[[#This Row],[Cantidad LANIP]]</calculatedColumnFormula>
    </tableColumn>
    <tableColumn id="7" xr3:uid="{00000000-0010-0000-0000-000007000000}" name="Cantidad _x000a_LDV" totalsRowFunction="custom" dataDxfId="290" totalsRowDxfId="17">
      <totalsRowFormula>SUBTOTAL(109,O3:O731)</totalsRowFormula>
    </tableColumn>
    <tableColumn id="8" xr3:uid="{00000000-0010-0000-0000-000008000000}" name="Valor total LDV" totalsRowFunction="sum" dataDxfId="289" totalsRowDxfId="16">
      <calculatedColumnFormula>+Reactivos_[[#This Row],[Cantidad 
LDV]]*Reactivos_[[#This Row],[Valor de referencia]]</calculatedColumnFormula>
    </tableColumn>
    <tableColumn id="9" xr3:uid="{00000000-0010-0000-0000-000009000000}" name="Cantidad LNDV" totalsRowFunction="custom" dataDxfId="288" totalsRowDxfId="15">
      <totalsRowFormula>SUBTOTAL(109,Q3:Q731)</totalsRowFormula>
    </tableColumn>
    <tableColumn id="10" xr3:uid="{00000000-0010-0000-0000-00000A000000}" name="Valor Total LNDV" totalsRowFunction="sum" dataDxfId="287" totalsRowDxfId="14">
      <calculatedColumnFormula>+Reactivos_[[#This Row],[Cantidad LNDV]]*Reactivos_[[#This Row],[Valor de referencia]]</calculatedColumnFormula>
    </tableColumn>
    <tableColumn id="11" xr3:uid="{00000000-0010-0000-0000-00000B000000}" name="GGCA" totalsRowFunction="custom" dataDxfId="286" totalsRowDxfId="13">
      <totalsRowFormula>SUBTOTAL(109,S3:S731)</totalsRowFormula>
    </tableColumn>
    <tableColumn id="13" xr3:uid="{00000000-0010-0000-0000-00000D000000}" name="Valor GGCA" totalsRowFunction="sum" dataDxfId="285" totalsRowDxfId="12">
      <calculatedColumnFormula>+Reactivos_[[#This Row],[GGCA]]*Reactivos_[[#This Row],[Valor de referencia]]</calculatedColumnFormula>
    </tableColumn>
    <tableColumn id="14" xr3:uid="{00000000-0010-0000-0000-00000E000000}" name="Cantidad LDF" totalsRowFunction="custom" dataDxfId="284" totalsRowDxfId="11">
      <totalsRowFormula>SUBTOTAL(109,U3:U731)</totalsRowFormula>
    </tableColumn>
    <tableColumn id="15" xr3:uid="{00000000-0010-0000-0000-00000F000000}" name="Valor Total LDF" totalsRowFunction="sum" dataDxfId="283" totalsRowDxfId="10">
      <calculatedColumnFormula>+Reactivos_[[#This Row],[Cantidad LDF]]*Reactivos_[[#This Row],[Valor de referencia]]</calculatedColumnFormula>
    </tableColumn>
    <tableColumn id="16" xr3:uid="{00000000-0010-0000-0000-000010000000}" name="Cantidad LDF&amp;MR" totalsRowFunction="custom" dataDxfId="282" totalsRowDxfId="9">
      <totalsRowFormula>SUBTOTAL(109,W3:W731)</totalsRowFormula>
    </tableColumn>
    <tableColumn id="17" xr3:uid="{00000000-0010-0000-0000-000011000000}" name="Valor Total LDF&amp;MR" totalsRowFunction="sum" dataDxfId="281" totalsRowDxfId="8">
      <calculatedColumnFormula>+Reactivos_[[#This Row],[Cantidad LDF&amp;MR]]*Reactivos_[[#This Row],[Valor de referencia]]</calculatedColumnFormula>
    </tableColumn>
    <tableColumn id="18" xr3:uid="{00000000-0010-0000-0000-000012000000}" name="Cantidad RED LASE" totalsRowFunction="custom" dataDxfId="280" totalsRowDxfId="7">
      <totalsRowFormula>SUBTOTAL(109,Y3:Y731)</totalsRowFormula>
    </tableColumn>
    <tableColumn id="19" xr3:uid="{00000000-0010-0000-0000-000013000000}" name="Valor Total RED LASE" totalsRowFunction="sum" dataDxfId="279" totalsRowDxfId="6">
      <calculatedColumnFormula>+Reactivos_[[#This Row],[Cantidad RED LASE]]*Reactivos_[[#This Row],[Valor de referencia]]</calculatedColumnFormula>
    </tableColumn>
    <tableColumn id="20" xr3:uid="{00000000-0010-0000-0000-000014000000}" name="Cantidad LANIA" totalsRowFunction="custom" dataDxfId="278" totalsRowDxfId="5">
      <totalsRowFormula>SUBTOTAL(109,AA3:AA731)</totalsRowFormula>
    </tableColumn>
    <tableColumn id="21" xr3:uid="{00000000-0010-0000-0000-000015000000}" name="Valor Total LANIA" totalsRowFunction="sum" dataDxfId="277" totalsRowDxfId="4">
      <calculatedColumnFormula>+Reactivos_[[#This Row],[Cantidad LANIA]]*Reactivos_[[#This Row],[Valor de referencia]]</calculatedColumnFormula>
    </tableColumn>
    <tableColumn id="22" xr3:uid="{00000000-0010-0000-0000-000016000000}" name="Cantidad SPA" totalsRowFunction="custom" dataDxfId="276" totalsRowDxfId="3">
      <totalsRowFormula>SUBTOTAL(109,AC3:AC731)</totalsRowFormula>
    </tableColumn>
    <tableColumn id="23" xr3:uid="{00000000-0010-0000-0000-000017000000}" name="Valor Total SPA" totalsRowFunction="custom" dataDxfId="275" totalsRowDxfId="2" dataCellStyle="Currency">
      <calculatedColumnFormula>+Reactivos_[[#This Row],[Cantidad SPA]]*Reactivos_[[#This Row],[Valor de referencia]]</calculatedColumnFormula>
      <totalsRowFormula>SUBTOTAL(109,AD3:AD731)</totalsRowFormula>
    </tableColumn>
    <tableColumn id="24" xr3:uid="{00000000-0010-0000-0000-000018000000}" name="Certificado de sustancias de estupefacientes" dataDxfId="274" totalsRowDxfId="1"/>
    <tableColumn id="25" xr3:uid="{00000000-0010-0000-0000-000019000000}" name="Carta de distribución" dataDxfId="273" totalsRowDxfId="0"/>
  </tableColumns>
  <tableStyleInfo name="TableStyleMedium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Elementos_" displayName="Elementos_" ref="D2:AC515" totalsRowCount="1" headerRowDxfId="272" dataDxfId="271" totalsRowDxfId="269" tableBorderDxfId="270">
  <autoFilter ref="D2:AC514" xr:uid="{00000000-0009-0000-0100-000005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00000000-0010-0000-0100-000001000000}" name="Ítem" totalsRowLabel="Total" dataDxfId="268" totalsRowDxfId="267"/>
    <tableColumn id="2" xr3:uid="{00000000-0010-0000-0100-000002000000}" name="Descripción técnica" totalsRowFunction="count" dataDxfId="266" totalsRowDxfId="265"/>
    <tableColumn id="3" xr3:uid="{00000000-0010-0000-0100-000003000000}" name="Marca y referencia" dataDxfId="264" totalsRowDxfId="263"/>
    <tableColumn id="4" xr3:uid="{00000000-0010-0000-0100-000004000000}" name="Presentación" dataDxfId="262" totalsRowDxfId="261"/>
    <tableColumn id="7" xr3:uid="{00000000-0010-0000-0100-000007000000}" name="Cantidad" totalsRowFunction="sum" dataDxfId="260" totalsRowDxfId="259">
      <calculatedColumnFormula>+#REF!+#REF!+#REF!+#REF!+#REF!+#REF!+#REF!+#REF!+#REF!</calculatedColumnFormula>
    </tableColumn>
    <tableColumn id="6" xr3:uid="{00000000-0010-0000-0100-000006000000}" name="Valor de referencia" totalsRowFunction="sum" dataDxfId="258" totalsRowDxfId="257"/>
    <tableColumn id="8" xr3:uid="{00000000-0010-0000-0100-000008000000}" name="Valor Total" totalsRowFunction="custom" dataDxfId="256" totalsRowDxfId="255">
      <calculatedColumnFormula>+Elementos_[[#This Row],[Valor de referencia]]*Elementos_[[#This Row],[Cantidad]]</calculatedColumnFormula>
      <totalsRowFormula>SUBTOTAL(109,J3:J514)</totalsRowFormula>
    </tableColumn>
    <tableColumn id="9" xr3:uid="{00000000-0010-0000-0100-000009000000}" name="Cantidad LANIP" totalsRowFunction="custom" dataDxfId="254" totalsRowDxfId="253">
      <totalsRowFormula>SUBTOTAL(109,Elementos_[Cantidad LANIP])</totalsRowFormula>
    </tableColumn>
    <tableColumn id="10" xr3:uid="{00000000-0010-0000-0100-00000A000000}" name="Valor total LANIP" totalsRowFunction="custom" dataDxfId="252" totalsRowDxfId="251">
      <calculatedColumnFormula>+Elementos_[[#This Row],[Cantidad LANIP]]*Elementos_[[#This Row],[Valor de referencia]]</calculatedColumnFormula>
      <totalsRowFormula>SUBTOTAL(109,Elementos_[Valor total LANIP])</totalsRowFormula>
    </tableColumn>
    <tableColumn id="11" xr3:uid="{00000000-0010-0000-0100-00000B000000}" name="Cantidad _x000a_LDV" totalsRowFunction="sum" dataDxfId="250" totalsRowDxfId="249"/>
    <tableColumn id="12" xr3:uid="{00000000-0010-0000-0100-00000C000000}" name="Valor total LDV" totalsRowFunction="sum" dataDxfId="248" totalsRowDxfId="247">
      <calculatedColumnFormula>+Elementos_[[#This Row],[Cantidad 
LDV]]*Elementos_[[#This Row],[Valor de referencia]]</calculatedColumnFormula>
    </tableColumn>
    <tableColumn id="13" xr3:uid="{00000000-0010-0000-0100-00000D000000}" name="Cantidad LNDV" totalsRowFunction="sum" dataDxfId="246" totalsRowDxfId="245"/>
    <tableColumn id="14" xr3:uid="{00000000-0010-0000-0100-00000E000000}" name="Valor Total LNDV" totalsRowFunction="sum" dataDxfId="244" totalsRowDxfId="243">
      <calculatedColumnFormula>+Elementos_[[#This Row],[Cantidad LNDV]]*Elementos_[[#This Row],[Valor de referencia]]</calculatedColumnFormula>
    </tableColumn>
    <tableColumn id="15" xr3:uid="{00000000-0010-0000-0100-00000F000000}" name="GGCA" totalsRowFunction="sum" dataDxfId="242" totalsRowDxfId="241"/>
    <tableColumn id="16" xr3:uid="{00000000-0010-0000-0100-000010000000}" name="Valor GGCA" totalsRowFunction="sum" dataDxfId="240" totalsRowDxfId="239">
      <calculatedColumnFormula>+Elementos_[[#This Row],[GGCA]]*Elementos_[[#This Row],[Valor de referencia]]</calculatedColumnFormula>
    </tableColumn>
    <tableColumn id="17" xr3:uid="{00000000-0010-0000-0100-000011000000}" name="Cantidad LDF" totalsRowFunction="sum" dataDxfId="238" totalsRowDxfId="237"/>
    <tableColumn id="18" xr3:uid="{00000000-0010-0000-0100-000012000000}" name="Valor Total LDF" totalsRowFunction="sum" dataDxfId="236" totalsRowDxfId="235">
      <calculatedColumnFormula>+Elementos_[[#This Row],[Cantidad LDF]]*Elementos_[[#This Row],[Valor de referencia]]</calculatedColumnFormula>
    </tableColumn>
    <tableColumn id="19" xr3:uid="{00000000-0010-0000-0100-000013000000}" name="Cantidad LDF&amp;MR" totalsRowFunction="sum" dataDxfId="234" totalsRowDxfId="233"/>
    <tableColumn id="20" xr3:uid="{00000000-0010-0000-0100-000014000000}" name="Valor Total LDF&amp;MR" totalsRowFunction="sum" dataDxfId="232" totalsRowDxfId="231">
      <calculatedColumnFormula>+Elementos_[[#This Row],[Cantidad LDF&amp;MR]]*Elementos_[[#This Row],[Valor de referencia]]</calculatedColumnFormula>
    </tableColumn>
    <tableColumn id="21" xr3:uid="{00000000-0010-0000-0100-000015000000}" name="Cantidad RED LASE" totalsRowFunction="sum" dataDxfId="230" totalsRowDxfId="229"/>
    <tableColumn id="22" xr3:uid="{00000000-0010-0000-0100-000016000000}" name="Valor Total RED LASE" totalsRowFunction="sum" dataDxfId="228" totalsRowDxfId="227">
      <calculatedColumnFormula>+Elementos_[[#This Row],[Cantidad RED LASE]]*Elementos_[[#This Row],[Valor de referencia]]</calculatedColumnFormula>
    </tableColumn>
    <tableColumn id="23" xr3:uid="{00000000-0010-0000-0100-000017000000}" name="Cantidad LANIA" totalsRowFunction="sum" dataDxfId="226" totalsRowDxfId="225"/>
    <tableColumn id="24" xr3:uid="{00000000-0010-0000-0100-000018000000}" name="Valor Total LANIA" totalsRowFunction="sum" dataDxfId="224" totalsRowDxfId="223">
      <calculatedColumnFormula>+Elementos_[[#This Row],[Cantidad LANIA]]*Elementos_[[#This Row],[Valor de referencia]]</calculatedColumnFormula>
    </tableColumn>
    <tableColumn id="25" xr3:uid="{00000000-0010-0000-0100-000019000000}" name="Cantidad SPA" totalsRowFunction="sum" dataDxfId="222" totalsRowDxfId="221"/>
    <tableColumn id="26" xr3:uid="{00000000-0010-0000-0100-00001A000000}" name="Valor Total SPA" totalsRowFunction="custom" dataDxfId="220" totalsRowDxfId="219">
      <calculatedColumnFormula>+Elementos_[[#This Row],[Cantidad SPA]]*Elementos_[[#This Row],[Valor de referencia]]</calculatedColumnFormula>
      <totalsRowFormula>SUBTOTAL(109,Elementos_[Valor Total SPA])+Reactivos_[[#Totals],[Valor Total SPA]]</totalsRowFormula>
    </tableColumn>
    <tableColumn id="28" xr3:uid="{00000000-0010-0000-0100-00001C000000}" name="Carta de distribución" dataDxfId="218" totalsRowDxfId="217"/>
  </tableColumns>
  <tableStyleInfo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abla1" displayName="Tabla1" ref="A2:AA120" totalsRowCount="1" headerRowDxfId="214" dataDxfId="212" totalsRowDxfId="210" headerRowBorderDxfId="213" tableBorderDxfId="211">
  <autoFilter ref="A2:AA119" xr:uid="{00000000-0009-0000-0100-000001000000}"/>
  <tableColumns count="27">
    <tableColumn id="1" xr3:uid="{00000000-0010-0000-0200-000001000000}" name="ÍTEM" totalsRowLabel="Total" dataDxfId="209" totalsRowDxfId="208"/>
    <tableColumn id="2" xr3:uid="{00000000-0010-0000-0200-000002000000}" name="Equipo " totalsRowFunction="count" dataDxfId="207" totalsRowDxfId="206"/>
    <tableColumn id="3" xr3:uid="{00000000-0010-0000-0200-000003000000}" name="Marca adjudicada" dataDxfId="205" totalsRowDxfId="204"/>
    <tableColumn id="4" xr3:uid="{00000000-0010-0000-0200-000004000000}" name="Referencia adjudicada" dataDxfId="203" totalsRowDxfId="202"/>
    <tableColumn id="5" xr3:uid="{00000000-0010-0000-0200-000005000000}" name="Cantidad Total" dataDxfId="201" totalsRowDxfId="200"/>
    <tableColumn id="6" xr3:uid="{00000000-0010-0000-0200-000006000000}" name="Tipo de contratación" dataDxfId="199" totalsRowDxfId="198"/>
    <tableColumn id="7" xr3:uid="{00000000-0010-0000-0200-000007000000}" name="Proveedor o contratista 2023" dataDxfId="197" totalsRowDxfId="196"/>
    <tableColumn id="8" xr3:uid="{00000000-0010-0000-0200-000008000000}" name="Adjudicado 2023+ IPC" totalsRowFunction="sum" dataDxfId="195" totalsRowDxfId="194"/>
    <tableColumn id="9" xr3:uid="{00000000-0010-0000-0200-000009000000}" name="Valor Total SAD" totalsRowFunction="sum" dataDxfId="193" totalsRowDxfId="192">
      <calculatedColumnFormula>IFERROR(E3*H3," ")</calculatedColumnFormula>
    </tableColumn>
    <tableColumn id="10" xr3:uid="{00000000-0010-0000-0200-00000A000000}" name="Cant. RED LDF" totalsRowFunction="sum" dataDxfId="191" totalsRowDxfId="190">
      <calculatedColumnFormula>+SUM(AD3:AQ3)</calculatedColumnFormula>
    </tableColumn>
    <tableColumn id="11" xr3:uid="{00000000-0010-0000-0200-00000B000000}" name="Valor Total RED LDF" totalsRowFunction="sum" dataDxfId="189" totalsRowDxfId="188">
      <calculatedColumnFormula>+H3*J3</calculatedColumnFormula>
    </tableColumn>
    <tableColumn id="12" xr3:uid="{00000000-0010-0000-0200-00000C000000}" name="Cant.  LDF&amp;MR" totalsRowFunction="sum" dataDxfId="187" totalsRowDxfId="186">
      <calculatedColumnFormula>SUM(AS3:AW3)</calculatedColumnFormula>
    </tableColumn>
    <tableColumn id="13" xr3:uid="{00000000-0010-0000-0200-00000D000000}" name="Valor Total LDF&amp;MR" totalsRowFunction="sum" dataDxfId="185" totalsRowDxfId="184">
      <calculatedColumnFormula>IFERROR(L3*H3," ")</calculatedColumnFormula>
    </tableColumn>
    <tableColumn id="14" xr3:uid="{00000000-0010-0000-0200-00000E000000}" name="Cant. LANIA" totalsRowFunction="sum" dataDxfId="183" totalsRowDxfId="182">
      <calculatedColumnFormula>AR3</calculatedColumnFormula>
    </tableColumn>
    <tableColumn id="15" xr3:uid="{00000000-0010-0000-0200-00000F000000}" name="Valor Total LANIA" totalsRowFunction="sum" dataDxfId="181" totalsRowDxfId="180"/>
    <tableColumn id="16" xr3:uid="{00000000-0010-0000-0200-000010000000}" name="Cant.  RED LASE" totalsRowFunction="sum" dataDxfId="179" totalsRowDxfId="178">
      <calculatedColumnFormula>SUM(AX3:BC3)</calculatedColumnFormula>
    </tableColumn>
    <tableColumn id="17" xr3:uid="{00000000-0010-0000-0200-000011000000}" name="Valor Total RED LASE" totalsRowFunction="sum" dataDxfId="177" totalsRowDxfId="176">
      <calculatedColumnFormula>IFERROR(P3*H3," ")</calculatedColumnFormula>
    </tableColumn>
    <tableColumn id="18" xr3:uid="{00000000-0010-0000-0200-000012000000}" name="Cant.  LDV" totalsRowFunction="sum" dataDxfId="175" totalsRowDxfId="174">
      <calculatedColumnFormula>SUM(BD3:CC3)</calculatedColumnFormula>
    </tableColumn>
    <tableColumn id="19" xr3:uid="{00000000-0010-0000-0200-000013000000}" name="Valor total RED LDV" totalsRowFunction="sum" dataDxfId="173" totalsRowDxfId="172">
      <calculatedColumnFormula>IFERROR(R3*H3," ")</calculatedColumnFormula>
    </tableColumn>
    <tableColumn id="20" xr3:uid="{00000000-0010-0000-0200-000014000000}" name="Cant. LNDV" totalsRowFunction="sum" dataDxfId="171" totalsRowDxfId="170">
      <calculatedColumnFormula>SUM(Tabla2[[#This Row],[LNDV ]:[LNDV UND REF]])</calculatedColumnFormula>
    </tableColumn>
    <tableColumn id="21" xr3:uid="{00000000-0010-0000-0200-000015000000}" name="Valor Total LNDV" totalsRowFunction="sum" dataDxfId="169" totalsRowDxfId="168">
      <calculatedColumnFormula>IFERROR(T3*H3," ")</calculatedColumnFormula>
    </tableColumn>
    <tableColumn id="22" xr3:uid="{00000000-0010-0000-0200-000016000000}" name="Total  LANIP" totalsRowFunction="sum" dataDxfId="167" totalsRowDxfId="166">
      <calculatedColumnFormula>CF3</calculatedColumnFormula>
    </tableColumn>
    <tableColumn id="23" xr3:uid="{00000000-0010-0000-0200-000017000000}" name=" Valor Total LANIP" totalsRowFunction="sum" dataDxfId="165" totalsRowDxfId="164"/>
    <tableColumn id="24" xr3:uid="{00000000-0010-0000-0200-000018000000}" name="TOTAL  GGCA" totalsRowFunction="sum" dataDxfId="163" totalsRowDxfId="162">
      <calculatedColumnFormula>SUM(CG3:CH3)</calculatedColumnFormula>
    </tableColumn>
    <tableColumn id="25" xr3:uid="{00000000-0010-0000-0200-000019000000}" name="Valor Total GGCA" totalsRowFunction="sum" dataDxfId="161" totalsRowDxfId="160"/>
    <tableColumn id="26" xr3:uid="{00000000-0010-0000-0200-00001A000000}" name="TOTAL  SPA" totalsRowFunction="sum" dataDxfId="159" totalsRowDxfId="158">
      <calculatedColumnFormula>CI3</calculatedColumnFormula>
    </tableColumn>
    <tableColumn id="27" xr3:uid="{00000000-0010-0000-0200-00001B000000}" name="Valor Total SPA" totalsRowFunction="sum" dataDxfId="157" totalsRowDxfId="156">
      <calculatedColumnFormula>+Z3*H3</calculatedColumnFormula>
    </tableColumn>
  </tableColumns>
  <tableStyleInfo name="TableStyleMedium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abla2" displayName="Tabla2" ref="AD2:CI120" totalsRowCount="1" headerRowDxfId="155" dataDxfId="153" totalsRowDxfId="151" headerRowBorderDxfId="154" tableBorderDxfId="152" totalsRowBorderDxfId="150">
  <autoFilter ref="AD2:CI119" xr:uid="{00000000-0009-0000-0100-000002000000}"/>
  <tableColumns count="58">
    <tableColumn id="1" xr3:uid="{00000000-0010-0000-0300-000001000000}" name="LDF Barranquilla" totalsRowFunction="sum" dataDxfId="149" totalsRowDxfId="148"/>
    <tableColumn id="2" xr3:uid="{00000000-0010-0000-0300-000002000000}" name="LDF Bello" totalsRowFunction="sum" dataDxfId="147" totalsRowDxfId="146"/>
    <tableColumn id="3" xr3:uid="{00000000-0010-0000-0300-000003000000}" name="LDF Bucaramanga" totalsRowFunction="sum" dataDxfId="145" totalsRowDxfId="144"/>
    <tableColumn id="4" xr3:uid="{00000000-0010-0000-0300-000004000000}" name="LDF Carepa" totalsRowFunction="sum" dataDxfId="143" totalsRowDxfId="142"/>
    <tableColumn id="5" xr3:uid="{00000000-0010-0000-0300-000005000000}" name="LDF Cereté" totalsRowFunction="sum" dataDxfId="141" totalsRowDxfId="140"/>
    <tableColumn id="6" xr3:uid="{00000000-0010-0000-0300-000006000000}" name="LDF Cúcuta" totalsRowFunction="sum" dataDxfId="139" totalsRowDxfId="138"/>
    <tableColumn id="7" xr3:uid="{00000000-0010-0000-0300-000007000000}" name="LDF Ibagué" totalsRowFunction="sum" dataDxfId="137" totalsRowDxfId="136"/>
    <tableColumn id="8" xr3:uid="{00000000-0010-0000-0300-000008000000}" name="LDF Manizales" totalsRowFunction="sum" dataDxfId="135" totalsRowDxfId="134"/>
    <tableColumn id="9" xr3:uid="{00000000-0010-0000-0300-000009000000}" name="LDF Palmira" totalsRowFunction="sum" dataDxfId="133" totalsRowDxfId="132"/>
    <tableColumn id="10" xr3:uid="{00000000-0010-0000-0300-00000A000000}" name="LDF Pasto" totalsRowFunction="sum" dataDxfId="131" totalsRowDxfId="130"/>
    <tableColumn id="11" xr3:uid="{00000000-0010-0000-0300-00000B000000}" name="LDF Sogamoso" totalsRowFunction="sum" dataDxfId="129" totalsRowDxfId="128"/>
    <tableColumn id="12" xr3:uid="{00000000-0010-0000-0300-00000C000000}" name="LDF Villavicencio" totalsRowFunction="sum" dataDxfId="127" totalsRowDxfId="126"/>
    <tableColumn id="13" xr3:uid="{00000000-0010-0000-0300-00000D000000}" name="LDF Zona Bananera " totalsRowFunction="sum" dataDxfId="125" totalsRowDxfId="124"/>
    <tableColumn id="14" xr3:uid="{00000000-0010-0000-0300-00000E000000}" name="LAMA" totalsRowFunction="sum" dataDxfId="123" totalsRowDxfId="122"/>
    <tableColumn id="15" xr3:uid="{00000000-0010-0000-0300-00000F000000}" name="LANIA" totalsRowFunction="sum" dataDxfId="121" totalsRowDxfId="120"/>
    <tableColumn id="16" xr3:uid="{00000000-0010-0000-0300-000010000000}" name="LNDF" totalsRowFunction="sum" dataDxfId="119" totalsRowDxfId="118"/>
    <tableColumn id="17" xr3:uid="{00000000-0010-0000-0300-000011000000}" name="LNDF REF" totalsRowFunction="sum" dataDxfId="117" totalsRowDxfId="116"/>
    <tableColumn id="18" xr3:uid="{00000000-0010-0000-0300-000012000000}" name="LCV" totalsRowFunction="sum" dataDxfId="115" totalsRowDxfId="114"/>
    <tableColumn id="19" xr3:uid="{00000000-0010-0000-0300-000013000000}" name="LOGM" totalsRowFunction="sum" dataDxfId="113" totalsRowDxfId="112"/>
    <tableColumn id="20" xr3:uid="{00000000-0010-0000-0300-000014000000}" name="LNTC" totalsRowFunction="sum" dataDxfId="111" totalsRowDxfId="110"/>
    <tableColumn id="21" xr3:uid="{00000000-0010-0000-0300-000015000000}" name="LASE Bucaramanga" totalsRowFunction="sum" dataDxfId="109" totalsRowDxfId="108"/>
    <tableColumn id="22" xr3:uid="{00000000-0010-0000-0300-000016000000}" name="LASE Ibagué" totalsRowFunction="sum" dataDxfId="107" totalsRowDxfId="106"/>
    <tableColumn id="23" xr3:uid="{00000000-0010-0000-0300-000017000000}" name="LASE Palmira" totalsRowFunction="sum" dataDxfId="105" totalsRowDxfId="104"/>
    <tableColumn id="24" xr3:uid="{00000000-0010-0000-0300-000018000000}" name="LASE Valledupar" totalsRowFunction="sum" dataDxfId="103" totalsRowDxfId="102"/>
    <tableColumn id="25" xr3:uid="{00000000-0010-0000-0300-000019000000}" name="LASE Villavicencio" totalsRowFunction="sum" dataDxfId="101" totalsRowDxfId="100"/>
    <tableColumn id="26" xr3:uid="{00000000-0010-0000-0300-00001A000000}" name="LANASE" totalsRowFunction="sum" dataDxfId="99" totalsRowDxfId="98"/>
    <tableColumn id="27" xr3:uid="{00000000-0010-0000-0300-00001B000000}" name="LDV - Aguachica" totalsRowFunction="sum" dataDxfId="97" totalsRowDxfId="96"/>
    <tableColumn id="28" xr3:uid="{00000000-0010-0000-0300-00001C000000}" name="LDV - Arauca" totalsRowFunction="sum" dataDxfId="95" totalsRowDxfId="94"/>
    <tableColumn id="29" xr3:uid="{00000000-0010-0000-0300-00001D000000}" name="LDV - Barrancabermeja" totalsRowFunction="sum" dataDxfId="93" totalsRowDxfId="92"/>
    <tableColumn id="30" xr3:uid="{00000000-0010-0000-0300-00001E000000}" name="LDV - Cartagena" totalsRowFunction="sum" dataDxfId="91" totalsRowDxfId="90"/>
    <tableColumn id="31" xr3:uid="{00000000-0010-0000-0300-00001F000000}" name="LDV - Cereté" totalsRowFunction="sum" dataDxfId="89" totalsRowDxfId="88"/>
    <tableColumn id="32" xr3:uid="{00000000-0010-0000-0300-000020000000}" name="LDV - Cúcuta" totalsRowFunction="sum" dataDxfId="87" totalsRowDxfId="86"/>
    <tableColumn id="33" xr3:uid="{00000000-0010-0000-0300-000021000000}" name="LDV - El Banco" totalsRowFunction="sum" dataDxfId="85" totalsRowDxfId="84"/>
    <tableColumn id="34" xr3:uid="{00000000-0010-0000-0300-000022000000}" name="LDV - Florencia" totalsRowFunction="sum" dataDxfId="83" totalsRowDxfId="82"/>
    <tableColumn id="35" xr3:uid="{00000000-0010-0000-0300-000023000000}" name="LDV - Fundación" totalsRowFunction="sum" dataDxfId="81" totalsRowDxfId="80"/>
    <tableColumn id="36" xr3:uid="{00000000-0010-0000-0300-000024000000}" name="LDV - La Dorada" totalsRowFunction="sum" dataDxfId="79" totalsRowDxfId="78"/>
    <tableColumn id="37" xr3:uid="{00000000-0010-0000-0300-000025000000}" name="LDV - Manizales" totalsRowFunction="sum" dataDxfId="77" totalsRowDxfId="76"/>
    <tableColumn id="38" xr3:uid="{00000000-0010-0000-0300-000026000000}" name="LDV - Palmira" totalsRowFunction="sum" dataDxfId="75" totalsRowDxfId="74"/>
    <tableColumn id="39" xr3:uid="{00000000-0010-0000-0300-000027000000}" name="LDV - Pasto" totalsRowFunction="sum" dataDxfId="73" totalsRowDxfId="72"/>
    <tableColumn id="40" xr3:uid="{00000000-0010-0000-0300-000028000000}" name="LDV - Popayán" totalsRowFunction="sum" dataDxfId="71" totalsRowDxfId="70"/>
    <tableColumn id="41" xr3:uid="{00000000-0010-0000-0300-000029000000}" name="LDV - Sincelejo" totalsRowFunction="sum" dataDxfId="69" totalsRowDxfId="68"/>
    <tableColumn id="42" xr3:uid="{00000000-0010-0000-0300-00002A000000}" name="LDV - Sogamoso" totalsRowFunction="sum" dataDxfId="67" totalsRowDxfId="66"/>
    <tableColumn id="43" xr3:uid="{00000000-0010-0000-0300-00002B000000}" name="LDV - Tuluá" totalsRowFunction="sum" dataDxfId="65" totalsRowDxfId="64"/>
    <tableColumn id="44" xr3:uid="{00000000-0010-0000-0300-00002C000000}" name="LDV - Valledupar" totalsRowFunction="sum" dataDxfId="63" totalsRowDxfId="62"/>
    <tableColumn id="45" xr3:uid="{00000000-0010-0000-0300-00002D000000}" name="LDV - Villavicencio" totalsRowFunction="sum" dataDxfId="61" totalsRowDxfId="60"/>
    <tableColumn id="46" xr3:uid="{00000000-0010-0000-0300-00002E000000}" name="LDV - Yopal" totalsRowFunction="sum" dataDxfId="59" totalsRowDxfId="58"/>
    <tableColumn id="47" xr3:uid="{00000000-0010-0000-0300-00002F000000}" name="LDV- Armernia" totalsRowFunction="sum" dataDxfId="57" totalsRowDxfId="56"/>
    <tableColumn id="48" xr3:uid="{00000000-0010-0000-0300-000030000000}" name="LDV Barranquilla" totalsRowFunction="sum" dataDxfId="55" totalsRowDxfId="54"/>
    <tableColumn id="49" xr3:uid="{00000000-0010-0000-0300-000031000000}" name="LDV Bello" totalsRowFunction="sum" dataDxfId="53" totalsRowDxfId="52"/>
    <tableColumn id="50" xr3:uid="{00000000-0010-0000-0300-000032000000}" name="LDV Ibagué" totalsRowFunction="sum" dataDxfId="51" totalsRowDxfId="50"/>
    <tableColumn id="51" xr3:uid="{00000000-0010-0000-0300-000033000000}" name="LDV Neiva" totalsRowFunction="sum" dataDxfId="49" totalsRowDxfId="48"/>
    <tableColumn id="52" xr3:uid="{00000000-0010-0000-0300-000034000000}" name="LDV Palmira" totalsRowFunction="sum" dataDxfId="47" totalsRowDxfId="46"/>
    <tableColumn id="53" xr3:uid="{00000000-0010-0000-0300-000035000000}" name="LNDV " totalsRowFunction="sum" dataDxfId="45" totalsRowDxfId="44"/>
    <tableColumn id="58" xr3:uid="{00000000-0010-0000-0300-00003A000000}" name="LNDV UND REF" dataDxfId="43" totalsRowDxfId="42"/>
    <tableColumn id="54" xr3:uid="{00000000-0010-0000-0300-000036000000}" name="LANIP" totalsRowFunction="sum" dataDxfId="41" totalsRowDxfId="40"/>
    <tableColumn id="55" xr3:uid="{00000000-0010-0000-0300-000037000000}" name="LASIM" totalsRowFunction="sum" dataDxfId="39" totalsRowDxfId="38"/>
    <tableColumn id="56" xr3:uid="{00000000-0010-0000-0300-000038000000}" name="SOPORTE" totalsRowFunction="sum" dataDxfId="37" totalsRowDxfId="36"/>
    <tableColumn id="57" xr3:uid="{00000000-0010-0000-0300-000039000000}" name="SPA" totalsRowFunction="sum" dataDxfId="35" totalsRowDxfId="34"/>
  </tableColumns>
  <tableStyleInfo name="TableStyleLight14" showFirstColumn="0" showLastColumn="0" showRowStripes="0"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A15" dT="2024-04-26T17:11:16.26" personId="{40D21E09-9F0A-45BB-88B6-48A2C7A1792D}" id="{B0200B7C-93C8-4B10-B6F0-30B73A152CE2}">
    <text>10 unidades necesarias en residuos</text>
  </threadedComment>
  <threadedComment ref="AA21" dT="2024-04-26T17:11:52.87" personId="{40D21E09-9F0A-45BB-88B6-48A2C7A1792D}" id="{7B465505-36F2-4D64-8859-CE643F7473FA}">
    <text>6 botellas necesarias en residuos</text>
  </threadedComment>
  <threadedComment ref="AA21" dT="2024-04-26T17:20:25.84" personId="{8C8C7CFB-4D2F-4780-A5AD-3EC3FC5B6FAA}" id="{FAFCC604-BFD4-4FCD-A380-688DE92572CD}" parentId="{7B465505-36F2-4D64-8859-CE643F7473FA}">
    <text>1 para Plaguicidas</text>
  </threadedComment>
  <threadedComment ref="AA30" dT="2024-04-26T17:14:55.63" personId="{8C8C7CFB-4D2F-4780-A5AD-3EC3FC5B6FAA}" id="{60341C23-68AC-493E-BC81-8DE16522751A}">
    <text>1 Plaguicidas</text>
  </threadedComment>
  <threadedComment ref="AA30" dT="2024-04-26T19:18:47.66" personId="{8722936B-15EA-4B00-9144-D1F3814DAF6E}" id="{55A0094C-CDD8-49D5-8ABF-128DB10A91D1}" parentId="{60341C23-68AC-493E-BC81-8DE16522751A}">
    <text>1 Fertilizantes</text>
  </threadedComment>
  <threadedComment ref="AA32" dT="2024-04-26T17:13:11.02" personId="{40D21E09-9F0A-45BB-88B6-48A2C7A1792D}" id="{E862F215-C054-499C-ADFC-C2BD85F76F9A}">
    <text>1 botella necesaria en residuos</text>
  </threadedComment>
  <threadedComment ref="AA33" dT="2024-04-26T17:13:36.25" personId="{40D21E09-9F0A-45BB-88B6-48A2C7A1792D}" id="{9F7F972D-2471-4EA7-B5B9-25E339345EBE}">
    <text>1 frasco necesario en residuos</text>
  </threadedComment>
  <threadedComment ref="AA35" dT="2024-04-26T18:02:08.11" personId="{8722936B-15EA-4B00-9144-D1F3814DAF6E}" id="{792780ED-2D82-49D9-8203-706D87252FAF}">
    <text>Fertilizantes</text>
  </threadedComment>
  <threadedComment ref="AA41" dT="2024-04-26T17:26:19.67" personId="{8C8C7CFB-4D2F-4780-A5AD-3EC3FC5B6FAA}" id="{A3A43809-9375-41CD-96A9-306BDC9082D5}">
    <text>1 plaguicidas</text>
  </threadedComment>
  <threadedComment ref="AA41" dT="2024-04-26T18:02:38.39" personId="{8722936B-15EA-4B00-9144-D1F3814DAF6E}" id="{0E7DE69F-5162-4E30-8E6B-4B24D606F7C5}" parentId="{A3A43809-9375-41CD-96A9-306BDC9082D5}">
    <text>5 Fertilizantes</text>
  </threadedComment>
  <threadedComment ref="E168" dT="2024-03-06T13:08:05.31" personId="{8A9415D0-B608-4144-B000-FFA63BBC0C1A}" id="{649A78D6-1099-4F73-89F1-114FBFEF1442}">
    <text>esta en contrato de exclusivos</text>
  </threadedComment>
  <threadedComment ref="H179" dT="2024-03-06T19:15:51.35" personId="{C315F60B-DF31-4E4C-8729-22ED5F380CE1}" id="{7383DB74-B837-40E6-8323-0E2A039B5858}">
    <text>Por requerimiento de PANAFTOSA debe ser marca Merck para LANIP</text>
  </threadedComment>
  <threadedComment ref="E294" dT="2024-03-06T19:20:17.04" personId="{8C8C7CFB-4D2F-4780-A5AD-3EC3FC5B6FAA}" id="{DAC1D359-963E-4774-9862-DC2F6686F0EF}">
    <text>Para validación de azufre elemental en el área de LANIA-Plaguicidas</text>
  </threadedComment>
  <threadedComment ref="H353" dT="2024-03-11T15:39:24.22" personId="{D0CE08D9-64A8-4232-AFC0-358D52569C6D}" id="{6DCD36E6-476B-4A5E-A938-4B848DACA523}">
    <text xml:space="preserve">@Ana Eugenia Patiño Suaza Hay dos números de CAS cual es el correcto </text>
    <mentions>
      <mention mentionpersonId="{284ECF08-5B46-4F9E-8980-4DC920E4AFD4}" mentionId="{D305D0E5-41A8-4C12-A149-5D96B3C4E7EB}" startIndex="0" length="25"/>
    </mentions>
  </threadedComment>
  <threadedComment ref="H422" dT="2024-03-06T19:17:41.34" personId="{40D21E09-9F0A-45BB-88B6-48A2C7A1792D}" id="{22E9B0D7-420F-4F5E-9D8D-ABFB3BD43DF3}">
    <text>Se incluye No Ref Scharlau o equvalente. Necesario en plan de monitoreo de residuos de plaguicidas</text>
  </threadedComment>
  <threadedComment ref="H430" dT="2024-03-06T20:29:29.83" personId="{C315F60B-DF31-4E4C-8729-22ED5F380CE1}" id="{0119071F-1CDD-4287-9808-F0C0C417669F}">
    <text>Por requerimiento de PANAFTOSA  debe ser marca Merck</text>
  </threadedComment>
  <threadedComment ref="H437" dT="2024-03-06T20:14:55.54" personId="{C315F60B-DF31-4E4C-8729-22ED5F380CE1}" id="{D82D2A2F-1F70-4DB0-BD0A-43CCEBDE4A35}">
    <text>Por requerimiento de PANAFTOSA debe ser marca Merck</text>
  </threadedComment>
  <threadedComment ref="K463" dT="2024-04-26T23:09:18.15" personId="{8F3AC17E-1B22-4664-9D31-5F9E07DB6E1C}" id="{DE4ED4FC-1A4C-4C11-9D98-42A64776F11B}">
    <text xml:space="preserve">Este precio está muy elevado ...saldría el litro de hipoclorito a más de 40.000
</text>
  </threadedComment>
  <threadedComment ref="E530" dT="2024-04-28T10:51:36.50" personId="{8F3AC17E-1B22-4664-9D31-5F9E07DB6E1C}" id="{2CA8C0BF-4C6A-4C1C-A19B-FB23B7F0EFE2}">
    <text xml:space="preserve">está repetido en la celda anterior
</text>
  </threadedComment>
  <threadedComment ref="H574" dT="2024-03-06T20:33:26.68" personId="{C315F60B-DF31-4E4C-8729-22ED5F380CE1}" id="{9571737E-7AE3-4F7C-9C0F-913995920BF5}">
    <text>Por requerimieno de PANAFTOSA debe ser marca Fisher Chemicals o Thermo Scientific</text>
  </threadedComment>
  <threadedComment ref="E614" dT="2024-04-26T16:12:30.06" personId="{8A9415D0-B608-4144-B000-FFA63BBC0C1A}" id="{65F55E6C-85AC-4C4E-BF44-568E3269CD17}">
    <text>repetido en el 157</text>
  </threadedComment>
  <threadedComment ref="H616" dT="2024-03-11T20:11:39.50" personId="{D0CE08D9-64A8-4232-AFC0-358D52569C6D}" id="{F25C772C-47A4-44F9-87C2-266D1311FCFF}">
    <text>@Ana Eugenia Patiño Suaza la marca de referencia propuesta cuenta con un proceso de exclusividad</text>
    <mentions>
      <mention mentionpersonId="{284ECF08-5B46-4F9E-8980-4DC920E4AFD4}" mentionId="{84A40487-2D17-4B18-A568-C59C78747751}" startIndex="0" length="25"/>
    </mentions>
  </threadedComment>
  <threadedComment ref="H665" dT="2024-03-11T20:12:03.38" personId="{D0CE08D9-64A8-4232-AFC0-358D52569C6D}" id="{249AFEEA-7AC1-45B0-A31E-AE429B865CED}">
    <text>@Ana Eugenia Patiño Suaza la marca de referencia propuesta cuenta con un proceso de exclusividad</text>
    <mentions>
      <mention mentionpersonId="{284ECF08-5B46-4F9E-8980-4DC920E4AFD4}" mentionId="{C44E454C-D354-4FF9-88D9-9746D834E580}" startIndex="0" length="25"/>
    </mentions>
  </threadedComment>
  <threadedComment ref="H670" dT="2024-03-11T22:21:17.26" personId="{D0CE08D9-64A8-4232-AFC0-358D52569C6D}" id="{5293FA2D-45D5-433C-B7CE-B2FC4B217CED}">
    <text>@Cristian Giovany García Muñoz  este ítem esta repetido con el siguiente? es la misma referencia</text>
    <mentions>
      <mention mentionpersonId="{78BDF0C6-78AB-48FE-A951-EBF50590C5D7}" mentionId="{AB20163C-18F6-4708-AC9D-CDA587558ECC}" startIndex="0" length="30"/>
    </mentions>
  </threadedComment>
  <threadedComment ref="E677" dT="2024-03-06T19:20:29.90" personId="{8C8C7CFB-4D2F-4780-A5AD-3EC3FC5B6FAA}" id="{4FF89D5B-7B37-4B44-9A60-988E4E78C9B9}">
    <text>Para validación de azufre elemental en el área de LANIA-Plaguicidas</text>
  </threadedComment>
  <threadedComment ref="W684" dT="2024-04-26T14:45:33.09" personId="{D0CE08D9-64A8-4232-AFC0-358D52569C6D}" id="{F4CBC73A-A87F-4F03-873C-046D64116AE9}">
    <text>NO SOLICITAR ESTE ITEM TENEMOS EN EXCESO NI ADICIONAR</text>
  </threadedComment>
</ThreadedComments>
</file>

<file path=xl/threadedComments/threadedComment2.xml><?xml version="1.0" encoding="utf-8"?>
<ThreadedComments xmlns="http://schemas.microsoft.com/office/spreadsheetml/2018/threadedcomments" xmlns:x="http://schemas.openxmlformats.org/spreadsheetml/2006/main">
  <threadedComment ref="U324" dT="2024-04-26T16:23:40.94" personId="{A9926ACA-4995-4BFD-B018-C5800201A4AF}" id="{6E2F0655-B06C-42C7-B8C8-878741D865DB}">
    <text>REFERENCIA</text>
  </threadedComment>
  <threadedComment ref="U325" dT="2024-04-26T16:23:40.94" personId="{A9926ACA-4995-4BFD-B018-C5800201A4AF}" id="{827B2815-E4A0-47DB-B72A-D87926F47B81}">
    <text>REFERENCIA</text>
  </threadedComment>
</ThreadedComments>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8" Type="http://schemas.openxmlformats.org/officeDocument/2006/relationships/hyperlink" Target="https://www.sigmaaldrich.com/CO/es/search/9005-65-6?focus=products&amp;page=1&amp;perpage=30&amp;sort=relevance&amp;term=9005-65-6&amp;type=cas_number" TargetMode="External"/><Relationship Id="rId13" Type="http://schemas.microsoft.com/office/2017/10/relationships/threadedComment" Target="../threadedComments/threadedComment1.xml"/><Relationship Id="rId3" Type="http://schemas.openxmlformats.org/officeDocument/2006/relationships/hyperlink" Target="https://www.itwreagents.com/iberia/es/product/search?term=7647-01-0&amp;filter=cas" TargetMode="External"/><Relationship Id="rId7" Type="http://schemas.openxmlformats.org/officeDocument/2006/relationships/hyperlink" Target="https://www.sigmaaldrich.com/CO/es/search/70-47-3?focus=products&amp;page=1&amp;perpage=30&amp;sort=relevance&amp;term=70-47-3&amp;type=cas_number" TargetMode="External"/><Relationship Id="rId12" Type="http://schemas.openxmlformats.org/officeDocument/2006/relationships/comments" Target="../comments1.xml"/><Relationship Id="rId2" Type="http://schemas.openxmlformats.org/officeDocument/2006/relationships/hyperlink" Target="https://www.itwreagents.com/iberia/es/product/search?term=7647-01-0&amp;filter=cas" TargetMode="External"/><Relationship Id="rId1" Type="http://schemas.openxmlformats.org/officeDocument/2006/relationships/hyperlink" Target="https://www.sigmaaldrich.com/CO/es/search/132-32-1?focus=products&amp;page=1&amp;perpage=30&amp;sort=relevance&amp;term=132-32-1&amp;type=cas_number" TargetMode="External"/><Relationship Id="rId6" Type="http://schemas.openxmlformats.org/officeDocument/2006/relationships/hyperlink" Target="https://www.sigmaaldrich.com/CO/es/search/89-83-8?focus=products&amp;page=1&amp;perpage=30&amp;sort=relevance&amp;term=89-83-8&amp;type=cas_number" TargetMode="External"/><Relationship Id="rId11" Type="http://schemas.openxmlformats.org/officeDocument/2006/relationships/table" Target="../tables/table1.xml"/><Relationship Id="rId5" Type="http://schemas.openxmlformats.org/officeDocument/2006/relationships/hyperlink" Target="https://www.merckmillipore.com/CO/es/search/-?search=&amp;SingleResultDisplay=SFProductSearch&amp;TrackingSearchType=pdp_related_product&amp;SearchTerm=*&amp;SearchParameter=%26%40QueryTerm%3D*%26feature_formula_hill_value%3DH%25E2%2582%2585I%2BO%25E2%2582%2586" TargetMode="External"/><Relationship Id="rId10" Type="http://schemas.openxmlformats.org/officeDocument/2006/relationships/vmlDrawing" Target="../drawings/vmlDrawing1.vml"/><Relationship Id="rId4" Type="http://schemas.openxmlformats.org/officeDocument/2006/relationships/hyperlink" Target="https://www.merckmillipore.com/CO/es/search/-?search=&amp;SingleResultDisplay=SFProductSearch&amp;TrackingSearchType=pdp_related_product&amp;SearchTerm=*&amp;SearchParameter=%26%40QueryTerm%3D*%26feature_formula_hill_value%3DH%25E2%2582%2585I%2BO%25E2%2582%2586" TargetMode="External"/><Relationship Id="rId9" Type="http://schemas.openxmlformats.org/officeDocument/2006/relationships/printerSettings" Target="../printerSettings/printerSettings1.bin"/><Relationship Id="rId14" Type="http://schemas.microsoft.com/office/2019/04/relationships/documenttask" Target="../documenttasks/documenttask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3:K18"/>
  <sheetViews>
    <sheetView workbookViewId="0">
      <selection activeCell="D4" sqref="D4"/>
    </sheetView>
  </sheetViews>
  <sheetFormatPr baseColWidth="10" defaultColWidth="11.42578125" defaultRowHeight="15" x14ac:dyDescent="0.25"/>
  <cols>
    <col min="1" max="1" width="24" bestFit="1" customWidth="1"/>
    <col min="2" max="2" width="30.7109375" bestFit="1" customWidth="1"/>
    <col min="3" max="3" width="19.28515625" customWidth="1"/>
    <col min="4" max="5" width="19.28515625" bestFit="1" customWidth="1"/>
    <col min="6" max="6" width="18.42578125" bestFit="1" customWidth="1"/>
    <col min="7" max="7" width="22.42578125" bestFit="1" customWidth="1"/>
    <col min="8" max="8" width="18.7109375" bestFit="1" customWidth="1"/>
    <col min="9" max="9" width="15.28515625" bestFit="1" customWidth="1"/>
    <col min="10" max="10" width="17.5703125" bestFit="1" customWidth="1"/>
    <col min="11" max="12" width="18.7109375" bestFit="1" customWidth="1"/>
    <col min="13" max="13" width="14.5703125" customWidth="1"/>
    <col min="14" max="14" width="13" customWidth="1"/>
    <col min="15" max="15" width="14.5703125" bestFit="1" customWidth="1"/>
    <col min="16" max="16" width="13" customWidth="1"/>
    <col min="17" max="17" width="14.5703125" customWidth="1"/>
    <col min="18" max="18" width="13" customWidth="1"/>
    <col min="19" max="19" width="14.5703125" customWidth="1"/>
    <col min="20" max="21" width="13" customWidth="1"/>
    <col min="22" max="22" width="14.5703125" customWidth="1"/>
    <col min="23" max="23" width="13" customWidth="1"/>
    <col min="24" max="25" width="14.5703125" customWidth="1"/>
    <col min="26" max="27" width="13" customWidth="1"/>
    <col min="28" max="28" width="14.5703125" customWidth="1"/>
    <col min="29" max="32" width="14.5703125" bestFit="1" customWidth="1"/>
    <col min="33" max="33" width="13" bestFit="1" customWidth="1"/>
    <col min="34" max="34" width="14.5703125" bestFit="1" customWidth="1"/>
    <col min="35" max="36" width="13" bestFit="1" customWidth="1"/>
    <col min="37" max="37" width="14.5703125" bestFit="1" customWidth="1"/>
    <col min="38" max="38" width="13" bestFit="1" customWidth="1"/>
    <col min="39" max="40" width="14.5703125" bestFit="1" customWidth="1"/>
    <col min="41" max="41" width="13" bestFit="1" customWidth="1"/>
    <col min="42" max="42" width="14.5703125" bestFit="1" customWidth="1"/>
    <col min="43" max="43" width="15.5703125" bestFit="1" customWidth="1"/>
    <col min="44" max="44" width="14.5703125" bestFit="1" customWidth="1"/>
    <col min="45" max="45" width="13" bestFit="1" customWidth="1"/>
    <col min="46" max="46" width="15.5703125" bestFit="1" customWidth="1"/>
    <col min="47" max="49" width="13" bestFit="1" customWidth="1"/>
    <col min="50" max="50" width="14.5703125" bestFit="1" customWidth="1"/>
    <col min="51" max="52" width="13" bestFit="1" customWidth="1"/>
    <col min="53" max="56" width="14.5703125" bestFit="1" customWidth="1"/>
    <col min="57" max="57" width="15.5703125" bestFit="1" customWidth="1"/>
    <col min="58" max="61" width="13" bestFit="1" customWidth="1"/>
    <col min="62" max="62" width="14.5703125" bestFit="1" customWidth="1"/>
    <col min="63" max="68" width="13" bestFit="1" customWidth="1"/>
    <col min="69" max="70" width="14.5703125" bestFit="1" customWidth="1"/>
    <col min="71" max="82" width="13" bestFit="1" customWidth="1"/>
    <col min="83" max="83" width="14.5703125" bestFit="1" customWidth="1"/>
    <col min="84" max="85" width="13" bestFit="1" customWidth="1"/>
    <col min="86" max="86" width="14.5703125" bestFit="1" customWidth="1"/>
    <col min="87" max="87" width="13" bestFit="1" customWidth="1"/>
    <col min="88" max="89" width="14.5703125" bestFit="1" customWidth="1"/>
    <col min="90" max="91" width="13" bestFit="1" customWidth="1"/>
    <col min="92" max="116" width="14.5703125" bestFit="1" customWidth="1"/>
    <col min="117" max="117" width="15.5703125" bestFit="1" customWidth="1"/>
    <col min="118" max="144" width="14.5703125" bestFit="1" customWidth="1"/>
    <col min="145" max="145" width="15.5703125" bestFit="1" customWidth="1"/>
    <col min="146" max="156" width="14.5703125" bestFit="1" customWidth="1"/>
    <col min="157" max="159" width="15.5703125" bestFit="1" customWidth="1"/>
    <col min="160" max="177" width="14.5703125" bestFit="1" customWidth="1"/>
    <col min="178" max="178" width="15.5703125" bestFit="1" customWidth="1"/>
    <col min="179" max="184" width="14.5703125" bestFit="1" customWidth="1"/>
    <col min="185" max="185" width="15.5703125" bestFit="1" customWidth="1"/>
    <col min="186" max="189" width="14.5703125" bestFit="1" customWidth="1"/>
    <col min="190" max="191" width="15.5703125" bestFit="1" customWidth="1"/>
    <col min="192" max="196" width="14.5703125" bestFit="1" customWidth="1"/>
    <col min="197" max="197" width="15.5703125" bestFit="1" customWidth="1"/>
    <col min="198" max="198" width="14.5703125" bestFit="1" customWidth="1"/>
    <col min="199" max="199" width="15.5703125" bestFit="1" customWidth="1"/>
    <col min="200" max="202" width="14.5703125" bestFit="1" customWidth="1"/>
    <col min="203" max="203" width="15.5703125" bestFit="1" customWidth="1"/>
    <col min="204" max="207" width="14.5703125" bestFit="1" customWidth="1"/>
    <col min="208" max="209" width="15.5703125" bestFit="1" customWidth="1"/>
    <col min="210" max="213" width="14.5703125" bestFit="1" customWidth="1"/>
    <col min="214" max="214" width="15.5703125" bestFit="1" customWidth="1"/>
    <col min="215" max="216" width="14.5703125" bestFit="1" customWidth="1"/>
    <col min="217" max="217" width="15.5703125" bestFit="1" customWidth="1"/>
    <col min="218" max="222" width="14.5703125" bestFit="1" customWidth="1"/>
    <col min="223" max="223" width="15.5703125" bestFit="1" customWidth="1"/>
    <col min="224" max="224" width="14.5703125" bestFit="1" customWidth="1"/>
    <col min="225" max="225" width="15.5703125" bestFit="1" customWidth="1"/>
    <col min="226" max="226" width="14.5703125" bestFit="1" customWidth="1"/>
    <col min="227" max="227" width="15.5703125" bestFit="1" customWidth="1"/>
    <col min="228" max="232" width="14.5703125" bestFit="1" customWidth="1"/>
    <col min="233" max="233" width="15.5703125" bestFit="1" customWidth="1"/>
    <col min="234" max="235" width="14.5703125" bestFit="1" customWidth="1"/>
    <col min="236" max="236" width="15.5703125" bestFit="1" customWidth="1"/>
    <col min="237" max="239" width="14.5703125" bestFit="1" customWidth="1"/>
    <col min="240" max="240" width="15.5703125" bestFit="1" customWidth="1"/>
    <col min="241" max="242" width="14.5703125" bestFit="1" customWidth="1"/>
    <col min="243" max="243" width="15.5703125" bestFit="1" customWidth="1"/>
    <col min="244" max="251" width="14.5703125" bestFit="1" customWidth="1"/>
    <col min="252" max="253" width="15.5703125" bestFit="1" customWidth="1"/>
    <col min="254" max="254" width="14.5703125" bestFit="1" customWidth="1"/>
    <col min="255" max="256" width="15.5703125" bestFit="1" customWidth="1"/>
    <col min="257" max="257" width="14.5703125" bestFit="1" customWidth="1"/>
    <col min="258" max="258" width="15.5703125" bestFit="1" customWidth="1"/>
    <col min="259" max="260" width="14.5703125" bestFit="1" customWidth="1"/>
    <col min="261" max="264" width="15.5703125" bestFit="1" customWidth="1"/>
    <col min="265" max="267" width="14.5703125" bestFit="1" customWidth="1"/>
    <col min="268" max="269" width="15.5703125" bestFit="1" customWidth="1"/>
    <col min="270" max="271" width="14.5703125" bestFit="1" customWidth="1"/>
    <col min="272" max="287" width="15.5703125" bestFit="1" customWidth="1"/>
    <col min="288" max="290" width="16.7109375" bestFit="1" customWidth="1"/>
    <col min="291" max="293" width="15.5703125" bestFit="1" customWidth="1"/>
    <col min="294" max="295" width="16.7109375" bestFit="1" customWidth="1"/>
    <col min="296" max="296" width="15.5703125" bestFit="1" customWidth="1"/>
    <col min="297" max="298" width="16.7109375" bestFit="1" customWidth="1"/>
    <col min="299" max="299" width="19.28515625" customWidth="1"/>
    <col min="300" max="301" width="12" bestFit="1" customWidth="1"/>
    <col min="302" max="366" width="13" bestFit="1" customWidth="1"/>
    <col min="367" max="367" width="14.5703125" bestFit="1" customWidth="1"/>
    <col min="368" max="390" width="13" bestFit="1" customWidth="1"/>
    <col min="391" max="568" width="14.5703125" bestFit="1" customWidth="1"/>
    <col min="569" max="584" width="15.5703125" bestFit="1" customWidth="1"/>
    <col min="585" max="585" width="16.7109375" bestFit="1" customWidth="1"/>
    <col min="586" max="586" width="15.5703125" bestFit="1" customWidth="1"/>
    <col min="587" max="587" width="16.7109375" bestFit="1" customWidth="1"/>
    <col min="588" max="590" width="15.5703125" bestFit="1" customWidth="1"/>
    <col min="591" max="591" width="16.7109375" bestFit="1" customWidth="1"/>
    <col min="592" max="593" width="15.5703125" bestFit="1" customWidth="1"/>
    <col min="594" max="595" width="16.7109375" bestFit="1" customWidth="1"/>
    <col min="596" max="596" width="23.85546875" bestFit="1" customWidth="1"/>
    <col min="597" max="597" width="29.28515625" bestFit="1" customWidth="1"/>
  </cols>
  <sheetData>
    <row r="3" spans="1:11" ht="30" x14ac:dyDescent="0.25">
      <c r="A3" s="8" t="s">
        <v>0</v>
      </c>
      <c r="B3" s="8" t="s">
        <v>1</v>
      </c>
      <c r="C3" s="9" t="s">
        <v>2</v>
      </c>
      <c r="D3" s="9" t="s">
        <v>3</v>
      </c>
      <c r="E3" s="9" t="s">
        <v>4</v>
      </c>
      <c r="F3" s="9" t="s">
        <v>5</v>
      </c>
      <c r="G3" s="9" t="s">
        <v>6</v>
      </c>
      <c r="H3" s="9" t="s">
        <v>7</v>
      </c>
      <c r="I3" s="9" t="s">
        <v>8</v>
      </c>
      <c r="J3" s="9" t="s">
        <v>9</v>
      </c>
      <c r="K3" s="9" t="s">
        <v>10</v>
      </c>
    </row>
    <row r="4" spans="1:11" x14ac:dyDescent="0.25">
      <c r="A4" s="3" t="s">
        <v>11</v>
      </c>
      <c r="B4" s="3" t="s">
        <v>12</v>
      </c>
      <c r="C4" s="111">
        <v>215288468.24799997</v>
      </c>
      <c r="D4" s="111">
        <v>71582929.656000018</v>
      </c>
      <c r="E4" s="111">
        <v>36072683.248000003</v>
      </c>
      <c r="F4" s="111">
        <v>44359035.952000007</v>
      </c>
      <c r="G4" s="111">
        <v>7771381.6320000002</v>
      </c>
      <c r="H4" s="111">
        <v>1961051.456</v>
      </c>
      <c r="I4" s="111">
        <v>0</v>
      </c>
      <c r="J4" s="111">
        <v>53541386.304000005</v>
      </c>
      <c r="K4" s="111">
        <v>0</v>
      </c>
    </row>
    <row r="5" spans="1:11" x14ac:dyDescent="0.25">
      <c r="A5" s="3"/>
      <c r="B5" s="3" t="s">
        <v>13</v>
      </c>
      <c r="C5" s="111">
        <v>2600881361.3135977</v>
      </c>
      <c r="D5" s="111">
        <v>648226317.18399918</v>
      </c>
      <c r="E5" s="111">
        <v>916464895.90399992</v>
      </c>
      <c r="F5" s="111">
        <v>432746705.1024</v>
      </c>
      <c r="G5" s="111">
        <v>227336401.37919998</v>
      </c>
      <c r="H5" s="111">
        <v>70378323.10240002</v>
      </c>
      <c r="I5" s="111">
        <v>5376506.0608000001</v>
      </c>
      <c r="J5" s="111">
        <v>275702393.97759992</v>
      </c>
      <c r="K5" s="111">
        <v>24649818.6032</v>
      </c>
    </row>
    <row r="6" spans="1:11" x14ac:dyDescent="0.25">
      <c r="A6" s="3"/>
      <c r="B6" s="3" t="s">
        <v>14</v>
      </c>
      <c r="C6" s="111">
        <v>414405496.31999999</v>
      </c>
      <c r="D6" s="111">
        <v>62646945.600000001</v>
      </c>
      <c r="E6" s="111">
        <v>52699187.200000003</v>
      </c>
      <c r="F6" s="111">
        <v>0</v>
      </c>
      <c r="G6" s="111">
        <v>182972968</v>
      </c>
      <c r="H6" s="111">
        <v>116086395.52</v>
      </c>
      <c r="I6" s="111">
        <v>0</v>
      </c>
      <c r="J6" s="111">
        <v>0</v>
      </c>
      <c r="K6" s="111">
        <v>0</v>
      </c>
    </row>
    <row r="7" spans="1:11" x14ac:dyDescent="0.25">
      <c r="A7" s="3"/>
      <c r="B7" s="3" t="s">
        <v>15</v>
      </c>
      <c r="C7" s="111">
        <v>670652892.65199995</v>
      </c>
      <c r="D7" s="111">
        <v>233933170.53920004</v>
      </c>
      <c r="E7" s="111">
        <v>186550676.63119999</v>
      </c>
      <c r="F7" s="111">
        <v>2996455.4143999997</v>
      </c>
      <c r="G7" s="111">
        <v>115304363.7984</v>
      </c>
      <c r="H7" s="111">
        <v>131868226.26880001</v>
      </c>
      <c r="I7" s="111">
        <v>0</v>
      </c>
      <c r="J7" s="111">
        <v>0</v>
      </c>
      <c r="K7" s="111">
        <v>0</v>
      </c>
    </row>
    <row r="8" spans="1:11" x14ac:dyDescent="0.25">
      <c r="A8" s="3"/>
      <c r="B8" s="3" t="s">
        <v>16</v>
      </c>
      <c r="C8" s="111">
        <v>53020874.736000009</v>
      </c>
      <c r="D8" s="111">
        <v>14958869.295999998</v>
      </c>
      <c r="E8" s="111">
        <v>3102830.7519999999</v>
      </c>
      <c r="F8" s="111">
        <v>12017292.112</v>
      </c>
      <c r="G8" s="111">
        <v>13988408.255999999</v>
      </c>
      <c r="H8" s="111">
        <v>3792059.7119999998</v>
      </c>
      <c r="I8" s="111">
        <v>0</v>
      </c>
      <c r="J8" s="111">
        <v>2625572.2079999996</v>
      </c>
      <c r="K8" s="111">
        <v>2535842.4000000004</v>
      </c>
    </row>
    <row r="9" spans="1:11" x14ac:dyDescent="0.25">
      <c r="A9" s="3"/>
      <c r="B9" s="3" t="s">
        <v>17</v>
      </c>
      <c r="C9" s="111">
        <v>479634702.09280008</v>
      </c>
      <c r="D9" s="111">
        <v>168189078.93279999</v>
      </c>
      <c r="E9" s="111">
        <v>88977775.824000001</v>
      </c>
      <c r="F9" s="111">
        <v>107528918.04319999</v>
      </c>
      <c r="G9" s="111">
        <v>58265445.960000001</v>
      </c>
      <c r="H9" s="111">
        <v>13038757.406399999</v>
      </c>
      <c r="I9" s="111">
        <v>0</v>
      </c>
      <c r="J9" s="111">
        <v>43160068.246399999</v>
      </c>
      <c r="K9" s="111">
        <v>474657.68</v>
      </c>
    </row>
    <row r="10" spans="1:11" x14ac:dyDescent="0.25">
      <c r="A10" s="3"/>
      <c r="B10" s="3" t="s">
        <v>18</v>
      </c>
      <c r="C10" s="111">
        <v>1274423.3600000001</v>
      </c>
      <c r="D10" s="111">
        <v>182060.48</v>
      </c>
      <c r="E10" s="111">
        <v>273090.72000000003</v>
      </c>
      <c r="F10" s="111">
        <v>91030.24</v>
      </c>
      <c r="G10" s="111">
        <v>546181.44000000006</v>
      </c>
      <c r="H10" s="111">
        <v>0</v>
      </c>
      <c r="I10" s="111">
        <v>0</v>
      </c>
      <c r="J10" s="111">
        <v>182060.48</v>
      </c>
      <c r="K10" s="111">
        <v>0</v>
      </c>
    </row>
    <row r="11" spans="1:11" x14ac:dyDescent="0.25">
      <c r="A11" s="3"/>
      <c r="B11" s="3" t="s">
        <v>19</v>
      </c>
      <c r="C11" s="111">
        <v>43022307.692799993</v>
      </c>
      <c r="D11" s="111">
        <v>43022307.692799993</v>
      </c>
      <c r="E11" s="111">
        <v>0</v>
      </c>
      <c r="F11" s="111">
        <v>0</v>
      </c>
      <c r="G11" s="111">
        <v>0</v>
      </c>
      <c r="H11" s="111">
        <v>0</v>
      </c>
      <c r="I11" s="111">
        <v>0</v>
      </c>
      <c r="J11" s="111">
        <v>0</v>
      </c>
      <c r="K11" s="111">
        <v>0</v>
      </c>
    </row>
    <row r="12" spans="1:11" x14ac:dyDescent="0.25">
      <c r="A12" s="3"/>
      <c r="B12" s="3" t="s">
        <v>20</v>
      </c>
      <c r="C12" s="111">
        <v>29871092.423999999</v>
      </c>
      <c r="D12" s="111">
        <v>0</v>
      </c>
      <c r="E12" s="111">
        <v>0</v>
      </c>
      <c r="F12" s="111">
        <v>11145745.864</v>
      </c>
      <c r="G12" s="111">
        <v>0</v>
      </c>
      <c r="H12" s="111">
        <v>0</v>
      </c>
      <c r="I12" s="111">
        <v>0</v>
      </c>
      <c r="J12" s="111">
        <v>18725346.559999999</v>
      </c>
      <c r="K12" s="111">
        <v>0</v>
      </c>
    </row>
    <row r="13" spans="1:11" x14ac:dyDescent="0.25">
      <c r="A13" s="3"/>
      <c r="B13" s="3" t="s">
        <v>21</v>
      </c>
      <c r="C13" s="111">
        <v>1326440.6400000001</v>
      </c>
      <c r="D13" s="111">
        <v>390129.6</v>
      </c>
      <c r="E13" s="111">
        <v>0</v>
      </c>
      <c r="F13" s="111">
        <v>442146.88</v>
      </c>
      <c r="G13" s="111">
        <v>130043.2</v>
      </c>
      <c r="H13" s="111">
        <v>0</v>
      </c>
      <c r="I13" s="111">
        <v>0</v>
      </c>
      <c r="J13" s="111">
        <v>364120.96</v>
      </c>
      <c r="K13" s="111">
        <v>0</v>
      </c>
    </row>
    <row r="14" spans="1:11" x14ac:dyDescent="0.25">
      <c r="A14" s="3"/>
      <c r="B14" s="3" t="s">
        <v>22</v>
      </c>
      <c r="C14" s="111">
        <v>283797886.97599995</v>
      </c>
      <c r="D14" s="111">
        <v>97218394.84799999</v>
      </c>
      <c r="E14" s="111">
        <v>152484394.40000001</v>
      </c>
      <c r="F14" s="111">
        <v>14744013.888</v>
      </c>
      <c r="G14" s="111">
        <v>14376002.560000001</v>
      </c>
      <c r="H14" s="111">
        <v>939808</v>
      </c>
      <c r="I14" s="111">
        <v>0</v>
      </c>
      <c r="J14" s="111">
        <v>1888358.3999999999</v>
      </c>
      <c r="K14" s="111">
        <v>2146914.88</v>
      </c>
    </row>
    <row r="15" spans="1:11" x14ac:dyDescent="0.25">
      <c r="A15" s="3"/>
      <c r="B15" s="3" t="s">
        <v>23</v>
      </c>
      <c r="C15" s="111">
        <v>177079683.37600002</v>
      </c>
      <c r="D15" s="111">
        <v>49908383.631999999</v>
      </c>
      <c r="E15" s="111">
        <v>15761891.52</v>
      </c>
      <c r="F15" s="111">
        <v>62793195.024000011</v>
      </c>
      <c r="G15" s="111">
        <v>10731164.864</v>
      </c>
      <c r="H15" s="111">
        <v>11077232.767999999</v>
      </c>
      <c r="I15" s="111">
        <v>0</v>
      </c>
      <c r="J15" s="111">
        <v>24669905.360000003</v>
      </c>
      <c r="K15" s="111">
        <v>2137910.2080000001</v>
      </c>
    </row>
    <row r="16" spans="1:11" x14ac:dyDescent="0.25">
      <c r="A16" s="3"/>
      <c r="B16" s="3" t="s">
        <v>24</v>
      </c>
      <c r="C16" s="111">
        <v>0</v>
      </c>
      <c r="D16" s="111">
        <v>0</v>
      </c>
      <c r="E16" s="111">
        <v>0</v>
      </c>
      <c r="F16" s="111">
        <v>0</v>
      </c>
      <c r="G16" s="111">
        <v>0</v>
      </c>
      <c r="H16" s="111">
        <v>0</v>
      </c>
      <c r="I16" s="111">
        <v>0</v>
      </c>
      <c r="J16" s="111">
        <v>0</v>
      </c>
      <c r="K16" s="111">
        <v>0</v>
      </c>
    </row>
    <row r="17" spans="1:11" x14ac:dyDescent="0.25">
      <c r="A17" t="s">
        <v>25</v>
      </c>
      <c r="C17" s="111">
        <v>4970255629.8311977</v>
      </c>
      <c r="D17" s="111">
        <v>1390258587.4607992</v>
      </c>
      <c r="E17" s="111">
        <v>1452387426.1992004</v>
      </c>
      <c r="F17" s="111">
        <v>688864538.51999998</v>
      </c>
      <c r="G17" s="111">
        <v>631422361.08959997</v>
      </c>
      <c r="H17" s="111">
        <v>349141854.23360008</v>
      </c>
      <c r="I17" s="111">
        <v>5376506.0608000001</v>
      </c>
      <c r="J17" s="111">
        <v>420859212.49599993</v>
      </c>
      <c r="K17" s="111">
        <v>31945143.771200001</v>
      </c>
    </row>
    <row r="18" spans="1:11" x14ac:dyDescent="0.25">
      <c r="A18" t="s">
        <v>26</v>
      </c>
      <c r="C18" s="111">
        <v>4970255629.8311977</v>
      </c>
      <c r="D18" s="111">
        <v>1390258587.4607992</v>
      </c>
      <c r="E18" s="111">
        <v>1452387426.1992004</v>
      </c>
      <c r="F18" s="111">
        <v>688864538.51999998</v>
      </c>
      <c r="G18" s="111">
        <v>631422361.08959997</v>
      </c>
      <c r="H18" s="111">
        <v>349141854.23360008</v>
      </c>
      <c r="I18" s="111">
        <v>5376506.0608000001</v>
      </c>
      <c r="J18" s="111">
        <v>420859212.49599993</v>
      </c>
      <c r="K18" s="111">
        <v>31945143.771200001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
  <dimension ref="A3:K26"/>
  <sheetViews>
    <sheetView workbookViewId="0">
      <selection activeCell="D14" sqref="D14"/>
    </sheetView>
  </sheetViews>
  <sheetFormatPr baseColWidth="10" defaultColWidth="11.42578125" defaultRowHeight="15" x14ac:dyDescent="0.25"/>
  <cols>
    <col min="1" max="1" width="20.85546875" bestFit="1" customWidth="1"/>
    <col min="2" max="2" width="32.7109375" bestFit="1" customWidth="1"/>
    <col min="3" max="3" width="22.28515625" bestFit="1" customWidth="1"/>
    <col min="4" max="4" width="16.140625" bestFit="1" customWidth="1"/>
    <col min="5" max="6" width="18.85546875" bestFit="1" customWidth="1"/>
    <col min="7" max="7" width="22.85546875" bestFit="1" customWidth="1"/>
    <col min="8" max="8" width="16.140625" bestFit="1" customWidth="1"/>
    <col min="9" max="11" width="19.140625" bestFit="1" customWidth="1"/>
    <col min="12" max="12" width="16.140625" customWidth="1"/>
  </cols>
  <sheetData>
    <row r="3" spans="1:11" ht="30" x14ac:dyDescent="0.25">
      <c r="A3" s="6" t="s">
        <v>27</v>
      </c>
      <c r="B3" s="6" t="s">
        <v>1</v>
      </c>
      <c r="C3" s="7" t="s">
        <v>28</v>
      </c>
      <c r="D3" s="7" t="s">
        <v>3</v>
      </c>
      <c r="E3" s="7" t="s">
        <v>4</v>
      </c>
      <c r="F3" s="7" t="s">
        <v>5</v>
      </c>
      <c r="G3" s="7" t="s">
        <v>6</v>
      </c>
      <c r="H3" s="7" t="s">
        <v>7</v>
      </c>
      <c r="I3" s="7" t="s">
        <v>10</v>
      </c>
      <c r="J3" s="7" t="s">
        <v>9</v>
      </c>
      <c r="K3" s="7" t="s">
        <v>8</v>
      </c>
    </row>
    <row r="4" spans="1:11" x14ac:dyDescent="0.25">
      <c r="A4" s="3" t="s">
        <v>29</v>
      </c>
      <c r="C4" s="5">
        <v>269898257.79200006</v>
      </c>
      <c r="D4" s="5">
        <v>28783761.888</v>
      </c>
      <c r="E4" s="5">
        <v>19386840.256000001</v>
      </c>
      <c r="F4" s="5">
        <v>34092223.663999997</v>
      </c>
      <c r="G4" s="5">
        <v>97411459.824000001</v>
      </c>
      <c r="H4" s="5">
        <v>88539912.720000014</v>
      </c>
      <c r="I4" s="5">
        <v>0</v>
      </c>
      <c r="J4" s="5">
        <v>1684059.44</v>
      </c>
      <c r="K4" s="5">
        <v>0</v>
      </c>
    </row>
    <row r="5" spans="1:11" x14ac:dyDescent="0.25">
      <c r="B5" s="3" t="s">
        <v>30</v>
      </c>
      <c r="C5" s="5">
        <v>236185760.27200004</v>
      </c>
      <c r="D5" s="5">
        <v>28783761.888</v>
      </c>
      <c r="E5" s="5">
        <v>19386840.256000001</v>
      </c>
      <c r="F5" s="5">
        <v>10523095.743999999</v>
      </c>
      <c r="G5" s="5">
        <v>88952149.664000005</v>
      </c>
      <c r="H5" s="5">
        <v>88539912.720000014</v>
      </c>
      <c r="I5" s="5">
        <v>0</v>
      </c>
      <c r="J5" s="5">
        <v>0</v>
      </c>
      <c r="K5" s="5">
        <v>0</v>
      </c>
    </row>
    <row r="6" spans="1:11" x14ac:dyDescent="0.25">
      <c r="B6" s="3" t="s">
        <v>31</v>
      </c>
      <c r="C6" s="5">
        <v>23569127.919999998</v>
      </c>
      <c r="D6" s="5">
        <v>0</v>
      </c>
      <c r="E6" s="5">
        <v>0</v>
      </c>
      <c r="F6" s="5">
        <v>23569127.919999998</v>
      </c>
      <c r="G6" s="5">
        <v>0</v>
      </c>
      <c r="H6" s="5">
        <v>0</v>
      </c>
      <c r="I6" s="5">
        <v>0</v>
      </c>
      <c r="J6" s="5">
        <v>0</v>
      </c>
      <c r="K6" s="5">
        <v>0</v>
      </c>
    </row>
    <row r="7" spans="1:11" x14ac:dyDescent="0.25">
      <c r="B7" s="3" t="s">
        <v>32</v>
      </c>
      <c r="C7" s="5">
        <v>10143369.600000001</v>
      </c>
      <c r="D7" s="5">
        <v>0</v>
      </c>
      <c r="E7" s="5">
        <v>0</v>
      </c>
      <c r="F7" s="5">
        <v>0</v>
      </c>
      <c r="G7" s="5">
        <v>8459310.1600000001</v>
      </c>
      <c r="H7" s="5">
        <v>0</v>
      </c>
      <c r="I7" s="5">
        <v>0</v>
      </c>
      <c r="J7" s="5">
        <v>1684059.44</v>
      </c>
      <c r="K7" s="5">
        <v>0</v>
      </c>
    </row>
    <row r="8" spans="1:11" x14ac:dyDescent="0.25">
      <c r="A8" s="3" t="s">
        <v>11</v>
      </c>
      <c r="C8" s="5">
        <v>3599767528.051199</v>
      </c>
      <c r="D8" s="5">
        <v>544876577.24239993</v>
      </c>
      <c r="E8" s="5">
        <v>512065177.46799988</v>
      </c>
      <c r="F8" s="5">
        <v>390300480.04320008</v>
      </c>
      <c r="G8" s="5">
        <v>280557167.81279999</v>
      </c>
      <c r="H8" s="5">
        <v>239244849.7915999</v>
      </c>
      <c r="I8" s="5">
        <v>322889591.95840001</v>
      </c>
      <c r="J8" s="5">
        <v>430479165.04599994</v>
      </c>
      <c r="K8" s="5">
        <v>862018707.26239991</v>
      </c>
    </row>
    <row r="9" spans="1:11" x14ac:dyDescent="0.25">
      <c r="B9" s="3" t="s">
        <v>12</v>
      </c>
      <c r="C9" s="5">
        <v>4551512</v>
      </c>
      <c r="D9" s="5">
        <v>0</v>
      </c>
      <c r="E9" s="5">
        <v>2275756</v>
      </c>
      <c r="F9" s="5">
        <v>0</v>
      </c>
      <c r="G9" s="5">
        <v>0</v>
      </c>
      <c r="H9" s="5">
        <v>0</v>
      </c>
      <c r="I9" s="5">
        <v>0</v>
      </c>
      <c r="J9" s="5">
        <v>2275756</v>
      </c>
      <c r="K9" s="5">
        <v>0</v>
      </c>
    </row>
    <row r="10" spans="1:11" x14ac:dyDescent="0.25">
      <c r="B10" s="3" t="s">
        <v>33</v>
      </c>
      <c r="C10" s="5">
        <v>2616449937.6063995</v>
      </c>
      <c r="D10" s="5">
        <v>426161774.79119992</v>
      </c>
      <c r="E10" s="5">
        <v>360934186.36239988</v>
      </c>
      <c r="F10" s="5">
        <v>304975622.07840002</v>
      </c>
      <c r="G10" s="5">
        <v>178665182.09119996</v>
      </c>
      <c r="H10" s="5">
        <v>164972771.00919995</v>
      </c>
      <c r="I10" s="5">
        <v>319207809.97280002</v>
      </c>
      <c r="J10" s="5">
        <v>323111479.26119995</v>
      </c>
      <c r="K10" s="5">
        <v>534438148.91039997</v>
      </c>
    </row>
    <row r="11" spans="1:11" x14ac:dyDescent="0.25">
      <c r="B11" s="3" t="s">
        <v>15</v>
      </c>
      <c r="C11" s="5">
        <v>84434188.809599996</v>
      </c>
      <c r="D11" s="5">
        <v>16339667.993600002</v>
      </c>
      <c r="E11" s="5">
        <v>47006195.331199996</v>
      </c>
      <c r="F11" s="5">
        <v>14004352.208000001</v>
      </c>
      <c r="G11" s="5">
        <v>3756948.048</v>
      </c>
      <c r="H11" s="5">
        <v>0</v>
      </c>
      <c r="I11" s="5">
        <v>0</v>
      </c>
      <c r="J11" s="5">
        <v>3327025.2287999997</v>
      </c>
      <c r="K11" s="5">
        <v>0</v>
      </c>
    </row>
    <row r="12" spans="1:11" x14ac:dyDescent="0.25">
      <c r="B12" s="3" t="s">
        <v>16</v>
      </c>
      <c r="C12" s="5">
        <v>39175806.824000001</v>
      </c>
      <c r="D12" s="5">
        <v>133424.32320000001</v>
      </c>
      <c r="E12" s="5">
        <v>4840847.1919999998</v>
      </c>
      <c r="F12" s="5">
        <v>2074189.0399999998</v>
      </c>
      <c r="G12" s="5">
        <v>2156625.5008</v>
      </c>
      <c r="H12" s="5">
        <v>102723.2</v>
      </c>
      <c r="I12" s="5">
        <v>0</v>
      </c>
      <c r="J12" s="5">
        <v>3359991.1799999997</v>
      </c>
      <c r="K12" s="5">
        <v>26508005.887999997</v>
      </c>
    </row>
    <row r="13" spans="1:11" x14ac:dyDescent="0.25">
      <c r="B13" s="3" t="s">
        <v>17</v>
      </c>
      <c r="C13" s="5">
        <v>168997169.56320003</v>
      </c>
      <c r="D13" s="5">
        <v>30272284.438399997</v>
      </c>
      <c r="E13" s="5">
        <v>25929919.0592</v>
      </c>
      <c r="F13" s="5">
        <v>19934789.846399996</v>
      </c>
      <c r="G13" s="5">
        <v>24181690.403200001</v>
      </c>
      <c r="H13" s="5">
        <v>24020682.715200003</v>
      </c>
      <c r="I13" s="5">
        <v>1308220.3855999999</v>
      </c>
      <c r="J13" s="5">
        <v>15524533.174400002</v>
      </c>
      <c r="K13" s="5">
        <v>14472201.744000001</v>
      </c>
    </row>
    <row r="14" spans="1:11" x14ac:dyDescent="0.25">
      <c r="B14" s="3" t="s">
        <v>18</v>
      </c>
      <c r="C14" s="5">
        <v>16894952.457599998</v>
      </c>
      <c r="D14" s="5">
        <v>10240902</v>
      </c>
      <c r="E14" s="5">
        <v>4241749.0976</v>
      </c>
      <c r="F14" s="5">
        <v>0</v>
      </c>
      <c r="G14" s="5">
        <v>0</v>
      </c>
      <c r="H14" s="5">
        <v>357618.8</v>
      </c>
      <c r="I14" s="5">
        <v>0</v>
      </c>
      <c r="J14" s="5">
        <v>2054682.56</v>
      </c>
      <c r="K14" s="5">
        <v>0</v>
      </c>
    </row>
    <row r="15" spans="1:11" x14ac:dyDescent="0.25">
      <c r="B15" s="3" t="s">
        <v>20</v>
      </c>
      <c r="C15" s="5">
        <v>20445651.990400001</v>
      </c>
      <c r="D15" s="5">
        <v>0</v>
      </c>
      <c r="E15" s="5">
        <v>383525.80959999998</v>
      </c>
      <c r="F15" s="5">
        <v>14608330.747200001</v>
      </c>
      <c r="G15" s="5">
        <v>0</v>
      </c>
      <c r="H15" s="5">
        <v>0</v>
      </c>
      <c r="I15" s="5">
        <v>0</v>
      </c>
      <c r="J15" s="5">
        <v>5453795.4336000001</v>
      </c>
      <c r="K15" s="5">
        <v>0</v>
      </c>
    </row>
    <row r="16" spans="1:11" x14ac:dyDescent="0.25">
      <c r="B16" s="3" t="s">
        <v>34</v>
      </c>
      <c r="C16" s="5">
        <v>5849212</v>
      </c>
      <c r="D16" s="5">
        <v>0</v>
      </c>
      <c r="E16" s="5">
        <v>945818.4</v>
      </c>
      <c r="F16" s="5">
        <v>185776</v>
      </c>
      <c r="G16" s="5">
        <v>1484022.4</v>
      </c>
      <c r="H16" s="5">
        <v>0</v>
      </c>
      <c r="I16" s="5">
        <v>0</v>
      </c>
      <c r="J16" s="5">
        <v>3233595.2</v>
      </c>
      <c r="K16" s="5">
        <v>0</v>
      </c>
    </row>
    <row r="17" spans="1:11" x14ac:dyDescent="0.25">
      <c r="B17" s="3" t="s">
        <v>35</v>
      </c>
      <c r="C17" s="5">
        <v>81189092.9824</v>
      </c>
      <c r="D17" s="5">
        <v>132644.06399999998</v>
      </c>
      <c r="E17" s="5">
        <v>4187930.8831999996</v>
      </c>
      <c r="F17" s="5">
        <v>634740.85919999995</v>
      </c>
      <c r="G17" s="5">
        <v>705484.36</v>
      </c>
      <c r="H17" s="5">
        <v>88429.375999999989</v>
      </c>
      <c r="I17" s="5">
        <v>0</v>
      </c>
      <c r="J17" s="5">
        <v>0</v>
      </c>
      <c r="K17" s="5">
        <v>75439863.439999998</v>
      </c>
    </row>
    <row r="18" spans="1:11" x14ac:dyDescent="0.25">
      <c r="B18" s="3" t="s">
        <v>36</v>
      </c>
      <c r="C18" s="5">
        <v>285574.86719999998</v>
      </c>
      <c r="D18" s="5">
        <v>0</v>
      </c>
      <c r="E18" s="5">
        <v>0</v>
      </c>
      <c r="F18" s="5">
        <v>0</v>
      </c>
      <c r="G18" s="5">
        <v>0</v>
      </c>
      <c r="H18" s="5">
        <v>285574.86719999998</v>
      </c>
      <c r="I18" s="5">
        <v>0</v>
      </c>
      <c r="J18" s="5">
        <v>0</v>
      </c>
      <c r="K18" s="5">
        <v>0</v>
      </c>
    </row>
    <row r="19" spans="1:11" x14ac:dyDescent="0.25">
      <c r="B19" s="3" t="s">
        <v>37</v>
      </c>
      <c r="C19" s="5">
        <v>182807522.45119998</v>
      </c>
      <c r="D19" s="5">
        <v>894697.21600000001</v>
      </c>
      <c r="E19" s="5">
        <v>8166487.8431999991</v>
      </c>
      <c r="F19" s="5">
        <v>91467.36</v>
      </c>
      <c r="G19" s="5">
        <v>10972411.392000001</v>
      </c>
      <c r="H19" s="5">
        <v>6039577.7599999998</v>
      </c>
      <c r="I19" s="5">
        <v>0</v>
      </c>
      <c r="J19" s="5">
        <v>1980153.6</v>
      </c>
      <c r="K19" s="5">
        <v>154662727.28</v>
      </c>
    </row>
    <row r="20" spans="1:11" x14ac:dyDescent="0.25">
      <c r="B20" s="3" t="s">
        <v>21</v>
      </c>
      <c r="C20" s="5">
        <v>7139371.6799999997</v>
      </c>
      <c r="D20" s="5">
        <v>0</v>
      </c>
      <c r="E20" s="5">
        <v>936311.04</v>
      </c>
      <c r="F20" s="5">
        <v>0</v>
      </c>
      <c r="G20" s="5">
        <v>1144380.1599999999</v>
      </c>
      <c r="H20" s="5">
        <v>3433140.4799999995</v>
      </c>
      <c r="I20" s="5">
        <v>0</v>
      </c>
      <c r="J20" s="5">
        <v>1625540</v>
      </c>
      <c r="K20" s="5">
        <v>0</v>
      </c>
    </row>
    <row r="21" spans="1:11" x14ac:dyDescent="0.25">
      <c r="B21" s="3" t="s">
        <v>38</v>
      </c>
      <c r="C21" s="5">
        <v>220604311.88800001</v>
      </c>
      <c r="D21" s="5">
        <v>16217304.992000002</v>
      </c>
      <c r="E21" s="5">
        <v>16181089.600000001</v>
      </c>
      <c r="F21" s="5">
        <v>21031373.120000001</v>
      </c>
      <c r="G21" s="5">
        <v>33220070.912</v>
      </c>
      <c r="H21" s="5">
        <v>22216842.560000002</v>
      </c>
      <c r="I21" s="5">
        <v>2373561.6</v>
      </c>
      <c r="J21" s="5">
        <v>52866309.103999995</v>
      </c>
      <c r="K21" s="5">
        <v>56497760</v>
      </c>
    </row>
    <row r="22" spans="1:11" x14ac:dyDescent="0.25">
      <c r="B22" s="3" t="s">
        <v>23</v>
      </c>
      <c r="C22" s="5">
        <v>150943222.93119994</v>
      </c>
      <c r="D22" s="5">
        <v>44483877.423999988</v>
      </c>
      <c r="E22" s="5">
        <v>36035360.849599995</v>
      </c>
      <c r="F22" s="5">
        <v>12759838.784</v>
      </c>
      <c r="G22" s="5">
        <v>24270352.545600001</v>
      </c>
      <c r="H22" s="5">
        <v>17727489.024</v>
      </c>
      <c r="I22" s="5">
        <v>0</v>
      </c>
      <c r="J22" s="5">
        <v>15666304.304000001</v>
      </c>
      <c r="K22" s="5">
        <v>0</v>
      </c>
    </row>
    <row r="23" spans="1:11" x14ac:dyDescent="0.25">
      <c r="B23" s="3" t="s">
        <v>24</v>
      </c>
      <c r="C23" s="5">
        <v>0</v>
      </c>
      <c r="D23" s="5">
        <v>0</v>
      </c>
      <c r="E23" s="5">
        <v>0</v>
      </c>
      <c r="F23" s="5">
        <v>0</v>
      </c>
      <c r="G23" s="5">
        <v>0</v>
      </c>
      <c r="H23" s="5">
        <v>0</v>
      </c>
      <c r="I23" s="5">
        <v>0</v>
      </c>
      <c r="J23" s="5">
        <v>0</v>
      </c>
      <c r="K23" s="5">
        <v>0</v>
      </c>
    </row>
    <row r="24" spans="1:11" x14ac:dyDescent="0.25">
      <c r="A24" s="3" t="s">
        <v>24</v>
      </c>
      <c r="C24" s="5">
        <v>0</v>
      </c>
      <c r="D24" s="5">
        <v>0</v>
      </c>
      <c r="E24" s="5">
        <v>0</v>
      </c>
      <c r="F24" s="5">
        <v>0</v>
      </c>
      <c r="G24" s="5">
        <v>0</v>
      </c>
      <c r="H24" s="5">
        <v>0</v>
      </c>
      <c r="I24" s="5">
        <v>0</v>
      </c>
      <c r="J24" s="5">
        <v>0</v>
      </c>
      <c r="K24" s="5">
        <v>0</v>
      </c>
    </row>
    <row r="25" spans="1:11" x14ac:dyDescent="0.25">
      <c r="B25" s="3" t="s">
        <v>24</v>
      </c>
      <c r="C25" s="5">
        <v>0</v>
      </c>
      <c r="D25" s="5">
        <v>0</v>
      </c>
      <c r="E25" s="5">
        <v>0</v>
      </c>
      <c r="F25" s="5">
        <v>0</v>
      </c>
      <c r="G25" s="5">
        <v>0</v>
      </c>
      <c r="H25" s="5">
        <v>0</v>
      </c>
      <c r="I25" s="5">
        <v>0</v>
      </c>
      <c r="J25" s="5">
        <v>0</v>
      </c>
      <c r="K25" s="5">
        <v>0</v>
      </c>
    </row>
    <row r="26" spans="1:11" x14ac:dyDescent="0.25">
      <c r="A26" s="3" t="s">
        <v>26</v>
      </c>
      <c r="C26" s="5">
        <v>3869665785.8431988</v>
      </c>
      <c r="D26" s="5">
        <v>573660339.13039994</v>
      </c>
      <c r="E26" s="5">
        <v>531452017.72399986</v>
      </c>
      <c r="F26" s="5">
        <v>424392703.70720005</v>
      </c>
      <c r="G26" s="5">
        <v>377968627.63680005</v>
      </c>
      <c r="H26" s="5">
        <v>327784762.51159996</v>
      </c>
      <c r="I26" s="5">
        <v>322889591.95840001</v>
      </c>
      <c r="J26" s="5">
        <v>432163224.486</v>
      </c>
      <c r="K26" s="5">
        <v>862018707.26239991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9" tint="0.59999389629810485"/>
  </sheetPr>
  <dimension ref="A1:AF737"/>
  <sheetViews>
    <sheetView tabSelected="1" zoomScale="70" zoomScaleNormal="70" workbookViewId="0">
      <pane xSplit="9" ySplit="2" topLeftCell="J78" activePane="bottomRight" state="frozen"/>
      <selection pane="topRight" activeCell="G1" sqref="G1"/>
      <selection pane="bottomLeft" activeCell="A3" sqref="A3"/>
      <selection pane="bottomRight" activeCell="H80" sqref="H80"/>
    </sheetView>
  </sheetViews>
  <sheetFormatPr baseColWidth="10" defaultColWidth="11.42578125" defaultRowHeight="12.75" customHeight="1" x14ac:dyDescent="0.25"/>
  <cols>
    <col min="1" max="1" width="9.85546875" style="112" customWidth="1"/>
    <col min="2" max="2" width="8.140625" style="142" hidden="1" customWidth="1"/>
    <col min="3" max="3" width="19.42578125" style="142" customWidth="1"/>
    <col min="4" max="4" width="8" style="399" customWidth="1"/>
    <col min="5" max="5" width="28.42578125" style="116" customWidth="1"/>
    <col min="6" max="6" width="16" style="115" customWidth="1"/>
    <col min="7" max="7" width="10.140625" style="116" customWidth="1"/>
    <col min="8" max="8" width="18.85546875" style="398" customWidth="1"/>
    <col min="9" max="9" width="24.28515625" style="116" customWidth="1"/>
    <col min="10" max="10" width="11.42578125" style="116" customWidth="1"/>
    <col min="11" max="11" width="15.140625" style="116" customWidth="1"/>
    <col min="12" max="12" width="16.42578125" style="116" customWidth="1"/>
    <col min="13" max="13" width="9.5703125" style="128" customWidth="1"/>
    <col min="14" max="14" width="19" style="119" customWidth="1"/>
    <col min="15" max="15" width="8.85546875" style="128" customWidth="1"/>
    <col min="16" max="16" width="16.140625" style="112" customWidth="1"/>
    <col min="17" max="17" width="9.140625" style="129" customWidth="1"/>
    <col min="18" max="18" width="19" style="119" customWidth="1"/>
    <col min="19" max="19" width="9.42578125" style="112" customWidth="1"/>
    <col min="20" max="20" width="11.42578125" style="112" customWidth="1"/>
    <col min="21" max="21" width="8.42578125" style="112" customWidth="1"/>
    <col min="22" max="22" width="17.28515625" style="112" customWidth="1"/>
    <col min="23" max="23" width="9.28515625" style="142" customWidth="1"/>
    <col min="24" max="24" width="20.140625" style="119" bestFit="1" customWidth="1"/>
    <col min="25" max="25" width="11.42578125" style="112" customWidth="1"/>
    <col min="26" max="26" width="18.7109375" style="112" bestFit="1" customWidth="1"/>
    <col min="27" max="27" width="11.42578125" style="112" customWidth="1"/>
    <col min="28" max="28" width="20.5703125" style="112" bestFit="1" customWidth="1"/>
    <col min="29" max="29" width="11.42578125" style="112"/>
    <col min="30" max="30" width="18.7109375" style="112" bestFit="1" customWidth="1"/>
    <col min="31" max="16384" width="11.42578125" style="112"/>
  </cols>
  <sheetData>
    <row r="1" spans="1:32" ht="24" customHeight="1" x14ac:dyDescent="0.25">
      <c r="D1" s="430" t="s">
        <v>39</v>
      </c>
      <c r="E1" s="431"/>
      <c r="F1" s="432"/>
      <c r="G1" s="432"/>
      <c r="H1" s="432"/>
      <c r="I1" s="432"/>
      <c r="J1" s="433"/>
      <c r="K1" s="127"/>
      <c r="L1" s="127"/>
    </row>
    <row r="2" spans="1:32" ht="102.75" customHeight="1" x14ac:dyDescent="0.25">
      <c r="A2" s="296" t="s">
        <v>40</v>
      </c>
      <c r="B2" s="297" t="s">
        <v>41</v>
      </c>
      <c r="C2" s="322" t="s">
        <v>42</v>
      </c>
      <c r="D2" s="323" t="s">
        <v>43</v>
      </c>
      <c r="E2" s="113" t="s">
        <v>44</v>
      </c>
      <c r="F2" s="114" t="s">
        <v>45</v>
      </c>
      <c r="G2" s="113" t="s">
        <v>46</v>
      </c>
      <c r="H2" s="324" t="s">
        <v>47</v>
      </c>
      <c r="I2" s="139" t="s">
        <v>48</v>
      </c>
      <c r="J2" s="139" t="s">
        <v>49</v>
      </c>
      <c r="K2" s="139" t="s">
        <v>50</v>
      </c>
      <c r="L2" s="139" t="s">
        <v>51</v>
      </c>
      <c r="M2" s="140" t="s">
        <v>52</v>
      </c>
      <c r="N2" s="141" t="s">
        <v>53</v>
      </c>
      <c r="O2" s="247" t="s">
        <v>54</v>
      </c>
      <c r="P2" s="248" t="s">
        <v>55</v>
      </c>
      <c r="Q2" s="249" t="s">
        <v>56</v>
      </c>
      <c r="R2" s="141" t="s">
        <v>57</v>
      </c>
      <c r="S2" s="250" t="s">
        <v>58</v>
      </c>
      <c r="T2" s="141" t="s">
        <v>59</v>
      </c>
      <c r="U2" s="251" t="s">
        <v>60</v>
      </c>
      <c r="V2" s="252" t="s">
        <v>61</v>
      </c>
      <c r="W2" s="252" t="s">
        <v>62</v>
      </c>
      <c r="X2" s="252" t="s">
        <v>63</v>
      </c>
      <c r="Y2" s="253" t="s">
        <v>64</v>
      </c>
      <c r="Z2" s="252" t="s">
        <v>65</v>
      </c>
      <c r="AA2" s="251" t="s">
        <v>66</v>
      </c>
      <c r="AB2" s="252" t="s">
        <v>67</v>
      </c>
      <c r="AC2" s="251" t="s">
        <v>68</v>
      </c>
      <c r="AD2" s="252" t="s">
        <v>69</v>
      </c>
      <c r="AE2" s="251" t="s">
        <v>70</v>
      </c>
      <c r="AF2" s="251" t="s">
        <v>71</v>
      </c>
    </row>
    <row r="3" spans="1:32" ht="22.5" customHeight="1" x14ac:dyDescent="0.25">
      <c r="A3" s="294" t="str">
        <f>IF(B3=Reactivos_[[#This Row],[Cantidad LANIP]],"LANIP",IF(B3=Reactivos_[[#This Row],[Cantidad 
LDV]],"LDV",IF(B3=Reactivos_[[#This Row],[Cantidad LNDV]],"LNDV",IF(B3=Reactivos_[[#This Row],[GGCA]],"GGCA",IF(B3=Reactivos_[[#This Row],[Cantidad LDF]],"LDF",IF(Reactivos_[[#This Row],[Cantidad LDF&amp;MR]],"LDF&amp;MR",IF(B3=Reactivos_[[#This Row],[Cantidad RED LASE]],"LASE",IF(B3=Reactivos_[[#This Row],[Cantidad LANIA]],"LANIA",IF(B3=Reactivos_[[#This Row],[Cantidad SPA]],"SPA"," ")))))))))</f>
        <v>LDF&amp;MR</v>
      </c>
      <c r="B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3" s="325">
        <v>1</v>
      </c>
      <c r="D3" s="326">
        <v>1</v>
      </c>
      <c r="E3" s="327" t="s">
        <v>72</v>
      </c>
      <c r="F3" s="244" t="s">
        <v>73</v>
      </c>
      <c r="G3" s="327"/>
      <c r="H3" s="328" t="s">
        <v>74</v>
      </c>
      <c r="I3" s="329" t="s">
        <v>75</v>
      </c>
      <c r="J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3" s="160">
        <v>392997</v>
      </c>
      <c r="L3" s="160">
        <f>+Reactivos_[[#This Row],[Cantidad]]*Reactivos_[[#This Row],[Valor de referencia]]</f>
        <v>2357982</v>
      </c>
      <c r="M3" s="254">
        <v>1</v>
      </c>
      <c r="N3" s="255">
        <f>+Reactivos_[[#This Row],[Valor de referencia]]*Reactivos_[[#This Row],[Cantidad LANIP]]</f>
        <v>392997</v>
      </c>
      <c r="O3" s="256"/>
      <c r="P3" s="255">
        <f>+Reactivos_[[#This Row],[Cantidad 
LDV]]*Reactivos_[[#This Row],[Valor de referencia]]</f>
        <v>0</v>
      </c>
      <c r="Q3" s="257"/>
      <c r="R3" s="255">
        <f>+Reactivos_[[#This Row],[Cantidad LNDV]]*Reactivos_[[#This Row],[Valor de referencia]]</f>
        <v>0</v>
      </c>
      <c r="S3" s="148"/>
      <c r="T3" s="255">
        <f>+Reactivos_[[#This Row],[GGCA]]*Reactivos_[[#This Row],[Valor de referencia]]</f>
        <v>0</v>
      </c>
      <c r="U3" s="254"/>
      <c r="V3" s="255">
        <f>+Reactivos_[[#This Row],[Cantidad LDF]]*Reactivos_[[#This Row],[Valor de referencia]]</f>
        <v>0</v>
      </c>
      <c r="W3" s="254">
        <v>5</v>
      </c>
      <c r="X3" s="255">
        <f>+Reactivos_[[#This Row],[Cantidad LDF&amp;MR]]*Reactivos_[[#This Row],[Valor de referencia]]</f>
        <v>1964985</v>
      </c>
      <c r="Y3" s="254"/>
      <c r="Z3" s="255">
        <f>+Reactivos_[[#This Row],[Cantidad RED LASE]]*Reactivos_[[#This Row],[Valor de referencia]]</f>
        <v>0</v>
      </c>
      <c r="AA3" s="254"/>
      <c r="AB3" s="255">
        <f>+Reactivos_[[#This Row],[Cantidad LANIA]]*Reactivos_[[#This Row],[Valor de referencia]]</f>
        <v>0</v>
      </c>
      <c r="AC3" s="254"/>
      <c r="AD3" s="255">
        <f>+Reactivos_[[#This Row],[Cantidad SPA]]*Reactivos_[[#This Row],[Valor de referencia]]</f>
        <v>0</v>
      </c>
      <c r="AE3" s="148" t="s">
        <v>76</v>
      </c>
      <c r="AF3" s="148" t="s">
        <v>77</v>
      </c>
    </row>
    <row r="4" spans="1:32" ht="38.25" x14ac:dyDescent="0.25">
      <c r="A4" s="294" t="str">
        <f>IF(B4=Reactivos_[[#This Row],[Cantidad LANIP]],"LANIP",IF(B4=Reactivos_[[#This Row],[Cantidad 
LDV]],"LDV",IF(B4=Reactivos_[[#This Row],[Cantidad LNDV]],"LNDV",IF(B4=Reactivos_[[#This Row],[GGCA]],"GGCA",IF(B4=Reactivos_[[#This Row],[Cantidad LDF]],"LDF",IF(Reactivos_[[#This Row],[Cantidad LDF&amp;MR]],"LDF&amp;MR",IF(B4=Reactivos_[[#This Row],[Cantidad RED LASE]],"LASE",IF(B4=Reactivos_[[#This Row],[Cantidad LANIA]],"LANIA",IF(B4=Reactivos_[[#This Row],[Cantidad SPA]],"SPA"," ")))))))))</f>
        <v>LDF</v>
      </c>
      <c r="B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 s="325">
        <v>2</v>
      </c>
      <c r="D4" s="326">
        <v>2</v>
      </c>
      <c r="E4" s="327" t="s">
        <v>78</v>
      </c>
      <c r="F4" s="244"/>
      <c r="G4" s="327"/>
      <c r="H4" s="330" t="s">
        <v>79</v>
      </c>
      <c r="I4" s="329" t="s">
        <v>80</v>
      </c>
      <c r="J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4" s="160">
        <v>373233</v>
      </c>
      <c r="L4" s="160">
        <f>+Reactivos_[[#This Row],[Cantidad]]*Reactivos_[[#This Row],[Valor de referencia]]</f>
        <v>1119699</v>
      </c>
      <c r="M4" s="254">
        <v>0</v>
      </c>
      <c r="N4" s="255">
        <f>+Reactivos_[[#This Row],[Valor de referencia]]*Reactivos_[[#This Row],[Cantidad LANIP]]</f>
        <v>0</v>
      </c>
      <c r="O4" s="256"/>
      <c r="P4" s="255">
        <f>+Reactivos_[[#This Row],[Cantidad 
LDV]]*Reactivos_[[#This Row],[Valor de referencia]]</f>
        <v>0</v>
      </c>
      <c r="Q4" s="257"/>
      <c r="R4" s="255">
        <f>+Reactivos_[[#This Row],[Cantidad LNDV]]*Reactivos_[[#This Row],[Valor de referencia]]</f>
        <v>0</v>
      </c>
      <c r="S4" s="148"/>
      <c r="T4" s="255">
        <f>+Reactivos_[[#This Row],[GGCA]]*Reactivos_[[#This Row],[Valor de referencia]]</f>
        <v>0</v>
      </c>
      <c r="U4" s="254">
        <v>2</v>
      </c>
      <c r="V4" s="255">
        <f>+Reactivos_[[#This Row],[Cantidad LDF]]*Reactivos_[[#This Row],[Valor de referencia]]</f>
        <v>746466</v>
      </c>
      <c r="W4" s="258">
        <v>1</v>
      </c>
      <c r="X4" s="255">
        <f>+Reactivos_[[#This Row],[Cantidad LDF&amp;MR]]*Reactivos_[[#This Row],[Valor de referencia]]</f>
        <v>373233</v>
      </c>
      <c r="Y4" s="254"/>
      <c r="Z4" s="255">
        <f>+Reactivos_[[#This Row],[Cantidad RED LASE]]*Reactivos_[[#This Row],[Valor de referencia]]</f>
        <v>0</v>
      </c>
      <c r="AA4" s="254"/>
      <c r="AB4" s="255">
        <f>+Reactivos_[[#This Row],[Cantidad LANIA]]*Reactivos_[[#This Row],[Valor de referencia]]</f>
        <v>0</v>
      </c>
      <c r="AC4" s="254"/>
      <c r="AD4" s="255">
        <f>+Reactivos_[[#This Row],[Cantidad SPA]]*Reactivos_[[#This Row],[Valor de referencia]]</f>
        <v>0</v>
      </c>
      <c r="AE4" s="148" t="s">
        <v>76</v>
      </c>
      <c r="AF4" s="148" t="s">
        <v>77</v>
      </c>
    </row>
    <row r="5" spans="1:32" ht="25.5" customHeight="1" x14ac:dyDescent="0.25">
      <c r="A5" s="294" t="str">
        <f>IF(B5=Reactivos_[[#This Row],[Cantidad LANIP]],"LANIP",IF(B5=Reactivos_[[#This Row],[Cantidad 
LDV]],"LDV",IF(B5=Reactivos_[[#This Row],[Cantidad LNDV]],"LNDV",IF(B5=Reactivos_[[#This Row],[GGCA]],"GGCA",IF(B5=Reactivos_[[#This Row],[Cantidad LDF]],"LDF",IF(Reactivos_[[#This Row],[Cantidad LDF&amp;MR]],"LDF&amp;MR",IF(B5=Reactivos_[[#This Row],[Cantidad RED LASE]],"LASE",IF(B5=Reactivos_[[#This Row],[Cantidad LANIA]],"LANIA",IF(B5=Reactivos_[[#This Row],[Cantidad SPA]],"SPA"," ")))))))))</f>
        <v>LANIP</v>
      </c>
      <c r="B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 s="325">
        <v>3</v>
      </c>
      <c r="D5" s="326">
        <v>3</v>
      </c>
      <c r="E5" s="331" t="s">
        <v>81</v>
      </c>
      <c r="F5" s="332" t="s">
        <v>82</v>
      </c>
      <c r="G5" s="331" t="s">
        <v>83</v>
      </c>
      <c r="H5" s="333" t="s">
        <v>84</v>
      </c>
      <c r="I5" s="334" t="s">
        <v>85</v>
      </c>
      <c r="J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 s="160">
        <v>570074</v>
      </c>
      <c r="L5" s="160">
        <f>+Reactivos_[[#This Row],[Cantidad]]*Reactivos_[[#This Row],[Valor de referencia]]</f>
        <v>1140148</v>
      </c>
      <c r="M5" s="254">
        <v>2</v>
      </c>
      <c r="N5" s="255">
        <f>+Reactivos_[[#This Row],[Valor de referencia]]*Reactivos_[[#This Row],[Cantidad LANIP]]</f>
        <v>1140148</v>
      </c>
      <c r="O5" s="256"/>
      <c r="P5" s="255">
        <f>+Reactivos_[[#This Row],[Cantidad 
LDV]]*Reactivos_[[#This Row],[Valor de referencia]]</f>
        <v>0</v>
      </c>
      <c r="Q5" s="257"/>
      <c r="R5" s="255">
        <f>+Reactivos_[[#This Row],[Cantidad LNDV]]*Reactivos_[[#This Row],[Valor de referencia]]</f>
        <v>0</v>
      </c>
      <c r="S5" s="148"/>
      <c r="T5" s="255">
        <f>+Reactivos_[[#This Row],[GGCA]]*Reactivos_[[#This Row],[Valor de referencia]]</f>
        <v>0</v>
      </c>
      <c r="U5" s="254"/>
      <c r="V5" s="255">
        <f>+Reactivos_[[#This Row],[Cantidad LDF]]*Reactivos_[[#This Row],[Valor de referencia]]</f>
        <v>0</v>
      </c>
      <c r="W5" s="254"/>
      <c r="X5" s="255">
        <f>+Reactivos_[[#This Row],[Cantidad LDF&amp;MR]]*Reactivos_[[#This Row],[Valor de referencia]]</f>
        <v>0</v>
      </c>
      <c r="Y5" s="254"/>
      <c r="Z5" s="255">
        <f>+Reactivos_[[#This Row],[Cantidad RED LASE]]*Reactivos_[[#This Row],[Valor de referencia]]</f>
        <v>0</v>
      </c>
      <c r="AA5" s="254"/>
      <c r="AB5" s="255">
        <f>+Reactivos_[[#This Row],[Cantidad LANIA]]*Reactivos_[[#This Row],[Valor de referencia]]</f>
        <v>0</v>
      </c>
      <c r="AC5" s="254"/>
      <c r="AD5" s="255">
        <f>+Reactivos_[[#This Row],[Cantidad SPA]]*Reactivos_[[#This Row],[Valor de referencia]]</f>
        <v>0</v>
      </c>
      <c r="AE5" s="148" t="s">
        <v>76</v>
      </c>
      <c r="AF5" s="148" t="s">
        <v>77</v>
      </c>
    </row>
    <row r="6" spans="1:32" x14ac:dyDescent="0.25">
      <c r="A6" s="294" t="str">
        <f>IF(B6=Reactivos_[[#This Row],[Cantidad LANIP]],"LANIP",IF(B6=Reactivos_[[#This Row],[Cantidad 
LDV]],"LDV",IF(B6=Reactivos_[[#This Row],[Cantidad LNDV]],"LNDV",IF(B6=Reactivos_[[#This Row],[GGCA]],"GGCA",IF(B6=Reactivos_[[#This Row],[Cantidad LDF]],"LDF",IF(Reactivos_[[#This Row],[Cantidad LDF&amp;MR]],"LDF&amp;MR",IF(B6=Reactivos_[[#This Row],[Cantidad RED LASE]],"LASE",IF(B6=Reactivos_[[#This Row],[Cantidad LANIA]],"LANIA",IF(B6=Reactivos_[[#This Row],[Cantidad SPA]],"SPA"," ")))))))))</f>
        <v>LANIP</v>
      </c>
      <c r="B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 s="325">
        <v>4</v>
      </c>
      <c r="D6" s="326">
        <v>4</v>
      </c>
      <c r="E6" s="245" t="s">
        <v>86</v>
      </c>
      <c r="F6" s="244" t="s">
        <v>87</v>
      </c>
      <c r="G6" s="245" t="s">
        <v>88</v>
      </c>
      <c r="H6" s="335"/>
      <c r="I6" s="336" t="s">
        <v>89</v>
      </c>
      <c r="J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 s="160">
        <v>674641</v>
      </c>
      <c r="L6" s="160">
        <f>+Reactivos_[[#This Row],[Cantidad]]*Reactivos_[[#This Row],[Valor de referencia]]</f>
        <v>1349282</v>
      </c>
      <c r="M6" s="254">
        <v>2</v>
      </c>
      <c r="N6" s="255">
        <f>+Reactivos_[[#This Row],[Valor de referencia]]*Reactivos_[[#This Row],[Cantidad LANIP]]</f>
        <v>1349282</v>
      </c>
      <c r="O6" s="256"/>
      <c r="P6" s="255">
        <f>+Reactivos_[[#This Row],[Cantidad 
LDV]]*Reactivos_[[#This Row],[Valor de referencia]]</f>
        <v>0</v>
      </c>
      <c r="Q6" s="257"/>
      <c r="R6" s="255">
        <f>+Reactivos_[[#This Row],[Cantidad LNDV]]*Reactivos_[[#This Row],[Valor de referencia]]</f>
        <v>0</v>
      </c>
      <c r="S6" s="148"/>
      <c r="T6" s="255">
        <f>+Reactivos_[[#This Row],[GGCA]]*Reactivos_[[#This Row],[Valor de referencia]]</f>
        <v>0</v>
      </c>
      <c r="U6" s="254"/>
      <c r="V6" s="255">
        <f>+Reactivos_[[#This Row],[Cantidad LDF]]*Reactivos_[[#This Row],[Valor de referencia]]</f>
        <v>0</v>
      </c>
      <c r="W6" s="254"/>
      <c r="X6" s="255">
        <f>+Reactivos_[[#This Row],[Cantidad LDF&amp;MR]]*Reactivos_[[#This Row],[Valor de referencia]]</f>
        <v>0</v>
      </c>
      <c r="Y6" s="254"/>
      <c r="Z6" s="255">
        <f>+Reactivos_[[#This Row],[Cantidad RED LASE]]*Reactivos_[[#This Row],[Valor de referencia]]</f>
        <v>0</v>
      </c>
      <c r="AA6" s="254"/>
      <c r="AB6" s="255">
        <f>+Reactivos_[[#This Row],[Cantidad LANIA]]*Reactivos_[[#This Row],[Valor de referencia]]</f>
        <v>0</v>
      </c>
      <c r="AC6" s="254"/>
      <c r="AD6" s="255">
        <f>+Reactivos_[[#This Row],[Cantidad SPA]]*Reactivos_[[#This Row],[Valor de referencia]]</f>
        <v>0</v>
      </c>
      <c r="AE6" s="148" t="s">
        <v>76</v>
      </c>
      <c r="AF6" s="148" t="s">
        <v>77</v>
      </c>
    </row>
    <row r="7" spans="1:32" ht="45.75" customHeight="1" x14ac:dyDescent="0.25">
      <c r="A7" s="294" t="str">
        <f>IF(B7=Reactivos_[[#This Row],[Cantidad LANIP]],"LANIP",IF(B7=Reactivos_[[#This Row],[Cantidad 
LDV]],"LDV",IF(B7=Reactivos_[[#This Row],[Cantidad LNDV]],"LNDV",IF(B7=Reactivos_[[#This Row],[GGCA]],"GGCA",IF(B7=Reactivos_[[#This Row],[Cantidad LDF]],"LDF",IF(Reactivos_[[#This Row],[Cantidad LDF&amp;MR]],"LDF&amp;MR",IF(B7=Reactivos_[[#This Row],[Cantidad RED LASE]],"LASE",IF(B7=Reactivos_[[#This Row],[Cantidad LANIA]],"LANIA",IF(B7=Reactivos_[[#This Row],[Cantidad SPA]],"SPA"," ")))))))))</f>
        <v>LNDV</v>
      </c>
      <c r="B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 s="325">
        <v>5</v>
      </c>
      <c r="D7" s="326">
        <v>5</v>
      </c>
      <c r="E7" s="327" t="s">
        <v>90</v>
      </c>
      <c r="F7" s="332" t="s">
        <v>91</v>
      </c>
      <c r="G7" s="331" t="s">
        <v>92</v>
      </c>
      <c r="H7" s="328" t="s">
        <v>93</v>
      </c>
      <c r="I7" s="329" t="s">
        <v>94</v>
      </c>
      <c r="J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 s="160">
        <v>1197218</v>
      </c>
      <c r="L7" s="160">
        <f>+Reactivos_[[#This Row],[Cantidad]]*Reactivos_[[#This Row],[Valor de referencia]]</f>
        <v>1197218</v>
      </c>
      <c r="M7" s="254">
        <v>0</v>
      </c>
      <c r="N7" s="255">
        <f>+Reactivos_[[#This Row],[Valor de referencia]]*Reactivos_[[#This Row],[Cantidad LANIP]]</f>
        <v>0</v>
      </c>
      <c r="O7" s="256"/>
      <c r="P7" s="255">
        <f>+Reactivos_[[#This Row],[Cantidad 
LDV]]*Reactivos_[[#This Row],[Valor de referencia]]</f>
        <v>0</v>
      </c>
      <c r="Q7" s="257">
        <v>1</v>
      </c>
      <c r="R7" s="255">
        <f>+Reactivos_[[#This Row],[Cantidad LNDV]]*Reactivos_[[#This Row],[Valor de referencia]]</f>
        <v>1197218</v>
      </c>
      <c r="S7" s="148"/>
      <c r="T7" s="255">
        <f>+Reactivos_[[#This Row],[GGCA]]*Reactivos_[[#This Row],[Valor de referencia]]</f>
        <v>0</v>
      </c>
      <c r="U7" s="254"/>
      <c r="V7" s="255">
        <f>+Reactivos_[[#This Row],[Cantidad LDF]]*Reactivos_[[#This Row],[Valor de referencia]]</f>
        <v>0</v>
      </c>
      <c r="W7" s="254"/>
      <c r="X7" s="255">
        <f>+Reactivos_[[#This Row],[Cantidad LDF&amp;MR]]*Reactivos_[[#This Row],[Valor de referencia]]</f>
        <v>0</v>
      </c>
      <c r="Y7" s="254"/>
      <c r="Z7" s="255">
        <f>+Reactivos_[[#This Row],[Cantidad RED LASE]]*Reactivos_[[#This Row],[Valor de referencia]]</f>
        <v>0</v>
      </c>
      <c r="AA7" s="254"/>
      <c r="AB7" s="255">
        <f>+Reactivos_[[#This Row],[Cantidad LANIA]]*Reactivos_[[#This Row],[Valor de referencia]]</f>
        <v>0</v>
      </c>
      <c r="AC7" s="254"/>
      <c r="AD7" s="255">
        <f>+Reactivos_[[#This Row],[Cantidad SPA]]*Reactivos_[[#This Row],[Valor de referencia]]</f>
        <v>0</v>
      </c>
      <c r="AE7" s="148" t="s">
        <v>76</v>
      </c>
      <c r="AF7" s="148" t="s">
        <v>77</v>
      </c>
    </row>
    <row r="8" spans="1:32" ht="24.75" customHeight="1" x14ac:dyDescent="0.25">
      <c r="A8" s="294" t="str">
        <f>IF(B8=Reactivos_[[#This Row],[Cantidad LANIP]],"LANIP",IF(B8=Reactivos_[[#This Row],[Cantidad 
LDV]],"LDV",IF(B8=Reactivos_[[#This Row],[Cantidad LNDV]],"LNDV",IF(B8=Reactivos_[[#This Row],[GGCA]],"GGCA",IF(B8=Reactivos_[[#This Row],[Cantidad LDF]],"LDF",IF(Reactivos_[[#This Row],[Cantidad LDF&amp;MR]],"LDF&amp;MR",IF(B8=Reactivos_[[#This Row],[Cantidad RED LASE]],"LASE",IF(B8=Reactivos_[[#This Row],[Cantidad LANIA]],"LANIA",IF(B8=Reactivos_[[#This Row],[Cantidad SPA]],"SPA"," ")))))))))</f>
        <v>LDF</v>
      </c>
      <c r="B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C8" s="325">
        <v>6</v>
      </c>
      <c r="D8" s="326">
        <v>6</v>
      </c>
      <c r="E8" s="327" t="s">
        <v>95</v>
      </c>
      <c r="F8" s="332"/>
      <c r="G8" s="331"/>
      <c r="H8" s="328" t="s">
        <v>96</v>
      </c>
      <c r="I8" s="329" t="s">
        <v>97</v>
      </c>
      <c r="J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22</v>
      </c>
      <c r="K8" s="160">
        <v>2279068</v>
      </c>
      <c r="L8" s="160">
        <f>+Reactivos_[[#This Row],[Cantidad]]*Reactivos_[[#This Row],[Valor de referencia]]</f>
        <v>50139496</v>
      </c>
      <c r="M8" s="254">
        <v>0</v>
      </c>
      <c r="N8" s="255">
        <f>+Reactivos_[[#This Row],[Valor de referencia]]*Reactivos_[[#This Row],[Cantidad LANIP]]</f>
        <v>0</v>
      </c>
      <c r="O8" s="256"/>
      <c r="P8" s="255">
        <f>+Reactivos_[[#This Row],[Cantidad 
LDV]]*Reactivos_[[#This Row],[Valor de referencia]]</f>
        <v>0</v>
      </c>
      <c r="Q8" s="257"/>
      <c r="R8" s="255">
        <f>+Reactivos_[[#This Row],[Cantidad LNDV]]*Reactivos_[[#This Row],[Valor de referencia]]</f>
        <v>0</v>
      </c>
      <c r="S8" s="148"/>
      <c r="T8" s="255">
        <f>+Reactivos_[[#This Row],[GGCA]]*Reactivos_[[#This Row],[Valor de referencia]]</f>
        <v>0</v>
      </c>
      <c r="U8" s="254">
        <v>12</v>
      </c>
      <c r="V8" s="255">
        <f>+Reactivos_[[#This Row],[Cantidad LDF]]*Reactivos_[[#This Row],[Valor de referencia]]</f>
        <v>27348816</v>
      </c>
      <c r="W8" s="258">
        <v>10</v>
      </c>
      <c r="X8" s="255">
        <f>+Reactivos_[[#This Row],[Cantidad LDF&amp;MR]]*Reactivos_[[#This Row],[Valor de referencia]]</f>
        <v>22790680</v>
      </c>
      <c r="Y8" s="254"/>
      <c r="Z8" s="255">
        <f>+Reactivos_[[#This Row],[Cantidad RED LASE]]*Reactivos_[[#This Row],[Valor de referencia]]</f>
        <v>0</v>
      </c>
      <c r="AA8" s="254"/>
      <c r="AB8" s="255">
        <f>+Reactivos_[[#This Row],[Cantidad LANIA]]*Reactivos_[[#This Row],[Valor de referencia]]</f>
        <v>0</v>
      </c>
      <c r="AC8" s="254"/>
      <c r="AD8" s="255">
        <f>+Reactivos_[[#This Row],[Cantidad SPA]]*Reactivos_[[#This Row],[Valor de referencia]]</f>
        <v>0</v>
      </c>
      <c r="AE8" s="148" t="s">
        <v>76</v>
      </c>
      <c r="AF8" s="148" t="s">
        <v>77</v>
      </c>
    </row>
    <row r="9" spans="1:32" ht="34.5" customHeight="1" x14ac:dyDescent="0.25">
      <c r="A9" s="294" t="str">
        <f>IF(B9=Reactivos_[[#This Row],[Cantidad LANIP]],"LANIP",IF(B9=Reactivos_[[#This Row],[Cantidad 
LDV]],"LDV",IF(B9=Reactivos_[[#This Row],[Cantidad LNDV]],"LNDV",IF(B9=Reactivos_[[#This Row],[GGCA]],"GGCA",IF(B9=Reactivos_[[#This Row],[Cantidad LDF]],"LDF",IF(Reactivos_[[#This Row],[Cantidad LDF&amp;MR]],"LDF&amp;MR",IF(B9=Reactivos_[[#This Row],[Cantidad RED LASE]],"LASE",IF(B9=Reactivos_[[#This Row],[Cantidad LANIA]],"LANIA",IF(B9=Reactivos_[[#This Row],[Cantidad SPA]],"SPA"," ")))))))))</f>
        <v>SPA</v>
      </c>
      <c r="B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32</v>
      </c>
      <c r="C9" s="325">
        <v>7</v>
      </c>
      <c r="D9" s="326">
        <v>7</v>
      </c>
      <c r="E9" s="327" t="s">
        <v>98</v>
      </c>
      <c r="F9" s="332"/>
      <c r="G9" s="331"/>
      <c r="H9" s="328" t="s">
        <v>99</v>
      </c>
      <c r="I9" s="329" t="s">
        <v>100</v>
      </c>
      <c r="J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42</v>
      </c>
      <c r="K9" s="160">
        <v>322008</v>
      </c>
      <c r="L9" s="160">
        <f>+Reactivos_[[#This Row],[Cantidad]]*Reactivos_[[#This Row],[Valor de referencia]]</f>
        <v>13524336</v>
      </c>
      <c r="M9" s="254">
        <v>0</v>
      </c>
      <c r="N9" s="255">
        <f>+Reactivos_[[#This Row],[Valor de referencia]]*Reactivos_[[#This Row],[Cantidad LANIP]]</f>
        <v>0</v>
      </c>
      <c r="O9" s="256">
        <v>3</v>
      </c>
      <c r="P9" s="255">
        <f>+Reactivos_[[#This Row],[Cantidad 
LDV]]*Reactivos_[[#This Row],[Valor de referencia]]</f>
        <v>966024</v>
      </c>
      <c r="Q9" s="257"/>
      <c r="R9" s="255">
        <f>+Reactivos_[[#This Row],[Cantidad LNDV]]*Reactivos_[[#This Row],[Valor de referencia]]</f>
        <v>0</v>
      </c>
      <c r="S9" s="148"/>
      <c r="T9" s="255">
        <f>+Reactivos_[[#This Row],[GGCA]]*Reactivos_[[#This Row],[Valor de referencia]]</f>
        <v>0</v>
      </c>
      <c r="U9" s="254">
        <v>7</v>
      </c>
      <c r="V9" s="255">
        <f>+Reactivos_[[#This Row],[Cantidad LDF]]*Reactivos_[[#This Row],[Valor de referencia]]</f>
        <v>2254056</v>
      </c>
      <c r="W9" s="254"/>
      <c r="X9" s="255">
        <f>+Reactivos_[[#This Row],[Cantidad LDF&amp;MR]]*Reactivos_[[#This Row],[Valor de referencia]]</f>
        <v>0</v>
      </c>
      <c r="Y9" s="254"/>
      <c r="Z9" s="255">
        <f>+Reactivos_[[#This Row],[Cantidad RED LASE]]*Reactivos_[[#This Row],[Valor de referencia]]</f>
        <v>0</v>
      </c>
      <c r="AA9" s="254"/>
      <c r="AB9" s="255">
        <f>+Reactivos_[[#This Row],[Cantidad LANIA]]*Reactivos_[[#This Row],[Valor de referencia]]</f>
        <v>0</v>
      </c>
      <c r="AC9" s="254">
        <v>32</v>
      </c>
      <c r="AD9" s="255">
        <f>+Reactivos_[[#This Row],[Cantidad SPA]]*Reactivos_[[#This Row],[Valor de referencia]]</f>
        <v>10304256</v>
      </c>
      <c r="AE9" s="148" t="s">
        <v>76</v>
      </c>
      <c r="AF9" s="148" t="s">
        <v>101</v>
      </c>
    </row>
    <row r="10" spans="1:32" ht="24" customHeight="1" x14ac:dyDescent="0.25">
      <c r="A10" s="294" t="str">
        <f>IF(B10=Reactivos_[[#This Row],[Cantidad LANIP]],"LANIP",IF(B10=Reactivos_[[#This Row],[Cantidad 
LDV]],"LDV",IF(B10=Reactivos_[[#This Row],[Cantidad LNDV]],"LNDV",IF(B10=Reactivos_[[#This Row],[GGCA]],"GGCA",IF(B10=Reactivos_[[#This Row],[Cantidad LDF]],"LDF",IF(Reactivos_[[#This Row],[Cantidad LDF&amp;MR]],"LDF&amp;MR",IF(B10=Reactivos_[[#This Row],[Cantidad RED LASE]],"LASE",IF(B10=Reactivos_[[#This Row],[Cantidad LANIA]],"LANIA",IF(B10=Reactivos_[[#This Row],[Cantidad SPA]],"SPA"," ")))))))))</f>
        <v>LDV</v>
      </c>
      <c r="B1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10" s="325">
        <v>8</v>
      </c>
      <c r="D10" s="326">
        <v>8</v>
      </c>
      <c r="E10" s="327" t="s">
        <v>102</v>
      </c>
      <c r="F10" s="332"/>
      <c r="G10" s="331"/>
      <c r="H10" s="328" t="s">
        <v>103</v>
      </c>
      <c r="I10" s="329" t="s">
        <v>104</v>
      </c>
      <c r="J1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10" s="160">
        <v>154085</v>
      </c>
      <c r="L10" s="160">
        <f>+Reactivos_[[#This Row],[Cantidad]]*Reactivos_[[#This Row],[Valor de referencia]]</f>
        <v>2465360</v>
      </c>
      <c r="M10" s="254">
        <v>1</v>
      </c>
      <c r="N10" s="255">
        <f>+Reactivos_[[#This Row],[Valor de referencia]]*Reactivos_[[#This Row],[Cantidad LANIP]]</f>
        <v>154085</v>
      </c>
      <c r="O10" s="256">
        <v>7</v>
      </c>
      <c r="P10" s="255">
        <f>+Reactivos_[[#This Row],[Cantidad 
LDV]]*Reactivos_[[#This Row],[Valor de referencia]]</f>
        <v>1078595</v>
      </c>
      <c r="Q10" s="257"/>
      <c r="R10" s="255">
        <f>+Reactivos_[[#This Row],[Cantidad LNDV]]*Reactivos_[[#This Row],[Valor de referencia]]</f>
        <v>0</v>
      </c>
      <c r="S10" s="148"/>
      <c r="T10" s="255">
        <f>+Reactivos_[[#This Row],[GGCA]]*Reactivos_[[#This Row],[Valor de referencia]]</f>
        <v>0</v>
      </c>
      <c r="U10" s="254">
        <v>6</v>
      </c>
      <c r="V10" s="255">
        <f>+Reactivos_[[#This Row],[Cantidad LDF]]*Reactivos_[[#This Row],[Valor de referencia]]</f>
        <v>924510</v>
      </c>
      <c r="W10" s="254"/>
      <c r="X10" s="255">
        <f>+Reactivos_[[#This Row],[Cantidad LDF&amp;MR]]*Reactivos_[[#This Row],[Valor de referencia]]</f>
        <v>0</v>
      </c>
      <c r="Y10" s="254"/>
      <c r="Z10" s="255">
        <f>+Reactivos_[[#This Row],[Cantidad RED LASE]]*Reactivos_[[#This Row],[Valor de referencia]]</f>
        <v>0</v>
      </c>
      <c r="AA10" s="254">
        <v>2</v>
      </c>
      <c r="AB10" s="255">
        <f>+Reactivos_[[#This Row],[Cantidad LANIA]]*Reactivos_[[#This Row],[Valor de referencia]]</f>
        <v>308170</v>
      </c>
      <c r="AC10" s="254"/>
      <c r="AD10" s="255">
        <f>+Reactivos_[[#This Row],[Cantidad SPA]]*Reactivos_[[#This Row],[Valor de referencia]]</f>
        <v>0</v>
      </c>
      <c r="AE10" s="148" t="s">
        <v>76</v>
      </c>
      <c r="AF10" s="148" t="s">
        <v>101</v>
      </c>
    </row>
    <row r="11" spans="1:32" ht="30" customHeight="1" x14ac:dyDescent="0.25">
      <c r="A11" s="294" t="str">
        <f>IF(B11=Reactivos_[[#This Row],[Cantidad LANIP]],"LANIP",IF(B11=Reactivos_[[#This Row],[Cantidad 
LDV]],"LDV",IF(B11=Reactivos_[[#This Row],[Cantidad LNDV]],"LNDV",IF(B11=Reactivos_[[#This Row],[GGCA]],"GGCA",IF(B11=Reactivos_[[#This Row],[Cantidad LDF]],"LDF",IF(Reactivos_[[#This Row],[Cantidad LDF&amp;MR]],"LDF&amp;MR",IF(B11=Reactivos_[[#This Row],[Cantidad RED LASE]],"LASE",IF(B11=Reactivos_[[#This Row],[Cantidad LANIA]],"LANIA",IF(B11=Reactivos_[[#This Row],[Cantidad SPA]],"SPA"," ")))))))))</f>
        <v>LDF</v>
      </c>
      <c r="B1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1" s="325">
        <v>9</v>
      </c>
      <c r="D11" s="326">
        <v>9</v>
      </c>
      <c r="E11" s="245" t="s">
        <v>105</v>
      </c>
      <c r="F11" s="244"/>
      <c r="G11" s="245"/>
      <c r="H11" s="335" t="s">
        <v>106</v>
      </c>
      <c r="I11" s="410" t="s">
        <v>3219</v>
      </c>
      <c r="J1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11" s="160">
        <v>267750</v>
      </c>
      <c r="L11" s="160">
        <f>+Reactivos_[[#This Row],[Cantidad]]*Reactivos_[[#This Row],[Valor de referencia]]</f>
        <v>1071000</v>
      </c>
      <c r="M11" s="254">
        <v>0</v>
      </c>
      <c r="N11" s="255">
        <f>+Reactivos_[[#This Row],[Valor de referencia]]*Reactivos_[[#This Row],[Cantidad LANIP]]</f>
        <v>0</v>
      </c>
      <c r="O11" s="256"/>
      <c r="P11" s="255">
        <f>+Reactivos_[[#This Row],[Cantidad 
LDV]]*Reactivos_[[#This Row],[Valor de referencia]]</f>
        <v>0</v>
      </c>
      <c r="Q11" s="257"/>
      <c r="R11" s="255">
        <f>+Reactivos_[[#This Row],[Cantidad LNDV]]*Reactivos_[[#This Row],[Valor de referencia]]</f>
        <v>0</v>
      </c>
      <c r="S11" s="148"/>
      <c r="T11" s="255">
        <f>+Reactivos_[[#This Row],[GGCA]]*Reactivos_[[#This Row],[Valor de referencia]]</f>
        <v>0</v>
      </c>
      <c r="U11" s="254">
        <v>2</v>
      </c>
      <c r="V11" s="255">
        <f>+Reactivos_[[#This Row],[Cantidad LDF]]*Reactivos_[[#This Row],[Valor de referencia]]</f>
        <v>535500</v>
      </c>
      <c r="W11" s="254"/>
      <c r="X11" s="255">
        <f>+Reactivos_[[#This Row],[Cantidad LDF&amp;MR]]*Reactivos_[[#This Row],[Valor de referencia]]</f>
        <v>0</v>
      </c>
      <c r="Y11" s="254"/>
      <c r="Z11" s="255">
        <f>+Reactivos_[[#This Row],[Cantidad RED LASE]]*Reactivos_[[#This Row],[Valor de referencia]]</f>
        <v>0</v>
      </c>
      <c r="AA11" s="254">
        <v>2</v>
      </c>
      <c r="AB11" s="255">
        <f>+Reactivos_[[#This Row],[Cantidad LANIA]]*Reactivos_[[#This Row],[Valor de referencia]]</f>
        <v>535500</v>
      </c>
      <c r="AC11" s="254"/>
      <c r="AD11" s="255">
        <f>+Reactivos_[[#This Row],[Cantidad SPA]]*Reactivos_[[#This Row],[Valor de referencia]]</f>
        <v>0</v>
      </c>
      <c r="AE11" s="148" t="s">
        <v>76</v>
      </c>
      <c r="AF11" s="148" t="s">
        <v>77</v>
      </c>
    </row>
    <row r="12" spans="1:32" ht="25.5" customHeight="1" x14ac:dyDescent="0.25">
      <c r="A12" s="294" t="str">
        <f>IF(B12=Reactivos_[[#This Row],[Cantidad LANIP]],"LANIP",IF(B12=Reactivos_[[#This Row],[Cantidad 
LDV]],"LDV",IF(B12=Reactivos_[[#This Row],[Cantidad LNDV]],"LNDV",IF(B12=Reactivos_[[#This Row],[GGCA]],"GGCA",IF(B12=Reactivos_[[#This Row],[Cantidad LDF]],"LDF",IF(Reactivos_[[#This Row],[Cantidad LDF&amp;MR]],"LDF&amp;MR",IF(B12=Reactivos_[[#This Row],[Cantidad RED LASE]],"LASE",IF(B12=Reactivos_[[#This Row],[Cantidad LANIA]],"LANIA",IF(B12=Reactivos_[[#This Row],[Cantidad SPA]],"SPA"," ")))))))))</f>
        <v>LDV</v>
      </c>
      <c r="B1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12" s="325">
        <v>10</v>
      </c>
      <c r="D12" s="326">
        <v>10</v>
      </c>
      <c r="E12" s="327" t="s">
        <v>108</v>
      </c>
      <c r="F12" s="332" t="s">
        <v>109</v>
      </c>
      <c r="G12" s="331"/>
      <c r="H12" s="328" t="s">
        <v>110</v>
      </c>
      <c r="I12" s="329" t="s">
        <v>111</v>
      </c>
      <c r="J1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12" s="160">
        <v>136434</v>
      </c>
      <c r="L12" s="160">
        <f>+Reactivos_[[#This Row],[Cantidad]]*Reactivos_[[#This Row],[Valor de referencia]]</f>
        <v>2182944</v>
      </c>
      <c r="M12" s="254">
        <v>0</v>
      </c>
      <c r="N12" s="255">
        <f>+Reactivos_[[#This Row],[Valor de referencia]]*Reactivos_[[#This Row],[Cantidad LANIP]]</f>
        <v>0</v>
      </c>
      <c r="O12" s="256">
        <v>8</v>
      </c>
      <c r="P12" s="255">
        <f>+Reactivos_[[#This Row],[Cantidad 
LDV]]*Reactivos_[[#This Row],[Valor de referencia]]</f>
        <v>1091472</v>
      </c>
      <c r="Q12" s="257">
        <v>4</v>
      </c>
      <c r="R12" s="255">
        <f>+Reactivos_[[#This Row],[Cantidad LNDV]]*Reactivos_[[#This Row],[Valor de referencia]]</f>
        <v>545736</v>
      </c>
      <c r="S12" s="148"/>
      <c r="T12" s="255">
        <f>+Reactivos_[[#This Row],[GGCA]]*Reactivos_[[#This Row],[Valor de referencia]]</f>
        <v>0</v>
      </c>
      <c r="U12" s="254">
        <v>4</v>
      </c>
      <c r="V12" s="255">
        <f>+Reactivos_[[#This Row],[Cantidad LDF]]*Reactivos_[[#This Row],[Valor de referencia]]</f>
        <v>545736</v>
      </c>
      <c r="W12" s="254"/>
      <c r="X12" s="255">
        <f>+Reactivos_[[#This Row],[Cantidad LDF&amp;MR]]*Reactivos_[[#This Row],[Valor de referencia]]</f>
        <v>0</v>
      </c>
      <c r="Y12" s="254"/>
      <c r="Z12" s="255">
        <f>+Reactivos_[[#This Row],[Cantidad RED LASE]]*Reactivos_[[#This Row],[Valor de referencia]]</f>
        <v>0</v>
      </c>
      <c r="AA12" s="254"/>
      <c r="AB12" s="255">
        <f>+Reactivos_[[#This Row],[Cantidad LANIA]]*Reactivos_[[#This Row],[Valor de referencia]]</f>
        <v>0</v>
      </c>
      <c r="AC12" s="254"/>
      <c r="AD12" s="255">
        <f>+Reactivos_[[#This Row],[Cantidad SPA]]*Reactivos_[[#This Row],[Valor de referencia]]</f>
        <v>0</v>
      </c>
      <c r="AE12" s="148" t="s">
        <v>76</v>
      </c>
      <c r="AF12" s="148" t="s">
        <v>101</v>
      </c>
    </row>
    <row r="13" spans="1:32" ht="27" customHeight="1" x14ac:dyDescent="0.25">
      <c r="A13" s="294" t="str">
        <f>IF(B13=Reactivos_[[#This Row],[Cantidad LANIP]],"LANIP",IF(B13=Reactivos_[[#This Row],[Cantidad 
LDV]],"LDV",IF(B13=Reactivos_[[#This Row],[Cantidad LNDV]],"LNDV",IF(B13=Reactivos_[[#This Row],[GGCA]],"GGCA",IF(B13=Reactivos_[[#This Row],[Cantidad LDF]],"LDF",IF(Reactivos_[[#This Row],[Cantidad LDF&amp;MR]],"LDF&amp;MR",IF(B13=Reactivos_[[#This Row],[Cantidad RED LASE]],"LASE",IF(B13=Reactivos_[[#This Row],[Cantidad LANIA]],"LANIA",IF(B13=Reactivos_[[#This Row],[Cantidad SPA]],"SPA"," ")))))))))</f>
        <v>LANIA</v>
      </c>
      <c r="B1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13" s="325">
        <v>11</v>
      </c>
      <c r="D13" s="326">
        <v>12</v>
      </c>
      <c r="E13" s="327" t="s">
        <v>112</v>
      </c>
      <c r="F13" s="332" t="s">
        <v>113</v>
      </c>
      <c r="G13" s="331" t="s">
        <v>114</v>
      </c>
      <c r="H13" s="328" t="s">
        <v>115</v>
      </c>
      <c r="I13" s="329" t="s">
        <v>116</v>
      </c>
      <c r="J1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3" s="160">
        <v>900286</v>
      </c>
      <c r="L13" s="160">
        <f>+Reactivos_[[#This Row],[Cantidad]]*Reactivos_[[#This Row],[Valor de referencia]]</f>
        <v>4501430</v>
      </c>
      <c r="M13" s="254">
        <v>1</v>
      </c>
      <c r="N13" s="255">
        <f>+Reactivos_[[#This Row],[Valor de referencia]]*Reactivos_[[#This Row],[Cantidad LANIP]]</f>
        <v>900286</v>
      </c>
      <c r="O13" s="256"/>
      <c r="P13" s="255">
        <f>+Reactivos_[[#This Row],[Cantidad 
LDV]]*Reactivos_[[#This Row],[Valor de referencia]]</f>
        <v>0</v>
      </c>
      <c r="Q13" s="257"/>
      <c r="R13" s="255">
        <f>+Reactivos_[[#This Row],[Cantidad LNDV]]*Reactivos_[[#This Row],[Valor de referencia]]</f>
        <v>0</v>
      </c>
      <c r="S13" s="148"/>
      <c r="T13" s="255">
        <f>+Reactivos_[[#This Row],[GGCA]]*Reactivos_[[#This Row],[Valor de referencia]]</f>
        <v>0</v>
      </c>
      <c r="U13" s="254"/>
      <c r="V13" s="255">
        <f>+Reactivos_[[#This Row],[Cantidad LDF]]*Reactivos_[[#This Row],[Valor de referencia]]</f>
        <v>0</v>
      </c>
      <c r="W13" s="254"/>
      <c r="X13" s="255">
        <f>+Reactivos_[[#This Row],[Cantidad LDF&amp;MR]]*Reactivos_[[#This Row],[Valor de referencia]]</f>
        <v>0</v>
      </c>
      <c r="Y13" s="254"/>
      <c r="Z13" s="255">
        <f>+Reactivos_[[#This Row],[Cantidad RED LASE]]*Reactivos_[[#This Row],[Valor de referencia]]</f>
        <v>0</v>
      </c>
      <c r="AA13" s="254">
        <v>4</v>
      </c>
      <c r="AB13" s="255">
        <f>+Reactivos_[[#This Row],[Cantidad LANIA]]*Reactivos_[[#This Row],[Valor de referencia]]</f>
        <v>3601144</v>
      </c>
      <c r="AC13" s="254"/>
      <c r="AD13" s="255">
        <f>+Reactivos_[[#This Row],[Cantidad SPA]]*Reactivos_[[#This Row],[Valor de referencia]]</f>
        <v>0</v>
      </c>
      <c r="AE13" s="148" t="s">
        <v>76</v>
      </c>
      <c r="AF13" s="148" t="s">
        <v>77</v>
      </c>
    </row>
    <row r="14" spans="1:32" ht="22.5" customHeight="1" x14ac:dyDescent="0.25">
      <c r="A14" s="294" t="str">
        <f>IF(B14=Reactivos_[[#This Row],[Cantidad LANIP]],"LANIP",IF(B14=Reactivos_[[#This Row],[Cantidad 
LDV]],"LDV",IF(B14=Reactivos_[[#This Row],[Cantidad LNDV]],"LNDV",IF(B14=Reactivos_[[#This Row],[GGCA]],"GGCA",IF(B14=Reactivos_[[#This Row],[Cantidad LDF]],"LDF",IF(Reactivos_[[#This Row],[Cantidad LDF&amp;MR]],"LDF&amp;MR",IF(B14=Reactivos_[[#This Row],[Cantidad RED LASE]],"LASE",IF(B14=Reactivos_[[#This Row],[Cantidad LANIA]],"LANIA",IF(B14=Reactivos_[[#This Row],[Cantidad SPA]],"SPA"," ")))))))))</f>
        <v>LANIP</v>
      </c>
      <c r="B1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4" s="325">
        <v>12</v>
      </c>
      <c r="D14" s="326">
        <v>13</v>
      </c>
      <c r="E14" s="327" t="s">
        <v>117</v>
      </c>
      <c r="F14" s="332" t="s">
        <v>118</v>
      </c>
      <c r="G14" s="331" t="s">
        <v>119</v>
      </c>
      <c r="H14" s="328" t="s">
        <v>115</v>
      </c>
      <c r="I14" s="329" t="s">
        <v>120</v>
      </c>
      <c r="J1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4" s="160">
        <v>523719</v>
      </c>
      <c r="L14" s="160">
        <f>+Reactivos_[[#This Row],[Cantidad]]*Reactivos_[[#This Row],[Valor de referencia]]</f>
        <v>1047438</v>
      </c>
      <c r="M14" s="254">
        <v>1</v>
      </c>
      <c r="N14" s="255">
        <f>+Reactivos_[[#This Row],[Valor de referencia]]*Reactivos_[[#This Row],[Cantidad LANIP]]</f>
        <v>523719</v>
      </c>
      <c r="O14" s="256"/>
      <c r="P14" s="255">
        <f>+Reactivos_[[#This Row],[Cantidad 
LDV]]*Reactivos_[[#This Row],[Valor de referencia]]</f>
        <v>0</v>
      </c>
      <c r="Q14" s="257"/>
      <c r="R14" s="255">
        <f>+Reactivos_[[#This Row],[Cantidad LNDV]]*Reactivos_[[#This Row],[Valor de referencia]]</f>
        <v>0</v>
      </c>
      <c r="S14" s="148"/>
      <c r="T14" s="255">
        <f>+Reactivos_[[#This Row],[GGCA]]*Reactivos_[[#This Row],[Valor de referencia]]</f>
        <v>0</v>
      </c>
      <c r="U14" s="254"/>
      <c r="V14" s="255">
        <f>+Reactivos_[[#This Row],[Cantidad LDF]]*Reactivos_[[#This Row],[Valor de referencia]]</f>
        <v>0</v>
      </c>
      <c r="W14" s="254"/>
      <c r="X14" s="255">
        <f>+Reactivos_[[#This Row],[Cantidad LDF&amp;MR]]*Reactivos_[[#This Row],[Valor de referencia]]</f>
        <v>0</v>
      </c>
      <c r="Y14" s="254"/>
      <c r="Z14" s="255">
        <f>+Reactivos_[[#This Row],[Cantidad RED LASE]]*Reactivos_[[#This Row],[Valor de referencia]]</f>
        <v>0</v>
      </c>
      <c r="AA14" s="254">
        <v>1</v>
      </c>
      <c r="AB14" s="255">
        <f>+Reactivos_[[#This Row],[Cantidad LANIA]]*Reactivos_[[#This Row],[Valor de referencia]]</f>
        <v>523719</v>
      </c>
      <c r="AC14" s="254"/>
      <c r="AD14" s="255">
        <f>+Reactivos_[[#This Row],[Cantidad SPA]]*Reactivos_[[#This Row],[Valor de referencia]]</f>
        <v>0</v>
      </c>
      <c r="AE14" s="148" t="s">
        <v>76</v>
      </c>
      <c r="AF14" s="148" t="s">
        <v>77</v>
      </c>
    </row>
    <row r="15" spans="1:32" ht="25.5" x14ac:dyDescent="0.25">
      <c r="A15" s="294" t="str">
        <f>IF(B15=Reactivos_[[#This Row],[Cantidad LANIP]],"LANIP",IF(B15=Reactivos_[[#This Row],[Cantidad 
LDV]],"LDV",IF(B15=Reactivos_[[#This Row],[Cantidad LNDV]],"LNDV",IF(B15=Reactivos_[[#This Row],[GGCA]],"GGCA",IF(B15=Reactivos_[[#This Row],[Cantidad LDF]],"LDF",IF(Reactivos_[[#This Row],[Cantidad LDF&amp;MR]],"LDF&amp;MR",IF(B15=Reactivos_[[#This Row],[Cantidad RED LASE]],"LASE",IF(B15=Reactivos_[[#This Row],[Cantidad LANIA]],"LANIA",IF(B15=Reactivos_[[#This Row],[Cantidad SPA]],"SPA"," ")))))))))</f>
        <v>LANIP</v>
      </c>
      <c r="B1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5" s="325">
        <v>13</v>
      </c>
      <c r="D15" s="326">
        <v>14</v>
      </c>
      <c r="E15" s="327" t="s">
        <v>121</v>
      </c>
      <c r="F15" s="332" t="s">
        <v>122</v>
      </c>
      <c r="G15" s="331" t="s">
        <v>123</v>
      </c>
      <c r="H15" s="328" t="s">
        <v>115</v>
      </c>
      <c r="I15" s="329" t="s">
        <v>124</v>
      </c>
      <c r="J1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5" s="160">
        <v>1935187</v>
      </c>
      <c r="L15" s="160">
        <f>+Reactivos_[[#This Row],[Cantidad]]*Reactivos_[[#This Row],[Valor de referencia]]</f>
        <v>9675935</v>
      </c>
      <c r="M15" s="254">
        <v>5</v>
      </c>
      <c r="N15" s="255">
        <f>+Reactivos_[[#This Row],[Valor de referencia]]*Reactivos_[[#This Row],[Cantidad LANIP]]</f>
        <v>9675935</v>
      </c>
      <c r="O15" s="256"/>
      <c r="P15" s="255">
        <f>+Reactivos_[[#This Row],[Cantidad 
LDV]]*Reactivos_[[#This Row],[Valor de referencia]]</f>
        <v>0</v>
      </c>
      <c r="Q15" s="257"/>
      <c r="R15" s="255">
        <f>+Reactivos_[[#This Row],[Cantidad LNDV]]*Reactivos_[[#This Row],[Valor de referencia]]</f>
        <v>0</v>
      </c>
      <c r="S15" s="148"/>
      <c r="T15" s="255">
        <f>+Reactivos_[[#This Row],[GGCA]]*Reactivos_[[#This Row],[Valor de referencia]]</f>
        <v>0</v>
      </c>
      <c r="U15" s="254"/>
      <c r="V15" s="255">
        <f>+Reactivos_[[#This Row],[Cantidad LDF]]*Reactivos_[[#This Row],[Valor de referencia]]</f>
        <v>0</v>
      </c>
      <c r="W15" s="254"/>
      <c r="X15" s="255">
        <f>+Reactivos_[[#This Row],[Cantidad LDF&amp;MR]]*Reactivos_[[#This Row],[Valor de referencia]]</f>
        <v>0</v>
      </c>
      <c r="Y15" s="254"/>
      <c r="Z15" s="255">
        <f>+Reactivos_[[#This Row],[Cantidad RED LASE]]*Reactivos_[[#This Row],[Valor de referencia]]</f>
        <v>0</v>
      </c>
      <c r="AA15" s="254"/>
      <c r="AB15" s="255">
        <f>+Reactivos_[[#This Row],[Cantidad LANIA]]*Reactivos_[[#This Row],[Valor de referencia]]</f>
        <v>0</v>
      </c>
      <c r="AC15" s="254"/>
      <c r="AD15" s="255">
        <f>+Reactivos_[[#This Row],[Cantidad SPA]]*Reactivos_[[#This Row],[Valor de referencia]]</f>
        <v>0</v>
      </c>
      <c r="AE15" s="148" t="s">
        <v>77</v>
      </c>
      <c r="AF15" s="148" t="s">
        <v>77</v>
      </c>
    </row>
    <row r="16" spans="1:32" ht="32.25" customHeight="1" x14ac:dyDescent="0.25">
      <c r="A16" s="294" t="str">
        <f>IF(B16=Reactivos_[[#This Row],[Cantidad LANIP]],"LANIP",IF(B16=Reactivos_[[#This Row],[Cantidad 
LDV]],"LDV",IF(B16=Reactivos_[[#This Row],[Cantidad LNDV]],"LNDV",IF(B16=Reactivos_[[#This Row],[GGCA]],"GGCA",IF(B16=Reactivos_[[#This Row],[Cantidad LDF]],"LDF",IF(Reactivos_[[#This Row],[Cantidad LDF&amp;MR]],"LDF&amp;MR",IF(B16=Reactivos_[[#This Row],[Cantidad RED LASE]],"LASE",IF(B16=Reactivos_[[#This Row],[Cantidad LANIA]],"LANIA",IF(B16=Reactivos_[[#This Row],[Cantidad SPA]],"SPA"," ")))))))))</f>
        <v>LANIP</v>
      </c>
      <c r="B1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6" s="325">
        <v>14</v>
      </c>
      <c r="D16" s="326">
        <v>15</v>
      </c>
      <c r="E16" s="327" t="s">
        <v>125</v>
      </c>
      <c r="F16" s="332" t="s">
        <v>122</v>
      </c>
      <c r="G16" s="331" t="s">
        <v>123</v>
      </c>
      <c r="H16" s="328" t="s">
        <v>115</v>
      </c>
      <c r="I16" s="329" t="s">
        <v>126</v>
      </c>
      <c r="J1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6" s="160">
        <v>2236701</v>
      </c>
      <c r="L16" s="160">
        <f>+Reactivos_[[#This Row],[Cantidad]]*Reactivos_[[#This Row],[Valor de referencia]]</f>
        <v>11183505</v>
      </c>
      <c r="M16" s="254">
        <v>5</v>
      </c>
      <c r="N16" s="255">
        <f>+Reactivos_[[#This Row],[Valor de referencia]]*Reactivos_[[#This Row],[Cantidad LANIP]]</f>
        <v>11183505</v>
      </c>
      <c r="O16" s="256"/>
      <c r="P16" s="255">
        <f>+Reactivos_[[#This Row],[Cantidad 
LDV]]*Reactivos_[[#This Row],[Valor de referencia]]</f>
        <v>0</v>
      </c>
      <c r="Q16" s="257"/>
      <c r="R16" s="255">
        <f>+Reactivos_[[#This Row],[Cantidad LNDV]]*Reactivos_[[#This Row],[Valor de referencia]]</f>
        <v>0</v>
      </c>
      <c r="S16" s="148"/>
      <c r="T16" s="255">
        <f>+Reactivos_[[#This Row],[GGCA]]*Reactivos_[[#This Row],[Valor de referencia]]</f>
        <v>0</v>
      </c>
      <c r="U16" s="254"/>
      <c r="V16" s="255">
        <f>+Reactivos_[[#This Row],[Cantidad LDF]]*Reactivos_[[#This Row],[Valor de referencia]]</f>
        <v>0</v>
      </c>
      <c r="W16" s="254"/>
      <c r="X16" s="255">
        <f>+Reactivos_[[#This Row],[Cantidad LDF&amp;MR]]*Reactivos_[[#This Row],[Valor de referencia]]</f>
        <v>0</v>
      </c>
      <c r="Y16" s="254"/>
      <c r="Z16" s="255">
        <f>+Reactivos_[[#This Row],[Cantidad RED LASE]]*Reactivos_[[#This Row],[Valor de referencia]]</f>
        <v>0</v>
      </c>
      <c r="AA16" s="254"/>
      <c r="AB16" s="255">
        <f>+Reactivos_[[#This Row],[Cantidad LANIA]]*Reactivos_[[#This Row],[Valor de referencia]]</f>
        <v>0</v>
      </c>
      <c r="AC16" s="254"/>
      <c r="AD16" s="255">
        <f>+Reactivos_[[#This Row],[Cantidad SPA]]*Reactivos_[[#This Row],[Valor de referencia]]</f>
        <v>0</v>
      </c>
      <c r="AE16" s="148" t="s">
        <v>77</v>
      </c>
      <c r="AF16" s="148" t="s">
        <v>77</v>
      </c>
    </row>
    <row r="17" spans="1:32" ht="25.5" x14ac:dyDescent="0.25">
      <c r="A17" s="294" t="str">
        <f>IF(B17=Reactivos_[[#This Row],[Cantidad LANIP]],"LANIP",IF(B17=Reactivos_[[#This Row],[Cantidad 
LDV]],"LDV",IF(B17=Reactivos_[[#This Row],[Cantidad LNDV]],"LNDV",IF(B17=Reactivos_[[#This Row],[GGCA]],"GGCA",IF(B17=Reactivos_[[#This Row],[Cantidad LDF]],"LDF",IF(Reactivos_[[#This Row],[Cantidad LDF&amp;MR]],"LDF&amp;MR",IF(B17=Reactivos_[[#This Row],[Cantidad RED LASE]],"LASE",IF(B17=Reactivos_[[#This Row],[Cantidad LANIA]],"LANIA",IF(B17=Reactivos_[[#This Row],[Cantidad SPA]],"SPA"," ")))))))))</f>
        <v>LANIP</v>
      </c>
      <c r="B1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7" s="325">
        <v>15</v>
      </c>
      <c r="D17" s="326">
        <v>16</v>
      </c>
      <c r="E17" s="245" t="s">
        <v>127</v>
      </c>
      <c r="F17" s="244" t="s">
        <v>128</v>
      </c>
      <c r="G17" s="245" t="s">
        <v>129</v>
      </c>
      <c r="H17" s="335"/>
      <c r="I17" s="336" t="s">
        <v>130</v>
      </c>
      <c r="J1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7" s="160">
        <v>369781</v>
      </c>
      <c r="L17" s="160">
        <f>+Reactivos_[[#This Row],[Cantidad]]*Reactivos_[[#This Row],[Valor de referencia]]</f>
        <v>369781</v>
      </c>
      <c r="M17" s="254">
        <v>1</v>
      </c>
      <c r="N17" s="255">
        <f>+Reactivos_[[#This Row],[Valor de referencia]]*Reactivos_[[#This Row],[Cantidad LANIP]]</f>
        <v>369781</v>
      </c>
      <c r="O17" s="256"/>
      <c r="P17" s="255">
        <f>+Reactivos_[[#This Row],[Cantidad 
LDV]]*Reactivos_[[#This Row],[Valor de referencia]]</f>
        <v>0</v>
      </c>
      <c r="Q17" s="257"/>
      <c r="R17" s="255">
        <f>+Reactivos_[[#This Row],[Cantidad LNDV]]*Reactivos_[[#This Row],[Valor de referencia]]</f>
        <v>0</v>
      </c>
      <c r="S17" s="148"/>
      <c r="T17" s="255">
        <f>+Reactivos_[[#This Row],[GGCA]]*Reactivos_[[#This Row],[Valor de referencia]]</f>
        <v>0</v>
      </c>
      <c r="U17" s="254"/>
      <c r="V17" s="255">
        <f>+Reactivos_[[#This Row],[Cantidad LDF]]*Reactivos_[[#This Row],[Valor de referencia]]</f>
        <v>0</v>
      </c>
      <c r="W17" s="254"/>
      <c r="X17" s="255">
        <f>+Reactivos_[[#This Row],[Cantidad LDF&amp;MR]]*Reactivos_[[#This Row],[Valor de referencia]]</f>
        <v>0</v>
      </c>
      <c r="Y17" s="254"/>
      <c r="Z17" s="255">
        <f>+Reactivos_[[#This Row],[Cantidad RED LASE]]*Reactivos_[[#This Row],[Valor de referencia]]</f>
        <v>0</v>
      </c>
      <c r="AA17" s="254"/>
      <c r="AB17" s="255">
        <f>+Reactivos_[[#This Row],[Cantidad LANIA]]*Reactivos_[[#This Row],[Valor de referencia]]</f>
        <v>0</v>
      </c>
      <c r="AC17" s="254"/>
      <c r="AD17" s="255">
        <f>+Reactivos_[[#This Row],[Cantidad SPA]]*Reactivos_[[#This Row],[Valor de referencia]]</f>
        <v>0</v>
      </c>
      <c r="AE17" s="148" t="s">
        <v>76</v>
      </c>
      <c r="AF17" s="148" t="s">
        <v>77</v>
      </c>
    </row>
    <row r="18" spans="1:32" ht="33.75" customHeight="1" x14ac:dyDescent="0.25">
      <c r="A18" s="294" t="str">
        <f>IF(B18=Reactivos_[[#This Row],[Cantidad LANIP]],"LANIP",IF(B18=Reactivos_[[#This Row],[Cantidad 
LDV]],"LDV",IF(B18=Reactivos_[[#This Row],[Cantidad LNDV]],"LNDV",IF(B18=Reactivos_[[#This Row],[GGCA]],"GGCA",IF(B18=Reactivos_[[#This Row],[Cantidad LDF]],"LDF",IF(Reactivos_[[#This Row],[Cantidad LDF&amp;MR]],"LDF&amp;MR",IF(B18=Reactivos_[[#This Row],[Cantidad RED LASE]],"LASE",IF(B18=Reactivos_[[#This Row],[Cantidad LANIA]],"LANIA",IF(B18=Reactivos_[[#This Row],[Cantidad SPA]],"SPA"," ")))))))))</f>
        <v>LDF&amp;MR</v>
      </c>
      <c r="B1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8" s="325">
        <v>16</v>
      </c>
      <c r="D18" s="326">
        <v>17</v>
      </c>
      <c r="E18" s="327" t="s">
        <v>131</v>
      </c>
      <c r="F18" s="332" t="s">
        <v>132</v>
      </c>
      <c r="G18" s="331" t="s">
        <v>133</v>
      </c>
      <c r="H18" s="330" t="s">
        <v>134</v>
      </c>
      <c r="I18" s="410" t="s">
        <v>3220</v>
      </c>
      <c r="J1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18" s="160">
        <v>517293</v>
      </c>
      <c r="L18" s="160">
        <f>+Reactivos_[[#This Row],[Cantidad]]*Reactivos_[[#This Row],[Valor de referencia]]</f>
        <v>2069172</v>
      </c>
      <c r="M18" s="254">
        <v>0</v>
      </c>
      <c r="N18" s="255">
        <f>+Reactivos_[[#This Row],[Valor de referencia]]*Reactivos_[[#This Row],[Cantidad LANIP]]</f>
        <v>0</v>
      </c>
      <c r="O18" s="256"/>
      <c r="P18" s="255">
        <f>+Reactivos_[[#This Row],[Cantidad 
LDV]]*Reactivos_[[#This Row],[Valor de referencia]]</f>
        <v>0</v>
      </c>
      <c r="Q18" s="257">
        <v>1</v>
      </c>
      <c r="R18" s="255">
        <f>+Reactivos_[[#This Row],[Cantidad LNDV]]*Reactivos_[[#This Row],[Valor de referencia]]</f>
        <v>517293</v>
      </c>
      <c r="S18" s="148"/>
      <c r="T18" s="255">
        <f>+Reactivos_[[#This Row],[GGCA]]*Reactivos_[[#This Row],[Valor de referencia]]</f>
        <v>0</v>
      </c>
      <c r="U18" s="254">
        <v>1</v>
      </c>
      <c r="V18" s="255">
        <f>+Reactivos_[[#This Row],[Cantidad LDF]]*Reactivos_[[#This Row],[Valor de referencia]]</f>
        <v>517293</v>
      </c>
      <c r="W18" s="254">
        <v>2</v>
      </c>
      <c r="X18" s="255">
        <f>+Reactivos_[[#This Row],[Cantidad LDF&amp;MR]]*Reactivos_[[#This Row],[Valor de referencia]]</f>
        <v>1034586</v>
      </c>
      <c r="Y18" s="254"/>
      <c r="Z18" s="255">
        <f>+Reactivos_[[#This Row],[Cantidad RED LASE]]*Reactivos_[[#This Row],[Valor de referencia]]</f>
        <v>0</v>
      </c>
      <c r="AA18" s="254"/>
      <c r="AB18" s="255">
        <f>+Reactivos_[[#This Row],[Cantidad LANIA]]*Reactivos_[[#This Row],[Valor de referencia]]</f>
        <v>0</v>
      </c>
      <c r="AC18" s="254"/>
      <c r="AD18" s="255">
        <f>+Reactivos_[[#This Row],[Cantidad SPA]]*Reactivos_[[#This Row],[Valor de referencia]]</f>
        <v>0</v>
      </c>
      <c r="AE18" s="148" t="s">
        <v>76</v>
      </c>
      <c r="AF18" s="148" t="s">
        <v>77</v>
      </c>
    </row>
    <row r="19" spans="1:32" ht="51" customHeight="1" x14ac:dyDescent="0.25">
      <c r="A19" s="294" t="str">
        <f>IF(B19=Reactivos_[[#This Row],[Cantidad LANIP]],"LANIP",IF(B19=Reactivos_[[#This Row],[Cantidad 
LDV]],"LDV",IF(B19=Reactivos_[[#This Row],[Cantidad LNDV]],"LNDV",IF(B19=Reactivos_[[#This Row],[GGCA]],"GGCA",IF(B19=Reactivos_[[#This Row],[Cantidad LDF]],"LDF",IF(Reactivos_[[#This Row],[Cantidad LDF&amp;MR]],"LDF&amp;MR",IF(B19=Reactivos_[[#This Row],[Cantidad RED LASE]],"LASE",IF(B19=Reactivos_[[#This Row],[Cantidad LANIA]],"LANIA",IF(B19=Reactivos_[[#This Row],[Cantidad SPA]],"SPA"," ")))))))))</f>
        <v>LNDV</v>
      </c>
      <c r="B1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 s="325">
        <v>17</v>
      </c>
      <c r="D19" s="326">
        <v>18</v>
      </c>
      <c r="E19" s="327" t="s">
        <v>135</v>
      </c>
      <c r="F19" s="332" t="s">
        <v>136</v>
      </c>
      <c r="G19" s="331" t="s">
        <v>137</v>
      </c>
      <c r="H19" s="328" t="s">
        <v>138</v>
      </c>
      <c r="I19" s="337" t="s">
        <v>139</v>
      </c>
      <c r="J1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 s="160">
        <v>339150</v>
      </c>
      <c r="L19" s="160">
        <f>+Reactivos_[[#This Row],[Cantidad]]*Reactivos_[[#This Row],[Valor de referencia]]</f>
        <v>339150</v>
      </c>
      <c r="M19" s="254">
        <v>0</v>
      </c>
      <c r="N19" s="255">
        <f>+Reactivos_[[#This Row],[Valor de referencia]]*Reactivos_[[#This Row],[Cantidad LANIP]]</f>
        <v>0</v>
      </c>
      <c r="O19" s="256"/>
      <c r="P19" s="255">
        <f>+Reactivos_[[#This Row],[Cantidad 
LDV]]*Reactivos_[[#This Row],[Valor de referencia]]</f>
        <v>0</v>
      </c>
      <c r="Q19" s="257">
        <v>1</v>
      </c>
      <c r="R19" s="255">
        <f>+Reactivos_[[#This Row],[Cantidad LNDV]]*Reactivos_[[#This Row],[Valor de referencia]]</f>
        <v>339150</v>
      </c>
      <c r="S19" s="148"/>
      <c r="T19" s="255">
        <f>+Reactivos_[[#This Row],[GGCA]]*Reactivos_[[#This Row],[Valor de referencia]]</f>
        <v>0</v>
      </c>
      <c r="U19" s="254"/>
      <c r="V19" s="255">
        <f>+Reactivos_[[#This Row],[Cantidad LDF]]*Reactivos_[[#This Row],[Valor de referencia]]</f>
        <v>0</v>
      </c>
      <c r="W19" s="254"/>
      <c r="X19" s="255">
        <f>+Reactivos_[[#This Row],[Cantidad LDF&amp;MR]]*Reactivos_[[#This Row],[Valor de referencia]]</f>
        <v>0</v>
      </c>
      <c r="Y19" s="254"/>
      <c r="Z19" s="255">
        <f>+Reactivos_[[#This Row],[Cantidad RED LASE]]*Reactivos_[[#This Row],[Valor de referencia]]</f>
        <v>0</v>
      </c>
      <c r="AA19" s="254"/>
      <c r="AB19" s="255">
        <f>+Reactivos_[[#This Row],[Cantidad LANIA]]*Reactivos_[[#This Row],[Valor de referencia]]</f>
        <v>0</v>
      </c>
      <c r="AC19" s="254"/>
      <c r="AD19" s="255">
        <f>+Reactivos_[[#This Row],[Cantidad SPA]]*Reactivos_[[#This Row],[Valor de referencia]]</f>
        <v>0</v>
      </c>
      <c r="AE19" s="148" t="s">
        <v>76</v>
      </c>
      <c r="AF19" s="148" t="s">
        <v>77</v>
      </c>
    </row>
    <row r="20" spans="1:32" ht="33.75" customHeight="1" x14ac:dyDescent="0.25">
      <c r="A20" s="294" t="str">
        <f>IF(B20=Reactivos_[[#This Row],[Cantidad LANIP]],"LANIP",IF(B20=Reactivos_[[#This Row],[Cantidad 
LDV]],"LDV",IF(B20=Reactivos_[[#This Row],[Cantidad LNDV]],"LNDV",IF(B20=Reactivos_[[#This Row],[GGCA]],"GGCA",IF(B20=Reactivos_[[#This Row],[Cantidad LDF]],"LDF",IF(Reactivos_[[#This Row],[Cantidad LDF&amp;MR]],"LDF&amp;MR",IF(B20=Reactivos_[[#This Row],[Cantidad RED LASE]],"LASE",IF(B20=Reactivos_[[#This Row],[Cantidad LANIA]],"LANIA",IF(B20=Reactivos_[[#This Row],[Cantidad SPA]],"SPA"," ")))))))))</f>
        <v>LANIA</v>
      </c>
      <c r="B2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0" s="325">
        <v>18</v>
      </c>
      <c r="D20" s="326">
        <v>19</v>
      </c>
      <c r="E20" s="327" t="s">
        <v>140</v>
      </c>
      <c r="F20" s="338"/>
      <c r="G20" s="339"/>
      <c r="H20" s="328" t="s">
        <v>141</v>
      </c>
      <c r="I20" s="340" t="s">
        <v>142</v>
      </c>
      <c r="J2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0" s="160">
        <v>724914</v>
      </c>
      <c r="L20" s="160">
        <f>+Reactivos_[[#This Row],[Cantidad]]*Reactivos_[[#This Row],[Valor de referencia]]</f>
        <v>724914</v>
      </c>
      <c r="M20" s="254">
        <v>0</v>
      </c>
      <c r="N20" s="255">
        <f>+Reactivos_[[#This Row],[Valor de referencia]]*Reactivos_[[#This Row],[Cantidad LANIP]]</f>
        <v>0</v>
      </c>
      <c r="O20" s="256"/>
      <c r="P20" s="255">
        <f>+Reactivos_[[#This Row],[Cantidad 
LDV]]*Reactivos_[[#This Row],[Valor de referencia]]</f>
        <v>0</v>
      </c>
      <c r="Q20" s="257"/>
      <c r="R20" s="255">
        <f>+Reactivos_[[#This Row],[Cantidad LNDV]]*Reactivos_[[#This Row],[Valor de referencia]]</f>
        <v>0</v>
      </c>
      <c r="S20" s="148"/>
      <c r="T20" s="255">
        <f>+Reactivos_[[#This Row],[GGCA]]*Reactivos_[[#This Row],[Valor de referencia]]</f>
        <v>0</v>
      </c>
      <c r="U20" s="254"/>
      <c r="V20" s="255">
        <f>+Reactivos_[[#This Row],[Cantidad LDF]]*Reactivos_[[#This Row],[Valor de referencia]]</f>
        <v>0</v>
      </c>
      <c r="W20" s="254"/>
      <c r="X20" s="255">
        <f>+Reactivos_[[#This Row],[Cantidad LDF&amp;MR]]*Reactivos_[[#This Row],[Valor de referencia]]</f>
        <v>0</v>
      </c>
      <c r="Y20" s="254"/>
      <c r="Z20" s="255">
        <f>+Reactivos_[[#This Row],[Cantidad RED LASE]]*Reactivos_[[#This Row],[Valor de referencia]]</f>
        <v>0</v>
      </c>
      <c r="AA20" s="254">
        <v>1</v>
      </c>
      <c r="AB20" s="255">
        <f>+Reactivos_[[#This Row],[Cantidad LANIA]]*Reactivos_[[#This Row],[Valor de referencia]]</f>
        <v>724914</v>
      </c>
      <c r="AC20" s="254"/>
      <c r="AD20" s="255">
        <f>+Reactivos_[[#This Row],[Cantidad SPA]]*Reactivos_[[#This Row],[Valor de referencia]]</f>
        <v>0</v>
      </c>
      <c r="AE20" s="148" t="s">
        <v>76</v>
      </c>
      <c r="AF20" s="148" t="s">
        <v>77</v>
      </c>
    </row>
    <row r="21" spans="1:32" ht="36.75" customHeight="1" x14ac:dyDescent="0.25">
      <c r="A21" s="294" t="str">
        <f>IF(B21=Reactivos_[[#This Row],[Cantidad LANIP]],"LANIP",IF(B21=Reactivos_[[#This Row],[Cantidad 
LDV]],"LDV",IF(B21=Reactivos_[[#This Row],[Cantidad LNDV]],"LNDV",IF(B21=Reactivos_[[#This Row],[GGCA]],"GGCA",IF(B21=Reactivos_[[#This Row],[Cantidad LDF]],"LDF",IF(Reactivos_[[#This Row],[Cantidad LDF&amp;MR]],"LDF&amp;MR",IF(B21=Reactivos_[[#This Row],[Cantidad RED LASE]],"LASE",IF(B21=Reactivos_[[#This Row],[Cantidad LANIA]],"LANIA",IF(B21=Reactivos_[[#This Row],[Cantidad SPA]],"SPA"," ")))))))))</f>
        <v>LNDV</v>
      </c>
      <c r="B2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21" s="325">
        <v>19</v>
      </c>
      <c r="D21" s="326">
        <v>20</v>
      </c>
      <c r="E21" s="327" t="s">
        <v>143</v>
      </c>
      <c r="F21" s="332" t="s">
        <v>144</v>
      </c>
      <c r="G21" s="331" t="s">
        <v>145</v>
      </c>
      <c r="H21" s="328" t="s">
        <v>146</v>
      </c>
      <c r="I21" s="329" t="s">
        <v>126</v>
      </c>
      <c r="J2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21" s="160">
        <v>944257</v>
      </c>
      <c r="L21" s="160">
        <f>+Reactivos_[[#This Row],[Cantidad]]*Reactivos_[[#This Row],[Valor de referencia]]</f>
        <v>3777028</v>
      </c>
      <c r="M21" s="254">
        <v>0</v>
      </c>
      <c r="N21" s="255">
        <f>+Reactivos_[[#This Row],[Valor de referencia]]*Reactivos_[[#This Row],[Cantidad LANIP]]</f>
        <v>0</v>
      </c>
      <c r="O21" s="256"/>
      <c r="P21" s="255">
        <f>+Reactivos_[[#This Row],[Cantidad 
LDV]]*Reactivos_[[#This Row],[Valor de referencia]]</f>
        <v>0</v>
      </c>
      <c r="Q21" s="257">
        <v>4</v>
      </c>
      <c r="R21" s="255">
        <f>+Reactivos_[[#This Row],[Cantidad LNDV]]*Reactivos_[[#This Row],[Valor de referencia]]</f>
        <v>3777028</v>
      </c>
      <c r="S21" s="148"/>
      <c r="T21" s="255">
        <f>+Reactivos_[[#This Row],[GGCA]]*Reactivos_[[#This Row],[Valor de referencia]]</f>
        <v>0</v>
      </c>
      <c r="U21" s="254"/>
      <c r="V21" s="255">
        <f>+Reactivos_[[#This Row],[Cantidad LDF]]*Reactivos_[[#This Row],[Valor de referencia]]</f>
        <v>0</v>
      </c>
      <c r="W21" s="254"/>
      <c r="X21" s="255">
        <f>+Reactivos_[[#This Row],[Cantidad LDF&amp;MR]]*Reactivos_[[#This Row],[Valor de referencia]]</f>
        <v>0</v>
      </c>
      <c r="Y21" s="254"/>
      <c r="Z21" s="255">
        <f>+Reactivos_[[#This Row],[Cantidad RED LASE]]*Reactivos_[[#This Row],[Valor de referencia]]</f>
        <v>0</v>
      </c>
      <c r="AA21" s="254"/>
      <c r="AB21" s="255">
        <f>+Reactivos_[[#This Row],[Cantidad LANIA]]*Reactivos_[[#This Row],[Valor de referencia]]</f>
        <v>0</v>
      </c>
      <c r="AC21" s="254"/>
      <c r="AD21" s="255">
        <f>+Reactivos_[[#This Row],[Cantidad SPA]]*Reactivos_[[#This Row],[Valor de referencia]]</f>
        <v>0</v>
      </c>
      <c r="AE21" s="148" t="s">
        <v>77</v>
      </c>
      <c r="AF21" s="148" t="s">
        <v>77</v>
      </c>
    </row>
    <row r="22" spans="1:32" ht="38.25" customHeight="1" x14ac:dyDescent="0.25">
      <c r="A22" s="294" t="str">
        <f>IF(B22=Reactivos_[[#This Row],[Cantidad LANIP]],"LANIP",IF(B22=Reactivos_[[#This Row],[Cantidad 
LDV]],"LDV",IF(B22=Reactivos_[[#This Row],[Cantidad LNDV]],"LNDV",IF(B22=Reactivos_[[#This Row],[GGCA]],"GGCA",IF(B22=Reactivos_[[#This Row],[Cantidad LDF]],"LDF",IF(Reactivos_[[#This Row],[Cantidad LDF&amp;MR]],"LDF&amp;MR",IF(B22=Reactivos_[[#This Row],[Cantidad RED LASE]],"LASE",IF(B22=Reactivos_[[#This Row],[Cantidad LANIA]],"LANIA",IF(B22=Reactivos_[[#This Row],[Cantidad SPA]],"SPA"," ")))))))))</f>
        <v>LANIP</v>
      </c>
      <c r="B2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2" s="325">
        <v>20</v>
      </c>
      <c r="D22" s="326">
        <v>21</v>
      </c>
      <c r="E22" s="327" t="s">
        <v>147</v>
      </c>
      <c r="F22" s="244" t="s">
        <v>148</v>
      </c>
      <c r="G22" s="327" t="s">
        <v>145</v>
      </c>
      <c r="H22" s="330" t="s">
        <v>149</v>
      </c>
      <c r="I22" s="341" t="s">
        <v>150</v>
      </c>
      <c r="J2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2" s="160">
        <v>1408358</v>
      </c>
      <c r="L22" s="160">
        <f>+Reactivos_[[#This Row],[Cantidad]]*Reactivos_[[#This Row],[Valor de referencia]]</f>
        <v>1408358</v>
      </c>
      <c r="M22" s="254">
        <v>1</v>
      </c>
      <c r="N22" s="255">
        <f>+Reactivos_[[#This Row],[Valor de referencia]]*Reactivos_[[#This Row],[Cantidad LANIP]]</f>
        <v>1408358</v>
      </c>
      <c r="O22" s="256"/>
      <c r="P22" s="255">
        <f>+Reactivos_[[#This Row],[Cantidad 
LDV]]*Reactivos_[[#This Row],[Valor de referencia]]</f>
        <v>0</v>
      </c>
      <c r="Q22" s="257"/>
      <c r="R22" s="255">
        <f>+Reactivos_[[#This Row],[Cantidad LNDV]]*Reactivos_[[#This Row],[Valor de referencia]]</f>
        <v>0</v>
      </c>
      <c r="S22" s="148"/>
      <c r="T22" s="255">
        <f>+Reactivos_[[#This Row],[GGCA]]*Reactivos_[[#This Row],[Valor de referencia]]</f>
        <v>0</v>
      </c>
      <c r="U22" s="254"/>
      <c r="V22" s="255">
        <f>+Reactivos_[[#This Row],[Cantidad LDF]]*Reactivos_[[#This Row],[Valor de referencia]]</f>
        <v>0</v>
      </c>
      <c r="W22" s="254"/>
      <c r="X22" s="255">
        <f>+Reactivos_[[#This Row],[Cantidad LDF&amp;MR]]*Reactivos_[[#This Row],[Valor de referencia]]</f>
        <v>0</v>
      </c>
      <c r="Y22" s="254"/>
      <c r="Z22" s="255">
        <f>+Reactivos_[[#This Row],[Cantidad RED LASE]]*Reactivos_[[#This Row],[Valor de referencia]]</f>
        <v>0</v>
      </c>
      <c r="AA22" s="254"/>
      <c r="AB22" s="255">
        <f>+Reactivos_[[#This Row],[Cantidad LANIA]]*Reactivos_[[#This Row],[Valor de referencia]]</f>
        <v>0</v>
      </c>
      <c r="AC22" s="254"/>
      <c r="AD22" s="255">
        <f>+Reactivos_[[#This Row],[Cantidad SPA]]*Reactivos_[[#This Row],[Valor de referencia]]</f>
        <v>0</v>
      </c>
      <c r="AE22" s="148" t="s">
        <v>77</v>
      </c>
      <c r="AF22" s="148" t="s">
        <v>77</v>
      </c>
    </row>
    <row r="23" spans="1:32" ht="38.25" x14ac:dyDescent="0.25">
      <c r="A23" s="294" t="str">
        <f>IF(B23=Reactivos_[[#This Row],[Cantidad LANIP]],"LANIP",IF(B23=Reactivos_[[#This Row],[Cantidad 
LDV]],"LDV",IF(B23=Reactivos_[[#This Row],[Cantidad LNDV]],"LNDV",IF(B23=Reactivos_[[#This Row],[GGCA]],"GGCA",IF(B23=Reactivos_[[#This Row],[Cantidad LDF]],"LDF",IF(Reactivos_[[#This Row],[Cantidad LDF&amp;MR]],"LDF&amp;MR",IF(B23=Reactivos_[[#This Row],[Cantidad RED LASE]],"LASE",IF(B23=Reactivos_[[#This Row],[Cantidad LANIA]],"LANIA",IF(B23=Reactivos_[[#This Row],[Cantidad SPA]],"SPA"," ")))))))))</f>
        <v>LANIA</v>
      </c>
      <c r="B2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70</v>
      </c>
      <c r="C23" s="325">
        <v>21</v>
      </c>
      <c r="D23" s="326">
        <v>22</v>
      </c>
      <c r="E23" s="331" t="s">
        <v>151</v>
      </c>
      <c r="F23" s="332" t="s">
        <v>152</v>
      </c>
      <c r="G23" s="331" t="s">
        <v>153</v>
      </c>
      <c r="H23" s="342" t="s">
        <v>154</v>
      </c>
      <c r="I23" s="334" t="s">
        <v>126</v>
      </c>
      <c r="J2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75</v>
      </c>
      <c r="K23" s="160">
        <v>809627</v>
      </c>
      <c r="L23" s="160">
        <f>+Reactivos_[[#This Row],[Cantidad]]*Reactivos_[[#This Row],[Valor de referencia]]</f>
        <v>60722025</v>
      </c>
      <c r="M23" s="254">
        <v>5</v>
      </c>
      <c r="N23" s="255">
        <f>+Reactivos_[[#This Row],[Valor de referencia]]*Reactivos_[[#This Row],[Cantidad LANIP]]</f>
        <v>4048135</v>
      </c>
      <c r="O23" s="256"/>
      <c r="P23" s="255">
        <f>+Reactivos_[[#This Row],[Cantidad 
LDV]]*Reactivos_[[#This Row],[Valor de referencia]]</f>
        <v>0</v>
      </c>
      <c r="Q23" s="257"/>
      <c r="R23" s="255">
        <f>+Reactivos_[[#This Row],[Cantidad LNDV]]*Reactivos_[[#This Row],[Valor de referencia]]</f>
        <v>0</v>
      </c>
      <c r="S23" s="148"/>
      <c r="T23" s="255">
        <f>+Reactivos_[[#This Row],[GGCA]]*Reactivos_[[#This Row],[Valor de referencia]]</f>
        <v>0</v>
      </c>
      <c r="U23" s="254"/>
      <c r="V23" s="255">
        <f>+Reactivos_[[#This Row],[Cantidad LDF]]*Reactivos_[[#This Row],[Valor de referencia]]</f>
        <v>0</v>
      </c>
      <c r="W23" s="254"/>
      <c r="X23" s="255">
        <f>+Reactivos_[[#This Row],[Cantidad LDF&amp;MR]]*Reactivos_[[#This Row],[Valor de referencia]]</f>
        <v>0</v>
      </c>
      <c r="Y23" s="254"/>
      <c r="Z23" s="255">
        <f>+Reactivos_[[#This Row],[Cantidad RED LASE]]*Reactivos_[[#This Row],[Valor de referencia]]</f>
        <v>0</v>
      </c>
      <c r="AA23" s="254">
        <v>70</v>
      </c>
      <c r="AB23" s="255">
        <f>+Reactivos_[[#This Row],[Cantidad LANIA]]*Reactivos_[[#This Row],[Valor de referencia]]</f>
        <v>56673890</v>
      </c>
      <c r="AC23" s="254"/>
      <c r="AD23" s="255">
        <f>+Reactivos_[[#This Row],[Cantidad SPA]]*Reactivos_[[#This Row],[Valor de referencia]]</f>
        <v>0</v>
      </c>
      <c r="AE23" s="148" t="s">
        <v>76</v>
      </c>
      <c r="AF23" s="148" t="s">
        <v>77</v>
      </c>
    </row>
    <row r="24" spans="1:32" ht="22.5" customHeight="1" x14ac:dyDescent="0.25">
      <c r="A24" s="294" t="str">
        <f>IF(B24=Reactivos_[[#This Row],[Cantidad LANIP]],"LANIP",IF(B24=Reactivos_[[#This Row],[Cantidad 
LDV]],"LDV",IF(B24=Reactivos_[[#This Row],[Cantidad LNDV]],"LNDV",IF(B24=Reactivos_[[#This Row],[GGCA]],"GGCA",IF(B24=Reactivos_[[#This Row],[Cantidad LDF]],"LDF",IF(Reactivos_[[#This Row],[Cantidad LDF&amp;MR]],"LDF&amp;MR",IF(B24=Reactivos_[[#This Row],[Cantidad RED LASE]],"LASE",IF(B24=Reactivos_[[#This Row],[Cantidad LANIA]],"LANIA",IF(B24=Reactivos_[[#This Row],[Cantidad SPA]],"SPA"," ")))))))))</f>
        <v>LANIP</v>
      </c>
      <c r="B2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24" s="325">
        <v>22</v>
      </c>
      <c r="D24" s="326">
        <v>23</v>
      </c>
      <c r="E24" s="327" t="s">
        <v>155</v>
      </c>
      <c r="F24" s="244"/>
      <c r="G24" s="327"/>
      <c r="H24" s="330" t="s">
        <v>149</v>
      </c>
      <c r="I24" s="329" t="s">
        <v>126</v>
      </c>
      <c r="J2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24" s="160">
        <v>986586</v>
      </c>
      <c r="L24" s="160">
        <f>+Reactivos_[[#This Row],[Cantidad]]*Reactivos_[[#This Row],[Valor de referencia]]</f>
        <v>4932930</v>
      </c>
      <c r="M24" s="254">
        <v>5</v>
      </c>
      <c r="N24" s="255">
        <f>+Reactivos_[[#This Row],[Valor de referencia]]*Reactivos_[[#This Row],[Cantidad LANIP]]</f>
        <v>4932930</v>
      </c>
      <c r="O24" s="256"/>
      <c r="P24" s="255">
        <f>+Reactivos_[[#This Row],[Cantidad 
LDV]]*Reactivos_[[#This Row],[Valor de referencia]]</f>
        <v>0</v>
      </c>
      <c r="Q24" s="257"/>
      <c r="R24" s="255">
        <f>+Reactivos_[[#This Row],[Cantidad LNDV]]*Reactivos_[[#This Row],[Valor de referencia]]</f>
        <v>0</v>
      </c>
      <c r="S24" s="148"/>
      <c r="T24" s="255">
        <f>+Reactivos_[[#This Row],[GGCA]]*Reactivos_[[#This Row],[Valor de referencia]]</f>
        <v>0</v>
      </c>
      <c r="U24" s="254"/>
      <c r="V24" s="255">
        <f>+Reactivos_[[#This Row],[Cantidad LDF]]*Reactivos_[[#This Row],[Valor de referencia]]</f>
        <v>0</v>
      </c>
      <c r="W24" s="254"/>
      <c r="X24" s="255">
        <f>+Reactivos_[[#This Row],[Cantidad LDF&amp;MR]]*Reactivos_[[#This Row],[Valor de referencia]]</f>
        <v>0</v>
      </c>
      <c r="Y24" s="254"/>
      <c r="Z24" s="255">
        <f>+Reactivos_[[#This Row],[Cantidad RED LASE]]*Reactivos_[[#This Row],[Valor de referencia]]</f>
        <v>0</v>
      </c>
      <c r="AA24" s="254"/>
      <c r="AB24" s="255">
        <f>+Reactivos_[[#This Row],[Cantidad LANIA]]*Reactivos_[[#This Row],[Valor de referencia]]</f>
        <v>0</v>
      </c>
      <c r="AC24" s="254"/>
      <c r="AD24" s="255">
        <f>+Reactivos_[[#This Row],[Cantidad SPA]]*Reactivos_[[#This Row],[Valor de referencia]]</f>
        <v>0</v>
      </c>
      <c r="AE24" s="148" t="s">
        <v>76</v>
      </c>
      <c r="AF24" s="148" t="s">
        <v>77</v>
      </c>
    </row>
    <row r="25" spans="1:32" ht="25.5" customHeight="1" x14ac:dyDescent="0.25">
      <c r="A25" s="294" t="str">
        <f>IF(B25=Reactivos_[[#This Row],[Cantidad LANIP]],"LANIP",IF(B25=Reactivos_[[#This Row],[Cantidad 
LDV]],"LDV",IF(B25=Reactivos_[[#This Row],[Cantidad LNDV]],"LNDV",IF(B25=Reactivos_[[#This Row],[GGCA]],"GGCA",IF(B25=Reactivos_[[#This Row],[Cantidad LDF]],"LDF",IF(Reactivos_[[#This Row],[Cantidad LDF&amp;MR]],"LDF&amp;MR",IF(B25=Reactivos_[[#This Row],[Cantidad RED LASE]],"LASE",IF(B25=Reactivos_[[#This Row],[Cantidad LANIA]],"LANIA",IF(B25=Reactivos_[[#This Row],[Cantidad SPA]],"SPA"," ")))))))))</f>
        <v>LANIA</v>
      </c>
      <c r="B2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25" s="325">
        <v>23</v>
      </c>
      <c r="D25" s="326">
        <v>24</v>
      </c>
      <c r="E25" s="327" t="s">
        <v>156</v>
      </c>
      <c r="F25" s="244" t="s">
        <v>152</v>
      </c>
      <c r="G25" s="327" t="s">
        <v>153</v>
      </c>
      <c r="H25" s="330" t="s">
        <v>149</v>
      </c>
      <c r="I25" s="329" t="s">
        <v>124</v>
      </c>
      <c r="J2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25</v>
      </c>
      <c r="K25" s="160">
        <v>1261995</v>
      </c>
      <c r="L25" s="160">
        <f>+Reactivos_[[#This Row],[Cantidad]]*Reactivos_[[#This Row],[Valor de referencia]]</f>
        <v>31549875</v>
      </c>
      <c r="M25" s="254">
        <v>5</v>
      </c>
      <c r="N25" s="255">
        <f>+Reactivos_[[#This Row],[Valor de referencia]]*Reactivos_[[#This Row],[Cantidad LANIP]]</f>
        <v>6309975</v>
      </c>
      <c r="O25" s="256"/>
      <c r="P25" s="255">
        <f>+Reactivos_[[#This Row],[Cantidad 
LDV]]*Reactivos_[[#This Row],[Valor de referencia]]</f>
        <v>0</v>
      </c>
      <c r="Q25" s="257"/>
      <c r="R25" s="255">
        <f>+Reactivos_[[#This Row],[Cantidad LNDV]]*Reactivos_[[#This Row],[Valor de referencia]]</f>
        <v>0</v>
      </c>
      <c r="S25" s="148"/>
      <c r="T25" s="255">
        <f>+Reactivos_[[#This Row],[GGCA]]*Reactivos_[[#This Row],[Valor de referencia]]</f>
        <v>0</v>
      </c>
      <c r="U25" s="254"/>
      <c r="V25" s="255">
        <f>+Reactivos_[[#This Row],[Cantidad LDF]]*Reactivos_[[#This Row],[Valor de referencia]]</f>
        <v>0</v>
      </c>
      <c r="W25" s="254"/>
      <c r="X25" s="255">
        <f>+Reactivos_[[#This Row],[Cantidad LDF&amp;MR]]*Reactivos_[[#This Row],[Valor de referencia]]</f>
        <v>0</v>
      </c>
      <c r="Y25" s="254"/>
      <c r="Z25" s="255">
        <f>+Reactivos_[[#This Row],[Cantidad RED LASE]]*Reactivos_[[#This Row],[Valor de referencia]]</f>
        <v>0</v>
      </c>
      <c r="AA25" s="254">
        <v>20</v>
      </c>
      <c r="AB25" s="255">
        <f>+Reactivos_[[#This Row],[Cantidad LANIA]]*Reactivos_[[#This Row],[Valor de referencia]]</f>
        <v>25239900</v>
      </c>
      <c r="AC25" s="254"/>
      <c r="AD25" s="255">
        <f>+Reactivos_[[#This Row],[Cantidad SPA]]*Reactivos_[[#This Row],[Valor de referencia]]</f>
        <v>0</v>
      </c>
      <c r="AE25" s="148" t="s">
        <v>76</v>
      </c>
      <c r="AF25" s="148" t="s">
        <v>77</v>
      </c>
    </row>
    <row r="26" spans="1:32" ht="25.5" x14ac:dyDescent="0.25">
      <c r="A26" s="294" t="str">
        <f>IF(B26=Reactivos_[[#This Row],[Cantidad LANIP]],"LANIP",IF(B26=Reactivos_[[#This Row],[Cantidad 
LDV]],"LDV",IF(B26=Reactivos_[[#This Row],[Cantidad LNDV]],"LNDV",IF(B26=Reactivos_[[#This Row],[GGCA]],"GGCA",IF(B26=Reactivos_[[#This Row],[Cantidad LDF]],"LDF",IF(Reactivos_[[#This Row],[Cantidad LDF&amp;MR]],"LDF&amp;MR",IF(B26=Reactivos_[[#This Row],[Cantidad RED LASE]],"LASE",IF(B26=Reactivos_[[#This Row],[Cantidad LANIA]],"LANIA",IF(B26=Reactivos_[[#This Row],[Cantidad SPA]],"SPA"," ")))))))))</f>
        <v>LANIP</v>
      </c>
      <c r="B2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6" s="325">
        <v>24</v>
      </c>
      <c r="D26" s="326">
        <v>25</v>
      </c>
      <c r="E26" s="327" t="s">
        <v>157</v>
      </c>
      <c r="F26" s="244"/>
      <c r="G26" s="327"/>
      <c r="H26" s="330" t="s">
        <v>149</v>
      </c>
      <c r="I26" s="329" t="s">
        <v>124</v>
      </c>
      <c r="J2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6" s="160">
        <v>489799</v>
      </c>
      <c r="L26" s="160">
        <f>+Reactivos_[[#This Row],[Cantidad]]*Reactivos_[[#This Row],[Valor de referencia]]</f>
        <v>1469397</v>
      </c>
      <c r="M26" s="254">
        <v>2</v>
      </c>
      <c r="N26" s="255">
        <f>+Reactivos_[[#This Row],[Valor de referencia]]*Reactivos_[[#This Row],[Cantidad LANIP]]</f>
        <v>979598</v>
      </c>
      <c r="O26" s="256"/>
      <c r="P26" s="255">
        <f>+Reactivos_[[#This Row],[Cantidad 
LDV]]*Reactivos_[[#This Row],[Valor de referencia]]</f>
        <v>0</v>
      </c>
      <c r="Q26" s="257"/>
      <c r="R26" s="255">
        <f>+Reactivos_[[#This Row],[Cantidad LNDV]]*Reactivos_[[#This Row],[Valor de referencia]]</f>
        <v>0</v>
      </c>
      <c r="S26" s="148"/>
      <c r="T26" s="255">
        <f>+Reactivos_[[#This Row],[GGCA]]*Reactivos_[[#This Row],[Valor de referencia]]</f>
        <v>0</v>
      </c>
      <c r="U26" s="254"/>
      <c r="V26" s="255">
        <f>+Reactivos_[[#This Row],[Cantidad LDF]]*Reactivos_[[#This Row],[Valor de referencia]]</f>
        <v>0</v>
      </c>
      <c r="W26" s="254"/>
      <c r="X26" s="255">
        <f>+Reactivos_[[#This Row],[Cantidad LDF&amp;MR]]*Reactivos_[[#This Row],[Valor de referencia]]</f>
        <v>0</v>
      </c>
      <c r="Y26" s="254"/>
      <c r="Z26" s="255">
        <f>+Reactivos_[[#This Row],[Cantidad RED LASE]]*Reactivos_[[#This Row],[Valor de referencia]]</f>
        <v>0</v>
      </c>
      <c r="AA26" s="254">
        <v>1</v>
      </c>
      <c r="AB26" s="255">
        <f>+Reactivos_[[#This Row],[Cantidad LANIA]]*Reactivos_[[#This Row],[Valor de referencia]]</f>
        <v>489799</v>
      </c>
      <c r="AC26" s="254"/>
      <c r="AD26" s="255">
        <f>+Reactivos_[[#This Row],[Cantidad SPA]]*Reactivos_[[#This Row],[Valor de referencia]]</f>
        <v>0</v>
      </c>
      <c r="AE26" s="148" t="s">
        <v>76</v>
      </c>
      <c r="AF26" s="148" t="s">
        <v>77</v>
      </c>
    </row>
    <row r="27" spans="1:32" x14ac:dyDescent="0.25">
      <c r="A27" s="294" t="str">
        <f>IF(B27=Reactivos_[[#This Row],[Cantidad LANIP]],"LANIP",IF(B27=Reactivos_[[#This Row],[Cantidad 
LDV]],"LDV",IF(B27=Reactivos_[[#This Row],[Cantidad LNDV]],"LNDV",IF(B27=Reactivos_[[#This Row],[GGCA]],"GGCA",IF(B27=Reactivos_[[#This Row],[Cantidad LDF]],"LDF",IF(Reactivos_[[#This Row],[Cantidad LDF&amp;MR]],"LDF&amp;MR",IF(B27=Reactivos_[[#This Row],[Cantidad RED LASE]],"LASE",IF(B27=Reactivos_[[#This Row],[Cantidad LANIA]],"LANIA",IF(B27=Reactivos_[[#This Row],[Cantidad SPA]],"SPA"," ")))))))))</f>
        <v>LNDV</v>
      </c>
      <c r="B2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7" s="325">
        <v>25</v>
      </c>
      <c r="D27" s="326">
        <v>26</v>
      </c>
      <c r="E27" s="245" t="s">
        <v>158</v>
      </c>
      <c r="F27" s="244" t="s">
        <v>159</v>
      </c>
      <c r="G27" s="245" t="s">
        <v>160</v>
      </c>
      <c r="H27" s="335" t="s">
        <v>161</v>
      </c>
      <c r="I27" s="336" t="s">
        <v>162</v>
      </c>
      <c r="J2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7" s="160">
        <v>286354</v>
      </c>
      <c r="L27" s="160">
        <f>+Reactivos_[[#This Row],[Cantidad]]*Reactivos_[[#This Row],[Valor de referencia]]</f>
        <v>286354</v>
      </c>
      <c r="M27" s="254">
        <v>0</v>
      </c>
      <c r="N27" s="255">
        <f>+Reactivos_[[#This Row],[Valor de referencia]]*Reactivos_[[#This Row],[Cantidad LANIP]]</f>
        <v>0</v>
      </c>
      <c r="O27" s="256"/>
      <c r="P27" s="255">
        <f>+Reactivos_[[#This Row],[Cantidad 
LDV]]*Reactivos_[[#This Row],[Valor de referencia]]</f>
        <v>0</v>
      </c>
      <c r="Q27" s="257">
        <v>1</v>
      </c>
      <c r="R27" s="255">
        <f>+Reactivos_[[#This Row],[Cantidad LNDV]]*Reactivos_[[#This Row],[Valor de referencia]]</f>
        <v>286354</v>
      </c>
      <c r="S27" s="148"/>
      <c r="T27" s="255">
        <f>+Reactivos_[[#This Row],[GGCA]]*Reactivos_[[#This Row],[Valor de referencia]]</f>
        <v>0</v>
      </c>
      <c r="U27" s="254"/>
      <c r="V27" s="255">
        <f>+Reactivos_[[#This Row],[Cantidad LDF]]*Reactivos_[[#This Row],[Valor de referencia]]</f>
        <v>0</v>
      </c>
      <c r="W27" s="254"/>
      <c r="X27" s="255">
        <f>+Reactivos_[[#This Row],[Cantidad LDF&amp;MR]]*Reactivos_[[#This Row],[Valor de referencia]]</f>
        <v>0</v>
      </c>
      <c r="Y27" s="254"/>
      <c r="Z27" s="255">
        <f>+Reactivos_[[#This Row],[Cantidad RED LASE]]*Reactivos_[[#This Row],[Valor de referencia]]</f>
        <v>0</v>
      </c>
      <c r="AA27" s="254"/>
      <c r="AB27" s="255">
        <f>+Reactivos_[[#This Row],[Cantidad LANIA]]*Reactivos_[[#This Row],[Valor de referencia]]</f>
        <v>0</v>
      </c>
      <c r="AC27" s="254"/>
      <c r="AD27" s="255">
        <f>+Reactivos_[[#This Row],[Cantidad SPA]]*Reactivos_[[#This Row],[Valor de referencia]]</f>
        <v>0</v>
      </c>
      <c r="AE27" s="148" t="s">
        <v>76</v>
      </c>
      <c r="AF27" s="148" t="s">
        <v>77</v>
      </c>
    </row>
    <row r="28" spans="1:32" ht="38.25" x14ac:dyDescent="0.25">
      <c r="A28" s="294" t="str">
        <f>IF(B28=Reactivos_[[#This Row],[Cantidad LANIP]],"LANIP",IF(B28=Reactivos_[[#This Row],[Cantidad 
LDV]],"LDV",IF(B28=Reactivos_[[#This Row],[Cantidad LNDV]],"LNDV",IF(B28=Reactivos_[[#This Row],[GGCA]],"GGCA",IF(B28=Reactivos_[[#This Row],[Cantidad LDF]],"LDF",IF(Reactivos_[[#This Row],[Cantidad LDF&amp;MR]],"LDF&amp;MR",IF(B28=Reactivos_[[#This Row],[Cantidad RED LASE]],"LASE",IF(B28=Reactivos_[[#This Row],[Cantidad LANIA]],"LANIA",IF(B28=Reactivos_[[#This Row],[Cantidad SPA]],"SPA"," ")))))))))</f>
        <v>LANIA</v>
      </c>
      <c r="B2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28" s="325">
        <v>26</v>
      </c>
      <c r="D28" s="326">
        <v>27</v>
      </c>
      <c r="E28" s="343" t="s">
        <v>163</v>
      </c>
      <c r="F28" s="244" t="s">
        <v>164</v>
      </c>
      <c r="G28" s="327"/>
      <c r="H28" s="344" t="s">
        <v>165</v>
      </c>
      <c r="I28" s="329" t="s">
        <v>166</v>
      </c>
      <c r="J2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8" s="160">
        <v>640396</v>
      </c>
      <c r="L28" s="160">
        <f>+Reactivos_[[#This Row],[Cantidad]]*Reactivos_[[#This Row],[Valor de referencia]]</f>
        <v>1921188</v>
      </c>
      <c r="M28" s="254">
        <v>0</v>
      </c>
      <c r="N28" s="255">
        <f>+Reactivos_[[#This Row],[Valor de referencia]]*Reactivos_[[#This Row],[Cantidad LANIP]]</f>
        <v>0</v>
      </c>
      <c r="O28" s="256"/>
      <c r="P28" s="255">
        <f>+Reactivos_[[#This Row],[Cantidad 
LDV]]*Reactivos_[[#This Row],[Valor de referencia]]</f>
        <v>0</v>
      </c>
      <c r="Q28" s="257"/>
      <c r="R28" s="255">
        <f>+Reactivos_[[#This Row],[Cantidad LNDV]]*Reactivos_[[#This Row],[Valor de referencia]]</f>
        <v>0</v>
      </c>
      <c r="S28" s="148"/>
      <c r="T28" s="255">
        <f>+Reactivos_[[#This Row],[GGCA]]*Reactivos_[[#This Row],[Valor de referencia]]</f>
        <v>0</v>
      </c>
      <c r="U28" s="254"/>
      <c r="V28" s="255">
        <f>+Reactivos_[[#This Row],[Cantidad LDF]]*Reactivos_[[#This Row],[Valor de referencia]]</f>
        <v>0</v>
      </c>
      <c r="W28" s="254"/>
      <c r="X28" s="255">
        <f>+Reactivos_[[#This Row],[Cantidad LDF&amp;MR]]*Reactivos_[[#This Row],[Valor de referencia]]</f>
        <v>0</v>
      </c>
      <c r="Y28" s="254"/>
      <c r="Z28" s="255">
        <f>+Reactivos_[[#This Row],[Cantidad RED LASE]]*Reactivos_[[#This Row],[Valor de referencia]]</f>
        <v>0</v>
      </c>
      <c r="AA28" s="254">
        <v>3</v>
      </c>
      <c r="AB28" s="255">
        <f>+Reactivos_[[#This Row],[Cantidad LANIA]]*Reactivos_[[#This Row],[Valor de referencia]]</f>
        <v>1921188</v>
      </c>
      <c r="AC28" s="254"/>
      <c r="AD28" s="255">
        <f>+Reactivos_[[#This Row],[Cantidad SPA]]*Reactivos_[[#This Row],[Valor de referencia]]</f>
        <v>0</v>
      </c>
      <c r="AE28" s="148" t="s">
        <v>76</v>
      </c>
      <c r="AF28" s="148" t="s">
        <v>77</v>
      </c>
    </row>
    <row r="29" spans="1:32" ht="25.5" x14ac:dyDescent="0.25">
      <c r="A29" s="294" t="str">
        <f>IF(B29=Reactivos_[[#This Row],[Cantidad LANIP]],"LANIP",IF(B29=Reactivos_[[#This Row],[Cantidad 
LDV]],"LDV",IF(B29=Reactivos_[[#This Row],[Cantidad LNDV]],"LNDV",IF(B29=Reactivos_[[#This Row],[GGCA]],"GGCA",IF(B29=Reactivos_[[#This Row],[Cantidad LDF]],"LDF",IF(Reactivos_[[#This Row],[Cantidad LDF&amp;MR]],"LDF&amp;MR",IF(B29=Reactivos_[[#This Row],[Cantidad RED LASE]],"LASE",IF(B29=Reactivos_[[#This Row],[Cantidad LANIA]],"LANIA",IF(B29=Reactivos_[[#This Row],[Cantidad SPA]],"SPA"," ")))))))))</f>
        <v>LANIP</v>
      </c>
      <c r="B2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9" s="325">
        <v>27</v>
      </c>
      <c r="D29" s="326">
        <v>28</v>
      </c>
      <c r="E29" s="327" t="s">
        <v>167</v>
      </c>
      <c r="F29" s="244"/>
      <c r="G29" s="327"/>
      <c r="H29" s="328" t="s">
        <v>168</v>
      </c>
      <c r="I29" s="329" t="s">
        <v>166</v>
      </c>
      <c r="J2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9" s="160">
        <v>548837</v>
      </c>
      <c r="L29" s="160">
        <f>+Reactivos_[[#This Row],[Cantidad]]*Reactivos_[[#This Row],[Valor de referencia]]</f>
        <v>1097674</v>
      </c>
      <c r="M29" s="254">
        <v>2</v>
      </c>
      <c r="N29" s="255">
        <f>+Reactivos_[[#This Row],[Valor de referencia]]*Reactivos_[[#This Row],[Cantidad LANIP]]</f>
        <v>1097674</v>
      </c>
      <c r="O29" s="256"/>
      <c r="P29" s="255">
        <f>+Reactivos_[[#This Row],[Cantidad 
LDV]]*Reactivos_[[#This Row],[Valor de referencia]]</f>
        <v>0</v>
      </c>
      <c r="Q29" s="257"/>
      <c r="R29" s="255">
        <f>+Reactivos_[[#This Row],[Cantidad LNDV]]*Reactivos_[[#This Row],[Valor de referencia]]</f>
        <v>0</v>
      </c>
      <c r="S29" s="148"/>
      <c r="T29" s="255">
        <f>+Reactivos_[[#This Row],[GGCA]]*Reactivos_[[#This Row],[Valor de referencia]]</f>
        <v>0</v>
      </c>
      <c r="U29" s="254"/>
      <c r="V29" s="255">
        <f>+Reactivos_[[#This Row],[Cantidad LDF]]*Reactivos_[[#This Row],[Valor de referencia]]</f>
        <v>0</v>
      </c>
      <c r="W29" s="254"/>
      <c r="X29" s="255">
        <f>+Reactivos_[[#This Row],[Cantidad LDF&amp;MR]]*Reactivos_[[#This Row],[Valor de referencia]]</f>
        <v>0</v>
      </c>
      <c r="Y29" s="254"/>
      <c r="Z29" s="255">
        <f>+Reactivos_[[#This Row],[Cantidad RED LASE]]*Reactivos_[[#This Row],[Valor de referencia]]</f>
        <v>0</v>
      </c>
      <c r="AA29" s="254"/>
      <c r="AB29" s="255">
        <f>+Reactivos_[[#This Row],[Cantidad LANIA]]*Reactivos_[[#This Row],[Valor de referencia]]</f>
        <v>0</v>
      </c>
      <c r="AC29" s="254"/>
      <c r="AD29" s="255">
        <f>+Reactivos_[[#This Row],[Cantidad SPA]]*Reactivos_[[#This Row],[Valor de referencia]]</f>
        <v>0</v>
      </c>
      <c r="AE29" s="148" t="s">
        <v>76</v>
      </c>
      <c r="AF29" s="148" t="s">
        <v>77</v>
      </c>
    </row>
    <row r="30" spans="1:32" ht="38.25" customHeight="1" x14ac:dyDescent="0.25">
      <c r="A30" s="294" t="str">
        <f>IF(B30=Reactivos_[[#This Row],[Cantidad LANIP]],"LANIP",IF(B30=Reactivos_[[#This Row],[Cantidad 
LDV]],"LDV",IF(B30=Reactivos_[[#This Row],[Cantidad LNDV]],"LNDV",IF(B30=Reactivos_[[#This Row],[GGCA]],"GGCA",IF(B30=Reactivos_[[#This Row],[Cantidad LDF]],"LDF",IF(Reactivos_[[#This Row],[Cantidad LDF&amp;MR]],"LDF&amp;MR",IF(B30=Reactivos_[[#This Row],[Cantidad RED LASE]],"LASE",IF(B30=Reactivos_[[#This Row],[Cantidad LANIA]],"LANIA",IF(B30=Reactivos_[[#This Row],[Cantidad SPA]],"SPA"," ")))))))))</f>
        <v>LNDV</v>
      </c>
      <c r="B3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 s="325">
        <v>28</v>
      </c>
      <c r="D30" s="326">
        <v>29</v>
      </c>
      <c r="E30" s="327" t="s">
        <v>169</v>
      </c>
      <c r="F30" s="316" t="s">
        <v>170</v>
      </c>
      <c r="G30" s="317" t="s">
        <v>171</v>
      </c>
      <c r="H30" s="328" t="s">
        <v>172</v>
      </c>
      <c r="I30" s="329" t="s">
        <v>124</v>
      </c>
      <c r="J3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30" s="160">
        <v>293319</v>
      </c>
      <c r="L30" s="160">
        <f>+Reactivos_[[#This Row],[Cantidad]]*Reactivos_[[#This Row],[Valor de referencia]]</f>
        <v>586638</v>
      </c>
      <c r="M30" s="254">
        <v>0</v>
      </c>
      <c r="N30" s="255">
        <f>+Reactivos_[[#This Row],[Valor de referencia]]*Reactivos_[[#This Row],[Cantidad LANIP]]</f>
        <v>0</v>
      </c>
      <c r="O30" s="256"/>
      <c r="P30" s="255">
        <f>+Reactivos_[[#This Row],[Cantidad 
LDV]]*Reactivos_[[#This Row],[Valor de referencia]]</f>
        <v>0</v>
      </c>
      <c r="Q30" s="257">
        <v>1</v>
      </c>
      <c r="R30" s="255">
        <f>+Reactivos_[[#This Row],[Cantidad LNDV]]*Reactivos_[[#This Row],[Valor de referencia]]</f>
        <v>293319</v>
      </c>
      <c r="S30" s="148"/>
      <c r="T30" s="255">
        <f>+Reactivos_[[#This Row],[GGCA]]*Reactivos_[[#This Row],[Valor de referencia]]</f>
        <v>0</v>
      </c>
      <c r="U30" s="254"/>
      <c r="V30" s="255">
        <f>+Reactivos_[[#This Row],[Cantidad LDF]]*Reactivos_[[#This Row],[Valor de referencia]]</f>
        <v>0</v>
      </c>
      <c r="W30" s="254">
        <v>1</v>
      </c>
      <c r="X30" s="255">
        <f>+Reactivos_[[#This Row],[Cantidad LDF&amp;MR]]*Reactivos_[[#This Row],[Valor de referencia]]</f>
        <v>293319</v>
      </c>
      <c r="Y30" s="254"/>
      <c r="Z30" s="255">
        <f>+Reactivos_[[#This Row],[Cantidad RED LASE]]*Reactivos_[[#This Row],[Valor de referencia]]</f>
        <v>0</v>
      </c>
      <c r="AA30" s="254"/>
      <c r="AB30" s="255">
        <f>+Reactivos_[[#This Row],[Cantidad LANIA]]*Reactivos_[[#This Row],[Valor de referencia]]</f>
        <v>0</v>
      </c>
      <c r="AC30" s="254"/>
      <c r="AD30" s="255">
        <f>+Reactivos_[[#This Row],[Cantidad SPA]]*Reactivos_[[#This Row],[Valor de referencia]]</f>
        <v>0</v>
      </c>
      <c r="AE30" s="148" t="s">
        <v>77</v>
      </c>
      <c r="AF30" s="148" t="s">
        <v>77</v>
      </c>
    </row>
    <row r="31" spans="1:32" ht="38.25" x14ac:dyDescent="0.25">
      <c r="A31" s="294" t="str">
        <f>IF(B31=Reactivos_[[#This Row],[Cantidad LANIP]],"LANIP",IF(B31=Reactivos_[[#This Row],[Cantidad 
LDV]],"LDV",IF(B31=Reactivos_[[#This Row],[Cantidad LNDV]],"LNDV",IF(B31=Reactivos_[[#This Row],[GGCA]],"GGCA",IF(B31=Reactivos_[[#This Row],[Cantidad LDF]],"LDF",IF(Reactivos_[[#This Row],[Cantidad LDF&amp;MR]],"LDF&amp;MR",IF(B31=Reactivos_[[#This Row],[Cantidad RED LASE]],"LASE",IF(B31=Reactivos_[[#This Row],[Cantidad LANIA]],"LANIA",IF(B31=Reactivos_[[#This Row],[Cantidad SPA]],"SPA"," ")))))))))</f>
        <v>LANIP</v>
      </c>
      <c r="B3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31" s="325">
        <v>29</v>
      </c>
      <c r="D31" s="326">
        <v>30</v>
      </c>
      <c r="E31" s="327" t="s">
        <v>173</v>
      </c>
      <c r="F31" s="316" t="s">
        <v>170</v>
      </c>
      <c r="G31" s="317" t="s">
        <v>171</v>
      </c>
      <c r="H31" s="328" t="s">
        <v>174</v>
      </c>
      <c r="I31" s="329" t="s">
        <v>175</v>
      </c>
      <c r="J3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K31" s="160">
        <v>579900</v>
      </c>
      <c r="L31" s="160">
        <f>+Reactivos_[[#This Row],[Cantidad]]*Reactivos_[[#This Row],[Valor de referencia]]</f>
        <v>6958800</v>
      </c>
      <c r="M31" s="254">
        <v>10</v>
      </c>
      <c r="N31" s="255">
        <f>+Reactivos_[[#This Row],[Valor de referencia]]*Reactivos_[[#This Row],[Cantidad LANIP]]</f>
        <v>5799000</v>
      </c>
      <c r="O31" s="256"/>
      <c r="P31" s="255">
        <f>+Reactivos_[[#This Row],[Cantidad 
LDV]]*Reactivos_[[#This Row],[Valor de referencia]]</f>
        <v>0</v>
      </c>
      <c r="Q31" s="257">
        <v>1</v>
      </c>
      <c r="R31" s="255">
        <f>+Reactivos_[[#This Row],[Cantidad LNDV]]*Reactivos_[[#This Row],[Valor de referencia]]</f>
        <v>579900</v>
      </c>
      <c r="S31" s="148"/>
      <c r="T31" s="255">
        <f>+Reactivos_[[#This Row],[GGCA]]*Reactivos_[[#This Row],[Valor de referencia]]</f>
        <v>0</v>
      </c>
      <c r="U31" s="254"/>
      <c r="V31" s="255">
        <f>+Reactivos_[[#This Row],[Cantidad LDF]]*Reactivos_[[#This Row],[Valor de referencia]]</f>
        <v>0</v>
      </c>
      <c r="W31" s="254">
        <v>1</v>
      </c>
      <c r="X31" s="255">
        <f>+Reactivos_[[#This Row],[Cantidad LDF&amp;MR]]*Reactivos_[[#This Row],[Valor de referencia]]</f>
        <v>579900</v>
      </c>
      <c r="Y31" s="254"/>
      <c r="Z31" s="255">
        <f>+Reactivos_[[#This Row],[Cantidad RED LASE]]*Reactivos_[[#This Row],[Valor de referencia]]</f>
        <v>0</v>
      </c>
      <c r="AA31" s="254"/>
      <c r="AB31" s="255">
        <f>+Reactivos_[[#This Row],[Cantidad LANIA]]*Reactivos_[[#This Row],[Valor de referencia]]</f>
        <v>0</v>
      </c>
      <c r="AC31" s="254"/>
      <c r="AD31" s="255">
        <f>+Reactivos_[[#This Row],[Cantidad SPA]]*Reactivos_[[#This Row],[Valor de referencia]]</f>
        <v>0</v>
      </c>
      <c r="AE31" s="148" t="s">
        <v>77</v>
      </c>
      <c r="AF31" s="148" t="s">
        <v>77</v>
      </c>
    </row>
    <row r="32" spans="1:32" ht="22.5" customHeight="1" x14ac:dyDescent="0.25">
      <c r="A32" s="294" t="str">
        <f>IF(B32=Reactivos_[[#This Row],[Cantidad LANIP]],"LANIP",IF(B32=Reactivos_[[#This Row],[Cantidad 
LDV]],"LDV",IF(B32=Reactivos_[[#This Row],[Cantidad LNDV]],"LNDV",IF(B32=Reactivos_[[#This Row],[GGCA]],"GGCA",IF(B32=Reactivos_[[#This Row],[Cantidad LDF]],"LDF",IF(Reactivos_[[#This Row],[Cantidad LDF&amp;MR]],"LDF&amp;MR",IF(B32=Reactivos_[[#This Row],[Cantidad RED LASE]],"LASE",IF(B32=Reactivos_[[#This Row],[Cantidad LANIA]],"LANIA",IF(B32=Reactivos_[[#This Row],[Cantidad SPA]],"SPA"," ")))))))))</f>
        <v>LDV</v>
      </c>
      <c r="B3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32" s="325">
        <v>30</v>
      </c>
      <c r="D32" s="326">
        <v>31</v>
      </c>
      <c r="E32" s="327" t="s">
        <v>176</v>
      </c>
      <c r="F32" s="244" t="s">
        <v>177</v>
      </c>
      <c r="G32" s="327" t="s">
        <v>178</v>
      </c>
      <c r="H32" s="330" t="s">
        <v>149</v>
      </c>
      <c r="I32" s="329" t="s">
        <v>124</v>
      </c>
      <c r="J3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32" s="160">
        <v>809267</v>
      </c>
      <c r="L32" s="160">
        <f>+Reactivos_[[#This Row],[Cantidad]]*Reactivos_[[#This Row],[Valor de referencia]]</f>
        <v>3237068</v>
      </c>
      <c r="M32" s="254">
        <v>1</v>
      </c>
      <c r="N32" s="255">
        <f>+Reactivos_[[#This Row],[Valor de referencia]]*Reactivos_[[#This Row],[Cantidad LANIP]]</f>
        <v>809267</v>
      </c>
      <c r="O32" s="256">
        <v>2</v>
      </c>
      <c r="P32" s="255">
        <f>+Reactivos_[[#This Row],[Cantidad 
LDV]]*Reactivos_[[#This Row],[Valor de referencia]]</f>
        <v>1618534</v>
      </c>
      <c r="Q32" s="257"/>
      <c r="R32" s="255">
        <f>+Reactivos_[[#This Row],[Cantidad LNDV]]*Reactivos_[[#This Row],[Valor de referencia]]</f>
        <v>0</v>
      </c>
      <c r="S32" s="148"/>
      <c r="T32" s="255">
        <f>+Reactivos_[[#This Row],[GGCA]]*Reactivos_[[#This Row],[Valor de referencia]]</f>
        <v>0</v>
      </c>
      <c r="U32" s="254"/>
      <c r="V32" s="255">
        <f>+Reactivos_[[#This Row],[Cantidad LDF]]*Reactivos_[[#This Row],[Valor de referencia]]</f>
        <v>0</v>
      </c>
      <c r="W32" s="254">
        <v>1</v>
      </c>
      <c r="X32" s="255">
        <f>+Reactivos_[[#This Row],[Cantidad LDF&amp;MR]]*Reactivos_[[#This Row],[Valor de referencia]]</f>
        <v>809267</v>
      </c>
      <c r="Y32" s="254"/>
      <c r="Z32" s="255">
        <f>+Reactivos_[[#This Row],[Cantidad RED LASE]]*Reactivos_[[#This Row],[Valor de referencia]]</f>
        <v>0</v>
      </c>
      <c r="AA32" s="254"/>
      <c r="AB32" s="255">
        <f>+Reactivos_[[#This Row],[Cantidad LANIA]]*Reactivos_[[#This Row],[Valor de referencia]]</f>
        <v>0</v>
      </c>
      <c r="AC32" s="254"/>
      <c r="AD32" s="255">
        <f>+Reactivos_[[#This Row],[Cantidad SPA]]*Reactivos_[[#This Row],[Valor de referencia]]</f>
        <v>0</v>
      </c>
      <c r="AE32" s="148" t="s">
        <v>76</v>
      </c>
      <c r="AF32" s="148" t="s">
        <v>77</v>
      </c>
    </row>
    <row r="33" spans="1:32" ht="21" customHeight="1" x14ac:dyDescent="0.25">
      <c r="A33" s="294" t="str">
        <f>IF(B33=Reactivos_[[#This Row],[Cantidad LANIP]],"LANIP",IF(B33=Reactivos_[[#This Row],[Cantidad 
LDV]],"LDV",IF(B33=Reactivos_[[#This Row],[Cantidad LNDV]],"LNDV",IF(B33=Reactivos_[[#This Row],[GGCA]],"GGCA",IF(B33=Reactivos_[[#This Row],[Cantidad LDF]],"LDF",IF(Reactivos_[[#This Row],[Cantidad LDF&amp;MR]],"LDF&amp;MR",IF(B33=Reactivos_[[#This Row],[Cantidad RED LASE]],"LASE",IF(B33=Reactivos_[[#This Row],[Cantidad LANIA]],"LANIA",IF(B33=Reactivos_[[#This Row],[Cantidad SPA]],"SPA"," ")))))))))</f>
        <v>LANIP</v>
      </c>
      <c r="B3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 s="325">
        <v>31</v>
      </c>
      <c r="D33" s="326">
        <v>32</v>
      </c>
      <c r="E33" s="327" t="s">
        <v>179</v>
      </c>
      <c r="F33" s="244"/>
      <c r="G33" s="327"/>
      <c r="H33" s="328" t="s">
        <v>149</v>
      </c>
      <c r="I33" s="329" t="s">
        <v>80</v>
      </c>
      <c r="J3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 s="160">
        <v>1054264</v>
      </c>
      <c r="L33" s="160">
        <f>+Reactivos_[[#This Row],[Cantidad]]*Reactivos_[[#This Row],[Valor de referencia]]</f>
        <v>1054264</v>
      </c>
      <c r="M33" s="254">
        <v>1</v>
      </c>
      <c r="N33" s="255">
        <f>+Reactivos_[[#This Row],[Valor de referencia]]*Reactivos_[[#This Row],[Cantidad LANIP]]</f>
        <v>1054264</v>
      </c>
      <c r="O33" s="256"/>
      <c r="P33" s="255">
        <f>+Reactivos_[[#This Row],[Cantidad 
LDV]]*Reactivos_[[#This Row],[Valor de referencia]]</f>
        <v>0</v>
      </c>
      <c r="Q33" s="257"/>
      <c r="R33" s="255">
        <f>+Reactivos_[[#This Row],[Cantidad LNDV]]*Reactivos_[[#This Row],[Valor de referencia]]</f>
        <v>0</v>
      </c>
      <c r="S33" s="148"/>
      <c r="T33" s="255">
        <f>+Reactivos_[[#This Row],[GGCA]]*Reactivos_[[#This Row],[Valor de referencia]]</f>
        <v>0</v>
      </c>
      <c r="U33" s="254"/>
      <c r="V33" s="255">
        <f>+Reactivos_[[#This Row],[Cantidad LDF]]*Reactivos_[[#This Row],[Valor de referencia]]</f>
        <v>0</v>
      </c>
      <c r="W33" s="254"/>
      <c r="X33" s="255">
        <f>+Reactivos_[[#This Row],[Cantidad LDF&amp;MR]]*Reactivos_[[#This Row],[Valor de referencia]]</f>
        <v>0</v>
      </c>
      <c r="Y33" s="254"/>
      <c r="Z33" s="255">
        <f>+Reactivos_[[#This Row],[Cantidad RED LASE]]*Reactivos_[[#This Row],[Valor de referencia]]</f>
        <v>0</v>
      </c>
      <c r="AA33" s="254"/>
      <c r="AB33" s="255">
        <f>+Reactivos_[[#This Row],[Cantidad LANIA]]*Reactivos_[[#This Row],[Valor de referencia]]</f>
        <v>0</v>
      </c>
      <c r="AC33" s="254"/>
      <c r="AD33" s="255">
        <f>+Reactivos_[[#This Row],[Cantidad SPA]]*Reactivos_[[#This Row],[Valor de referencia]]</f>
        <v>0</v>
      </c>
      <c r="AE33" s="148" t="s">
        <v>76</v>
      </c>
      <c r="AF33" s="148" t="s">
        <v>77</v>
      </c>
    </row>
    <row r="34" spans="1:32" x14ac:dyDescent="0.25">
      <c r="A34" s="294" t="str">
        <f>IF(B34=Reactivos_[[#This Row],[Cantidad LANIP]],"LANIP",IF(B34=Reactivos_[[#This Row],[Cantidad 
LDV]],"LDV",IF(B34=Reactivos_[[#This Row],[Cantidad LNDV]],"LNDV",IF(B34=Reactivos_[[#This Row],[GGCA]],"GGCA",IF(B34=Reactivos_[[#This Row],[Cantidad LDF]],"LDF",IF(Reactivos_[[#This Row],[Cantidad LDF&amp;MR]],"LDF&amp;MR",IF(B34=Reactivos_[[#This Row],[Cantidad RED LASE]],"LASE",IF(B34=Reactivos_[[#This Row],[Cantidad LANIA]],"LANIA",IF(B34=Reactivos_[[#This Row],[Cantidad SPA]],"SPA"," ")))))))))</f>
        <v>LANIP</v>
      </c>
      <c r="B3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 s="325">
        <v>32</v>
      </c>
      <c r="D34" s="326">
        <v>36</v>
      </c>
      <c r="E34" s="331" t="s">
        <v>180</v>
      </c>
      <c r="F34" s="332" t="s">
        <v>181</v>
      </c>
      <c r="G34" s="331" t="s">
        <v>182</v>
      </c>
      <c r="H34" s="333" t="s">
        <v>183</v>
      </c>
      <c r="I34" s="334" t="s">
        <v>184</v>
      </c>
      <c r="J3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 s="160">
        <v>293687</v>
      </c>
      <c r="L34" s="160">
        <f>+Reactivos_[[#This Row],[Cantidad]]*Reactivos_[[#This Row],[Valor de referencia]]</f>
        <v>293687</v>
      </c>
      <c r="M34" s="254">
        <v>1</v>
      </c>
      <c r="N34" s="255">
        <f>+Reactivos_[[#This Row],[Valor de referencia]]*Reactivos_[[#This Row],[Cantidad LANIP]]</f>
        <v>293687</v>
      </c>
      <c r="O34" s="256"/>
      <c r="P34" s="255">
        <f>+Reactivos_[[#This Row],[Cantidad 
LDV]]*Reactivos_[[#This Row],[Valor de referencia]]</f>
        <v>0</v>
      </c>
      <c r="Q34" s="257"/>
      <c r="R34" s="255">
        <f>+Reactivos_[[#This Row],[Cantidad LNDV]]*Reactivos_[[#This Row],[Valor de referencia]]</f>
        <v>0</v>
      </c>
      <c r="S34" s="148"/>
      <c r="T34" s="255">
        <f>+Reactivos_[[#This Row],[GGCA]]*Reactivos_[[#This Row],[Valor de referencia]]</f>
        <v>0</v>
      </c>
      <c r="U34" s="254"/>
      <c r="V34" s="255">
        <f>+Reactivos_[[#This Row],[Cantidad LDF]]*Reactivos_[[#This Row],[Valor de referencia]]</f>
        <v>0</v>
      </c>
      <c r="W34" s="254"/>
      <c r="X34" s="255">
        <f>+Reactivos_[[#This Row],[Cantidad LDF&amp;MR]]*Reactivos_[[#This Row],[Valor de referencia]]</f>
        <v>0</v>
      </c>
      <c r="Y34" s="254"/>
      <c r="Z34" s="255">
        <f>+Reactivos_[[#This Row],[Cantidad RED LASE]]*Reactivos_[[#This Row],[Valor de referencia]]</f>
        <v>0</v>
      </c>
      <c r="AA34" s="254"/>
      <c r="AB34" s="255">
        <f>+Reactivos_[[#This Row],[Cantidad LANIA]]*Reactivos_[[#This Row],[Valor de referencia]]</f>
        <v>0</v>
      </c>
      <c r="AC34" s="254"/>
      <c r="AD34" s="255">
        <f>+Reactivos_[[#This Row],[Cantidad SPA]]*Reactivos_[[#This Row],[Valor de referencia]]</f>
        <v>0</v>
      </c>
      <c r="AE34" s="148" t="s">
        <v>76</v>
      </c>
      <c r="AF34" s="148" t="s">
        <v>77</v>
      </c>
    </row>
    <row r="35" spans="1:32" ht="21" customHeight="1" x14ac:dyDescent="0.25">
      <c r="A35" s="294" t="str">
        <f>IF(B35=Reactivos_[[#This Row],[Cantidad LANIP]],"LANIP",IF(B35=Reactivos_[[#This Row],[Cantidad 
LDV]],"LDV",IF(B35=Reactivos_[[#This Row],[Cantidad LNDV]],"LNDV",IF(B35=Reactivos_[[#This Row],[GGCA]],"GGCA",IF(B35=Reactivos_[[#This Row],[Cantidad LDF]],"LDF",IF(Reactivos_[[#This Row],[Cantidad LDF&amp;MR]],"LDF&amp;MR",IF(B35=Reactivos_[[#This Row],[Cantidad RED LASE]],"LASE",IF(B35=Reactivos_[[#This Row],[Cantidad LANIA]],"LANIA",IF(B35=Reactivos_[[#This Row],[Cantidad SPA]],"SPA"," ")))))))))</f>
        <v>LDF&amp;MR</v>
      </c>
      <c r="B3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5" s="325">
        <v>33</v>
      </c>
      <c r="D35" s="326">
        <v>37</v>
      </c>
      <c r="E35" s="345" t="s">
        <v>185</v>
      </c>
      <c r="F35" s="244"/>
      <c r="G35" s="327" t="s">
        <v>186</v>
      </c>
      <c r="H35" s="330" t="s">
        <v>187</v>
      </c>
      <c r="I35" s="329" t="s">
        <v>188</v>
      </c>
      <c r="J3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5" s="160">
        <v>538159</v>
      </c>
      <c r="L35" s="160">
        <f>+Reactivos_[[#This Row],[Cantidad]]*Reactivos_[[#This Row],[Valor de referencia]]</f>
        <v>538159</v>
      </c>
      <c r="M35" s="254">
        <v>0</v>
      </c>
      <c r="N35" s="255">
        <f>+Reactivos_[[#This Row],[Valor de referencia]]*Reactivos_[[#This Row],[Cantidad LANIP]]</f>
        <v>0</v>
      </c>
      <c r="O35" s="256"/>
      <c r="P35" s="255">
        <f>+Reactivos_[[#This Row],[Cantidad 
LDV]]*Reactivos_[[#This Row],[Valor de referencia]]</f>
        <v>0</v>
      </c>
      <c r="Q35" s="257"/>
      <c r="R35" s="255">
        <f>+Reactivos_[[#This Row],[Cantidad LNDV]]*Reactivos_[[#This Row],[Valor de referencia]]</f>
        <v>0</v>
      </c>
      <c r="S35" s="148"/>
      <c r="T35" s="255">
        <f>+Reactivos_[[#This Row],[GGCA]]*Reactivos_[[#This Row],[Valor de referencia]]</f>
        <v>0</v>
      </c>
      <c r="U35" s="254"/>
      <c r="V35" s="255">
        <f>+Reactivos_[[#This Row],[Cantidad LDF]]*Reactivos_[[#This Row],[Valor de referencia]]</f>
        <v>0</v>
      </c>
      <c r="W35" s="254">
        <v>1</v>
      </c>
      <c r="X35" s="255">
        <f>+Reactivos_[[#This Row],[Cantidad LDF&amp;MR]]*Reactivos_[[#This Row],[Valor de referencia]]</f>
        <v>538159</v>
      </c>
      <c r="Y35" s="254"/>
      <c r="Z35" s="255">
        <f>+Reactivos_[[#This Row],[Cantidad RED LASE]]*Reactivos_[[#This Row],[Valor de referencia]]</f>
        <v>0</v>
      </c>
      <c r="AA35" s="254"/>
      <c r="AB35" s="255">
        <f>+Reactivos_[[#This Row],[Cantidad LANIA]]*Reactivos_[[#This Row],[Valor de referencia]]</f>
        <v>0</v>
      </c>
      <c r="AC35" s="254"/>
      <c r="AD35" s="255">
        <f>+Reactivos_[[#This Row],[Cantidad SPA]]*Reactivos_[[#This Row],[Valor de referencia]]</f>
        <v>0</v>
      </c>
      <c r="AE35" s="148" t="s">
        <v>76</v>
      </c>
      <c r="AF35" s="148" t="s">
        <v>77</v>
      </c>
    </row>
    <row r="36" spans="1:32" ht="12.75" customHeight="1" x14ac:dyDescent="0.25">
      <c r="A36" s="294" t="str">
        <f>IF(B36=Reactivos_[[#This Row],[Cantidad LANIP]],"LANIP",IF(B36=Reactivos_[[#This Row],[Cantidad 
LDV]],"LDV",IF(B36=Reactivos_[[#This Row],[Cantidad LNDV]],"LNDV",IF(B36=Reactivos_[[#This Row],[GGCA]],"GGCA",IF(B36=Reactivos_[[#This Row],[Cantidad LDF]],"LDF",IF(Reactivos_[[#This Row],[Cantidad LDF&amp;MR]],"LDF&amp;MR",IF(B36=Reactivos_[[#This Row],[Cantidad RED LASE]],"LASE",IF(B36=Reactivos_[[#This Row],[Cantidad LANIA]],"LANIA",IF(B36=Reactivos_[[#This Row],[Cantidad SPA]],"SPA"," ")))))))))</f>
        <v>LANIP</v>
      </c>
      <c r="B3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6" s="325">
        <v>34</v>
      </c>
      <c r="D36" s="326">
        <v>38</v>
      </c>
      <c r="E36" s="327" t="s">
        <v>189</v>
      </c>
      <c r="F36" s="318" t="s">
        <v>190</v>
      </c>
      <c r="G36" s="317" t="s">
        <v>191</v>
      </c>
      <c r="H36" s="328" t="s">
        <v>192</v>
      </c>
      <c r="I36" s="329" t="s">
        <v>166</v>
      </c>
      <c r="J3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36" s="160">
        <v>2897733</v>
      </c>
      <c r="L36" s="160">
        <f>+Reactivos_[[#This Row],[Cantidad]]*Reactivos_[[#This Row],[Valor de referencia]]</f>
        <v>5795466</v>
      </c>
      <c r="M36" s="254">
        <v>1</v>
      </c>
      <c r="N36" s="255">
        <f>+Reactivos_[[#This Row],[Valor de referencia]]*Reactivos_[[#This Row],[Cantidad LANIP]]</f>
        <v>2897733</v>
      </c>
      <c r="O36" s="256"/>
      <c r="P36" s="255">
        <f>+Reactivos_[[#This Row],[Cantidad 
LDV]]*Reactivos_[[#This Row],[Valor de referencia]]</f>
        <v>0</v>
      </c>
      <c r="Q36" s="257">
        <v>1</v>
      </c>
      <c r="R36" s="255">
        <f>+Reactivos_[[#This Row],[Cantidad LNDV]]*Reactivos_[[#This Row],[Valor de referencia]]</f>
        <v>2897733</v>
      </c>
      <c r="S36" s="148"/>
      <c r="T36" s="255">
        <f>+Reactivos_[[#This Row],[GGCA]]*Reactivos_[[#This Row],[Valor de referencia]]</f>
        <v>0</v>
      </c>
      <c r="U36" s="254"/>
      <c r="V36" s="255">
        <f>+Reactivos_[[#This Row],[Cantidad LDF]]*Reactivos_[[#This Row],[Valor de referencia]]</f>
        <v>0</v>
      </c>
      <c r="W36" s="254"/>
      <c r="X36" s="255">
        <f>+Reactivos_[[#This Row],[Cantidad LDF&amp;MR]]*Reactivos_[[#This Row],[Valor de referencia]]</f>
        <v>0</v>
      </c>
      <c r="Y36" s="254"/>
      <c r="Z36" s="255">
        <f>+Reactivos_[[#This Row],[Cantidad RED LASE]]*Reactivos_[[#This Row],[Valor de referencia]]</f>
        <v>0</v>
      </c>
      <c r="AA36" s="254"/>
      <c r="AB36" s="255">
        <f>+Reactivos_[[#This Row],[Cantidad LANIA]]*Reactivos_[[#This Row],[Valor de referencia]]</f>
        <v>0</v>
      </c>
      <c r="AC36" s="254"/>
      <c r="AD36" s="255">
        <f>+Reactivos_[[#This Row],[Cantidad SPA]]*Reactivos_[[#This Row],[Valor de referencia]]</f>
        <v>0</v>
      </c>
      <c r="AE36" s="148" t="s">
        <v>76</v>
      </c>
      <c r="AF36" s="148" t="s">
        <v>77</v>
      </c>
    </row>
    <row r="37" spans="1:32" ht="25.5" x14ac:dyDescent="0.25">
      <c r="A37" s="294" t="str">
        <f>IF(B37=Reactivos_[[#This Row],[Cantidad LANIP]],"LANIP",IF(B37=Reactivos_[[#This Row],[Cantidad 
LDV]],"LDV",IF(B37=Reactivos_[[#This Row],[Cantidad LNDV]],"LNDV",IF(B37=Reactivos_[[#This Row],[GGCA]],"GGCA",IF(B37=Reactivos_[[#This Row],[Cantidad LDF]],"LDF",IF(Reactivos_[[#This Row],[Cantidad LDF&amp;MR]],"LDF&amp;MR",IF(B37=Reactivos_[[#This Row],[Cantidad RED LASE]],"LASE",IF(B37=Reactivos_[[#This Row],[Cantidad LANIA]],"LANIA",IF(B37=Reactivos_[[#This Row],[Cantidad SPA]],"SPA"," ")))))))))</f>
        <v>LANIA</v>
      </c>
      <c r="B3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37" s="325">
        <v>35</v>
      </c>
      <c r="D37" s="326">
        <v>39</v>
      </c>
      <c r="E37" s="345" t="s">
        <v>193</v>
      </c>
      <c r="F37" s="244" t="s">
        <v>194</v>
      </c>
      <c r="G37" s="327"/>
      <c r="H37" s="328" t="s">
        <v>195</v>
      </c>
      <c r="I37" s="341" t="s">
        <v>196</v>
      </c>
      <c r="J3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37" s="160">
        <v>2774716</v>
      </c>
      <c r="L37" s="160">
        <f>+Reactivos_[[#This Row],[Cantidad]]*Reactivos_[[#This Row],[Valor de referencia]]</f>
        <v>11098864</v>
      </c>
      <c r="M37" s="254">
        <v>0</v>
      </c>
      <c r="N37" s="255">
        <f>+Reactivos_[[#This Row],[Valor de referencia]]*Reactivos_[[#This Row],[Cantidad LANIP]]</f>
        <v>0</v>
      </c>
      <c r="O37" s="256"/>
      <c r="P37" s="255">
        <f>+Reactivos_[[#This Row],[Cantidad 
LDV]]*Reactivos_[[#This Row],[Valor de referencia]]</f>
        <v>0</v>
      </c>
      <c r="Q37" s="257"/>
      <c r="R37" s="255">
        <f>+Reactivos_[[#This Row],[Cantidad LNDV]]*Reactivos_[[#This Row],[Valor de referencia]]</f>
        <v>0</v>
      </c>
      <c r="S37" s="148"/>
      <c r="T37" s="255">
        <f>+Reactivos_[[#This Row],[GGCA]]*Reactivos_[[#This Row],[Valor de referencia]]</f>
        <v>0</v>
      </c>
      <c r="U37" s="254"/>
      <c r="V37" s="255">
        <f>+Reactivos_[[#This Row],[Cantidad LDF]]*Reactivos_[[#This Row],[Valor de referencia]]</f>
        <v>0</v>
      </c>
      <c r="W37" s="254"/>
      <c r="X37" s="255">
        <f>+Reactivos_[[#This Row],[Cantidad LDF&amp;MR]]*Reactivos_[[#This Row],[Valor de referencia]]</f>
        <v>0</v>
      </c>
      <c r="Y37" s="254"/>
      <c r="Z37" s="255">
        <f>+Reactivos_[[#This Row],[Cantidad RED LASE]]*Reactivos_[[#This Row],[Valor de referencia]]</f>
        <v>0</v>
      </c>
      <c r="AA37" s="254">
        <v>4</v>
      </c>
      <c r="AB37" s="255">
        <f>+Reactivos_[[#This Row],[Cantidad LANIA]]*Reactivos_[[#This Row],[Valor de referencia]]</f>
        <v>11098864</v>
      </c>
      <c r="AC37" s="254"/>
      <c r="AD37" s="255">
        <f>+Reactivos_[[#This Row],[Cantidad SPA]]*Reactivos_[[#This Row],[Valor de referencia]]</f>
        <v>0</v>
      </c>
      <c r="AE37" s="148" t="s">
        <v>76</v>
      </c>
      <c r="AF37" s="148" t="s">
        <v>77</v>
      </c>
    </row>
    <row r="38" spans="1:32" ht="12.75" customHeight="1" x14ac:dyDescent="0.25">
      <c r="A38" s="294" t="str">
        <f>IF(B38=Reactivos_[[#This Row],[Cantidad LANIP]],"LANIP",IF(B38=Reactivos_[[#This Row],[Cantidad 
LDV]],"LDV",IF(B38=Reactivos_[[#This Row],[Cantidad LNDV]],"LNDV",IF(B38=Reactivos_[[#This Row],[GGCA]],"GGCA",IF(B38=Reactivos_[[#This Row],[Cantidad LDF]],"LDF",IF(Reactivos_[[#This Row],[Cantidad LDF&amp;MR]],"LDF&amp;MR",IF(B38=Reactivos_[[#This Row],[Cantidad RED LASE]],"LASE",IF(B38=Reactivos_[[#This Row],[Cantidad LANIA]],"LANIA",IF(B38=Reactivos_[[#This Row],[Cantidad SPA]],"SPA"," ")))))))))</f>
        <v>LNDV</v>
      </c>
      <c r="B3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 s="325">
        <v>36</v>
      </c>
      <c r="D38" s="326">
        <v>40</v>
      </c>
      <c r="E38" s="327" t="s">
        <v>197</v>
      </c>
      <c r="F38" s="318" t="s">
        <v>198</v>
      </c>
      <c r="G38" s="319" t="s">
        <v>199</v>
      </c>
      <c r="H38" s="328" t="s">
        <v>200</v>
      </c>
      <c r="I38" s="329" t="s">
        <v>201</v>
      </c>
      <c r="J3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38" s="160">
        <v>1339121</v>
      </c>
      <c r="L38" s="160">
        <f>+Reactivos_[[#This Row],[Cantidad]]*Reactivos_[[#This Row],[Valor de referencia]]</f>
        <v>2678242</v>
      </c>
      <c r="M38" s="254">
        <v>0</v>
      </c>
      <c r="N38" s="255">
        <f>+Reactivos_[[#This Row],[Valor de referencia]]*Reactivos_[[#This Row],[Cantidad LANIP]]</f>
        <v>0</v>
      </c>
      <c r="O38" s="256"/>
      <c r="P38" s="255">
        <f>+Reactivos_[[#This Row],[Cantidad 
LDV]]*Reactivos_[[#This Row],[Valor de referencia]]</f>
        <v>0</v>
      </c>
      <c r="Q38" s="257">
        <v>1</v>
      </c>
      <c r="R38" s="255">
        <f>+Reactivos_[[#This Row],[Cantidad LNDV]]*Reactivos_[[#This Row],[Valor de referencia]]</f>
        <v>1339121</v>
      </c>
      <c r="S38" s="148"/>
      <c r="T38" s="255">
        <f>+Reactivos_[[#This Row],[GGCA]]*Reactivos_[[#This Row],[Valor de referencia]]</f>
        <v>0</v>
      </c>
      <c r="U38" s="254"/>
      <c r="V38" s="255">
        <f>+Reactivos_[[#This Row],[Cantidad LDF]]*Reactivos_[[#This Row],[Valor de referencia]]</f>
        <v>0</v>
      </c>
      <c r="W38" s="254"/>
      <c r="X38" s="255">
        <f>+Reactivos_[[#This Row],[Cantidad LDF&amp;MR]]*Reactivos_[[#This Row],[Valor de referencia]]</f>
        <v>0</v>
      </c>
      <c r="Y38" s="254"/>
      <c r="Z38" s="255">
        <f>+Reactivos_[[#This Row],[Cantidad RED LASE]]*Reactivos_[[#This Row],[Valor de referencia]]</f>
        <v>0</v>
      </c>
      <c r="AA38" s="254">
        <v>1</v>
      </c>
      <c r="AB38" s="255">
        <f>+Reactivos_[[#This Row],[Cantidad LANIA]]*Reactivos_[[#This Row],[Valor de referencia]]</f>
        <v>1339121</v>
      </c>
      <c r="AC38" s="254"/>
      <c r="AD38" s="255">
        <f>+Reactivos_[[#This Row],[Cantidad SPA]]*Reactivos_[[#This Row],[Valor de referencia]]</f>
        <v>0</v>
      </c>
      <c r="AE38" s="148" t="s">
        <v>76</v>
      </c>
      <c r="AF38" s="148" t="s">
        <v>77</v>
      </c>
    </row>
    <row r="39" spans="1:32" ht="25.5" x14ac:dyDescent="0.25">
      <c r="A39" s="294" t="str">
        <f>IF(B39=Reactivos_[[#This Row],[Cantidad LANIP]],"LANIP",IF(B39=Reactivos_[[#This Row],[Cantidad 
LDV]],"LDV",IF(B39=Reactivos_[[#This Row],[Cantidad LNDV]],"LNDV",IF(B39=Reactivos_[[#This Row],[GGCA]],"GGCA",IF(B39=Reactivos_[[#This Row],[Cantidad LDF]],"LDF",IF(Reactivos_[[#This Row],[Cantidad LDF&amp;MR]],"LDF&amp;MR",IF(B39=Reactivos_[[#This Row],[Cantidad RED LASE]],"LASE",IF(B39=Reactivos_[[#This Row],[Cantidad LANIA]],"LANIA",IF(B39=Reactivos_[[#This Row],[Cantidad SPA]],"SPA"," ")))))))))</f>
        <v>LNDV</v>
      </c>
      <c r="B3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 s="325">
        <v>37</v>
      </c>
      <c r="D39" s="326">
        <v>41</v>
      </c>
      <c r="E39" s="327" t="s">
        <v>202</v>
      </c>
      <c r="F39" s="318" t="s">
        <v>203</v>
      </c>
      <c r="G39" s="317" t="s">
        <v>204</v>
      </c>
      <c r="H39" s="330" t="s">
        <v>205</v>
      </c>
      <c r="I39" s="329" t="s">
        <v>206</v>
      </c>
      <c r="J3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39" s="160">
        <v>539123</v>
      </c>
      <c r="L39" s="160">
        <f>+Reactivos_[[#This Row],[Cantidad]]*Reactivos_[[#This Row],[Valor de referencia]]</f>
        <v>1078246</v>
      </c>
      <c r="M39" s="254">
        <v>0</v>
      </c>
      <c r="N39" s="255">
        <f>+Reactivos_[[#This Row],[Valor de referencia]]*Reactivos_[[#This Row],[Cantidad LANIP]]</f>
        <v>0</v>
      </c>
      <c r="O39" s="256"/>
      <c r="P39" s="255">
        <f>+Reactivos_[[#This Row],[Cantidad 
LDV]]*Reactivos_[[#This Row],[Valor de referencia]]</f>
        <v>0</v>
      </c>
      <c r="Q39" s="257">
        <v>1</v>
      </c>
      <c r="R39" s="255">
        <f>+Reactivos_[[#This Row],[Cantidad LNDV]]*Reactivos_[[#This Row],[Valor de referencia]]</f>
        <v>539123</v>
      </c>
      <c r="S39" s="148"/>
      <c r="T39" s="255">
        <f>+Reactivos_[[#This Row],[GGCA]]*Reactivos_[[#This Row],[Valor de referencia]]</f>
        <v>0</v>
      </c>
      <c r="U39" s="254"/>
      <c r="V39" s="255">
        <f>+Reactivos_[[#This Row],[Cantidad LDF]]*Reactivos_[[#This Row],[Valor de referencia]]</f>
        <v>0</v>
      </c>
      <c r="W39" s="254">
        <v>1</v>
      </c>
      <c r="X39" s="255">
        <f>+Reactivos_[[#This Row],[Cantidad LDF&amp;MR]]*Reactivos_[[#This Row],[Valor de referencia]]</f>
        <v>539123</v>
      </c>
      <c r="Y39" s="254"/>
      <c r="Z39" s="255">
        <f>+Reactivos_[[#This Row],[Cantidad RED LASE]]*Reactivos_[[#This Row],[Valor de referencia]]</f>
        <v>0</v>
      </c>
      <c r="AA39" s="254"/>
      <c r="AB39" s="255">
        <f>+Reactivos_[[#This Row],[Cantidad LANIA]]*Reactivos_[[#This Row],[Valor de referencia]]</f>
        <v>0</v>
      </c>
      <c r="AC39" s="254"/>
      <c r="AD39" s="255">
        <f>+Reactivos_[[#This Row],[Cantidad SPA]]*Reactivos_[[#This Row],[Valor de referencia]]</f>
        <v>0</v>
      </c>
      <c r="AE39" s="148" t="s">
        <v>76</v>
      </c>
      <c r="AF39" s="148" t="s">
        <v>77</v>
      </c>
    </row>
    <row r="40" spans="1:32" ht="32.25" customHeight="1" x14ac:dyDescent="0.25">
      <c r="A40" s="294" t="str">
        <f>IF(B40=Reactivos_[[#This Row],[Cantidad LANIP]],"LANIP",IF(B40=Reactivos_[[#This Row],[Cantidad 
LDV]],"LDV",IF(B40=Reactivos_[[#This Row],[Cantidad LNDV]],"LNDV",IF(B40=Reactivos_[[#This Row],[GGCA]],"GGCA",IF(B40=Reactivos_[[#This Row],[Cantidad LDF]],"LDF",IF(Reactivos_[[#This Row],[Cantidad LDF&amp;MR]],"LDF&amp;MR",IF(B40=Reactivos_[[#This Row],[Cantidad RED LASE]],"LASE",IF(B40=Reactivos_[[#This Row],[Cantidad LANIA]],"LANIA",IF(B40=Reactivos_[[#This Row],[Cantidad SPA]],"SPA"," ")))))))))</f>
        <v>LDF&amp;MR</v>
      </c>
      <c r="B4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 s="325">
        <v>38</v>
      </c>
      <c r="D40" s="326">
        <v>42</v>
      </c>
      <c r="E40" s="327" t="s">
        <v>207</v>
      </c>
      <c r="F40" s="244"/>
      <c r="G40" s="327"/>
      <c r="H40" s="328" t="s">
        <v>208</v>
      </c>
      <c r="I40" s="329" t="s">
        <v>162</v>
      </c>
      <c r="J4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 s="160">
        <v>502775</v>
      </c>
      <c r="L40" s="160">
        <f>+Reactivos_[[#This Row],[Cantidad]]*Reactivos_[[#This Row],[Valor de referencia]]</f>
        <v>502775</v>
      </c>
      <c r="M40" s="254">
        <v>0</v>
      </c>
      <c r="N40" s="255">
        <f>+Reactivos_[[#This Row],[Valor de referencia]]*Reactivos_[[#This Row],[Cantidad LANIP]]</f>
        <v>0</v>
      </c>
      <c r="O40" s="256"/>
      <c r="P40" s="255">
        <f>+Reactivos_[[#This Row],[Cantidad 
LDV]]*Reactivos_[[#This Row],[Valor de referencia]]</f>
        <v>0</v>
      </c>
      <c r="Q40" s="257"/>
      <c r="R40" s="255">
        <f>+Reactivos_[[#This Row],[Cantidad LNDV]]*Reactivos_[[#This Row],[Valor de referencia]]</f>
        <v>0</v>
      </c>
      <c r="S40" s="148"/>
      <c r="T40" s="255">
        <f>+Reactivos_[[#This Row],[GGCA]]*Reactivos_[[#This Row],[Valor de referencia]]</f>
        <v>0</v>
      </c>
      <c r="U40" s="254"/>
      <c r="V40" s="255">
        <f>+Reactivos_[[#This Row],[Cantidad LDF]]*Reactivos_[[#This Row],[Valor de referencia]]</f>
        <v>0</v>
      </c>
      <c r="W40" s="254">
        <v>1</v>
      </c>
      <c r="X40" s="255">
        <f>+Reactivos_[[#This Row],[Cantidad LDF&amp;MR]]*Reactivos_[[#This Row],[Valor de referencia]]</f>
        <v>502775</v>
      </c>
      <c r="Y40" s="254"/>
      <c r="Z40" s="255">
        <f>+Reactivos_[[#This Row],[Cantidad RED LASE]]*Reactivos_[[#This Row],[Valor de referencia]]</f>
        <v>0</v>
      </c>
      <c r="AA40" s="254"/>
      <c r="AB40" s="255">
        <f>+Reactivos_[[#This Row],[Cantidad LANIA]]*Reactivos_[[#This Row],[Valor de referencia]]</f>
        <v>0</v>
      </c>
      <c r="AC40" s="254"/>
      <c r="AD40" s="255">
        <f>+Reactivos_[[#This Row],[Cantidad SPA]]*Reactivos_[[#This Row],[Valor de referencia]]</f>
        <v>0</v>
      </c>
      <c r="AE40" s="148" t="s">
        <v>76</v>
      </c>
      <c r="AF40" s="148" t="s">
        <v>77</v>
      </c>
    </row>
    <row r="41" spans="1:32" ht="32.25" customHeight="1" x14ac:dyDescent="0.25">
      <c r="A41" s="294" t="str">
        <f>IF(B41=Reactivos_[[#This Row],[Cantidad LANIP]],"LANIP",IF(B41=Reactivos_[[#This Row],[Cantidad 
LDV]],"LDV",IF(B41=Reactivos_[[#This Row],[Cantidad LNDV]],"LNDV",IF(B41=Reactivos_[[#This Row],[GGCA]],"GGCA",IF(B41=Reactivos_[[#This Row],[Cantidad LDF]],"LDF",IF(Reactivos_[[#This Row],[Cantidad LDF&amp;MR]],"LDF&amp;MR",IF(B41=Reactivos_[[#This Row],[Cantidad RED LASE]],"LASE",IF(B41=Reactivos_[[#This Row],[Cantidad LANIA]],"LANIA",IF(B41=Reactivos_[[#This Row],[Cantidad SPA]],"SPA"," ")))))))))</f>
        <v>LANIP</v>
      </c>
      <c r="B4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1" s="325">
        <v>39</v>
      </c>
      <c r="D41" s="326">
        <v>43</v>
      </c>
      <c r="E41" s="327" t="s">
        <v>209</v>
      </c>
      <c r="F41" s="244"/>
      <c r="G41" s="327" t="s">
        <v>210</v>
      </c>
      <c r="H41" s="328" t="s">
        <v>211</v>
      </c>
      <c r="I41" s="329" t="s">
        <v>124</v>
      </c>
      <c r="J4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1" s="160">
        <v>387382</v>
      </c>
      <c r="L41" s="160">
        <f>+Reactivos_[[#This Row],[Cantidad]]*Reactivos_[[#This Row],[Valor de referencia]]</f>
        <v>387382</v>
      </c>
      <c r="M41" s="254">
        <v>1</v>
      </c>
      <c r="N41" s="255">
        <f>+Reactivos_[[#This Row],[Valor de referencia]]*Reactivos_[[#This Row],[Cantidad LANIP]]</f>
        <v>387382</v>
      </c>
      <c r="O41" s="256"/>
      <c r="P41" s="255">
        <f>+Reactivos_[[#This Row],[Cantidad 
LDV]]*Reactivos_[[#This Row],[Valor de referencia]]</f>
        <v>0</v>
      </c>
      <c r="Q41" s="257"/>
      <c r="R41" s="255">
        <f>+Reactivos_[[#This Row],[Cantidad LNDV]]*Reactivos_[[#This Row],[Valor de referencia]]</f>
        <v>0</v>
      </c>
      <c r="S41" s="148"/>
      <c r="T41" s="255">
        <f>+Reactivos_[[#This Row],[GGCA]]*Reactivos_[[#This Row],[Valor de referencia]]</f>
        <v>0</v>
      </c>
      <c r="U41" s="254"/>
      <c r="V41" s="255">
        <f>+Reactivos_[[#This Row],[Cantidad LDF]]*Reactivos_[[#This Row],[Valor de referencia]]</f>
        <v>0</v>
      </c>
      <c r="W41" s="254"/>
      <c r="X41" s="255">
        <f>+Reactivos_[[#This Row],[Cantidad LDF&amp;MR]]*Reactivos_[[#This Row],[Valor de referencia]]</f>
        <v>0</v>
      </c>
      <c r="Y41" s="254"/>
      <c r="Z41" s="255">
        <f>+Reactivos_[[#This Row],[Cantidad RED LASE]]*Reactivos_[[#This Row],[Valor de referencia]]</f>
        <v>0</v>
      </c>
      <c r="AA41" s="254"/>
      <c r="AB41" s="255">
        <f>+Reactivos_[[#This Row],[Cantidad LANIA]]*Reactivos_[[#This Row],[Valor de referencia]]</f>
        <v>0</v>
      </c>
      <c r="AC41" s="254"/>
      <c r="AD41" s="255">
        <f>+Reactivos_[[#This Row],[Cantidad SPA]]*Reactivos_[[#This Row],[Valor de referencia]]</f>
        <v>0</v>
      </c>
      <c r="AE41" s="148" t="s">
        <v>77</v>
      </c>
      <c r="AF41" s="148" t="s">
        <v>77</v>
      </c>
    </row>
    <row r="42" spans="1:32" ht="94.5" customHeight="1" x14ac:dyDescent="0.25">
      <c r="A42" s="294" t="str">
        <f>IF(B42=Reactivos_[[#This Row],[Cantidad LANIP]],"LANIP",IF(B42=Reactivos_[[#This Row],[Cantidad 
LDV]],"LDV",IF(B42=Reactivos_[[#This Row],[Cantidad LNDV]],"LNDV",IF(B42=Reactivos_[[#This Row],[GGCA]],"GGCA",IF(B42=Reactivos_[[#This Row],[Cantidad LDF]],"LDF",IF(Reactivos_[[#This Row],[Cantidad LDF&amp;MR]],"LDF&amp;MR",IF(B42=Reactivos_[[#This Row],[Cantidad RED LASE]],"LASE",IF(B42=Reactivos_[[#This Row],[Cantidad LANIA]],"LANIA",IF(B42=Reactivos_[[#This Row],[Cantidad SPA]],"SPA"," ")))))))))</f>
        <v>LNDV</v>
      </c>
      <c r="B4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2" s="325">
        <v>40</v>
      </c>
      <c r="D42" s="326">
        <v>44</v>
      </c>
      <c r="E42" s="245" t="s">
        <v>212</v>
      </c>
      <c r="F42" s="244" t="s">
        <v>213</v>
      </c>
      <c r="G42" s="245"/>
      <c r="H42" s="346" t="s">
        <v>214</v>
      </c>
      <c r="I42" s="336" t="s">
        <v>215</v>
      </c>
      <c r="J4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2" s="160">
        <v>635639</v>
      </c>
      <c r="L42" s="160">
        <f>+Reactivos_[[#This Row],[Cantidad]]*Reactivos_[[#This Row],[Valor de referencia]]</f>
        <v>635639</v>
      </c>
      <c r="M42" s="254">
        <v>0</v>
      </c>
      <c r="N42" s="255">
        <f>+Reactivos_[[#This Row],[Valor de referencia]]*Reactivos_[[#This Row],[Cantidad LANIP]]</f>
        <v>0</v>
      </c>
      <c r="O42" s="256"/>
      <c r="P42" s="255">
        <f>+Reactivos_[[#This Row],[Cantidad 
LDV]]*Reactivos_[[#This Row],[Valor de referencia]]</f>
        <v>0</v>
      </c>
      <c r="Q42" s="257">
        <v>1</v>
      </c>
      <c r="R42" s="255">
        <f>+Reactivos_[[#This Row],[Cantidad LNDV]]*Reactivos_[[#This Row],[Valor de referencia]]</f>
        <v>635639</v>
      </c>
      <c r="S42" s="148"/>
      <c r="T42" s="255">
        <f>+Reactivos_[[#This Row],[GGCA]]*Reactivos_[[#This Row],[Valor de referencia]]</f>
        <v>0</v>
      </c>
      <c r="U42" s="254"/>
      <c r="V42" s="255">
        <f>+Reactivos_[[#This Row],[Cantidad LDF]]*Reactivos_[[#This Row],[Valor de referencia]]</f>
        <v>0</v>
      </c>
      <c r="W42" s="254"/>
      <c r="X42" s="255">
        <f>+Reactivos_[[#This Row],[Cantidad LDF&amp;MR]]*Reactivos_[[#This Row],[Valor de referencia]]</f>
        <v>0</v>
      </c>
      <c r="Y42" s="254"/>
      <c r="Z42" s="255">
        <f>+Reactivos_[[#This Row],[Cantidad RED LASE]]*Reactivos_[[#This Row],[Valor de referencia]]</f>
        <v>0</v>
      </c>
      <c r="AA42" s="254"/>
      <c r="AB42" s="255">
        <f>+Reactivos_[[#This Row],[Cantidad LANIA]]*Reactivos_[[#This Row],[Valor de referencia]]</f>
        <v>0</v>
      </c>
      <c r="AC42" s="254"/>
      <c r="AD42" s="255">
        <f>+Reactivos_[[#This Row],[Cantidad SPA]]*Reactivos_[[#This Row],[Valor de referencia]]</f>
        <v>0</v>
      </c>
      <c r="AE42" s="148" t="s">
        <v>76</v>
      </c>
      <c r="AF42" s="148" t="s">
        <v>77</v>
      </c>
    </row>
    <row r="43" spans="1:32" ht="27.75" customHeight="1" x14ac:dyDescent="0.25">
      <c r="A43" s="294" t="str">
        <f>IF(B43=Reactivos_[[#This Row],[Cantidad LANIP]],"LANIP",IF(B43=Reactivos_[[#This Row],[Cantidad 
LDV]],"LDV",IF(B43=Reactivos_[[#This Row],[Cantidad LNDV]],"LNDV",IF(B43=Reactivos_[[#This Row],[GGCA]],"GGCA",IF(B43=Reactivos_[[#This Row],[Cantidad LDF]],"LDF",IF(Reactivos_[[#This Row],[Cantidad LDF&amp;MR]],"LDF&amp;MR",IF(B43=Reactivos_[[#This Row],[Cantidad RED LASE]],"LASE",IF(B43=Reactivos_[[#This Row],[Cantidad LANIA]],"LANIA",IF(B43=Reactivos_[[#This Row],[Cantidad SPA]],"SPA"," ")))))))))</f>
        <v>LANIP</v>
      </c>
      <c r="B4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3" s="325">
        <v>41</v>
      </c>
      <c r="D43" s="326">
        <v>46</v>
      </c>
      <c r="E43" s="327" t="s">
        <v>216</v>
      </c>
      <c r="F43" s="244"/>
      <c r="G43" s="327"/>
      <c r="H43" s="330" t="s">
        <v>149</v>
      </c>
      <c r="I43" s="329" t="s">
        <v>217</v>
      </c>
      <c r="J4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43" s="160">
        <v>508965</v>
      </c>
      <c r="L43" s="160">
        <f>+Reactivos_[[#This Row],[Cantidad]]*Reactivos_[[#This Row],[Valor de referencia]]</f>
        <v>2035860</v>
      </c>
      <c r="M43" s="254">
        <v>2</v>
      </c>
      <c r="N43" s="255">
        <f>+Reactivos_[[#This Row],[Valor de referencia]]*Reactivos_[[#This Row],[Cantidad LANIP]]</f>
        <v>1017930</v>
      </c>
      <c r="O43" s="256"/>
      <c r="P43" s="255">
        <f>+Reactivos_[[#This Row],[Cantidad 
LDV]]*Reactivos_[[#This Row],[Valor de referencia]]</f>
        <v>0</v>
      </c>
      <c r="Q43" s="257"/>
      <c r="R43" s="255">
        <f>+Reactivos_[[#This Row],[Cantidad LNDV]]*Reactivos_[[#This Row],[Valor de referencia]]</f>
        <v>0</v>
      </c>
      <c r="S43" s="148"/>
      <c r="T43" s="255">
        <f>+Reactivos_[[#This Row],[GGCA]]*Reactivos_[[#This Row],[Valor de referencia]]</f>
        <v>0</v>
      </c>
      <c r="U43" s="254"/>
      <c r="V43" s="255">
        <f>+Reactivos_[[#This Row],[Cantidad LDF]]*Reactivos_[[#This Row],[Valor de referencia]]</f>
        <v>0</v>
      </c>
      <c r="W43" s="254"/>
      <c r="X43" s="255">
        <f>+Reactivos_[[#This Row],[Cantidad LDF&amp;MR]]*Reactivos_[[#This Row],[Valor de referencia]]</f>
        <v>0</v>
      </c>
      <c r="Y43" s="254"/>
      <c r="Z43" s="255">
        <f>+Reactivos_[[#This Row],[Cantidad RED LASE]]*Reactivos_[[#This Row],[Valor de referencia]]</f>
        <v>0</v>
      </c>
      <c r="AA43" s="254">
        <v>2</v>
      </c>
      <c r="AB43" s="255">
        <f>+Reactivos_[[#This Row],[Cantidad LANIA]]*Reactivos_[[#This Row],[Valor de referencia]]</f>
        <v>1017930</v>
      </c>
      <c r="AC43" s="254"/>
      <c r="AD43" s="255">
        <f>+Reactivos_[[#This Row],[Cantidad SPA]]*Reactivos_[[#This Row],[Valor de referencia]]</f>
        <v>0</v>
      </c>
      <c r="AE43" s="148" t="s">
        <v>76</v>
      </c>
      <c r="AF43" s="148" t="s">
        <v>77</v>
      </c>
    </row>
    <row r="44" spans="1:32" ht="25.5" customHeight="1" x14ac:dyDescent="0.25">
      <c r="A44" s="294" t="str">
        <f>IF(B44=Reactivos_[[#This Row],[Cantidad LANIP]],"LANIP",IF(B44=Reactivos_[[#This Row],[Cantidad 
LDV]],"LDV",IF(B44=Reactivos_[[#This Row],[Cantidad LNDV]],"LNDV",IF(B44=Reactivos_[[#This Row],[GGCA]],"GGCA",IF(B44=Reactivos_[[#This Row],[Cantidad LDF]],"LDF",IF(Reactivos_[[#This Row],[Cantidad LDF&amp;MR]],"LDF&amp;MR",IF(B44=Reactivos_[[#This Row],[Cantidad RED LASE]],"LASE",IF(B44=Reactivos_[[#This Row],[Cantidad LANIA]],"LANIA",IF(B44=Reactivos_[[#This Row],[Cantidad SPA]],"SPA"," ")))))))))</f>
        <v>LANIP</v>
      </c>
      <c r="B4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44" s="325">
        <v>42</v>
      </c>
      <c r="D44" s="326">
        <v>47</v>
      </c>
      <c r="E44" s="327" t="s">
        <v>218</v>
      </c>
      <c r="F44" s="244"/>
      <c r="G44" s="327"/>
      <c r="H44" s="330" t="s">
        <v>219</v>
      </c>
      <c r="I44" s="329" t="s">
        <v>217</v>
      </c>
      <c r="J4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44" s="160">
        <v>813760</v>
      </c>
      <c r="L44" s="160">
        <f>+Reactivos_[[#This Row],[Cantidad]]*Reactivos_[[#This Row],[Valor de referencia]]</f>
        <v>2441280</v>
      </c>
      <c r="M44" s="254">
        <v>3</v>
      </c>
      <c r="N44" s="255">
        <f>+Reactivos_[[#This Row],[Valor de referencia]]*Reactivos_[[#This Row],[Cantidad LANIP]]</f>
        <v>2441280</v>
      </c>
      <c r="O44" s="256"/>
      <c r="P44" s="255">
        <f>+Reactivos_[[#This Row],[Cantidad 
LDV]]*Reactivos_[[#This Row],[Valor de referencia]]</f>
        <v>0</v>
      </c>
      <c r="Q44" s="257"/>
      <c r="R44" s="255">
        <f>+Reactivos_[[#This Row],[Cantidad LNDV]]*Reactivos_[[#This Row],[Valor de referencia]]</f>
        <v>0</v>
      </c>
      <c r="S44" s="148"/>
      <c r="T44" s="255">
        <f>+Reactivos_[[#This Row],[GGCA]]*Reactivos_[[#This Row],[Valor de referencia]]</f>
        <v>0</v>
      </c>
      <c r="U44" s="254"/>
      <c r="V44" s="255">
        <f>+Reactivos_[[#This Row],[Cantidad LDF]]*Reactivos_[[#This Row],[Valor de referencia]]</f>
        <v>0</v>
      </c>
      <c r="W44" s="254"/>
      <c r="X44" s="255">
        <f>+Reactivos_[[#This Row],[Cantidad LDF&amp;MR]]*Reactivos_[[#This Row],[Valor de referencia]]</f>
        <v>0</v>
      </c>
      <c r="Y44" s="254"/>
      <c r="Z44" s="255">
        <f>+Reactivos_[[#This Row],[Cantidad RED LASE]]*Reactivos_[[#This Row],[Valor de referencia]]</f>
        <v>0</v>
      </c>
      <c r="AA44" s="254"/>
      <c r="AB44" s="255">
        <f>+Reactivos_[[#This Row],[Cantidad LANIA]]*Reactivos_[[#This Row],[Valor de referencia]]</f>
        <v>0</v>
      </c>
      <c r="AC44" s="254"/>
      <c r="AD44" s="255">
        <f>+Reactivos_[[#This Row],[Cantidad SPA]]*Reactivos_[[#This Row],[Valor de referencia]]</f>
        <v>0</v>
      </c>
      <c r="AE44" s="148" t="s">
        <v>76</v>
      </c>
      <c r="AF44" s="148" t="s">
        <v>77</v>
      </c>
    </row>
    <row r="45" spans="1:32" ht="12.75" customHeight="1" x14ac:dyDescent="0.25">
      <c r="A45" s="294" t="str">
        <f>IF(B45=Reactivos_[[#This Row],[Cantidad LANIP]],"LANIP",IF(B45=Reactivos_[[#This Row],[Cantidad 
LDV]],"LDV",IF(B45=Reactivos_[[#This Row],[Cantidad LNDV]],"LNDV",IF(B45=Reactivos_[[#This Row],[GGCA]],"GGCA",IF(B45=Reactivos_[[#This Row],[Cantidad LDF]],"LDF",IF(Reactivos_[[#This Row],[Cantidad LDF&amp;MR]],"LDF&amp;MR",IF(B45=Reactivos_[[#This Row],[Cantidad RED LASE]],"LASE",IF(B45=Reactivos_[[#This Row],[Cantidad LANIA]],"LANIA",IF(B45=Reactivos_[[#This Row],[Cantidad SPA]],"SPA"," ")))))))))</f>
        <v>LANIP</v>
      </c>
      <c r="B4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5" s="325">
        <v>43</v>
      </c>
      <c r="D45" s="326">
        <v>48</v>
      </c>
      <c r="E45" s="327" t="s">
        <v>220</v>
      </c>
      <c r="F45" s="244"/>
      <c r="G45" s="327"/>
      <c r="H45" s="330" t="s">
        <v>221</v>
      </c>
      <c r="I45" s="329" t="s">
        <v>217</v>
      </c>
      <c r="J4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5" s="160">
        <v>687874</v>
      </c>
      <c r="L45" s="160">
        <f>+Reactivos_[[#This Row],[Cantidad]]*Reactivos_[[#This Row],[Valor de referencia]]</f>
        <v>687874</v>
      </c>
      <c r="M45" s="254">
        <v>1</v>
      </c>
      <c r="N45" s="255">
        <f>+Reactivos_[[#This Row],[Valor de referencia]]*Reactivos_[[#This Row],[Cantidad LANIP]]</f>
        <v>687874</v>
      </c>
      <c r="O45" s="256"/>
      <c r="P45" s="255">
        <f>+Reactivos_[[#This Row],[Cantidad 
LDV]]*Reactivos_[[#This Row],[Valor de referencia]]</f>
        <v>0</v>
      </c>
      <c r="Q45" s="257"/>
      <c r="R45" s="255">
        <f>+Reactivos_[[#This Row],[Cantidad LNDV]]*Reactivos_[[#This Row],[Valor de referencia]]</f>
        <v>0</v>
      </c>
      <c r="S45" s="148"/>
      <c r="T45" s="255">
        <f>+Reactivos_[[#This Row],[GGCA]]*Reactivos_[[#This Row],[Valor de referencia]]</f>
        <v>0</v>
      </c>
      <c r="U45" s="254"/>
      <c r="V45" s="255">
        <f>+Reactivos_[[#This Row],[Cantidad LDF]]*Reactivos_[[#This Row],[Valor de referencia]]</f>
        <v>0</v>
      </c>
      <c r="W45" s="254"/>
      <c r="X45" s="255">
        <f>+Reactivos_[[#This Row],[Cantidad LDF&amp;MR]]*Reactivos_[[#This Row],[Valor de referencia]]</f>
        <v>0</v>
      </c>
      <c r="Y45" s="254"/>
      <c r="Z45" s="255">
        <f>+Reactivos_[[#This Row],[Cantidad RED LASE]]*Reactivos_[[#This Row],[Valor de referencia]]</f>
        <v>0</v>
      </c>
      <c r="AA45" s="254"/>
      <c r="AB45" s="255">
        <f>+Reactivos_[[#This Row],[Cantidad LANIA]]*Reactivos_[[#This Row],[Valor de referencia]]</f>
        <v>0</v>
      </c>
      <c r="AC45" s="254"/>
      <c r="AD45" s="255">
        <f>+Reactivos_[[#This Row],[Cantidad SPA]]*Reactivos_[[#This Row],[Valor de referencia]]</f>
        <v>0</v>
      </c>
      <c r="AE45" s="148" t="s">
        <v>76</v>
      </c>
      <c r="AF45" s="148" t="s">
        <v>77</v>
      </c>
    </row>
    <row r="46" spans="1:32" ht="18" customHeight="1" x14ac:dyDescent="0.25">
      <c r="A46" s="294" t="str">
        <f>IF(B46=Reactivos_[[#This Row],[Cantidad LANIP]],"LANIP",IF(B46=Reactivos_[[#This Row],[Cantidad 
LDV]],"LDV",IF(B46=Reactivos_[[#This Row],[Cantidad LNDV]],"LNDV",IF(B46=Reactivos_[[#This Row],[GGCA]],"GGCA",IF(B46=Reactivos_[[#This Row],[Cantidad LDF]],"LDF",IF(Reactivos_[[#This Row],[Cantidad LDF&amp;MR]],"LDF&amp;MR",IF(B46=Reactivos_[[#This Row],[Cantidad RED LASE]],"LASE",IF(B46=Reactivos_[[#This Row],[Cantidad LANIA]],"LANIA",IF(B46=Reactivos_[[#This Row],[Cantidad SPA]],"SPA"," ")))))))))</f>
        <v>LANIP</v>
      </c>
      <c r="B4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6" s="325">
        <v>44</v>
      </c>
      <c r="D46" s="326">
        <v>49</v>
      </c>
      <c r="E46" s="327" t="s">
        <v>222</v>
      </c>
      <c r="F46" s="244"/>
      <c r="G46" s="327"/>
      <c r="H46" s="330" t="s">
        <v>223</v>
      </c>
      <c r="I46" s="329" t="s">
        <v>217</v>
      </c>
      <c r="J4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6" s="160">
        <v>729269</v>
      </c>
      <c r="L46" s="160">
        <f>+Reactivos_[[#This Row],[Cantidad]]*Reactivos_[[#This Row],[Valor de referencia]]</f>
        <v>729269</v>
      </c>
      <c r="M46" s="254">
        <v>1</v>
      </c>
      <c r="N46" s="255">
        <f>+Reactivos_[[#This Row],[Valor de referencia]]*Reactivos_[[#This Row],[Cantidad LANIP]]</f>
        <v>729269</v>
      </c>
      <c r="O46" s="256"/>
      <c r="P46" s="255">
        <f>+Reactivos_[[#This Row],[Cantidad 
LDV]]*Reactivos_[[#This Row],[Valor de referencia]]</f>
        <v>0</v>
      </c>
      <c r="Q46" s="257"/>
      <c r="R46" s="255">
        <f>+Reactivos_[[#This Row],[Cantidad LNDV]]*Reactivos_[[#This Row],[Valor de referencia]]</f>
        <v>0</v>
      </c>
      <c r="S46" s="148"/>
      <c r="T46" s="255">
        <f>+Reactivos_[[#This Row],[GGCA]]*Reactivos_[[#This Row],[Valor de referencia]]</f>
        <v>0</v>
      </c>
      <c r="U46" s="254"/>
      <c r="V46" s="255">
        <f>+Reactivos_[[#This Row],[Cantidad LDF]]*Reactivos_[[#This Row],[Valor de referencia]]</f>
        <v>0</v>
      </c>
      <c r="W46" s="254"/>
      <c r="X46" s="255">
        <f>+Reactivos_[[#This Row],[Cantidad LDF&amp;MR]]*Reactivos_[[#This Row],[Valor de referencia]]</f>
        <v>0</v>
      </c>
      <c r="Y46" s="254"/>
      <c r="Z46" s="255">
        <f>+Reactivos_[[#This Row],[Cantidad RED LASE]]*Reactivos_[[#This Row],[Valor de referencia]]</f>
        <v>0</v>
      </c>
      <c r="AA46" s="254"/>
      <c r="AB46" s="255">
        <f>+Reactivos_[[#This Row],[Cantidad LANIA]]*Reactivos_[[#This Row],[Valor de referencia]]</f>
        <v>0</v>
      </c>
      <c r="AC46" s="254"/>
      <c r="AD46" s="255">
        <f>+Reactivos_[[#This Row],[Cantidad SPA]]*Reactivos_[[#This Row],[Valor de referencia]]</f>
        <v>0</v>
      </c>
      <c r="AE46" s="148" t="s">
        <v>76</v>
      </c>
      <c r="AF46" s="148" t="s">
        <v>77</v>
      </c>
    </row>
    <row r="47" spans="1:32" ht="25.5" x14ac:dyDescent="0.25">
      <c r="A47" s="294" t="str">
        <f>IF(B47=Reactivos_[[#This Row],[Cantidad LANIP]],"LANIP",IF(B47=Reactivos_[[#This Row],[Cantidad 
LDV]],"LDV",IF(B47=Reactivos_[[#This Row],[Cantidad LNDV]],"LNDV",IF(B47=Reactivos_[[#This Row],[GGCA]],"GGCA",IF(B47=Reactivos_[[#This Row],[Cantidad LDF]],"LDF",IF(Reactivos_[[#This Row],[Cantidad LDF&amp;MR]],"LDF&amp;MR",IF(B47=Reactivos_[[#This Row],[Cantidad RED LASE]],"LASE",IF(B47=Reactivos_[[#This Row],[Cantidad LANIA]],"LANIA",IF(B47=Reactivos_[[#This Row],[Cantidad SPA]],"SPA"," ")))))))))</f>
        <v>LDF</v>
      </c>
      <c r="B4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47" s="325">
        <v>45</v>
      </c>
      <c r="D47" s="326">
        <v>50</v>
      </c>
      <c r="E47" s="327" t="s">
        <v>224</v>
      </c>
      <c r="F47" s="244"/>
      <c r="G47" s="327"/>
      <c r="H47" s="330" t="s">
        <v>225</v>
      </c>
      <c r="I47" s="329" t="s">
        <v>120</v>
      </c>
      <c r="J4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47" s="160">
        <v>563732</v>
      </c>
      <c r="L47" s="160">
        <f>+Reactivos_[[#This Row],[Cantidad]]*Reactivos_[[#This Row],[Valor de referencia]]</f>
        <v>2254928</v>
      </c>
      <c r="M47" s="254">
        <v>0</v>
      </c>
      <c r="N47" s="255">
        <f>+Reactivos_[[#This Row],[Valor de referencia]]*Reactivos_[[#This Row],[Cantidad LANIP]]</f>
        <v>0</v>
      </c>
      <c r="O47" s="256"/>
      <c r="P47" s="255">
        <f>+Reactivos_[[#This Row],[Cantidad 
LDV]]*Reactivos_[[#This Row],[Valor de referencia]]</f>
        <v>0</v>
      </c>
      <c r="Q47" s="257"/>
      <c r="R47" s="255">
        <f>+Reactivos_[[#This Row],[Cantidad LNDV]]*Reactivos_[[#This Row],[Valor de referencia]]</f>
        <v>0</v>
      </c>
      <c r="S47" s="148"/>
      <c r="T47" s="255">
        <f>+Reactivos_[[#This Row],[GGCA]]*Reactivos_[[#This Row],[Valor de referencia]]</f>
        <v>0</v>
      </c>
      <c r="U47" s="254">
        <v>4</v>
      </c>
      <c r="V47" s="255">
        <f>+Reactivos_[[#This Row],[Cantidad LDF]]*Reactivos_[[#This Row],[Valor de referencia]]</f>
        <v>2254928</v>
      </c>
      <c r="W47" s="254"/>
      <c r="X47" s="255">
        <f>+Reactivos_[[#This Row],[Cantidad LDF&amp;MR]]*Reactivos_[[#This Row],[Valor de referencia]]</f>
        <v>0</v>
      </c>
      <c r="Y47" s="254"/>
      <c r="Z47" s="255">
        <f>+Reactivos_[[#This Row],[Cantidad RED LASE]]*Reactivos_[[#This Row],[Valor de referencia]]</f>
        <v>0</v>
      </c>
      <c r="AA47" s="254"/>
      <c r="AB47" s="255">
        <f>+Reactivos_[[#This Row],[Cantidad LANIA]]*Reactivos_[[#This Row],[Valor de referencia]]</f>
        <v>0</v>
      </c>
      <c r="AC47" s="254"/>
      <c r="AD47" s="255">
        <f>+Reactivos_[[#This Row],[Cantidad SPA]]*Reactivos_[[#This Row],[Valor de referencia]]</f>
        <v>0</v>
      </c>
      <c r="AE47" s="148" t="s">
        <v>76</v>
      </c>
      <c r="AF47" s="148" t="s">
        <v>77</v>
      </c>
    </row>
    <row r="48" spans="1:32" ht="51" x14ac:dyDescent="0.25">
      <c r="A48" s="294" t="str">
        <f>IF(B48=Reactivos_[[#This Row],[Cantidad LANIP]],"LANIP",IF(B48=Reactivos_[[#This Row],[Cantidad 
LDV]],"LDV",IF(B48=Reactivos_[[#This Row],[Cantidad LNDV]],"LNDV",IF(B48=Reactivos_[[#This Row],[GGCA]],"GGCA",IF(B48=Reactivos_[[#This Row],[Cantidad LDF]],"LDF",IF(Reactivos_[[#This Row],[Cantidad LDF&amp;MR]],"LDF&amp;MR",IF(B48=Reactivos_[[#This Row],[Cantidad RED LASE]],"LASE",IF(B48=Reactivos_[[#This Row],[Cantidad LANIA]],"LANIA",IF(B48=Reactivos_[[#This Row],[Cantidad SPA]],"SPA"," ")))))))))</f>
        <v>LANIP</v>
      </c>
      <c r="B4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8" s="325">
        <v>46</v>
      </c>
      <c r="D48" s="326">
        <v>52</v>
      </c>
      <c r="E48" s="245" t="s">
        <v>226</v>
      </c>
      <c r="F48" s="244"/>
      <c r="G48" s="245"/>
      <c r="H48" s="349" t="s">
        <v>227</v>
      </c>
      <c r="I48" s="336" t="s">
        <v>217</v>
      </c>
      <c r="J4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8" s="160">
        <v>850731</v>
      </c>
      <c r="L48" s="160">
        <f>+Reactivos_[[#This Row],[Cantidad]]*Reactivos_[[#This Row],[Valor de referencia]]</f>
        <v>850731</v>
      </c>
      <c r="M48" s="254">
        <v>1</v>
      </c>
      <c r="N48" s="255">
        <f>+Reactivos_[[#This Row],[Valor de referencia]]*Reactivos_[[#This Row],[Cantidad LANIP]]</f>
        <v>850731</v>
      </c>
      <c r="O48" s="256"/>
      <c r="P48" s="255">
        <f>+Reactivos_[[#This Row],[Cantidad 
LDV]]*Reactivos_[[#This Row],[Valor de referencia]]</f>
        <v>0</v>
      </c>
      <c r="Q48" s="257"/>
      <c r="R48" s="255">
        <f>+Reactivos_[[#This Row],[Cantidad LNDV]]*Reactivos_[[#This Row],[Valor de referencia]]</f>
        <v>0</v>
      </c>
      <c r="S48" s="148"/>
      <c r="T48" s="255">
        <f>+Reactivos_[[#This Row],[GGCA]]*Reactivos_[[#This Row],[Valor de referencia]]</f>
        <v>0</v>
      </c>
      <c r="U48" s="254"/>
      <c r="V48" s="255">
        <f>+Reactivos_[[#This Row],[Cantidad LDF]]*Reactivos_[[#This Row],[Valor de referencia]]</f>
        <v>0</v>
      </c>
      <c r="W48" s="254"/>
      <c r="X48" s="255">
        <f>+Reactivos_[[#This Row],[Cantidad LDF&amp;MR]]*Reactivos_[[#This Row],[Valor de referencia]]</f>
        <v>0</v>
      </c>
      <c r="Y48" s="254"/>
      <c r="Z48" s="255">
        <f>+Reactivos_[[#This Row],[Cantidad RED LASE]]*Reactivos_[[#This Row],[Valor de referencia]]</f>
        <v>0</v>
      </c>
      <c r="AA48" s="254"/>
      <c r="AB48" s="255">
        <f>+Reactivos_[[#This Row],[Cantidad LANIA]]*Reactivos_[[#This Row],[Valor de referencia]]</f>
        <v>0</v>
      </c>
      <c r="AC48" s="254"/>
      <c r="AD48" s="255">
        <f>+Reactivos_[[#This Row],[Cantidad SPA]]*Reactivos_[[#This Row],[Valor de referencia]]</f>
        <v>0</v>
      </c>
      <c r="AE48" s="148" t="s">
        <v>76</v>
      </c>
      <c r="AF48" s="148" t="s">
        <v>77</v>
      </c>
    </row>
    <row r="49" spans="1:32" ht="38.25" x14ac:dyDescent="0.25">
      <c r="A49" s="294" t="str">
        <f>IF(B49=Reactivos_[[#This Row],[Cantidad LANIP]],"LANIP",IF(B49=Reactivos_[[#This Row],[Cantidad 
LDV]],"LDV",IF(B49=Reactivos_[[#This Row],[Cantidad LNDV]],"LNDV",IF(B49=Reactivos_[[#This Row],[GGCA]],"GGCA",IF(B49=Reactivos_[[#This Row],[Cantidad LDF]],"LDF",IF(Reactivos_[[#This Row],[Cantidad LDF&amp;MR]],"LDF&amp;MR",IF(B49=Reactivos_[[#This Row],[Cantidad RED LASE]],"LASE",IF(B49=Reactivos_[[#This Row],[Cantidad LANIA]],"LANIA",IF(B49=Reactivos_[[#This Row],[Cantidad SPA]],"SPA"," ")))))))))</f>
        <v>LNDV</v>
      </c>
      <c r="B4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49" s="325">
        <v>47</v>
      </c>
      <c r="D49" s="326">
        <v>54</v>
      </c>
      <c r="E49" s="327" t="s">
        <v>228</v>
      </c>
      <c r="F49" s="318" t="s">
        <v>198</v>
      </c>
      <c r="G49" s="319" t="s">
        <v>199</v>
      </c>
      <c r="H49" s="328" t="s">
        <v>229</v>
      </c>
      <c r="I49" s="329" t="s">
        <v>120</v>
      </c>
      <c r="J4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49" s="160">
        <v>1294439</v>
      </c>
      <c r="L49" s="160">
        <f>+Reactivos_[[#This Row],[Cantidad]]*Reactivos_[[#This Row],[Valor de referencia]]</f>
        <v>3883317</v>
      </c>
      <c r="M49" s="254">
        <v>0</v>
      </c>
      <c r="N49" s="255">
        <f>+Reactivos_[[#This Row],[Valor de referencia]]*Reactivos_[[#This Row],[Cantidad LANIP]]</f>
        <v>0</v>
      </c>
      <c r="O49" s="256"/>
      <c r="P49" s="255">
        <f>+Reactivos_[[#This Row],[Cantidad 
LDV]]*Reactivos_[[#This Row],[Valor de referencia]]</f>
        <v>0</v>
      </c>
      <c r="Q49" s="257">
        <v>3</v>
      </c>
      <c r="R49" s="255">
        <f>+Reactivos_[[#This Row],[Cantidad LNDV]]*Reactivos_[[#This Row],[Valor de referencia]]</f>
        <v>3883317</v>
      </c>
      <c r="S49" s="148"/>
      <c r="T49" s="255">
        <f>+Reactivos_[[#This Row],[GGCA]]*Reactivos_[[#This Row],[Valor de referencia]]</f>
        <v>0</v>
      </c>
      <c r="U49" s="254"/>
      <c r="V49" s="255">
        <f>+Reactivos_[[#This Row],[Cantidad LDF]]*Reactivos_[[#This Row],[Valor de referencia]]</f>
        <v>0</v>
      </c>
      <c r="W49" s="254"/>
      <c r="X49" s="255">
        <f>+Reactivos_[[#This Row],[Cantidad LDF&amp;MR]]*Reactivos_[[#This Row],[Valor de referencia]]</f>
        <v>0</v>
      </c>
      <c r="Y49" s="254"/>
      <c r="Z49" s="255">
        <f>+Reactivos_[[#This Row],[Cantidad RED LASE]]*Reactivos_[[#This Row],[Valor de referencia]]</f>
        <v>0</v>
      </c>
      <c r="AA49" s="254"/>
      <c r="AB49" s="255">
        <f>+Reactivos_[[#This Row],[Cantidad LANIA]]*Reactivos_[[#This Row],[Valor de referencia]]</f>
        <v>0</v>
      </c>
      <c r="AC49" s="254"/>
      <c r="AD49" s="255">
        <f>+Reactivos_[[#This Row],[Cantidad SPA]]*Reactivos_[[#This Row],[Valor de referencia]]</f>
        <v>0</v>
      </c>
      <c r="AE49" s="148" t="s">
        <v>76</v>
      </c>
      <c r="AF49" s="148" t="s">
        <v>77</v>
      </c>
    </row>
    <row r="50" spans="1:32" ht="33.75" customHeight="1" x14ac:dyDescent="0.25">
      <c r="A50" s="294" t="str">
        <f>IF(B50=Reactivos_[[#This Row],[Cantidad LANIP]],"LANIP",IF(B50=Reactivos_[[#This Row],[Cantidad 
LDV]],"LDV",IF(B50=Reactivos_[[#This Row],[Cantidad LNDV]],"LNDV",IF(B50=Reactivos_[[#This Row],[GGCA]],"GGCA",IF(B50=Reactivos_[[#This Row],[Cantidad LDF]],"LDF",IF(Reactivos_[[#This Row],[Cantidad LDF&amp;MR]],"LDF&amp;MR",IF(B50=Reactivos_[[#This Row],[Cantidad RED LASE]],"LASE",IF(B50=Reactivos_[[#This Row],[Cantidad LANIA]],"LANIA",IF(B50=Reactivos_[[#This Row],[Cantidad SPA]],"SPA"," ")))))))))</f>
        <v>LANIP</v>
      </c>
      <c r="B5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 s="325">
        <v>48</v>
      </c>
      <c r="D50" s="326">
        <v>55</v>
      </c>
      <c r="E50" s="345" t="s">
        <v>230</v>
      </c>
      <c r="F50" s="318" t="s">
        <v>203</v>
      </c>
      <c r="G50" s="317" t="s">
        <v>204</v>
      </c>
      <c r="H50" s="328" t="s">
        <v>231</v>
      </c>
      <c r="I50" s="329" t="s">
        <v>217</v>
      </c>
      <c r="J5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50" s="160">
        <v>1041976</v>
      </c>
      <c r="L50" s="160">
        <f>+Reactivos_[[#This Row],[Cantidad]]*Reactivos_[[#This Row],[Valor de referencia]]</f>
        <v>3125928</v>
      </c>
      <c r="M50" s="254">
        <v>1</v>
      </c>
      <c r="N50" s="255">
        <f>+Reactivos_[[#This Row],[Valor de referencia]]*Reactivos_[[#This Row],[Cantidad LANIP]]</f>
        <v>1041976</v>
      </c>
      <c r="O50" s="256">
        <v>1</v>
      </c>
      <c r="P50" s="255">
        <f>+Reactivos_[[#This Row],[Cantidad 
LDV]]*Reactivos_[[#This Row],[Valor de referencia]]</f>
        <v>1041976</v>
      </c>
      <c r="Q50" s="257">
        <v>1</v>
      </c>
      <c r="R50" s="255">
        <f>+Reactivos_[[#This Row],[Cantidad LNDV]]*Reactivos_[[#This Row],[Valor de referencia]]</f>
        <v>1041976</v>
      </c>
      <c r="S50" s="148"/>
      <c r="T50" s="255">
        <f>+Reactivos_[[#This Row],[GGCA]]*Reactivos_[[#This Row],[Valor de referencia]]</f>
        <v>0</v>
      </c>
      <c r="U50" s="254"/>
      <c r="V50" s="255">
        <f>+Reactivos_[[#This Row],[Cantidad LDF]]*Reactivos_[[#This Row],[Valor de referencia]]</f>
        <v>0</v>
      </c>
      <c r="W50" s="254"/>
      <c r="X50" s="255">
        <f>+Reactivos_[[#This Row],[Cantidad LDF&amp;MR]]*Reactivos_[[#This Row],[Valor de referencia]]</f>
        <v>0</v>
      </c>
      <c r="Y50" s="254"/>
      <c r="Z50" s="255">
        <f>+Reactivos_[[#This Row],[Cantidad RED LASE]]*Reactivos_[[#This Row],[Valor de referencia]]</f>
        <v>0</v>
      </c>
      <c r="AA50" s="254"/>
      <c r="AB50" s="255">
        <f>+Reactivos_[[#This Row],[Cantidad LANIA]]*Reactivos_[[#This Row],[Valor de referencia]]</f>
        <v>0</v>
      </c>
      <c r="AC50" s="254"/>
      <c r="AD50" s="255">
        <f>+Reactivos_[[#This Row],[Cantidad SPA]]*Reactivos_[[#This Row],[Valor de referencia]]</f>
        <v>0</v>
      </c>
      <c r="AE50" s="148" t="s">
        <v>76</v>
      </c>
      <c r="AF50" s="148" t="s">
        <v>77</v>
      </c>
    </row>
    <row r="51" spans="1:32" ht="38.25" x14ac:dyDescent="0.25">
      <c r="A51" s="294" t="str">
        <f>IF(B51=Reactivos_[[#This Row],[Cantidad LANIP]],"LANIP",IF(B51=Reactivos_[[#This Row],[Cantidad 
LDV]],"LDV",IF(B51=Reactivos_[[#This Row],[Cantidad LNDV]],"LNDV",IF(B51=Reactivos_[[#This Row],[GGCA]],"GGCA",IF(B51=Reactivos_[[#This Row],[Cantidad LDF]],"LDF",IF(Reactivos_[[#This Row],[Cantidad LDF&amp;MR]],"LDF&amp;MR",IF(B51=Reactivos_[[#This Row],[Cantidad RED LASE]],"LASE",IF(B51=Reactivos_[[#This Row],[Cantidad LANIA]],"LANIA",IF(B51=Reactivos_[[#This Row],[Cantidad SPA]],"SPA"," ")))))))))</f>
        <v>LNDV</v>
      </c>
      <c r="B5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1" s="325">
        <v>49</v>
      </c>
      <c r="D51" s="326">
        <v>56</v>
      </c>
      <c r="E51" s="245" t="s">
        <v>232</v>
      </c>
      <c r="F51" s="244"/>
      <c r="G51" s="245"/>
      <c r="H51" s="346" t="s">
        <v>233</v>
      </c>
      <c r="I51" s="336" t="s">
        <v>234</v>
      </c>
      <c r="J5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1" s="160">
        <v>4535090</v>
      </c>
      <c r="L51" s="160">
        <f>+Reactivos_[[#This Row],[Cantidad]]*Reactivos_[[#This Row],[Valor de referencia]]</f>
        <v>4535090</v>
      </c>
      <c r="M51" s="254">
        <v>0</v>
      </c>
      <c r="N51" s="255">
        <f>+Reactivos_[[#This Row],[Valor de referencia]]*Reactivos_[[#This Row],[Cantidad LANIP]]</f>
        <v>0</v>
      </c>
      <c r="O51" s="256"/>
      <c r="P51" s="255">
        <f>+Reactivos_[[#This Row],[Cantidad 
LDV]]*Reactivos_[[#This Row],[Valor de referencia]]</f>
        <v>0</v>
      </c>
      <c r="Q51" s="257">
        <v>1</v>
      </c>
      <c r="R51" s="255">
        <f>+Reactivos_[[#This Row],[Cantidad LNDV]]*Reactivos_[[#This Row],[Valor de referencia]]</f>
        <v>4535090</v>
      </c>
      <c r="S51" s="148"/>
      <c r="T51" s="255">
        <f>+Reactivos_[[#This Row],[GGCA]]*Reactivos_[[#This Row],[Valor de referencia]]</f>
        <v>0</v>
      </c>
      <c r="U51" s="254"/>
      <c r="V51" s="255">
        <f>+Reactivos_[[#This Row],[Cantidad LDF]]*Reactivos_[[#This Row],[Valor de referencia]]</f>
        <v>0</v>
      </c>
      <c r="W51" s="254"/>
      <c r="X51" s="255">
        <f>+Reactivos_[[#This Row],[Cantidad LDF&amp;MR]]*Reactivos_[[#This Row],[Valor de referencia]]</f>
        <v>0</v>
      </c>
      <c r="Y51" s="254"/>
      <c r="Z51" s="255">
        <f>+Reactivos_[[#This Row],[Cantidad RED LASE]]*Reactivos_[[#This Row],[Valor de referencia]]</f>
        <v>0</v>
      </c>
      <c r="AA51" s="254"/>
      <c r="AB51" s="255">
        <f>+Reactivos_[[#This Row],[Cantidad LANIA]]*Reactivos_[[#This Row],[Valor de referencia]]</f>
        <v>0</v>
      </c>
      <c r="AC51" s="254"/>
      <c r="AD51" s="255">
        <f>+Reactivos_[[#This Row],[Cantidad SPA]]*Reactivos_[[#This Row],[Valor de referencia]]</f>
        <v>0</v>
      </c>
      <c r="AE51" s="148" t="s">
        <v>76</v>
      </c>
      <c r="AF51" s="148" t="s">
        <v>77</v>
      </c>
    </row>
    <row r="52" spans="1:32" ht="33.75" customHeight="1" x14ac:dyDescent="0.25">
      <c r="A52" s="294" t="str">
        <f>IF(B52=Reactivos_[[#This Row],[Cantidad LANIP]],"LANIP",IF(B52=Reactivos_[[#This Row],[Cantidad 
LDV]],"LDV",IF(B52=Reactivos_[[#This Row],[Cantidad LNDV]],"LNDV",IF(B52=Reactivos_[[#This Row],[GGCA]],"GGCA",IF(B52=Reactivos_[[#This Row],[Cantidad LDF]],"LDF",IF(Reactivos_[[#This Row],[Cantidad LDF&amp;MR]],"LDF&amp;MR",IF(B52=Reactivos_[[#This Row],[Cantidad RED LASE]],"LASE",IF(B52=Reactivos_[[#This Row],[Cantidad LANIA]],"LANIA",IF(B52=Reactivos_[[#This Row],[Cantidad SPA]],"SPA"," ")))))))))</f>
        <v>LNDV</v>
      </c>
      <c r="B5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2" s="325">
        <v>50</v>
      </c>
      <c r="D52" s="326">
        <v>57</v>
      </c>
      <c r="E52" s="245" t="s">
        <v>235</v>
      </c>
      <c r="F52" s="244"/>
      <c r="G52" s="245"/>
      <c r="H52" s="346" t="s">
        <v>236</v>
      </c>
      <c r="I52" s="336" t="s">
        <v>234</v>
      </c>
      <c r="J5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2" s="160">
        <v>2916690</v>
      </c>
      <c r="L52" s="160" t="s">
        <v>237</v>
      </c>
      <c r="M52" s="254">
        <v>0</v>
      </c>
      <c r="N52" s="255">
        <f>+Reactivos_[[#This Row],[Valor de referencia]]*Reactivos_[[#This Row],[Cantidad LANIP]]</f>
        <v>0</v>
      </c>
      <c r="O52" s="256"/>
      <c r="P52" s="255">
        <f>+Reactivos_[[#This Row],[Cantidad 
LDV]]*Reactivos_[[#This Row],[Valor de referencia]]</f>
        <v>0</v>
      </c>
      <c r="Q52" s="257">
        <v>1</v>
      </c>
      <c r="R52" s="255">
        <f>+Reactivos_[[#This Row],[Cantidad LNDV]]*Reactivos_[[#This Row],[Valor de referencia]]</f>
        <v>2916690</v>
      </c>
      <c r="S52" s="148"/>
      <c r="T52" s="255">
        <f>+Reactivos_[[#This Row],[GGCA]]*Reactivos_[[#This Row],[Valor de referencia]]</f>
        <v>0</v>
      </c>
      <c r="U52" s="254"/>
      <c r="V52" s="255">
        <f>+Reactivos_[[#This Row],[Cantidad LDF]]*Reactivos_[[#This Row],[Valor de referencia]]</f>
        <v>0</v>
      </c>
      <c r="W52" s="254"/>
      <c r="X52" s="255">
        <f>+Reactivos_[[#This Row],[Cantidad LDF&amp;MR]]*Reactivos_[[#This Row],[Valor de referencia]]</f>
        <v>0</v>
      </c>
      <c r="Y52" s="254"/>
      <c r="Z52" s="255">
        <f>+Reactivos_[[#This Row],[Cantidad RED LASE]]*Reactivos_[[#This Row],[Valor de referencia]]</f>
        <v>0</v>
      </c>
      <c r="AA52" s="254"/>
      <c r="AB52" s="255">
        <f>+Reactivos_[[#This Row],[Cantidad LANIA]]*Reactivos_[[#This Row],[Valor de referencia]]</f>
        <v>0</v>
      </c>
      <c r="AC52" s="254"/>
      <c r="AD52" s="255">
        <f>+Reactivos_[[#This Row],[Cantidad SPA]]*Reactivos_[[#This Row],[Valor de referencia]]</f>
        <v>0</v>
      </c>
      <c r="AE52" s="148" t="s">
        <v>76</v>
      </c>
      <c r="AF52" s="148" t="s">
        <v>77</v>
      </c>
    </row>
    <row r="53" spans="1:32" ht="34.5" customHeight="1" x14ac:dyDescent="0.25">
      <c r="A53" s="294" t="str">
        <f>IF(B53=Reactivos_[[#This Row],[Cantidad LANIP]],"LANIP",IF(B53=Reactivos_[[#This Row],[Cantidad 
LDV]],"LDV",IF(B53=Reactivos_[[#This Row],[Cantidad LNDV]],"LNDV",IF(B53=Reactivos_[[#This Row],[GGCA]],"GGCA",IF(B53=Reactivos_[[#This Row],[Cantidad LDF]],"LDF",IF(Reactivos_[[#This Row],[Cantidad LDF&amp;MR]],"LDF&amp;MR",IF(B53=Reactivos_[[#This Row],[Cantidad RED LASE]],"LASE",IF(B53=Reactivos_[[#This Row],[Cantidad LANIA]],"LANIA",IF(B53=Reactivos_[[#This Row],[Cantidad SPA]],"SPA"," ")))))))))</f>
        <v>LDV</v>
      </c>
      <c r="B5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3" s="325">
        <v>51</v>
      </c>
      <c r="D53" s="326">
        <v>58</v>
      </c>
      <c r="E53" s="245" t="s">
        <v>238</v>
      </c>
      <c r="F53" s="244"/>
      <c r="G53" s="245"/>
      <c r="H53" s="346" t="s">
        <v>239</v>
      </c>
      <c r="I53" s="336" t="s">
        <v>240</v>
      </c>
      <c r="J5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53" s="160">
        <v>2550807</v>
      </c>
      <c r="L53" s="160">
        <f>+Reactivos_[[#This Row],[Cantidad]]*Reactivos_[[#This Row],[Valor de referencia]]</f>
        <v>7652421</v>
      </c>
      <c r="M53" s="254">
        <v>0</v>
      </c>
      <c r="N53" s="255">
        <f>+Reactivos_[[#This Row],[Valor de referencia]]*Reactivos_[[#This Row],[Cantidad LANIP]]</f>
        <v>0</v>
      </c>
      <c r="O53" s="256">
        <v>2</v>
      </c>
      <c r="P53" s="255">
        <f>+Reactivos_[[#This Row],[Cantidad 
LDV]]*Reactivos_[[#This Row],[Valor de referencia]]</f>
        <v>5101614</v>
      </c>
      <c r="Q53" s="257">
        <v>1</v>
      </c>
      <c r="R53" s="255">
        <f>+Reactivos_[[#This Row],[Cantidad LNDV]]*Reactivos_[[#This Row],[Valor de referencia]]</f>
        <v>2550807</v>
      </c>
      <c r="S53" s="148"/>
      <c r="T53" s="255">
        <f>+Reactivos_[[#This Row],[GGCA]]*Reactivos_[[#This Row],[Valor de referencia]]</f>
        <v>0</v>
      </c>
      <c r="U53" s="254"/>
      <c r="V53" s="255">
        <f>+Reactivos_[[#This Row],[Cantidad LDF]]*Reactivos_[[#This Row],[Valor de referencia]]</f>
        <v>0</v>
      </c>
      <c r="W53" s="254"/>
      <c r="X53" s="255">
        <f>+Reactivos_[[#This Row],[Cantidad LDF&amp;MR]]*Reactivos_[[#This Row],[Valor de referencia]]</f>
        <v>0</v>
      </c>
      <c r="Y53" s="254"/>
      <c r="Z53" s="255">
        <f>+Reactivos_[[#This Row],[Cantidad RED LASE]]*Reactivos_[[#This Row],[Valor de referencia]]</f>
        <v>0</v>
      </c>
      <c r="AA53" s="254"/>
      <c r="AB53" s="255">
        <f>+Reactivos_[[#This Row],[Cantidad LANIA]]*Reactivos_[[#This Row],[Valor de referencia]]</f>
        <v>0</v>
      </c>
      <c r="AC53" s="254"/>
      <c r="AD53" s="255">
        <f>+Reactivos_[[#This Row],[Cantidad SPA]]*Reactivos_[[#This Row],[Valor de referencia]]</f>
        <v>0</v>
      </c>
      <c r="AE53" s="148" t="s">
        <v>76</v>
      </c>
      <c r="AF53" s="148" t="s">
        <v>77</v>
      </c>
    </row>
    <row r="54" spans="1:32" ht="39.75" customHeight="1" x14ac:dyDescent="0.25">
      <c r="A54" s="294" t="str">
        <f>IF(B54=Reactivos_[[#This Row],[Cantidad LANIP]],"LANIP",IF(B54=Reactivos_[[#This Row],[Cantidad 
LDV]],"LDV",IF(B54=Reactivos_[[#This Row],[Cantidad LNDV]],"LNDV",IF(B54=Reactivos_[[#This Row],[GGCA]],"GGCA",IF(B54=Reactivos_[[#This Row],[Cantidad LDF]],"LDF",IF(Reactivos_[[#This Row],[Cantidad LDF&amp;MR]],"LDF&amp;MR",IF(B54=Reactivos_[[#This Row],[Cantidad RED LASE]],"LASE",IF(B54=Reactivos_[[#This Row],[Cantidad LANIA]],"LANIA",IF(B54=Reactivos_[[#This Row],[Cantidad SPA]],"SPA"," ")))))))))</f>
        <v>LANIP</v>
      </c>
      <c r="B5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54" s="325">
        <v>52</v>
      </c>
      <c r="D54" s="326">
        <v>59</v>
      </c>
      <c r="E54" s="327" t="s">
        <v>241</v>
      </c>
      <c r="F54" s="244"/>
      <c r="G54" s="327"/>
      <c r="H54" s="330" t="s">
        <v>242</v>
      </c>
      <c r="I54" s="329" t="s">
        <v>217</v>
      </c>
      <c r="J5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54" s="160">
        <v>386750</v>
      </c>
      <c r="L54" s="160">
        <f>+Reactivos_[[#This Row],[Cantidad]]*Reactivos_[[#This Row],[Valor de referencia]]</f>
        <v>1933750</v>
      </c>
      <c r="M54" s="254">
        <v>4</v>
      </c>
      <c r="N54" s="255">
        <f>+Reactivos_[[#This Row],[Valor de referencia]]*Reactivos_[[#This Row],[Cantidad LANIP]]</f>
        <v>1547000</v>
      </c>
      <c r="O54" s="256"/>
      <c r="P54" s="255">
        <f>+Reactivos_[[#This Row],[Cantidad 
LDV]]*Reactivos_[[#This Row],[Valor de referencia]]</f>
        <v>0</v>
      </c>
      <c r="Q54" s="257"/>
      <c r="R54" s="255">
        <f>+Reactivos_[[#This Row],[Cantidad LNDV]]*Reactivos_[[#This Row],[Valor de referencia]]</f>
        <v>0</v>
      </c>
      <c r="S54" s="148"/>
      <c r="T54" s="255">
        <f>+Reactivos_[[#This Row],[GGCA]]*Reactivos_[[#This Row],[Valor de referencia]]</f>
        <v>0</v>
      </c>
      <c r="U54" s="254"/>
      <c r="V54" s="255">
        <f>+Reactivos_[[#This Row],[Cantidad LDF]]*Reactivos_[[#This Row],[Valor de referencia]]</f>
        <v>0</v>
      </c>
      <c r="W54" s="254"/>
      <c r="X54" s="255">
        <f>+Reactivos_[[#This Row],[Cantidad LDF&amp;MR]]*Reactivos_[[#This Row],[Valor de referencia]]</f>
        <v>0</v>
      </c>
      <c r="Y54" s="254"/>
      <c r="Z54" s="255">
        <f>+Reactivos_[[#This Row],[Cantidad RED LASE]]*Reactivos_[[#This Row],[Valor de referencia]]</f>
        <v>0</v>
      </c>
      <c r="AA54" s="254">
        <v>1</v>
      </c>
      <c r="AB54" s="255">
        <f>+Reactivos_[[#This Row],[Cantidad LANIA]]*Reactivos_[[#This Row],[Valor de referencia]]</f>
        <v>386750</v>
      </c>
      <c r="AC54" s="254"/>
      <c r="AD54" s="255">
        <f>+Reactivos_[[#This Row],[Cantidad SPA]]*Reactivos_[[#This Row],[Valor de referencia]]</f>
        <v>0</v>
      </c>
      <c r="AE54" s="148" t="s">
        <v>76</v>
      </c>
      <c r="AF54" s="148" t="s">
        <v>77</v>
      </c>
    </row>
    <row r="55" spans="1:32" ht="38.25" x14ac:dyDescent="0.25">
      <c r="A55" s="294" t="str">
        <f>IF(B55=Reactivos_[[#This Row],[Cantidad LANIP]],"LANIP",IF(B55=Reactivos_[[#This Row],[Cantidad 
LDV]],"LDV",IF(B55=Reactivos_[[#This Row],[Cantidad LNDV]],"LNDV",IF(B55=Reactivos_[[#This Row],[GGCA]],"GGCA",IF(B55=Reactivos_[[#This Row],[Cantidad LDF]],"LDF",IF(Reactivos_[[#This Row],[Cantidad LDF&amp;MR]],"LDF&amp;MR",IF(B55=Reactivos_[[#This Row],[Cantidad RED LASE]],"LASE",IF(B55=Reactivos_[[#This Row],[Cantidad LANIA]],"LANIA",IF(B55=Reactivos_[[#This Row],[Cantidad SPA]],"SPA"," ")))))))))</f>
        <v>LDF</v>
      </c>
      <c r="B5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55" s="325">
        <v>53</v>
      </c>
      <c r="D55" s="326">
        <v>61</v>
      </c>
      <c r="E55" s="327" t="s">
        <v>243</v>
      </c>
      <c r="F55" s="318" t="s">
        <v>244</v>
      </c>
      <c r="G55" s="327"/>
      <c r="H55" s="328" t="s">
        <v>245</v>
      </c>
      <c r="I55" s="329" t="s">
        <v>120</v>
      </c>
      <c r="J5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55" s="160">
        <v>907571</v>
      </c>
      <c r="L55" s="160">
        <f>+Reactivos_[[#This Row],[Cantidad]]*Reactivos_[[#This Row],[Valor de referencia]]</f>
        <v>3630284</v>
      </c>
      <c r="M55" s="254">
        <v>0</v>
      </c>
      <c r="N55" s="255">
        <f>+Reactivos_[[#This Row],[Valor de referencia]]*Reactivos_[[#This Row],[Cantidad LANIP]]</f>
        <v>0</v>
      </c>
      <c r="O55" s="256"/>
      <c r="P55" s="255">
        <f>+Reactivos_[[#This Row],[Cantidad 
LDV]]*Reactivos_[[#This Row],[Valor de referencia]]</f>
        <v>0</v>
      </c>
      <c r="Q55" s="257">
        <v>1</v>
      </c>
      <c r="R55" s="255">
        <f>+Reactivos_[[#This Row],[Cantidad LNDV]]*Reactivos_[[#This Row],[Valor de referencia]]</f>
        <v>907571</v>
      </c>
      <c r="S55" s="148"/>
      <c r="T55" s="255">
        <f>+Reactivos_[[#This Row],[GGCA]]*Reactivos_[[#This Row],[Valor de referencia]]</f>
        <v>0</v>
      </c>
      <c r="U55" s="254">
        <v>3</v>
      </c>
      <c r="V55" s="255">
        <f>+Reactivos_[[#This Row],[Cantidad LDF]]*Reactivos_[[#This Row],[Valor de referencia]]</f>
        <v>2722713</v>
      </c>
      <c r="W55" s="254"/>
      <c r="X55" s="255">
        <f>+Reactivos_[[#This Row],[Cantidad LDF&amp;MR]]*Reactivos_[[#This Row],[Valor de referencia]]</f>
        <v>0</v>
      </c>
      <c r="Y55" s="254"/>
      <c r="Z55" s="255">
        <f>+Reactivos_[[#This Row],[Cantidad RED LASE]]*Reactivos_[[#This Row],[Valor de referencia]]</f>
        <v>0</v>
      </c>
      <c r="AA55" s="254"/>
      <c r="AB55" s="255">
        <f>+Reactivos_[[#This Row],[Cantidad LANIA]]*Reactivos_[[#This Row],[Valor de referencia]]</f>
        <v>0</v>
      </c>
      <c r="AC55" s="254"/>
      <c r="AD55" s="255">
        <f>+Reactivos_[[#This Row],[Cantidad SPA]]*Reactivos_[[#This Row],[Valor de referencia]]</f>
        <v>0</v>
      </c>
      <c r="AE55" s="148" t="s">
        <v>76</v>
      </c>
      <c r="AF55" s="148" t="s">
        <v>77</v>
      </c>
    </row>
    <row r="56" spans="1:32" ht="66" customHeight="1" x14ac:dyDescent="0.25">
      <c r="A56" s="294" t="str">
        <f>IF(B56=Reactivos_[[#This Row],[Cantidad LANIP]],"LANIP",IF(B56=Reactivos_[[#This Row],[Cantidad 
LDV]],"LDV",IF(B56=Reactivos_[[#This Row],[Cantidad LNDV]],"LNDV",IF(B56=Reactivos_[[#This Row],[GGCA]],"GGCA",IF(B56=Reactivos_[[#This Row],[Cantidad LDF]],"LDF",IF(Reactivos_[[#This Row],[Cantidad LDF&amp;MR]],"LDF&amp;MR",IF(B56=Reactivos_[[#This Row],[Cantidad RED LASE]],"LASE",IF(B56=Reactivos_[[#This Row],[Cantidad LANIA]],"LANIA",IF(B56=Reactivos_[[#This Row],[Cantidad SPA]],"SPA"," ")))))))))</f>
        <v>LDF</v>
      </c>
      <c r="B5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56" s="325">
        <v>54</v>
      </c>
      <c r="D56" s="326">
        <v>62</v>
      </c>
      <c r="E56" s="327" t="s">
        <v>246</v>
      </c>
      <c r="F56" s="244"/>
      <c r="G56" s="327"/>
      <c r="H56" s="330" t="s">
        <v>247</v>
      </c>
      <c r="I56" s="329" t="s">
        <v>120</v>
      </c>
      <c r="J5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56" s="160">
        <v>905391</v>
      </c>
      <c r="L56" s="160">
        <f>+Reactivos_[[#This Row],[Cantidad]]*Reactivos_[[#This Row],[Valor de referencia]]</f>
        <v>9053910</v>
      </c>
      <c r="M56" s="254">
        <v>0</v>
      </c>
      <c r="N56" s="255">
        <f>+Reactivos_[[#This Row],[Valor de referencia]]*Reactivos_[[#This Row],[Cantidad LANIP]]</f>
        <v>0</v>
      </c>
      <c r="O56" s="256"/>
      <c r="P56" s="255">
        <f>+Reactivos_[[#This Row],[Cantidad 
LDV]]*Reactivos_[[#This Row],[Valor de referencia]]</f>
        <v>0</v>
      </c>
      <c r="Q56" s="257"/>
      <c r="R56" s="255">
        <f>+Reactivos_[[#This Row],[Cantidad LNDV]]*Reactivos_[[#This Row],[Valor de referencia]]</f>
        <v>0</v>
      </c>
      <c r="S56" s="148"/>
      <c r="T56" s="255">
        <f>+Reactivos_[[#This Row],[GGCA]]*Reactivos_[[#This Row],[Valor de referencia]]</f>
        <v>0</v>
      </c>
      <c r="U56" s="254">
        <v>10</v>
      </c>
      <c r="V56" s="255">
        <f>+Reactivos_[[#This Row],[Cantidad LDF]]*Reactivos_[[#This Row],[Valor de referencia]]</f>
        <v>9053910</v>
      </c>
      <c r="W56" s="254"/>
      <c r="X56" s="255">
        <f>+Reactivos_[[#This Row],[Cantidad LDF&amp;MR]]*Reactivos_[[#This Row],[Valor de referencia]]</f>
        <v>0</v>
      </c>
      <c r="Y56" s="254"/>
      <c r="Z56" s="255">
        <f>+Reactivos_[[#This Row],[Cantidad RED LASE]]*Reactivos_[[#This Row],[Valor de referencia]]</f>
        <v>0</v>
      </c>
      <c r="AA56" s="254"/>
      <c r="AB56" s="255">
        <f>+Reactivos_[[#This Row],[Cantidad LANIA]]*Reactivos_[[#This Row],[Valor de referencia]]</f>
        <v>0</v>
      </c>
      <c r="AC56" s="254"/>
      <c r="AD56" s="255">
        <f>+Reactivos_[[#This Row],[Cantidad SPA]]*Reactivos_[[#This Row],[Valor de referencia]]</f>
        <v>0</v>
      </c>
      <c r="AE56" s="148" t="s">
        <v>76</v>
      </c>
      <c r="AF56" s="148" t="s">
        <v>77</v>
      </c>
    </row>
    <row r="57" spans="1:32" ht="22.5" customHeight="1" x14ac:dyDescent="0.25">
      <c r="A57" s="294" t="str">
        <f>IF(B57=Reactivos_[[#This Row],[Cantidad LANIP]],"LANIP",IF(B57=Reactivos_[[#This Row],[Cantidad 
LDV]],"LDV",IF(B57=Reactivos_[[#This Row],[Cantidad LNDV]],"LNDV",IF(B57=Reactivos_[[#This Row],[GGCA]],"GGCA",IF(B57=Reactivos_[[#This Row],[Cantidad LDF]],"LDF",IF(Reactivos_[[#This Row],[Cantidad LDF&amp;MR]],"LDF&amp;MR",IF(B57=Reactivos_[[#This Row],[Cantidad RED LASE]],"LASE",IF(B57=Reactivos_[[#This Row],[Cantidad LANIA]],"LANIA",IF(B57=Reactivos_[[#This Row],[Cantidad SPA]],"SPA"," ")))))))))</f>
        <v>LDV</v>
      </c>
      <c r="B5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57" s="325">
        <v>55</v>
      </c>
      <c r="D57" s="326">
        <v>63</v>
      </c>
      <c r="E57" s="327" t="s">
        <v>248</v>
      </c>
      <c r="F57" s="338"/>
      <c r="G57" s="339"/>
      <c r="H57" s="328" t="s">
        <v>249</v>
      </c>
      <c r="I57" s="347" t="s">
        <v>184</v>
      </c>
      <c r="J5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57" s="160">
        <v>779903</v>
      </c>
      <c r="L57" s="160">
        <f>+Reactivos_[[#This Row],[Cantidad]]*Reactivos_[[#This Row],[Valor de referencia]]</f>
        <v>10138739</v>
      </c>
      <c r="M57" s="254">
        <v>0</v>
      </c>
      <c r="N57" s="255">
        <f>+Reactivos_[[#This Row],[Valor de referencia]]*Reactivos_[[#This Row],[Cantidad LANIP]]</f>
        <v>0</v>
      </c>
      <c r="O57" s="256">
        <v>13</v>
      </c>
      <c r="P57" s="255">
        <f>+Reactivos_[[#This Row],[Cantidad 
LDV]]*Reactivos_[[#This Row],[Valor de referencia]]</f>
        <v>10138739</v>
      </c>
      <c r="Q57" s="257"/>
      <c r="R57" s="255">
        <f>+Reactivos_[[#This Row],[Cantidad LNDV]]*Reactivos_[[#This Row],[Valor de referencia]]</f>
        <v>0</v>
      </c>
      <c r="S57" s="148"/>
      <c r="T57" s="255">
        <f>+Reactivos_[[#This Row],[GGCA]]*Reactivos_[[#This Row],[Valor de referencia]]</f>
        <v>0</v>
      </c>
      <c r="U57" s="254"/>
      <c r="V57" s="255">
        <f>+Reactivos_[[#This Row],[Cantidad LDF]]*Reactivos_[[#This Row],[Valor de referencia]]</f>
        <v>0</v>
      </c>
      <c r="W57" s="254"/>
      <c r="X57" s="255">
        <f>+Reactivos_[[#This Row],[Cantidad LDF&amp;MR]]*Reactivos_[[#This Row],[Valor de referencia]]</f>
        <v>0</v>
      </c>
      <c r="Y57" s="254"/>
      <c r="Z57" s="255">
        <f>+Reactivos_[[#This Row],[Cantidad RED LASE]]*Reactivos_[[#This Row],[Valor de referencia]]</f>
        <v>0</v>
      </c>
      <c r="AA57" s="254"/>
      <c r="AB57" s="255">
        <f>+Reactivos_[[#This Row],[Cantidad LANIA]]*Reactivos_[[#This Row],[Valor de referencia]]</f>
        <v>0</v>
      </c>
      <c r="AC57" s="254"/>
      <c r="AD57" s="255">
        <f>+Reactivos_[[#This Row],[Cantidad SPA]]*Reactivos_[[#This Row],[Valor de referencia]]</f>
        <v>0</v>
      </c>
      <c r="AE57" s="148" t="s">
        <v>76</v>
      </c>
      <c r="AF57" s="148" t="s">
        <v>77</v>
      </c>
    </row>
    <row r="58" spans="1:32" ht="33.75" customHeight="1" x14ac:dyDescent="0.25">
      <c r="A58" s="294" t="str">
        <f>IF(B58=Reactivos_[[#This Row],[Cantidad LANIP]],"LANIP",IF(B58=Reactivos_[[#This Row],[Cantidad 
LDV]],"LDV",IF(B58=Reactivos_[[#This Row],[Cantidad LNDV]],"LNDV",IF(B58=Reactivos_[[#This Row],[GGCA]],"GGCA",IF(B58=Reactivos_[[#This Row],[Cantidad LDF]],"LDF",IF(Reactivos_[[#This Row],[Cantidad LDF&amp;MR]],"LDF&amp;MR",IF(B58=Reactivos_[[#This Row],[Cantidad RED LASE]],"LASE",IF(B58=Reactivos_[[#This Row],[Cantidad LANIA]],"LANIA",IF(B58=Reactivos_[[#This Row],[Cantidad SPA]],"SPA"," ")))))))))</f>
        <v>LDV</v>
      </c>
      <c r="B5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50</v>
      </c>
      <c r="C58" s="325">
        <v>56</v>
      </c>
      <c r="D58" s="326">
        <v>65</v>
      </c>
      <c r="E58" s="327" t="s">
        <v>250</v>
      </c>
      <c r="F58" s="244"/>
      <c r="G58" s="327"/>
      <c r="H58" s="328" t="s">
        <v>251</v>
      </c>
      <c r="I58" s="329" t="s">
        <v>217</v>
      </c>
      <c r="J5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70</v>
      </c>
      <c r="K58" s="160">
        <v>477131</v>
      </c>
      <c r="L58" s="160">
        <f>+Reactivos_[[#This Row],[Cantidad]]*Reactivos_[[#This Row],[Valor de referencia]]</f>
        <v>33399170</v>
      </c>
      <c r="M58" s="254">
        <v>4</v>
      </c>
      <c r="N58" s="255">
        <f>+Reactivos_[[#This Row],[Valor de referencia]]*Reactivos_[[#This Row],[Cantidad LANIP]]</f>
        <v>1908524</v>
      </c>
      <c r="O58" s="256">
        <v>50</v>
      </c>
      <c r="P58" s="255">
        <f>+Reactivos_[[#This Row],[Cantidad 
LDV]]*Reactivos_[[#This Row],[Valor de referencia]]</f>
        <v>23856550</v>
      </c>
      <c r="Q58" s="257">
        <v>10</v>
      </c>
      <c r="R58" s="255">
        <f>+Reactivos_[[#This Row],[Cantidad LNDV]]*Reactivos_[[#This Row],[Valor de referencia]]</f>
        <v>4771310</v>
      </c>
      <c r="S58" s="148"/>
      <c r="T58" s="255">
        <f>+Reactivos_[[#This Row],[GGCA]]*Reactivos_[[#This Row],[Valor de referencia]]</f>
        <v>0</v>
      </c>
      <c r="U58" s="254">
        <v>2</v>
      </c>
      <c r="V58" s="255">
        <f>+Reactivos_[[#This Row],[Cantidad LDF]]*Reactivos_[[#This Row],[Valor de referencia]]</f>
        <v>954262</v>
      </c>
      <c r="W58" s="254">
        <v>2</v>
      </c>
      <c r="X58" s="255">
        <f>+Reactivos_[[#This Row],[Cantidad LDF&amp;MR]]*Reactivos_[[#This Row],[Valor de referencia]]</f>
        <v>954262</v>
      </c>
      <c r="Y58" s="254"/>
      <c r="Z58" s="255">
        <f>+Reactivos_[[#This Row],[Cantidad RED LASE]]*Reactivos_[[#This Row],[Valor de referencia]]</f>
        <v>0</v>
      </c>
      <c r="AA58" s="254">
        <v>2</v>
      </c>
      <c r="AB58" s="255">
        <f>+Reactivos_[[#This Row],[Cantidad LANIA]]*Reactivos_[[#This Row],[Valor de referencia]]</f>
        <v>954262</v>
      </c>
      <c r="AC58" s="254"/>
      <c r="AD58" s="255">
        <f>+Reactivos_[[#This Row],[Cantidad SPA]]*Reactivos_[[#This Row],[Valor de referencia]]</f>
        <v>0</v>
      </c>
      <c r="AE58" s="148" t="s">
        <v>76</v>
      </c>
      <c r="AF58" s="148" t="s">
        <v>77</v>
      </c>
    </row>
    <row r="59" spans="1:32" ht="48.75" customHeight="1" x14ac:dyDescent="0.25">
      <c r="A59" s="294" t="str">
        <f>IF(B59=Reactivos_[[#This Row],[Cantidad LANIP]],"LANIP",IF(B59=Reactivos_[[#This Row],[Cantidad 
LDV]],"LDV",IF(B59=Reactivos_[[#This Row],[Cantidad LNDV]],"LNDV",IF(B59=Reactivos_[[#This Row],[GGCA]],"GGCA",IF(B59=Reactivos_[[#This Row],[Cantidad LDF]],"LDF",IF(Reactivos_[[#This Row],[Cantidad LDF&amp;MR]],"LDF&amp;MR",IF(B59=Reactivos_[[#This Row],[Cantidad RED LASE]],"LASE",IF(B59=Reactivos_[[#This Row],[Cantidad LANIA]],"LANIA",IF(B59=Reactivos_[[#This Row],[Cantidad SPA]],"SPA"," ")))))))))</f>
        <v>LANIA</v>
      </c>
      <c r="B5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9" s="325">
        <v>57</v>
      </c>
      <c r="D59" s="326">
        <v>66</v>
      </c>
      <c r="E59" s="345" t="s">
        <v>252</v>
      </c>
      <c r="F59" s="244"/>
      <c r="G59" s="327"/>
      <c r="H59" s="417" t="s">
        <v>253</v>
      </c>
      <c r="I59" s="329" t="s">
        <v>217</v>
      </c>
      <c r="J5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9" s="160">
        <v>2081794</v>
      </c>
      <c r="L59" s="160">
        <f>+Reactivos_[[#This Row],[Cantidad]]*Reactivos_[[#This Row],[Valor de referencia]]</f>
        <v>2081794</v>
      </c>
      <c r="M59" s="254">
        <v>0</v>
      </c>
      <c r="N59" s="255">
        <f>+Reactivos_[[#This Row],[Valor de referencia]]*Reactivos_[[#This Row],[Cantidad LANIP]]</f>
        <v>0</v>
      </c>
      <c r="O59" s="256"/>
      <c r="P59" s="255">
        <f>+Reactivos_[[#This Row],[Cantidad 
LDV]]*Reactivos_[[#This Row],[Valor de referencia]]</f>
        <v>0</v>
      </c>
      <c r="Q59" s="257"/>
      <c r="R59" s="255">
        <f>+Reactivos_[[#This Row],[Cantidad LNDV]]*Reactivos_[[#This Row],[Valor de referencia]]</f>
        <v>0</v>
      </c>
      <c r="S59" s="148"/>
      <c r="T59" s="255">
        <f>+Reactivos_[[#This Row],[GGCA]]*Reactivos_[[#This Row],[Valor de referencia]]</f>
        <v>0</v>
      </c>
      <c r="U59" s="254"/>
      <c r="V59" s="255">
        <f>+Reactivos_[[#This Row],[Cantidad LDF]]*Reactivos_[[#This Row],[Valor de referencia]]</f>
        <v>0</v>
      </c>
      <c r="W59" s="254"/>
      <c r="X59" s="255">
        <f>+Reactivos_[[#This Row],[Cantidad LDF&amp;MR]]*Reactivos_[[#This Row],[Valor de referencia]]</f>
        <v>0</v>
      </c>
      <c r="Y59" s="254"/>
      <c r="Z59" s="255">
        <f>+Reactivos_[[#This Row],[Cantidad RED LASE]]*Reactivos_[[#This Row],[Valor de referencia]]</f>
        <v>0</v>
      </c>
      <c r="AA59" s="254">
        <v>1</v>
      </c>
      <c r="AB59" s="255">
        <f>+Reactivos_[[#This Row],[Cantidad LANIA]]*Reactivos_[[#This Row],[Valor de referencia]]</f>
        <v>2081794</v>
      </c>
      <c r="AC59" s="254"/>
      <c r="AD59" s="255">
        <f>+Reactivos_[[#This Row],[Cantidad SPA]]*Reactivos_[[#This Row],[Valor de referencia]]</f>
        <v>0</v>
      </c>
      <c r="AE59" s="148" t="s">
        <v>76</v>
      </c>
      <c r="AF59" s="148" t="s">
        <v>77</v>
      </c>
    </row>
    <row r="60" spans="1:32" ht="45" customHeight="1" x14ac:dyDescent="0.25">
      <c r="A60" s="294" t="str">
        <f>IF(B60=Reactivos_[[#This Row],[Cantidad LANIP]],"LANIP",IF(B60=Reactivos_[[#This Row],[Cantidad 
LDV]],"LDV",IF(B60=Reactivos_[[#This Row],[Cantidad LNDV]],"LNDV",IF(B60=Reactivos_[[#This Row],[GGCA]],"GGCA",IF(B60=Reactivos_[[#This Row],[Cantidad LDF]],"LDF",IF(Reactivos_[[#This Row],[Cantidad LDF&amp;MR]],"LDF&amp;MR",IF(B60=Reactivos_[[#This Row],[Cantidad RED LASE]],"LASE",IF(B60=Reactivos_[[#This Row],[Cantidad LANIA]],"LANIA",IF(B60=Reactivos_[[#This Row],[Cantidad SPA]],"SPA"," ")))))))))</f>
        <v>LNDV</v>
      </c>
      <c r="B6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0" s="325">
        <v>58</v>
      </c>
      <c r="D60" s="326">
        <v>67</v>
      </c>
      <c r="E60" s="327" t="s">
        <v>254</v>
      </c>
      <c r="F60" s="244"/>
      <c r="G60" s="327"/>
      <c r="H60" s="328" t="s">
        <v>255</v>
      </c>
      <c r="I60" s="329" t="s">
        <v>217</v>
      </c>
      <c r="J6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60" s="160">
        <v>458886</v>
      </c>
      <c r="L60" s="160">
        <f>+Reactivos_[[#This Row],[Cantidad]]*Reactivos_[[#This Row],[Valor de referencia]]</f>
        <v>1835544</v>
      </c>
      <c r="M60" s="254">
        <v>1</v>
      </c>
      <c r="N60" s="255">
        <f>+Reactivos_[[#This Row],[Valor de referencia]]*Reactivos_[[#This Row],[Cantidad LANIP]]</f>
        <v>458886</v>
      </c>
      <c r="O60" s="256">
        <v>1</v>
      </c>
      <c r="P60" s="255">
        <f>+Reactivos_[[#This Row],[Cantidad 
LDV]]*Reactivos_[[#This Row],[Valor de referencia]]</f>
        <v>458886</v>
      </c>
      <c r="Q60" s="257">
        <v>2</v>
      </c>
      <c r="R60" s="255">
        <f>+Reactivos_[[#This Row],[Cantidad LNDV]]*Reactivos_[[#This Row],[Valor de referencia]]</f>
        <v>917772</v>
      </c>
      <c r="S60" s="148"/>
      <c r="T60" s="255">
        <f>+Reactivos_[[#This Row],[GGCA]]*Reactivos_[[#This Row],[Valor de referencia]]</f>
        <v>0</v>
      </c>
      <c r="U60" s="254"/>
      <c r="V60" s="255">
        <f>+Reactivos_[[#This Row],[Cantidad LDF]]*Reactivos_[[#This Row],[Valor de referencia]]</f>
        <v>0</v>
      </c>
      <c r="W60" s="254"/>
      <c r="X60" s="255">
        <f>+Reactivos_[[#This Row],[Cantidad LDF&amp;MR]]*Reactivos_[[#This Row],[Valor de referencia]]</f>
        <v>0</v>
      </c>
      <c r="Y60" s="254"/>
      <c r="Z60" s="255">
        <f>+Reactivos_[[#This Row],[Cantidad RED LASE]]*Reactivos_[[#This Row],[Valor de referencia]]</f>
        <v>0</v>
      </c>
      <c r="AA60" s="254"/>
      <c r="AB60" s="255">
        <f>+Reactivos_[[#This Row],[Cantidad LANIA]]*Reactivos_[[#This Row],[Valor de referencia]]</f>
        <v>0</v>
      </c>
      <c r="AC60" s="254"/>
      <c r="AD60" s="255">
        <f>+Reactivos_[[#This Row],[Cantidad SPA]]*Reactivos_[[#This Row],[Valor de referencia]]</f>
        <v>0</v>
      </c>
      <c r="AE60" s="148" t="s">
        <v>76</v>
      </c>
      <c r="AF60" s="148" t="s">
        <v>77</v>
      </c>
    </row>
    <row r="61" spans="1:32" ht="25.5" x14ac:dyDescent="0.25">
      <c r="A61" s="294" t="str">
        <f>IF(B61=Reactivos_[[#This Row],[Cantidad LANIP]],"LANIP",IF(B61=Reactivos_[[#This Row],[Cantidad 
LDV]],"LDV",IF(B61=Reactivos_[[#This Row],[Cantidad LNDV]],"LNDV",IF(B61=Reactivos_[[#This Row],[GGCA]],"GGCA",IF(B61=Reactivos_[[#This Row],[Cantidad LDF]],"LDF",IF(Reactivos_[[#This Row],[Cantidad LDF&amp;MR]],"LDF&amp;MR",IF(B61=Reactivos_[[#This Row],[Cantidad RED LASE]],"LASE",IF(B61=Reactivos_[[#This Row],[Cantidad LANIA]],"LANIA",IF(B61=Reactivos_[[#This Row],[Cantidad SPA]],"SPA"," ")))))))))</f>
        <v>LANIA</v>
      </c>
      <c r="B6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1" s="325">
        <v>59</v>
      </c>
      <c r="D61" s="326">
        <v>68</v>
      </c>
      <c r="E61" s="327" t="s">
        <v>256</v>
      </c>
      <c r="F61" s="244"/>
      <c r="G61" s="327"/>
      <c r="H61" s="330" t="s">
        <v>257</v>
      </c>
      <c r="I61" s="329" t="s">
        <v>120</v>
      </c>
      <c r="J6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1" s="160">
        <v>544550</v>
      </c>
      <c r="L61" s="160">
        <f>+Reactivos_[[#This Row],[Cantidad]]*Reactivos_[[#This Row],[Valor de referencia]]</f>
        <v>1089100</v>
      </c>
      <c r="M61" s="254">
        <v>0</v>
      </c>
      <c r="N61" s="255">
        <f>+Reactivos_[[#This Row],[Valor de referencia]]*Reactivos_[[#This Row],[Cantidad LANIP]]</f>
        <v>0</v>
      </c>
      <c r="O61" s="256"/>
      <c r="P61" s="255">
        <f>+Reactivos_[[#This Row],[Cantidad 
LDV]]*Reactivos_[[#This Row],[Valor de referencia]]</f>
        <v>0</v>
      </c>
      <c r="Q61" s="257"/>
      <c r="R61" s="255">
        <f>+Reactivos_[[#This Row],[Cantidad LNDV]]*Reactivos_[[#This Row],[Valor de referencia]]</f>
        <v>0</v>
      </c>
      <c r="S61" s="148"/>
      <c r="T61" s="255">
        <f>+Reactivos_[[#This Row],[GGCA]]*Reactivos_[[#This Row],[Valor de referencia]]</f>
        <v>0</v>
      </c>
      <c r="U61" s="254"/>
      <c r="V61" s="255">
        <f>+Reactivos_[[#This Row],[Cantidad LDF]]*Reactivos_[[#This Row],[Valor de referencia]]</f>
        <v>0</v>
      </c>
      <c r="W61" s="254"/>
      <c r="X61" s="255">
        <f>+Reactivos_[[#This Row],[Cantidad LDF&amp;MR]]*Reactivos_[[#This Row],[Valor de referencia]]</f>
        <v>0</v>
      </c>
      <c r="Y61" s="254"/>
      <c r="Z61" s="255">
        <f>+Reactivos_[[#This Row],[Cantidad RED LASE]]*Reactivos_[[#This Row],[Valor de referencia]]</f>
        <v>0</v>
      </c>
      <c r="AA61" s="254">
        <v>2</v>
      </c>
      <c r="AB61" s="255">
        <f>+Reactivos_[[#This Row],[Cantidad LANIA]]*Reactivos_[[#This Row],[Valor de referencia]]</f>
        <v>1089100</v>
      </c>
      <c r="AC61" s="254"/>
      <c r="AD61" s="255">
        <f>+Reactivos_[[#This Row],[Cantidad SPA]]*Reactivos_[[#This Row],[Valor de referencia]]</f>
        <v>0</v>
      </c>
      <c r="AE61" s="148" t="s">
        <v>76</v>
      </c>
      <c r="AF61" s="148" t="s">
        <v>77</v>
      </c>
    </row>
    <row r="62" spans="1:32" ht="22.5" customHeight="1" x14ac:dyDescent="0.25">
      <c r="A62" s="294" t="str">
        <f>IF(B62=Reactivos_[[#This Row],[Cantidad LANIP]],"LANIP",IF(B62=Reactivos_[[#This Row],[Cantidad 
LDV]],"LDV",IF(B62=Reactivos_[[#This Row],[Cantidad LNDV]],"LNDV",IF(B62=Reactivos_[[#This Row],[GGCA]],"GGCA",IF(B62=Reactivos_[[#This Row],[Cantidad LDF]],"LDF",IF(Reactivos_[[#This Row],[Cantidad LDF&amp;MR]],"LDF&amp;MR",IF(B62=Reactivos_[[#This Row],[Cantidad RED LASE]],"LASE",IF(B62=Reactivos_[[#This Row],[Cantidad LANIA]],"LANIA",IF(B62=Reactivos_[[#This Row],[Cantidad SPA]],"SPA"," ")))))))))</f>
        <v>LDV</v>
      </c>
      <c r="B6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62" s="325">
        <v>60</v>
      </c>
      <c r="D62" s="326">
        <v>69</v>
      </c>
      <c r="E62" s="331" t="s">
        <v>258</v>
      </c>
      <c r="F62" s="332"/>
      <c r="G62" s="331"/>
      <c r="H62" s="333" t="s">
        <v>249</v>
      </c>
      <c r="I62" s="334" t="s">
        <v>259</v>
      </c>
      <c r="J6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K62" s="160">
        <v>2019815</v>
      </c>
      <c r="L62" s="160">
        <f>+Reactivos_[[#This Row],[Cantidad]]*Reactivos_[[#This Row],[Valor de referencia]]</f>
        <v>40396300</v>
      </c>
      <c r="M62" s="254">
        <v>0</v>
      </c>
      <c r="N62" s="255">
        <f>+Reactivos_[[#This Row],[Valor de referencia]]*Reactivos_[[#This Row],[Cantidad LANIP]]</f>
        <v>0</v>
      </c>
      <c r="O62" s="256">
        <v>20</v>
      </c>
      <c r="P62" s="255">
        <f>+Reactivos_[[#This Row],[Cantidad 
LDV]]*Reactivos_[[#This Row],[Valor de referencia]]</f>
        <v>40396300</v>
      </c>
      <c r="Q62" s="257"/>
      <c r="R62" s="255">
        <f>+Reactivos_[[#This Row],[Cantidad LNDV]]*Reactivos_[[#This Row],[Valor de referencia]]</f>
        <v>0</v>
      </c>
      <c r="S62" s="148"/>
      <c r="T62" s="255">
        <f>+Reactivos_[[#This Row],[GGCA]]*Reactivos_[[#This Row],[Valor de referencia]]</f>
        <v>0</v>
      </c>
      <c r="U62" s="254"/>
      <c r="V62" s="255">
        <f>+Reactivos_[[#This Row],[Cantidad LDF]]*Reactivos_[[#This Row],[Valor de referencia]]</f>
        <v>0</v>
      </c>
      <c r="W62" s="254"/>
      <c r="X62" s="255">
        <f>+Reactivos_[[#This Row],[Cantidad LDF&amp;MR]]*Reactivos_[[#This Row],[Valor de referencia]]</f>
        <v>0</v>
      </c>
      <c r="Y62" s="254"/>
      <c r="Z62" s="255">
        <f>+Reactivos_[[#This Row],[Cantidad RED LASE]]*Reactivos_[[#This Row],[Valor de referencia]]</f>
        <v>0</v>
      </c>
      <c r="AA62" s="254"/>
      <c r="AB62" s="255">
        <f>+Reactivos_[[#This Row],[Cantidad LANIA]]*Reactivos_[[#This Row],[Valor de referencia]]</f>
        <v>0</v>
      </c>
      <c r="AC62" s="254"/>
      <c r="AD62" s="255">
        <f>+Reactivos_[[#This Row],[Cantidad SPA]]*Reactivos_[[#This Row],[Valor de referencia]]</f>
        <v>0</v>
      </c>
      <c r="AE62" s="148" t="s">
        <v>76</v>
      </c>
      <c r="AF62" s="148" t="s">
        <v>77</v>
      </c>
    </row>
    <row r="63" spans="1:32" ht="29.25" customHeight="1" x14ac:dyDescent="0.25">
      <c r="A63" s="294" t="str">
        <f>IF(B63=Reactivos_[[#This Row],[Cantidad LANIP]],"LANIP",IF(B63=Reactivos_[[#This Row],[Cantidad 
LDV]],"LDV",IF(B63=Reactivos_[[#This Row],[Cantidad LNDV]],"LNDV",IF(B63=Reactivos_[[#This Row],[GGCA]],"GGCA",IF(B63=Reactivos_[[#This Row],[Cantidad LDF]],"LDF",IF(Reactivos_[[#This Row],[Cantidad LDF&amp;MR]],"LDF&amp;MR",IF(B63=Reactivos_[[#This Row],[Cantidad RED LASE]],"LASE",IF(B63=Reactivos_[[#This Row],[Cantidad LANIA]],"LANIA",IF(B63=Reactivos_[[#This Row],[Cantidad SPA]],"SPA"," ")))))))))</f>
        <v>LANIP</v>
      </c>
      <c r="B6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3" s="325">
        <v>61</v>
      </c>
      <c r="D63" s="326">
        <v>70</v>
      </c>
      <c r="E63" s="327" t="s">
        <v>260</v>
      </c>
      <c r="F63" s="244"/>
      <c r="G63" s="327"/>
      <c r="H63" s="330" t="s">
        <v>261</v>
      </c>
      <c r="I63" s="329" t="s">
        <v>262</v>
      </c>
      <c r="J6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3" s="160">
        <v>615090</v>
      </c>
      <c r="L63" s="160">
        <f>+Reactivos_[[#This Row],[Cantidad]]*Reactivos_[[#This Row],[Valor de referencia]]</f>
        <v>1230180</v>
      </c>
      <c r="M63" s="254">
        <v>1</v>
      </c>
      <c r="N63" s="255">
        <f>+Reactivos_[[#This Row],[Valor de referencia]]*Reactivos_[[#This Row],[Cantidad LANIP]]</f>
        <v>615090</v>
      </c>
      <c r="O63" s="256"/>
      <c r="P63" s="255">
        <f>+Reactivos_[[#This Row],[Cantidad 
LDV]]*Reactivos_[[#This Row],[Valor de referencia]]</f>
        <v>0</v>
      </c>
      <c r="Q63" s="257"/>
      <c r="R63" s="255">
        <f>+Reactivos_[[#This Row],[Cantidad LNDV]]*Reactivos_[[#This Row],[Valor de referencia]]</f>
        <v>0</v>
      </c>
      <c r="S63" s="148"/>
      <c r="T63" s="255">
        <f>+Reactivos_[[#This Row],[GGCA]]*Reactivos_[[#This Row],[Valor de referencia]]</f>
        <v>0</v>
      </c>
      <c r="U63" s="254"/>
      <c r="V63" s="255">
        <f>+Reactivos_[[#This Row],[Cantidad LDF]]*Reactivos_[[#This Row],[Valor de referencia]]</f>
        <v>0</v>
      </c>
      <c r="W63" s="254"/>
      <c r="X63" s="255">
        <f>+Reactivos_[[#This Row],[Cantidad LDF&amp;MR]]*Reactivos_[[#This Row],[Valor de referencia]]</f>
        <v>0</v>
      </c>
      <c r="Y63" s="254"/>
      <c r="Z63" s="255">
        <f>+Reactivos_[[#This Row],[Cantidad RED LASE]]*Reactivos_[[#This Row],[Valor de referencia]]</f>
        <v>0</v>
      </c>
      <c r="AA63" s="254">
        <v>1</v>
      </c>
      <c r="AB63" s="255">
        <f>+Reactivos_[[#This Row],[Cantidad LANIA]]*Reactivos_[[#This Row],[Valor de referencia]]</f>
        <v>615090</v>
      </c>
      <c r="AC63" s="254"/>
      <c r="AD63" s="255">
        <f>+Reactivos_[[#This Row],[Cantidad SPA]]*Reactivos_[[#This Row],[Valor de referencia]]</f>
        <v>0</v>
      </c>
      <c r="AE63" s="148" t="s">
        <v>76</v>
      </c>
      <c r="AF63" s="148" t="s">
        <v>77</v>
      </c>
    </row>
    <row r="64" spans="1:32" ht="21" customHeight="1" x14ac:dyDescent="0.25">
      <c r="A64" s="294" t="str">
        <f>IF(B64=Reactivos_[[#This Row],[Cantidad LANIP]],"LANIP",IF(B64=Reactivos_[[#This Row],[Cantidad 
LDV]],"LDV",IF(B64=Reactivos_[[#This Row],[Cantidad LNDV]],"LNDV",IF(B64=Reactivos_[[#This Row],[GGCA]],"GGCA",IF(B64=Reactivos_[[#This Row],[Cantidad LDF]],"LDF",IF(Reactivos_[[#This Row],[Cantidad LDF&amp;MR]],"LDF&amp;MR",IF(B64=Reactivos_[[#This Row],[Cantidad RED LASE]],"LASE",IF(B64=Reactivos_[[#This Row],[Cantidad LANIA]],"LANIA",IF(B64=Reactivos_[[#This Row],[Cantidad SPA]],"SPA"," ")))))))))</f>
        <v>LDV</v>
      </c>
      <c r="B6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64" s="325">
        <v>62</v>
      </c>
      <c r="D64" s="326">
        <v>71</v>
      </c>
      <c r="E64" s="327" t="s">
        <v>263</v>
      </c>
      <c r="F64" s="244"/>
      <c r="G64" s="327"/>
      <c r="H64" s="348" t="s">
        <v>264</v>
      </c>
      <c r="I64" s="329" t="s">
        <v>262</v>
      </c>
      <c r="J6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64" s="160">
        <v>411145</v>
      </c>
      <c r="L64" s="160">
        <f>+Reactivos_[[#This Row],[Cantidad]]*Reactivos_[[#This Row],[Valor de referencia]]</f>
        <v>5344885</v>
      </c>
      <c r="M64" s="254">
        <v>2</v>
      </c>
      <c r="N64" s="255">
        <f>+Reactivos_[[#This Row],[Valor de referencia]]*Reactivos_[[#This Row],[Cantidad LANIP]]</f>
        <v>822290</v>
      </c>
      <c r="O64" s="256">
        <v>4</v>
      </c>
      <c r="P64" s="255">
        <f>+Reactivos_[[#This Row],[Cantidad 
LDV]]*Reactivos_[[#This Row],[Valor de referencia]]</f>
        <v>1644580</v>
      </c>
      <c r="Q64" s="257">
        <v>1</v>
      </c>
      <c r="R64" s="255">
        <f>+Reactivos_[[#This Row],[Cantidad LNDV]]*Reactivos_[[#This Row],[Valor de referencia]]</f>
        <v>411145</v>
      </c>
      <c r="S64" s="148"/>
      <c r="T64" s="255">
        <f>+Reactivos_[[#This Row],[GGCA]]*Reactivos_[[#This Row],[Valor de referencia]]</f>
        <v>0</v>
      </c>
      <c r="U64" s="254">
        <v>2</v>
      </c>
      <c r="V64" s="255">
        <f>+Reactivos_[[#This Row],[Cantidad LDF]]*Reactivos_[[#This Row],[Valor de referencia]]</f>
        <v>822290</v>
      </c>
      <c r="W64" s="254"/>
      <c r="X64" s="255">
        <f>+Reactivos_[[#This Row],[Cantidad LDF&amp;MR]]*Reactivos_[[#This Row],[Valor de referencia]]</f>
        <v>0</v>
      </c>
      <c r="Y64" s="254"/>
      <c r="Z64" s="255">
        <f>+Reactivos_[[#This Row],[Cantidad RED LASE]]*Reactivos_[[#This Row],[Valor de referencia]]</f>
        <v>0</v>
      </c>
      <c r="AA64" s="254">
        <v>4</v>
      </c>
      <c r="AB64" s="255">
        <f>+Reactivos_[[#This Row],[Cantidad LANIA]]*Reactivos_[[#This Row],[Valor de referencia]]</f>
        <v>1644580</v>
      </c>
      <c r="AC64" s="254"/>
      <c r="AD64" s="255">
        <f>+Reactivos_[[#This Row],[Cantidad SPA]]*Reactivos_[[#This Row],[Valor de referencia]]</f>
        <v>0</v>
      </c>
      <c r="AE64" s="148" t="s">
        <v>76</v>
      </c>
      <c r="AF64" s="148" t="s">
        <v>77</v>
      </c>
    </row>
    <row r="65" spans="1:32" ht="21.75" customHeight="1" x14ac:dyDescent="0.25">
      <c r="A65" s="294" t="str">
        <f>IF(B65=Reactivos_[[#This Row],[Cantidad LANIP]],"LANIP",IF(B65=Reactivos_[[#This Row],[Cantidad 
LDV]],"LDV",IF(B65=Reactivos_[[#This Row],[Cantidad LNDV]],"LNDV",IF(B65=Reactivos_[[#This Row],[GGCA]],"GGCA",IF(B65=Reactivos_[[#This Row],[Cantidad LDF]],"LDF",IF(Reactivos_[[#This Row],[Cantidad LDF&amp;MR]],"LDF&amp;MR",IF(B65=Reactivos_[[#This Row],[Cantidad RED LASE]],"LASE",IF(B65=Reactivos_[[#This Row],[Cantidad LANIA]],"LANIA",IF(B65=Reactivos_[[#This Row],[Cantidad SPA]],"SPA"," ")))))))))</f>
        <v>LNDV</v>
      </c>
      <c r="B6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5" s="325">
        <v>63</v>
      </c>
      <c r="D65" s="326">
        <v>72</v>
      </c>
      <c r="E65" s="245" t="s">
        <v>265</v>
      </c>
      <c r="F65" s="244" t="s">
        <v>266</v>
      </c>
      <c r="G65" s="245"/>
      <c r="H65" s="349" t="s">
        <v>267</v>
      </c>
      <c r="I65" s="336" t="s">
        <v>268</v>
      </c>
      <c r="J6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5" s="160">
        <v>698233</v>
      </c>
      <c r="L65" s="160">
        <f>+Reactivos_[[#This Row],[Cantidad]]*Reactivos_[[#This Row],[Valor de referencia]]</f>
        <v>698233</v>
      </c>
      <c r="M65" s="254">
        <v>0</v>
      </c>
      <c r="N65" s="255">
        <f>+Reactivos_[[#This Row],[Valor de referencia]]*Reactivos_[[#This Row],[Cantidad LANIP]]</f>
        <v>0</v>
      </c>
      <c r="O65" s="256"/>
      <c r="P65" s="255">
        <f>+Reactivos_[[#This Row],[Cantidad 
LDV]]*Reactivos_[[#This Row],[Valor de referencia]]</f>
        <v>0</v>
      </c>
      <c r="Q65" s="257">
        <v>1</v>
      </c>
      <c r="R65" s="255">
        <f>+Reactivos_[[#This Row],[Cantidad LNDV]]*Reactivos_[[#This Row],[Valor de referencia]]</f>
        <v>698233</v>
      </c>
      <c r="S65" s="148"/>
      <c r="T65" s="255">
        <f>+Reactivos_[[#This Row],[GGCA]]*Reactivos_[[#This Row],[Valor de referencia]]</f>
        <v>0</v>
      </c>
      <c r="U65" s="254"/>
      <c r="V65" s="255">
        <f>+Reactivos_[[#This Row],[Cantidad LDF]]*Reactivos_[[#This Row],[Valor de referencia]]</f>
        <v>0</v>
      </c>
      <c r="W65" s="254"/>
      <c r="X65" s="255">
        <f>+Reactivos_[[#This Row],[Cantidad LDF&amp;MR]]*Reactivos_[[#This Row],[Valor de referencia]]</f>
        <v>0</v>
      </c>
      <c r="Y65" s="254"/>
      <c r="Z65" s="255">
        <f>+Reactivos_[[#This Row],[Cantidad RED LASE]]*Reactivos_[[#This Row],[Valor de referencia]]</f>
        <v>0</v>
      </c>
      <c r="AA65" s="254"/>
      <c r="AB65" s="255">
        <f>+Reactivos_[[#This Row],[Cantidad LANIA]]*Reactivos_[[#This Row],[Valor de referencia]]</f>
        <v>0</v>
      </c>
      <c r="AC65" s="254"/>
      <c r="AD65" s="255">
        <f>+Reactivos_[[#This Row],[Cantidad SPA]]*Reactivos_[[#This Row],[Valor de referencia]]</f>
        <v>0</v>
      </c>
      <c r="AE65" s="148" t="s">
        <v>76</v>
      </c>
      <c r="AF65" s="148" t="s">
        <v>77</v>
      </c>
    </row>
    <row r="66" spans="1:32" ht="12.75" customHeight="1" x14ac:dyDescent="0.25">
      <c r="A66" s="294" t="str">
        <f>IF(B66=Reactivos_[[#This Row],[Cantidad LANIP]],"LANIP",IF(B66=Reactivos_[[#This Row],[Cantidad 
LDV]],"LDV",IF(B66=Reactivos_[[#This Row],[Cantidad LNDV]],"LNDV",IF(B66=Reactivos_[[#This Row],[GGCA]],"GGCA",IF(B66=Reactivos_[[#This Row],[Cantidad LDF]],"LDF",IF(Reactivos_[[#This Row],[Cantidad LDF&amp;MR]],"LDF&amp;MR",IF(B66=Reactivos_[[#This Row],[Cantidad RED LASE]],"LASE",IF(B66=Reactivos_[[#This Row],[Cantidad LANIA]],"LANIA",IF(B66=Reactivos_[[#This Row],[Cantidad SPA]],"SPA"," ")))))))))</f>
        <v>LNDV</v>
      </c>
      <c r="B6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6" s="325">
        <v>64</v>
      </c>
      <c r="D66" s="326">
        <v>73</v>
      </c>
      <c r="E66" s="327" t="s">
        <v>269</v>
      </c>
      <c r="F66" s="244"/>
      <c r="G66" s="327"/>
      <c r="H66" s="348" t="s">
        <v>270</v>
      </c>
      <c r="I66" s="329" t="s">
        <v>120</v>
      </c>
      <c r="J6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66" s="160">
        <v>663871</v>
      </c>
      <c r="L66" s="160">
        <f>+Reactivos_[[#This Row],[Cantidad]]*Reactivos_[[#This Row],[Valor de referencia]]</f>
        <v>2655484</v>
      </c>
      <c r="M66" s="254">
        <v>0</v>
      </c>
      <c r="N66" s="255">
        <f>+Reactivos_[[#This Row],[Valor de referencia]]*Reactivos_[[#This Row],[Cantidad LANIP]]</f>
        <v>0</v>
      </c>
      <c r="O66" s="256">
        <v>1</v>
      </c>
      <c r="P66" s="255">
        <f>+Reactivos_[[#This Row],[Cantidad 
LDV]]*Reactivos_[[#This Row],[Valor de referencia]]</f>
        <v>663871</v>
      </c>
      <c r="Q66" s="257">
        <v>2</v>
      </c>
      <c r="R66" s="255">
        <f>+Reactivos_[[#This Row],[Cantidad LNDV]]*Reactivos_[[#This Row],[Valor de referencia]]</f>
        <v>1327742</v>
      </c>
      <c r="S66" s="148"/>
      <c r="T66" s="255">
        <f>+Reactivos_[[#This Row],[GGCA]]*Reactivos_[[#This Row],[Valor de referencia]]</f>
        <v>0</v>
      </c>
      <c r="U66" s="254"/>
      <c r="V66" s="255">
        <f>+Reactivos_[[#This Row],[Cantidad LDF]]*Reactivos_[[#This Row],[Valor de referencia]]</f>
        <v>0</v>
      </c>
      <c r="W66" s="254"/>
      <c r="X66" s="255">
        <f>+Reactivos_[[#This Row],[Cantidad LDF&amp;MR]]*Reactivos_[[#This Row],[Valor de referencia]]</f>
        <v>0</v>
      </c>
      <c r="Y66" s="254"/>
      <c r="Z66" s="255">
        <f>+Reactivos_[[#This Row],[Cantidad RED LASE]]*Reactivos_[[#This Row],[Valor de referencia]]</f>
        <v>0</v>
      </c>
      <c r="AA66" s="254">
        <v>1</v>
      </c>
      <c r="AB66" s="255">
        <f>+Reactivos_[[#This Row],[Cantidad LANIA]]*Reactivos_[[#This Row],[Valor de referencia]]</f>
        <v>663871</v>
      </c>
      <c r="AC66" s="254"/>
      <c r="AD66" s="255">
        <f>+Reactivos_[[#This Row],[Cantidad SPA]]*Reactivos_[[#This Row],[Valor de referencia]]</f>
        <v>0</v>
      </c>
      <c r="AE66" s="148" t="s">
        <v>76</v>
      </c>
      <c r="AF66" s="148" t="s">
        <v>77</v>
      </c>
    </row>
    <row r="67" spans="1:32" ht="25.5" x14ac:dyDescent="0.25">
      <c r="A67" s="294" t="str">
        <f>IF(B67=Reactivos_[[#This Row],[Cantidad LANIP]],"LANIP",IF(B67=Reactivos_[[#This Row],[Cantidad 
LDV]],"LDV",IF(B67=Reactivos_[[#This Row],[Cantidad LNDV]],"LNDV",IF(B67=Reactivos_[[#This Row],[GGCA]],"GGCA",IF(B67=Reactivos_[[#This Row],[Cantidad LDF]],"LDF",IF(Reactivos_[[#This Row],[Cantidad LDF&amp;MR]],"LDF&amp;MR",IF(B67=Reactivos_[[#This Row],[Cantidad RED LASE]],"LASE",IF(B67=Reactivos_[[#This Row],[Cantidad LANIA]],"LANIA",IF(B67=Reactivos_[[#This Row],[Cantidad SPA]],"SPA"," ")))))))))</f>
        <v>LANIP</v>
      </c>
      <c r="B6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67" s="325">
        <v>65</v>
      </c>
      <c r="D67" s="326">
        <v>74</v>
      </c>
      <c r="E67" s="327" t="s">
        <v>271</v>
      </c>
      <c r="F67" s="244"/>
      <c r="G67" s="327"/>
      <c r="H67" s="330" t="s">
        <v>272</v>
      </c>
      <c r="I67" s="329" t="s">
        <v>120</v>
      </c>
      <c r="J6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67" s="160">
        <v>2297218</v>
      </c>
      <c r="L67" s="160">
        <f>+Reactivos_[[#This Row],[Cantidad]]*Reactivos_[[#This Row],[Valor de referencia]]</f>
        <v>6891654</v>
      </c>
      <c r="M67" s="254">
        <v>3</v>
      </c>
      <c r="N67" s="255">
        <f>+Reactivos_[[#This Row],[Valor de referencia]]*Reactivos_[[#This Row],[Cantidad LANIP]]</f>
        <v>6891654</v>
      </c>
      <c r="O67" s="256">
        <v>0</v>
      </c>
      <c r="P67" s="255">
        <f>+Reactivos_[[#This Row],[Cantidad 
LDV]]*Reactivos_[[#This Row],[Valor de referencia]]</f>
        <v>0</v>
      </c>
      <c r="Q67" s="257"/>
      <c r="R67" s="255">
        <f>+Reactivos_[[#This Row],[Cantidad LNDV]]*Reactivos_[[#This Row],[Valor de referencia]]</f>
        <v>0</v>
      </c>
      <c r="S67" s="148"/>
      <c r="T67" s="255">
        <f>+Reactivos_[[#This Row],[GGCA]]*Reactivos_[[#This Row],[Valor de referencia]]</f>
        <v>0</v>
      </c>
      <c r="U67" s="254"/>
      <c r="V67" s="255">
        <f>+Reactivos_[[#This Row],[Cantidad LDF]]*Reactivos_[[#This Row],[Valor de referencia]]</f>
        <v>0</v>
      </c>
      <c r="W67" s="254"/>
      <c r="X67" s="255">
        <f>+Reactivos_[[#This Row],[Cantidad LDF&amp;MR]]*Reactivos_[[#This Row],[Valor de referencia]]</f>
        <v>0</v>
      </c>
      <c r="Y67" s="254"/>
      <c r="Z67" s="255">
        <f>+Reactivos_[[#This Row],[Cantidad RED LASE]]*Reactivos_[[#This Row],[Valor de referencia]]</f>
        <v>0</v>
      </c>
      <c r="AA67" s="254"/>
      <c r="AB67" s="255">
        <f>+Reactivos_[[#This Row],[Cantidad LANIA]]*Reactivos_[[#This Row],[Valor de referencia]]</f>
        <v>0</v>
      </c>
      <c r="AC67" s="254"/>
      <c r="AD67" s="255">
        <f>+Reactivos_[[#This Row],[Cantidad SPA]]*Reactivos_[[#This Row],[Valor de referencia]]</f>
        <v>0</v>
      </c>
      <c r="AE67" s="148" t="s">
        <v>76</v>
      </c>
      <c r="AF67" s="148" t="s">
        <v>77</v>
      </c>
    </row>
    <row r="68" spans="1:32" ht="22.5" customHeight="1" x14ac:dyDescent="0.25">
      <c r="A68" s="294" t="str">
        <f>IF(B68=Reactivos_[[#This Row],[Cantidad LANIP]],"LANIP",IF(B68=Reactivos_[[#This Row],[Cantidad 
LDV]],"LDV",IF(B68=Reactivos_[[#This Row],[Cantidad LNDV]],"LNDV",IF(B68=Reactivos_[[#This Row],[GGCA]],"GGCA",IF(B68=Reactivos_[[#This Row],[Cantidad LDF]],"LDF",IF(Reactivos_[[#This Row],[Cantidad LDF&amp;MR]],"LDF&amp;MR",IF(B68=Reactivos_[[#This Row],[Cantidad RED LASE]],"LASE",IF(B68=Reactivos_[[#This Row],[Cantidad LANIA]],"LANIA",IF(B68=Reactivos_[[#This Row],[Cantidad SPA]],"SPA"," ")))))))))</f>
        <v>LNDV</v>
      </c>
      <c r="B6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68" s="325">
        <v>66</v>
      </c>
      <c r="D68" s="326">
        <v>75</v>
      </c>
      <c r="E68" s="327" t="s">
        <v>273</v>
      </c>
      <c r="F68" s="244"/>
      <c r="G68" s="327"/>
      <c r="H68" s="328" t="s">
        <v>274</v>
      </c>
      <c r="I68" s="329" t="s">
        <v>120</v>
      </c>
      <c r="J6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68" s="160">
        <v>1200510</v>
      </c>
      <c r="L68" s="160">
        <f>+Reactivos_[[#This Row],[Cantidad]]*Reactivos_[[#This Row],[Valor de referencia]]</f>
        <v>6002550</v>
      </c>
      <c r="M68" s="254">
        <v>1</v>
      </c>
      <c r="N68" s="255">
        <f>+Reactivos_[[#This Row],[Valor de referencia]]*Reactivos_[[#This Row],[Cantidad LANIP]]</f>
        <v>1200510</v>
      </c>
      <c r="O68" s="256">
        <v>1</v>
      </c>
      <c r="P68" s="255">
        <f>+Reactivos_[[#This Row],[Cantidad 
LDV]]*Reactivos_[[#This Row],[Valor de referencia]]</f>
        <v>1200510</v>
      </c>
      <c r="Q68" s="257">
        <v>3</v>
      </c>
      <c r="R68" s="255">
        <f>+Reactivos_[[#This Row],[Cantidad LNDV]]*Reactivos_[[#This Row],[Valor de referencia]]</f>
        <v>3601530</v>
      </c>
      <c r="S68" s="148"/>
      <c r="T68" s="255">
        <f>+Reactivos_[[#This Row],[GGCA]]*Reactivos_[[#This Row],[Valor de referencia]]</f>
        <v>0</v>
      </c>
      <c r="U68" s="254"/>
      <c r="V68" s="255">
        <f>+Reactivos_[[#This Row],[Cantidad LDF]]*Reactivos_[[#This Row],[Valor de referencia]]</f>
        <v>0</v>
      </c>
      <c r="W68" s="254"/>
      <c r="X68" s="255">
        <f>+Reactivos_[[#This Row],[Cantidad LDF&amp;MR]]*Reactivos_[[#This Row],[Valor de referencia]]</f>
        <v>0</v>
      </c>
      <c r="Y68" s="254"/>
      <c r="Z68" s="255">
        <f>+Reactivos_[[#This Row],[Cantidad RED LASE]]*Reactivos_[[#This Row],[Valor de referencia]]</f>
        <v>0</v>
      </c>
      <c r="AA68" s="254"/>
      <c r="AB68" s="255">
        <f>+Reactivos_[[#This Row],[Cantidad LANIA]]*Reactivos_[[#This Row],[Valor de referencia]]</f>
        <v>0</v>
      </c>
      <c r="AC68" s="254"/>
      <c r="AD68" s="255">
        <f>+Reactivos_[[#This Row],[Cantidad SPA]]*Reactivos_[[#This Row],[Valor de referencia]]</f>
        <v>0</v>
      </c>
      <c r="AE68" s="148" t="s">
        <v>76</v>
      </c>
      <c r="AF68" s="148" t="s">
        <v>77</v>
      </c>
    </row>
    <row r="69" spans="1:32" ht="25.5" x14ac:dyDescent="0.25">
      <c r="A69" s="294" t="str">
        <f>IF(B69=Reactivos_[[#This Row],[Cantidad LANIP]],"LANIP",IF(B69=Reactivos_[[#This Row],[Cantidad 
LDV]],"LDV",IF(B69=Reactivos_[[#This Row],[Cantidad LNDV]],"LNDV",IF(B69=Reactivos_[[#This Row],[GGCA]],"GGCA",IF(B69=Reactivos_[[#This Row],[Cantidad LDF]],"LDF",IF(Reactivos_[[#This Row],[Cantidad LDF&amp;MR]],"LDF&amp;MR",IF(B69=Reactivos_[[#This Row],[Cantidad RED LASE]],"LASE",IF(B69=Reactivos_[[#This Row],[Cantidad LANIA]],"LANIA",IF(B69=Reactivos_[[#This Row],[Cantidad SPA]],"SPA"," ")))))))))</f>
        <v>LANIP</v>
      </c>
      <c r="B6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9" s="325">
        <v>67</v>
      </c>
      <c r="D69" s="326">
        <v>76</v>
      </c>
      <c r="E69" s="327" t="s">
        <v>275</v>
      </c>
      <c r="F69" s="244"/>
      <c r="G69" s="327"/>
      <c r="H69" s="328" t="s">
        <v>276</v>
      </c>
      <c r="I69" s="329" t="s">
        <v>217</v>
      </c>
      <c r="J6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9" s="160">
        <v>518245</v>
      </c>
      <c r="L69" s="160">
        <f>+Reactivos_[[#This Row],[Cantidad]]*Reactivos_[[#This Row],[Valor de referencia]]</f>
        <v>1036490</v>
      </c>
      <c r="M69" s="254">
        <v>1</v>
      </c>
      <c r="N69" s="255">
        <f>+Reactivos_[[#This Row],[Valor de referencia]]*Reactivos_[[#This Row],[Cantidad LANIP]]</f>
        <v>518245</v>
      </c>
      <c r="O69" s="256"/>
      <c r="P69" s="255">
        <f>+Reactivos_[[#This Row],[Cantidad 
LDV]]*Reactivos_[[#This Row],[Valor de referencia]]</f>
        <v>0</v>
      </c>
      <c r="Q69" s="257">
        <v>1</v>
      </c>
      <c r="R69" s="255">
        <f>+Reactivos_[[#This Row],[Cantidad LNDV]]*Reactivos_[[#This Row],[Valor de referencia]]</f>
        <v>518245</v>
      </c>
      <c r="S69" s="148"/>
      <c r="T69" s="255">
        <f>+Reactivos_[[#This Row],[GGCA]]*Reactivos_[[#This Row],[Valor de referencia]]</f>
        <v>0</v>
      </c>
      <c r="U69" s="254"/>
      <c r="V69" s="255">
        <f>+Reactivos_[[#This Row],[Cantidad LDF]]*Reactivos_[[#This Row],[Valor de referencia]]</f>
        <v>0</v>
      </c>
      <c r="W69" s="254"/>
      <c r="X69" s="255">
        <f>+Reactivos_[[#This Row],[Cantidad LDF&amp;MR]]*Reactivos_[[#This Row],[Valor de referencia]]</f>
        <v>0</v>
      </c>
      <c r="Y69" s="254"/>
      <c r="Z69" s="255">
        <f>+Reactivos_[[#This Row],[Cantidad RED LASE]]*Reactivos_[[#This Row],[Valor de referencia]]</f>
        <v>0</v>
      </c>
      <c r="AA69" s="254"/>
      <c r="AB69" s="255">
        <f>+Reactivos_[[#This Row],[Cantidad LANIA]]*Reactivos_[[#This Row],[Valor de referencia]]</f>
        <v>0</v>
      </c>
      <c r="AC69" s="254"/>
      <c r="AD69" s="255">
        <f>+Reactivos_[[#This Row],[Cantidad SPA]]*Reactivos_[[#This Row],[Valor de referencia]]</f>
        <v>0</v>
      </c>
      <c r="AE69" s="148" t="s">
        <v>76</v>
      </c>
      <c r="AF69" s="148" t="s">
        <v>77</v>
      </c>
    </row>
    <row r="70" spans="1:32" ht="56.25" customHeight="1" x14ac:dyDescent="0.25">
      <c r="A70" s="294" t="str">
        <f>IF(B70=Reactivos_[[#This Row],[Cantidad LANIP]],"LANIP",IF(B70=Reactivos_[[#This Row],[Cantidad 
LDV]],"LDV",IF(B70=Reactivos_[[#This Row],[Cantidad LNDV]],"LNDV",IF(B70=Reactivos_[[#This Row],[GGCA]],"GGCA",IF(B70=Reactivos_[[#This Row],[Cantidad LDF]],"LDF",IF(Reactivos_[[#This Row],[Cantidad LDF&amp;MR]],"LDF&amp;MR",IF(B70=Reactivos_[[#This Row],[Cantidad RED LASE]],"LASE",IF(B70=Reactivos_[[#This Row],[Cantidad LANIA]],"LANIA",IF(B70=Reactivos_[[#This Row],[Cantidad SPA]],"SPA"," ")))))))))</f>
        <v>LNDV</v>
      </c>
      <c r="B7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0" s="325">
        <v>68</v>
      </c>
      <c r="D70" s="326">
        <v>77</v>
      </c>
      <c r="E70" s="327" t="s">
        <v>277</v>
      </c>
      <c r="F70" s="350" t="s">
        <v>278</v>
      </c>
      <c r="G70" s="327"/>
      <c r="H70" s="330" t="s">
        <v>279</v>
      </c>
      <c r="I70" s="329" t="s">
        <v>120</v>
      </c>
      <c r="J7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70" s="160">
        <v>5954696</v>
      </c>
      <c r="L70" s="160">
        <f>+Reactivos_[[#This Row],[Cantidad]]*Reactivos_[[#This Row],[Valor de referencia]]</f>
        <v>11909392</v>
      </c>
      <c r="M70" s="254">
        <v>0</v>
      </c>
      <c r="N70" s="255">
        <f>+Reactivos_[[#This Row],[Valor de referencia]]*Reactivos_[[#This Row],[Cantidad LANIP]]</f>
        <v>0</v>
      </c>
      <c r="O70" s="256"/>
      <c r="P70" s="255">
        <f>+Reactivos_[[#This Row],[Cantidad 
LDV]]*Reactivos_[[#This Row],[Valor de referencia]]</f>
        <v>0</v>
      </c>
      <c r="Q70" s="257">
        <v>1</v>
      </c>
      <c r="R70" s="255">
        <f>+Reactivos_[[#This Row],[Cantidad LNDV]]*Reactivos_[[#This Row],[Valor de referencia]]</f>
        <v>5954696</v>
      </c>
      <c r="S70" s="148"/>
      <c r="T70" s="255">
        <f>+Reactivos_[[#This Row],[GGCA]]*Reactivos_[[#This Row],[Valor de referencia]]</f>
        <v>0</v>
      </c>
      <c r="U70" s="254"/>
      <c r="V70" s="255">
        <f>+Reactivos_[[#This Row],[Cantidad LDF]]*Reactivos_[[#This Row],[Valor de referencia]]</f>
        <v>0</v>
      </c>
      <c r="W70" s="254"/>
      <c r="X70" s="255">
        <f>+Reactivos_[[#This Row],[Cantidad LDF&amp;MR]]*Reactivos_[[#This Row],[Valor de referencia]]</f>
        <v>0</v>
      </c>
      <c r="Y70" s="254"/>
      <c r="Z70" s="255">
        <f>+Reactivos_[[#This Row],[Cantidad RED LASE]]*Reactivos_[[#This Row],[Valor de referencia]]</f>
        <v>0</v>
      </c>
      <c r="AA70" s="254">
        <v>1</v>
      </c>
      <c r="AB70" s="255">
        <f>+Reactivos_[[#This Row],[Cantidad LANIA]]*Reactivos_[[#This Row],[Valor de referencia]]</f>
        <v>5954696</v>
      </c>
      <c r="AC70" s="254"/>
      <c r="AD70" s="255">
        <f>+Reactivos_[[#This Row],[Cantidad SPA]]*Reactivos_[[#This Row],[Valor de referencia]]</f>
        <v>0</v>
      </c>
      <c r="AE70" s="148" t="s">
        <v>76</v>
      </c>
      <c r="AF70" s="148" t="s">
        <v>77</v>
      </c>
    </row>
    <row r="71" spans="1:32" ht="25.5" customHeight="1" x14ac:dyDescent="0.25">
      <c r="A71" s="294" t="str">
        <f>IF(B71=Reactivos_[[#This Row],[Cantidad LANIP]],"LANIP",IF(B71=Reactivos_[[#This Row],[Cantidad 
LDV]],"LDV",IF(B71=Reactivos_[[#This Row],[Cantidad LNDV]],"LNDV",IF(B71=Reactivos_[[#This Row],[GGCA]],"GGCA",IF(B71=Reactivos_[[#This Row],[Cantidad LDF]],"LDF",IF(Reactivos_[[#This Row],[Cantidad LDF&amp;MR]],"LDF&amp;MR",IF(B71=Reactivos_[[#This Row],[Cantidad RED LASE]],"LASE",IF(B71=Reactivos_[[#This Row],[Cantidad LANIA]],"LANIA",IF(B71=Reactivos_[[#This Row],[Cantidad SPA]],"SPA"," ")))))))))</f>
        <v>LNDV</v>
      </c>
      <c r="B7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1" s="325">
        <v>69</v>
      </c>
      <c r="D71" s="326">
        <v>78</v>
      </c>
      <c r="E71" s="245" t="s">
        <v>280</v>
      </c>
      <c r="F71" s="244"/>
      <c r="G71" s="245"/>
      <c r="H71" s="335" t="s">
        <v>281</v>
      </c>
      <c r="I71" s="329" t="s">
        <v>282</v>
      </c>
      <c r="J7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1" s="160">
        <v>1394430</v>
      </c>
      <c r="L71" s="160">
        <f>+Reactivos_[[#This Row],[Cantidad]]*Reactivos_[[#This Row],[Valor de referencia]]</f>
        <v>1394430</v>
      </c>
      <c r="M71" s="254">
        <v>0</v>
      </c>
      <c r="N71" s="255">
        <f>+Reactivos_[[#This Row],[Valor de referencia]]*Reactivos_[[#This Row],[Cantidad LANIP]]</f>
        <v>0</v>
      </c>
      <c r="O71" s="256"/>
      <c r="P71" s="255">
        <f>+Reactivos_[[#This Row],[Cantidad 
LDV]]*Reactivos_[[#This Row],[Valor de referencia]]</f>
        <v>0</v>
      </c>
      <c r="Q71" s="257">
        <v>1</v>
      </c>
      <c r="R71" s="255">
        <f>+Reactivos_[[#This Row],[Cantidad LNDV]]*Reactivos_[[#This Row],[Valor de referencia]]</f>
        <v>1394430</v>
      </c>
      <c r="S71" s="148"/>
      <c r="T71" s="255">
        <f>+Reactivos_[[#This Row],[GGCA]]*Reactivos_[[#This Row],[Valor de referencia]]</f>
        <v>0</v>
      </c>
      <c r="U71" s="254"/>
      <c r="V71" s="255">
        <f>+Reactivos_[[#This Row],[Cantidad LDF]]*Reactivos_[[#This Row],[Valor de referencia]]</f>
        <v>0</v>
      </c>
      <c r="W71" s="254"/>
      <c r="X71" s="255">
        <f>+Reactivos_[[#This Row],[Cantidad LDF&amp;MR]]*Reactivos_[[#This Row],[Valor de referencia]]</f>
        <v>0</v>
      </c>
      <c r="Y71" s="254"/>
      <c r="Z71" s="255">
        <f>+Reactivos_[[#This Row],[Cantidad RED LASE]]*Reactivos_[[#This Row],[Valor de referencia]]</f>
        <v>0</v>
      </c>
      <c r="AA71" s="254"/>
      <c r="AB71" s="255">
        <f>+Reactivos_[[#This Row],[Cantidad LANIA]]*Reactivos_[[#This Row],[Valor de referencia]]</f>
        <v>0</v>
      </c>
      <c r="AC71" s="254"/>
      <c r="AD71" s="255">
        <f>+Reactivos_[[#This Row],[Cantidad SPA]]*Reactivos_[[#This Row],[Valor de referencia]]</f>
        <v>0</v>
      </c>
      <c r="AE71" s="148" t="s">
        <v>76</v>
      </c>
      <c r="AF71" s="148" t="s">
        <v>77</v>
      </c>
    </row>
    <row r="72" spans="1:32" ht="22.5" customHeight="1" x14ac:dyDescent="0.25">
      <c r="A72" s="294" t="str">
        <f>IF(B72=Reactivos_[[#This Row],[Cantidad LANIP]],"LANIP",IF(B72=Reactivos_[[#This Row],[Cantidad 
LDV]],"LDV",IF(B72=Reactivos_[[#This Row],[Cantidad LNDV]],"LNDV",IF(B72=Reactivos_[[#This Row],[GGCA]],"GGCA",IF(B72=Reactivos_[[#This Row],[Cantidad LDF]],"LDF",IF(Reactivos_[[#This Row],[Cantidad LDF&amp;MR]],"LDF&amp;MR",IF(B72=Reactivos_[[#This Row],[Cantidad RED LASE]],"LASE",IF(B72=Reactivos_[[#This Row],[Cantidad LANIA]],"LANIA",IF(B72=Reactivos_[[#This Row],[Cantidad SPA]],"SPA"," ")))))))))</f>
        <v>LNDV</v>
      </c>
      <c r="B7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192</v>
      </c>
      <c r="C72" s="325">
        <v>70</v>
      </c>
      <c r="D72" s="326">
        <v>79</v>
      </c>
      <c r="E72" s="327" t="s">
        <v>283</v>
      </c>
      <c r="F72" s="244"/>
      <c r="G72" s="327"/>
      <c r="H72" s="328" t="s">
        <v>284</v>
      </c>
      <c r="I72" s="329" t="s">
        <v>285</v>
      </c>
      <c r="J7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292</v>
      </c>
      <c r="K72" s="160">
        <v>1681580</v>
      </c>
      <c r="L72" s="160">
        <f>+Reactivos_[[#This Row],[Cantidad]]*Reactivos_[[#This Row],[Valor de referencia]]</f>
        <v>491021360</v>
      </c>
      <c r="M72" s="254">
        <v>0</v>
      </c>
      <c r="N72" s="255">
        <f>+Reactivos_[[#This Row],[Valor de referencia]]*Reactivos_[[#This Row],[Cantidad LANIP]]</f>
        <v>0</v>
      </c>
      <c r="O72" s="256">
        <v>100</v>
      </c>
      <c r="P72" s="255">
        <f>+Reactivos_[[#This Row],[Cantidad 
LDV]]*Reactivos_[[#This Row],[Valor de referencia]]</f>
        <v>168158000</v>
      </c>
      <c r="Q72" s="257">
        <v>192</v>
      </c>
      <c r="R72" s="255">
        <f>+Reactivos_[[#This Row],[Cantidad LNDV]]*Reactivos_[[#This Row],[Valor de referencia]]</f>
        <v>322863360</v>
      </c>
      <c r="S72" s="148"/>
      <c r="T72" s="255">
        <f>+Reactivos_[[#This Row],[GGCA]]*Reactivos_[[#This Row],[Valor de referencia]]</f>
        <v>0</v>
      </c>
      <c r="U72" s="254"/>
      <c r="V72" s="255">
        <f>+Reactivos_[[#This Row],[Cantidad LDF]]*Reactivos_[[#This Row],[Valor de referencia]]</f>
        <v>0</v>
      </c>
      <c r="W72" s="254"/>
      <c r="X72" s="255">
        <f>+Reactivos_[[#This Row],[Cantidad LDF&amp;MR]]*Reactivos_[[#This Row],[Valor de referencia]]</f>
        <v>0</v>
      </c>
      <c r="Y72" s="254"/>
      <c r="Z72" s="255">
        <f>+Reactivos_[[#This Row],[Cantidad RED LASE]]*Reactivos_[[#This Row],[Valor de referencia]]</f>
        <v>0</v>
      </c>
      <c r="AA72" s="254"/>
      <c r="AB72" s="255">
        <f>+Reactivos_[[#This Row],[Cantidad LANIA]]*Reactivos_[[#This Row],[Valor de referencia]]</f>
        <v>0</v>
      </c>
      <c r="AC72" s="254"/>
      <c r="AD72" s="255">
        <f>+Reactivos_[[#This Row],[Cantidad SPA]]*Reactivos_[[#This Row],[Valor de referencia]]</f>
        <v>0</v>
      </c>
      <c r="AE72" s="148" t="s">
        <v>76</v>
      </c>
      <c r="AF72" s="148" t="s">
        <v>77</v>
      </c>
    </row>
    <row r="73" spans="1:32" ht="33.75" customHeight="1" x14ac:dyDescent="0.25">
      <c r="A73" s="294" t="str">
        <f>IF(B73=Reactivos_[[#This Row],[Cantidad LANIP]],"LANIP",IF(B73=Reactivos_[[#This Row],[Cantidad 
LDV]],"LDV",IF(B73=Reactivos_[[#This Row],[Cantidad LNDV]],"LNDV",IF(B73=Reactivos_[[#This Row],[GGCA]],"GGCA",IF(B73=Reactivos_[[#This Row],[Cantidad LDF]],"LDF",IF(Reactivos_[[#This Row],[Cantidad LDF&amp;MR]],"LDF&amp;MR",IF(B73=Reactivos_[[#This Row],[Cantidad RED LASE]],"LASE",IF(B73=Reactivos_[[#This Row],[Cantidad LANIA]],"LANIA",IF(B73=Reactivos_[[#This Row],[Cantidad SPA]],"SPA"," ")))))))))</f>
        <v>LDF&amp;MR</v>
      </c>
      <c r="B7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3" s="325">
        <v>71</v>
      </c>
      <c r="D73" s="326">
        <v>80</v>
      </c>
      <c r="E73" s="245" t="s">
        <v>286</v>
      </c>
      <c r="F73" s="244"/>
      <c r="G73" s="245"/>
      <c r="H73" s="335" t="s">
        <v>287</v>
      </c>
      <c r="I73" s="336"/>
      <c r="J7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3" s="160">
        <v>10531500</v>
      </c>
      <c r="L73" s="160">
        <f>+Reactivos_[[#This Row],[Cantidad]]*Reactivos_[[#This Row],[Valor de referencia]]</f>
        <v>10531500</v>
      </c>
      <c r="M73" s="254">
        <v>0</v>
      </c>
      <c r="N73" s="255">
        <f>+Reactivos_[[#This Row],[Valor de referencia]]*Reactivos_[[#This Row],[Cantidad LANIP]]</f>
        <v>0</v>
      </c>
      <c r="O73" s="256"/>
      <c r="P73" s="255">
        <f>+Reactivos_[[#This Row],[Cantidad 
LDV]]*Reactivos_[[#This Row],[Valor de referencia]]</f>
        <v>0</v>
      </c>
      <c r="Q73" s="257"/>
      <c r="R73" s="255">
        <f>+Reactivos_[[#This Row],[Cantidad LNDV]]*Reactivos_[[#This Row],[Valor de referencia]]</f>
        <v>0</v>
      </c>
      <c r="S73" s="148"/>
      <c r="T73" s="255">
        <f>+Reactivos_[[#This Row],[GGCA]]*Reactivos_[[#This Row],[Valor de referencia]]</f>
        <v>0</v>
      </c>
      <c r="U73" s="254"/>
      <c r="V73" s="255">
        <f>+Reactivos_[[#This Row],[Cantidad LDF]]*Reactivos_[[#This Row],[Valor de referencia]]</f>
        <v>0</v>
      </c>
      <c r="W73" s="254">
        <v>1</v>
      </c>
      <c r="X73" s="255">
        <f>+Reactivos_[[#This Row],[Cantidad LDF&amp;MR]]*Reactivos_[[#This Row],[Valor de referencia]]</f>
        <v>10531500</v>
      </c>
      <c r="Y73" s="254"/>
      <c r="Z73" s="255">
        <f>+Reactivos_[[#This Row],[Cantidad RED LASE]]*Reactivos_[[#This Row],[Valor de referencia]]</f>
        <v>0</v>
      </c>
      <c r="AA73" s="254"/>
      <c r="AB73" s="255">
        <f>+Reactivos_[[#This Row],[Cantidad LANIA]]*Reactivos_[[#This Row],[Valor de referencia]]</f>
        <v>0</v>
      </c>
      <c r="AC73" s="254"/>
      <c r="AD73" s="255">
        <f>+Reactivos_[[#This Row],[Cantidad SPA]]*Reactivos_[[#This Row],[Valor de referencia]]</f>
        <v>0</v>
      </c>
      <c r="AE73" s="148" t="s">
        <v>76</v>
      </c>
      <c r="AF73" s="310" t="s">
        <v>101</v>
      </c>
    </row>
    <row r="74" spans="1:32" ht="38.25" x14ac:dyDescent="0.25">
      <c r="A74" s="294" t="str">
        <f>IF(B74=Reactivos_[[#This Row],[Cantidad LANIP]],"LANIP",IF(B74=Reactivos_[[#This Row],[Cantidad 
LDV]],"LDV",IF(B74=Reactivos_[[#This Row],[Cantidad LNDV]],"LNDV",IF(B74=Reactivos_[[#This Row],[GGCA]],"GGCA",IF(B74=Reactivos_[[#This Row],[Cantidad LDF]],"LDF",IF(Reactivos_[[#This Row],[Cantidad LDF&amp;MR]],"LDF&amp;MR",IF(B74=Reactivos_[[#This Row],[Cantidad RED LASE]],"LASE",IF(B74=Reactivos_[[#This Row],[Cantidad LANIA]],"LANIA",IF(B74=Reactivos_[[#This Row],[Cantidad SPA]],"SPA"," ")))))))))</f>
        <v>LANIP</v>
      </c>
      <c r="B7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30</v>
      </c>
      <c r="C74" s="325">
        <v>72</v>
      </c>
      <c r="D74" s="326">
        <v>81</v>
      </c>
      <c r="E74" s="245" t="s">
        <v>288</v>
      </c>
      <c r="F74" s="244"/>
      <c r="G74" s="245"/>
      <c r="H74" s="404" t="s">
        <v>289</v>
      </c>
      <c r="I74" s="336" t="s">
        <v>290</v>
      </c>
      <c r="J7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30</v>
      </c>
      <c r="K74" s="160">
        <v>755055</v>
      </c>
      <c r="L74" s="160">
        <f>+Reactivos_[[#This Row],[Cantidad]]*Reactivos_[[#This Row],[Valor de referencia]]</f>
        <v>22651650</v>
      </c>
      <c r="M74" s="254">
        <v>30</v>
      </c>
      <c r="N74" s="255">
        <f>+Reactivos_[[#This Row],[Valor de referencia]]*Reactivos_[[#This Row],[Cantidad LANIP]]</f>
        <v>22651650</v>
      </c>
      <c r="O74" s="256"/>
      <c r="P74" s="255">
        <f>+Reactivos_[[#This Row],[Cantidad 
LDV]]*Reactivos_[[#This Row],[Valor de referencia]]</f>
        <v>0</v>
      </c>
      <c r="Q74" s="257"/>
      <c r="R74" s="255">
        <f>+Reactivos_[[#This Row],[Cantidad LNDV]]*Reactivos_[[#This Row],[Valor de referencia]]</f>
        <v>0</v>
      </c>
      <c r="S74" s="148"/>
      <c r="T74" s="255">
        <f>+Reactivos_[[#This Row],[GGCA]]*Reactivos_[[#This Row],[Valor de referencia]]</f>
        <v>0</v>
      </c>
      <c r="U74" s="254"/>
      <c r="V74" s="255">
        <f>+Reactivos_[[#This Row],[Cantidad LDF]]*Reactivos_[[#This Row],[Valor de referencia]]</f>
        <v>0</v>
      </c>
      <c r="W74" s="254"/>
      <c r="X74" s="255">
        <f>+Reactivos_[[#This Row],[Cantidad LDF&amp;MR]]*Reactivos_[[#This Row],[Valor de referencia]]</f>
        <v>0</v>
      </c>
      <c r="Y74" s="254"/>
      <c r="Z74" s="255">
        <f>+Reactivos_[[#This Row],[Cantidad RED LASE]]*Reactivos_[[#This Row],[Valor de referencia]]</f>
        <v>0</v>
      </c>
      <c r="AA74" s="254"/>
      <c r="AB74" s="255">
        <f>+Reactivos_[[#This Row],[Cantidad LANIA]]*Reactivos_[[#This Row],[Valor de referencia]]</f>
        <v>0</v>
      </c>
      <c r="AC74" s="254"/>
      <c r="AD74" s="255">
        <f>+Reactivos_[[#This Row],[Cantidad SPA]]*Reactivos_[[#This Row],[Valor de referencia]]</f>
        <v>0</v>
      </c>
      <c r="AE74" s="148" t="s">
        <v>76</v>
      </c>
      <c r="AF74" s="148" t="s">
        <v>77</v>
      </c>
    </row>
    <row r="75" spans="1:32" ht="48.75" customHeight="1" x14ac:dyDescent="0.25">
      <c r="A75" s="294" t="str">
        <f>IF(B75=Reactivos_[[#This Row],[Cantidad LANIP]],"LANIP",IF(B75=Reactivos_[[#This Row],[Cantidad 
LDV]],"LDV",IF(B75=Reactivos_[[#This Row],[Cantidad LNDV]],"LNDV",IF(B75=Reactivos_[[#This Row],[GGCA]],"GGCA",IF(B75=Reactivos_[[#This Row],[Cantidad LDF]],"LDF",IF(Reactivos_[[#This Row],[Cantidad LDF&amp;MR]],"LDF&amp;MR",IF(B75=Reactivos_[[#This Row],[Cantidad RED LASE]],"LASE",IF(B75=Reactivos_[[#This Row],[Cantidad LANIA]],"LANIA",IF(B75=Reactivos_[[#This Row],[Cantidad SPA]],"SPA"," ")))))))))</f>
        <v>LNDV</v>
      </c>
      <c r="B7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75" s="325">
        <v>73</v>
      </c>
      <c r="D75" s="326">
        <v>82</v>
      </c>
      <c r="E75" s="245" t="s">
        <v>291</v>
      </c>
      <c r="F75" s="244"/>
      <c r="G75" s="245"/>
      <c r="H75" s="346" t="s">
        <v>292</v>
      </c>
      <c r="I75" s="336" t="s">
        <v>293</v>
      </c>
      <c r="J7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36</v>
      </c>
      <c r="K75" s="160">
        <v>860379</v>
      </c>
      <c r="L75" s="160">
        <f>+Reactivos_[[#This Row],[Cantidad]]*Reactivos_[[#This Row],[Valor de referencia]]</f>
        <v>30973644</v>
      </c>
      <c r="M75" s="254">
        <v>0</v>
      </c>
      <c r="N75" s="255">
        <f>+Reactivos_[[#This Row],[Valor de referencia]]*Reactivos_[[#This Row],[Cantidad LANIP]]</f>
        <v>0</v>
      </c>
      <c r="O75" s="256"/>
      <c r="P75" s="255">
        <f>+Reactivos_[[#This Row],[Cantidad 
LDV]]*Reactivos_[[#This Row],[Valor de referencia]]</f>
        <v>0</v>
      </c>
      <c r="Q75" s="257">
        <v>20</v>
      </c>
      <c r="R75" s="255">
        <f>+Reactivos_[[#This Row],[Cantidad LNDV]]*Reactivos_[[#This Row],[Valor de referencia]]</f>
        <v>17207580</v>
      </c>
      <c r="S75" s="148"/>
      <c r="T75" s="255">
        <f>+Reactivos_[[#This Row],[GGCA]]*Reactivos_[[#This Row],[Valor de referencia]]</f>
        <v>0</v>
      </c>
      <c r="U75" s="254">
        <v>12</v>
      </c>
      <c r="V75" s="255">
        <f>+Reactivos_[[#This Row],[Cantidad LDF]]*Reactivos_[[#This Row],[Valor de referencia]]</f>
        <v>10324548</v>
      </c>
      <c r="W75" s="254">
        <v>3</v>
      </c>
      <c r="X75" s="255">
        <f>+Reactivos_[[#This Row],[Cantidad LDF&amp;MR]]*Reactivos_[[#This Row],[Valor de referencia]]</f>
        <v>2581137</v>
      </c>
      <c r="Y75" s="254"/>
      <c r="Z75" s="255">
        <f>+Reactivos_[[#This Row],[Cantidad RED LASE]]*Reactivos_[[#This Row],[Valor de referencia]]</f>
        <v>0</v>
      </c>
      <c r="AA75" s="254">
        <v>1</v>
      </c>
      <c r="AB75" s="255">
        <f>+Reactivos_[[#This Row],[Cantidad LANIA]]*Reactivos_[[#This Row],[Valor de referencia]]</f>
        <v>860379</v>
      </c>
      <c r="AC75" s="254"/>
      <c r="AD75" s="255">
        <f>+Reactivos_[[#This Row],[Cantidad SPA]]*Reactivos_[[#This Row],[Valor de referencia]]</f>
        <v>0</v>
      </c>
      <c r="AE75" s="148" t="s">
        <v>76</v>
      </c>
      <c r="AF75" s="148" t="s">
        <v>77</v>
      </c>
    </row>
    <row r="76" spans="1:32" ht="39.75" customHeight="1" x14ac:dyDescent="0.25">
      <c r="A76" s="294" t="str">
        <f>IF(B76=Reactivos_[[#This Row],[Cantidad LANIP]],"LANIP",IF(B76=Reactivos_[[#This Row],[Cantidad 
LDV]],"LDV",IF(B76=Reactivos_[[#This Row],[Cantidad LNDV]],"LNDV",IF(B76=Reactivos_[[#This Row],[GGCA]],"GGCA",IF(B76=Reactivos_[[#This Row],[Cantidad LDF]],"LDF",IF(Reactivos_[[#This Row],[Cantidad LDF&amp;MR]],"LDF&amp;MR",IF(B76=Reactivos_[[#This Row],[Cantidad RED LASE]],"LASE",IF(B76=Reactivos_[[#This Row],[Cantidad LANIA]],"LANIA",IF(B76=Reactivos_[[#This Row],[Cantidad SPA]],"SPA"," ")))))))))</f>
        <v>LDV</v>
      </c>
      <c r="B7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50</v>
      </c>
      <c r="C76" s="325">
        <v>74</v>
      </c>
      <c r="D76" s="326">
        <v>83</v>
      </c>
      <c r="E76" s="331" t="s">
        <v>294</v>
      </c>
      <c r="F76" s="332"/>
      <c r="G76" s="331"/>
      <c r="H76" s="348" t="s">
        <v>295</v>
      </c>
      <c r="I76" s="334" t="s">
        <v>120</v>
      </c>
      <c r="J7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79</v>
      </c>
      <c r="K76" s="160">
        <v>347726</v>
      </c>
      <c r="L76" s="160">
        <f>+Reactivos_[[#This Row],[Cantidad]]*Reactivos_[[#This Row],[Valor de referencia]]</f>
        <v>27470354</v>
      </c>
      <c r="M76" s="254">
        <v>5</v>
      </c>
      <c r="N76" s="255">
        <f>+Reactivos_[[#This Row],[Valor de referencia]]*Reactivos_[[#This Row],[Cantidad LANIP]]</f>
        <v>1738630</v>
      </c>
      <c r="O76" s="256">
        <v>50</v>
      </c>
      <c r="P76" s="255">
        <f>+Reactivos_[[#This Row],[Cantidad 
LDV]]*Reactivos_[[#This Row],[Valor de referencia]]</f>
        <v>17386300</v>
      </c>
      <c r="Q76" s="257">
        <v>22</v>
      </c>
      <c r="R76" s="255">
        <f>+Reactivos_[[#This Row],[Cantidad LNDV]]*Reactivos_[[#This Row],[Valor de referencia]]</f>
        <v>7649972</v>
      </c>
      <c r="S76" s="148"/>
      <c r="T76" s="255">
        <f>+Reactivos_[[#This Row],[GGCA]]*Reactivos_[[#This Row],[Valor de referencia]]</f>
        <v>0</v>
      </c>
      <c r="U76" s="254"/>
      <c r="V76" s="255">
        <f>+Reactivos_[[#This Row],[Cantidad LDF]]*Reactivos_[[#This Row],[Valor de referencia]]</f>
        <v>0</v>
      </c>
      <c r="W76" s="254"/>
      <c r="X76" s="255">
        <f>+Reactivos_[[#This Row],[Cantidad LDF&amp;MR]]*Reactivos_[[#This Row],[Valor de referencia]]</f>
        <v>0</v>
      </c>
      <c r="Y76" s="254"/>
      <c r="Z76" s="255">
        <f>+Reactivos_[[#This Row],[Cantidad RED LASE]]*Reactivos_[[#This Row],[Valor de referencia]]</f>
        <v>0</v>
      </c>
      <c r="AA76" s="254">
        <v>2</v>
      </c>
      <c r="AB76" s="255">
        <f>+Reactivos_[[#This Row],[Cantidad LANIA]]*Reactivos_[[#This Row],[Valor de referencia]]</f>
        <v>695452</v>
      </c>
      <c r="AC76" s="254"/>
      <c r="AD76" s="255">
        <f>+Reactivos_[[#This Row],[Cantidad SPA]]*Reactivos_[[#This Row],[Valor de referencia]]</f>
        <v>0</v>
      </c>
      <c r="AE76" s="148" t="s">
        <v>76</v>
      </c>
      <c r="AF76" s="148" t="s">
        <v>77</v>
      </c>
    </row>
    <row r="77" spans="1:32" ht="38.25" x14ac:dyDescent="0.25">
      <c r="A77" s="294" t="str">
        <f>IF(B77=Reactivos_[[#This Row],[Cantidad LANIP]],"LANIP",IF(B77=Reactivos_[[#This Row],[Cantidad 
LDV]],"LDV",IF(B77=Reactivos_[[#This Row],[Cantidad LNDV]],"LNDV",IF(B77=Reactivos_[[#This Row],[GGCA]],"GGCA",IF(B77=Reactivos_[[#This Row],[Cantidad LDF]],"LDF",IF(Reactivos_[[#This Row],[Cantidad LDF&amp;MR]],"LDF&amp;MR",IF(B77=Reactivos_[[#This Row],[Cantidad RED LASE]],"LASE",IF(B77=Reactivos_[[#This Row],[Cantidad LANIA]],"LANIA",IF(B77=Reactivos_[[#This Row],[Cantidad SPA]],"SPA"," ")))))))))</f>
        <v>LDF</v>
      </c>
      <c r="B7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77" s="325">
        <v>75</v>
      </c>
      <c r="D77" s="326">
        <v>84</v>
      </c>
      <c r="E77" s="245" t="s">
        <v>296</v>
      </c>
      <c r="F77" s="244"/>
      <c r="G77" s="245"/>
      <c r="H77" s="346" t="s">
        <v>297</v>
      </c>
      <c r="I77" s="336" t="s">
        <v>298</v>
      </c>
      <c r="J7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77" s="160">
        <v>1469472</v>
      </c>
      <c r="L77" s="160">
        <f>+Reactivos_[[#This Row],[Cantidad]]*Reactivos_[[#This Row],[Valor de referencia]]</f>
        <v>2938944</v>
      </c>
      <c r="M77" s="254">
        <v>0</v>
      </c>
      <c r="N77" s="255">
        <f>+Reactivos_[[#This Row],[Valor de referencia]]*Reactivos_[[#This Row],[Cantidad LANIP]]</f>
        <v>0</v>
      </c>
      <c r="O77" s="256"/>
      <c r="P77" s="255">
        <f>+Reactivos_[[#This Row],[Cantidad 
LDV]]*Reactivos_[[#This Row],[Valor de referencia]]</f>
        <v>0</v>
      </c>
      <c r="Q77" s="257"/>
      <c r="R77" s="255">
        <f>+Reactivos_[[#This Row],[Cantidad LNDV]]*Reactivos_[[#This Row],[Valor de referencia]]</f>
        <v>0</v>
      </c>
      <c r="S77" s="148"/>
      <c r="T77" s="255">
        <f>+Reactivos_[[#This Row],[GGCA]]*Reactivos_[[#This Row],[Valor de referencia]]</f>
        <v>0</v>
      </c>
      <c r="U77" s="254">
        <v>2</v>
      </c>
      <c r="V77" s="255">
        <f>+Reactivos_[[#This Row],[Cantidad LDF]]*Reactivos_[[#This Row],[Valor de referencia]]</f>
        <v>2938944</v>
      </c>
      <c r="W77" s="254"/>
      <c r="X77" s="255">
        <f>+Reactivos_[[#This Row],[Cantidad LDF&amp;MR]]*Reactivos_[[#This Row],[Valor de referencia]]</f>
        <v>0</v>
      </c>
      <c r="Y77" s="254"/>
      <c r="Z77" s="255">
        <f>+Reactivos_[[#This Row],[Cantidad RED LASE]]*Reactivos_[[#This Row],[Valor de referencia]]</f>
        <v>0</v>
      </c>
      <c r="AA77" s="254"/>
      <c r="AB77" s="255">
        <f>+Reactivos_[[#This Row],[Cantidad LANIA]]*Reactivos_[[#This Row],[Valor de referencia]]</f>
        <v>0</v>
      </c>
      <c r="AC77" s="254"/>
      <c r="AD77" s="255">
        <f>+Reactivos_[[#This Row],[Cantidad SPA]]*Reactivos_[[#This Row],[Valor de referencia]]</f>
        <v>0</v>
      </c>
      <c r="AE77" s="148" t="s">
        <v>76</v>
      </c>
      <c r="AF77" s="148" t="s">
        <v>77</v>
      </c>
    </row>
    <row r="78" spans="1:32" ht="33" customHeight="1" x14ac:dyDescent="0.25">
      <c r="A78" s="294" t="str">
        <f>IF(B78=Reactivos_[[#This Row],[Cantidad LANIP]],"LANIP",IF(B78=Reactivos_[[#This Row],[Cantidad 
LDV]],"LDV",IF(B78=Reactivos_[[#This Row],[Cantidad LNDV]],"LNDV",IF(B78=Reactivos_[[#This Row],[GGCA]],"GGCA",IF(B78=Reactivos_[[#This Row],[Cantidad LDF]],"LDF",IF(Reactivos_[[#This Row],[Cantidad LDF&amp;MR]],"LDF&amp;MR",IF(B78=Reactivos_[[#This Row],[Cantidad RED LASE]],"LASE",IF(B78=Reactivos_[[#This Row],[Cantidad LANIA]],"LANIA",IF(B78=Reactivos_[[#This Row],[Cantidad SPA]],"SPA"," ")))))))))</f>
        <v>LDF</v>
      </c>
      <c r="B7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78" s="325">
        <v>76</v>
      </c>
      <c r="D78" s="326">
        <v>85</v>
      </c>
      <c r="E78" s="245" t="s">
        <v>299</v>
      </c>
      <c r="F78" s="244"/>
      <c r="G78" s="245"/>
      <c r="H78" s="346" t="s">
        <v>300</v>
      </c>
      <c r="I78" s="336" t="s">
        <v>301</v>
      </c>
      <c r="J7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18</v>
      </c>
      <c r="K78" s="160">
        <v>314517</v>
      </c>
      <c r="L78" s="160">
        <f>+Reactivos_[[#This Row],[Cantidad]]*Reactivos_[[#This Row],[Valor de referencia]]</f>
        <v>5661306</v>
      </c>
      <c r="M78" s="254">
        <v>0</v>
      </c>
      <c r="N78" s="255">
        <f>+Reactivos_[[#This Row],[Valor de referencia]]*Reactivos_[[#This Row],[Cantidad LANIP]]</f>
        <v>0</v>
      </c>
      <c r="O78" s="256"/>
      <c r="P78" s="255">
        <f>+Reactivos_[[#This Row],[Cantidad 
LDV]]*Reactivos_[[#This Row],[Valor de referencia]]</f>
        <v>0</v>
      </c>
      <c r="Q78" s="257"/>
      <c r="R78" s="255">
        <f>+Reactivos_[[#This Row],[Cantidad LNDV]]*Reactivos_[[#This Row],[Valor de referencia]]</f>
        <v>0</v>
      </c>
      <c r="S78" s="148"/>
      <c r="T78" s="255">
        <f>+Reactivos_[[#This Row],[GGCA]]*Reactivos_[[#This Row],[Valor de referencia]]</f>
        <v>0</v>
      </c>
      <c r="U78" s="254">
        <v>13</v>
      </c>
      <c r="V78" s="255">
        <f>+Reactivos_[[#This Row],[Cantidad LDF]]*Reactivos_[[#This Row],[Valor de referencia]]</f>
        <v>4088721</v>
      </c>
      <c r="W78" s="254">
        <v>5</v>
      </c>
      <c r="X78" s="255">
        <f>+Reactivos_[[#This Row],[Cantidad LDF&amp;MR]]*Reactivos_[[#This Row],[Valor de referencia]]</f>
        <v>1572585</v>
      </c>
      <c r="Y78" s="254"/>
      <c r="Z78" s="255">
        <f>+Reactivos_[[#This Row],[Cantidad RED LASE]]*Reactivos_[[#This Row],[Valor de referencia]]</f>
        <v>0</v>
      </c>
      <c r="AA78" s="254"/>
      <c r="AB78" s="255">
        <f>+Reactivos_[[#This Row],[Cantidad LANIA]]*Reactivos_[[#This Row],[Valor de referencia]]</f>
        <v>0</v>
      </c>
      <c r="AC78" s="254"/>
      <c r="AD78" s="255">
        <f>+Reactivos_[[#This Row],[Cantidad SPA]]*Reactivos_[[#This Row],[Valor de referencia]]</f>
        <v>0</v>
      </c>
      <c r="AE78" s="148" t="s">
        <v>76</v>
      </c>
      <c r="AF78" s="148" t="s">
        <v>77</v>
      </c>
    </row>
    <row r="79" spans="1:32" x14ac:dyDescent="0.25">
      <c r="A79" s="294" t="str">
        <f>IF(B79=Reactivos_[[#This Row],[Cantidad LANIP]],"LANIP",IF(B79=Reactivos_[[#This Row],[Cantidad 
LDV]],"LDV",IF(B79=Reactivos_[[#This Row],[Cantidad LNDV]],"LNDV",IF(B79=Reactivos_[[#This Row],[GGCA]],"GGCA",IF(B79=Reactivos_[[#This Row],[Cantidad LDF]],"LDF",IF(Reactivos_[[#This Row],[Cantidad LDF&amp;MR]],"LDF&amp;MR",IF(B79=Reactivos_[[#This Row],[Cantidad RED LASE]],"LASE",IF(B79=Reactivos_[[#This Row],[Cantidad LANIA]],"LANIA",IF(B79=Reactivos_[[#This Row],[Cantidad SPA]],"SPA"," ")))))))))</f>
        <v>LDV</v>
      </c>
      <c r="B7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79" s="325">
        <v>77</v>
      </c>
      <c r="D79" s="326">
        <v>86</v>
      </c>
      <c r="E79" s="331" t="s">
        <v>302</v>
      </c>
      <c r="F79" s="332"/>
      <c r="G79" s="331"/>
      <c r="H79" s="348" t="s">
        <v>303</v>
      </c>
      <c r="I79" s="334" t="s">
        <v>175</v>
      </c>
      <c r="J7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79" s="160">
        <v>120192</v>
      </c>
      <c r="L79" s="160">
        <f>+Reactivos_[[#This Row],[Cantidad]]*Reactivos_[[#This Row],[Valor de referencia]]</f>
        <v>841344</v>
      </c>
      <c r="M79" s="254">
        <v>0</v>
      </c>
      <c r="N79" s="255">
        <f>+Reactivos_[[#This Row],[Valor de referencia]]*Reactivos_[[#This Row],[Cantidad LANIP]]</f>
        <v>0</v>
      </c>
      <c r="O79" s="256">
        <v>4</v>
      </c>
      <c r="P79" s="255">
        <f>+Reactivos_[[#This Row],[Cantidad 
LDV]]*Reactivos_[[#This Row],[Valor de referencia]]</f>
        <v>480768</v>
      </c>
      <c r="Q79" s="257">
        <v>3</v>
      </c>
      <c r="R79" s="255">
        <f>+Reactivos_[[#This Row],[Cantidad LNDV]]*Reactivos_[[#This Row],[Valor de referencia]]</f>
        <v>360576</v>
      </c>
      <c r="S79" s="148"/>
      <c r="T79" s="255">
        <f>+Reactivos_[[#This Row],[GGCA]]*Reactivos_[[#This Row],[Valor de referencia]]</f>
        <v>0</v>
      </c>
      <c r="U79" s="254"/>
      <c r="V79" s="255">
        <f>+Reactivos_[[#This Row],[Cantidad LDF]]*Reactivos_[[#This Row],[Valor de referencia]]</f>
        <v>0</v>
      </c>
      <c r="W79" s="254"/>
      <c r="X79" s="255">
        <f>+Reactivos_[[#This Row],[Cantidad LDF&amp;MR]]*Reactivos_[[#This Row],[Valor de referencia]]</f>
        <v>0</v>
      </c>
      <c r="Y79" s="254"/>
      <c r="Z79" s="255">
        <f>+Reactivos_[[#This Row],[Cantidad RED LASE]]*Reactivos_[[#This Row],[Valor de referencia]]</f>
        <v>0</v>
      </c>
      <c r="AA79" s="254"/>
      <c r="AB79" s="255">
        <f>+Reactivos_[[#This Row],[Cantidad LANIA]]*Reactivos_[[#This Row],[Valor de referencia]]</f>
        <v>0</v>
      </c>
      <c r="AC79" s="254"/>
      <c r="AD79" s="255">
        <f>+Reactivos_[[#This Row],[Cantidad SPA]]*Reactivos_[[#This Row],[Valor de referencia]]</f>
        <v>0</v>
      </c>
      <c r="AE79" s="148" t="s">
        <v>76</v>
      </c>
      <c r="AF79" s="148" t="s">
        <v>77</v>
      </c>
    </row>
    <row r="80" spans="1:32" ht="30.75" customHeight="1" x14ac:dyDescent="0.25">
      <c r="A80" s="294" t="str">
        <f>IF(B80=Reactivos_[[#This Row],[Cantidad LANIP]],"LANIP",IF(B80=Reactivos_[[#This Row],[Cantidad 
LDV]],"LDV",IF(B80=Reactivos_[[#This Row],[Cantidad LNDV]],"LNDV",IF(B80=Reactivos_[[#This Row],[GGCA]],"GGCA",IF(B80=Reactivos_[[#This Row],[Cantidad LDF]],"LDF",IF(Reactivos_[[#This Row],[Cantidad LDF&amp;MR]],"LDF&amp;MR",IF(B80=Reactivos_[[#This Row],[Cantidad RED LASE]],"LASE",IF(B80=Reactivos_[[#This Row],[Cantidad LANIA]],"LANIA",IF(B80=Reactivos_[[#This Row],[Cantidad SPA]],"SPA"," ")))))))))</f>
        <v>LDV</v>
      </c>
      <c r="B8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300</v>
      </c>
      <c r="C80" s="325">
        <v>78</v>
      </c>
      <c r="D80" s="326">
        <v>87</v>
      </c>
      <c r="E80" s="245" t="s">
        <v>304</v>
      </c>
      <c r="F80" s="244"/>
      <c r="G80" s="245"/>
      <c r="H80" s="346" t="s">
        <v>305</v>
      </c>
      <c r="I80" s="336" t="s">
        <v>306</v>
      </c>
      <c r="J8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1144</v>
      </c>
      <c r="K80" s="160">
        <v>13565</v>
      </c>
      <c r="L80" s="160">
        <f>+Reactivos_[[#This Row],[Cantidad]]*Reactivos_[[#This Row],[Valor de referencia]]</f>
        <v>15518360</v>
      </c>
      <c r="M80" s="254">
        <v>11</v>
      </c>
      <c r="N80" s="255">
        <f>+Reactivos_[[#This Row],[Valor de referencia]]*Reactivos_[[#This Row],[Cantidad LANIP]]</f>
        <v>149215</v>
      </c>
      <c r="O80" s="256">
        <v>300</v>
      </c>
      <c r="P80" s="255">
        <f>+Reactivos_[[#This Row],[Cantidad 
LDV]]*Reactivos_[[#This Row],[Valor de referencia]]</f>
        <v>4069500</v>
      </c>
      <c r="Q80" s="257">
        <v>200</v>
      </c>
      <c r="R80" s="255">
        <f>+Reactivos_[[#This Row],[Cantidad LNDV]]*Reactivos_[[#This Row],[Valor de referencia]]</f>
        <v>2713000</v>
      </c>
      <c r="S80" s="148"/>
      <c r="T80" s="255">
        <f>+Reactivos_[[#This Row],[GGCA]]*Reactivos_[[#This Row],[Valor de referencia]]</f>
        <v>0</v>
      </c>
      <c r="U80" s="254">
        <v>286</v>
      </c>
      <c r="V80" s="255">
        <f>+Reactivos_[[#This Row],[Cantidad LDF]]*Reactivos_[[#This Row],[Valor de referencia]]</f>
        <v>3879590</v>
      </c>
      <c r="W80" s="254">
        <v>80</v>
      </c>
      <c r="X80" s="255">
        <f>+Reactivos_[[#This Row],[Cantidad LDF&amp;MR]]*Reactivos_[[#This Row],[Valor de referencia]]</f>
        <v>1085200</v>
      </c>
      <c r="Y80" s="254">
        <v>142</v>
      </c>
      <c r="Z80" s="255">
        <f>+Reactivos_[[#This Row],[Cantidad RED LASE]]*Reactivos_[[#This Row],[Valor de referencia]]</f>
        <v>1926230</v>
      </c>
      <c r="AA80" s="254">
        <v>100</v>
      </c>
      <c r="AB80" s="255">
        <f>+Reactivos_[[#This Row],[Cantidad LANIA]]*Reactivos_[[#This Row],[Valor de referencia]]</f>
        <v>1356500</v>
      </c>
      <c r="AC80" s="254">
        <v>25</v>
      </c>
      <c r="AD80" s="255">
        <f>+Reactivos_[[#This Row],[Cantidad SPA]]*Reactivos_[[#This Row],[Valor de referencia]]</f>
        <v>339125</v>
      </c>
      <c r="AE80" s="148" t="s">
        <v>76</v>
      </c>
      <c r="AF80" s="148" t="s">
        <v>101</v>
      </c>
    </row>
    <row r="81" spans="1:32" ht="30" customHeight="1" x14ac:dyDescent="0.25">
      <c r="A81" s="294" t="str">
        <f>IF(B81=Reactivos_[[#This Row],[Cantidad LANIP]],"LANIP",IF(B81=Reactivos_[[#This Row],[Cantidad 
LDV]],"LDV",IF(B81=Reactivos_[[#This Row],[Cantidad LNDV]],"LNDV",IF(B81=Reactivos_[[#This Row],[GGCA]],"GGCA",IF(B81=Reactivos_[[#This Row],[Cantidad LDF]],"LDF",IF(Reactivos_[[#This Row],[Cantidad LDF&amp;MR]],"LDF&amp;MR",IF(B81=Reactivos_[[#This Row],[Cantidad RED LASE]],"LASE",IF(B81=Reactivos_[[#This Row],[Cantidad LANIA]],"LANIA",IF(B81=Reactivos_[[#This Row],[Cantidad SPA]],"SPA"," ")))))))))</f>
        <v>LDF</v>
      </c>
      <c r="B8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C81" s="325">
        <v>79</v>
      </c>
      <c r="D81" s="326">
        <v>89</v>
      </c>
      <c r="E81" s="331" t="s">
        <v>307</v>
      </c>
      <c r="F81" s="351" t="s">
        <v>308</v>
      </c>
      <c r="G81" s="320" t="s">
        <v>309</v>
      </c>
      <c r="H81" s="348" t="s">
        <v>310</v>
      </c>
      <c r="I81" s="352" t="s">
        <v>311</v>
      </c>
      <c r="J8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37</v>
      </c>
      <c r="K81" s="160">
        <v>578819</v>
      </c>
      <c r="L81" s="160">
        <f>+Reactivos_[[#This Row],[Cantidad]]*Reactivos_[[#This Row],[Valor de referencia]]</f>
        <v>21416303</v>
      </c>
      <c r="M81" s="254">
        <v>8</v>
      </c>
      <c r="N81" s="255">
        <f>+Reactivos_[[#This Row],[Valor de referencia]]*Reactivos_[[#This Row],[Cantidad LANIP]]</f>
        <v>4630552</v>
      </c>
      <c r="O81" s="256"/>
      <c r="P81" s="255">
        <f>+Reactivos_[[#This Row],[Cantidad 
LDV]]*Reactivos_[[#This Row],[Valor de referencia]]</f>
        <v>0</v>
      </c>
      <c r="Q81" s="257">
        <v>1</v>
      </c>
      <c r="R81" s="255">
        <f>+Reactivos_[[#This Row],[Cantidad LNDV]]*Reactivos_[[#This Row],[Valor de referencia]]</f>
        <v>578819</v>
      </c>
      <c r="S81" s="148"/>
      <c r="T81" s="255">
        <f>+Reactivos_[[#This Row],[GGCA]]*Reactivos_[[#This Row],[Valor de referencia]]</f>
        <v>0</v>
      </c>
      <c r="U81" s="254">
        <v>16</v>
      </c>
      <c r="V81" s="255">
        <f>+Reactivos_[[#This Row],[Cantidad LDF]]*Reactivos_[[#This Row],[Valor de referencia]]</f>
        <v>9261104</v>
      </c>
      <c r="W81" s="254"/>
      <c r="X81" s="255">
        <f>+Reactivos_[[#This Row],[Cantidad LDF&amp;MR]]*Reactivos_[[#This Row],[Valor de referencia]]</f>
        <v>0</v>
      </c>
      <c r="Y81" s="254"/>
      <c r="Z81" s="255">
        <f>+Reactivos_[[#This Row],[Cantidad RED LASE]]*Reactivos_[[#This Row],[Valor de referencia]]</f>
        <v>0</v>
      </c>
      <c r="AA81" s="254">
        <v>12</v>
      </c>
      <c r="AB81" s="255">
        <f>+Reactivos_[[#This Row],[Cantidad LANIA]]*Reactivos_[[#This Row],[Valor de referencia]]</f>
        <v>6945828</v>
      </c>
      <c r="AC81" s="254"/>
      <c r="AD81" s="255">
        <f>+Reactivos_[[#This Row],[Cantidad SPA]]*Reactivos_[[#This Row],[Valor de referencia]]</f>
        <v>0</v>
      </c>
      <c r="AE81" s="148" t="s">
        <v>76</v>
      </c>
      <c r="AF81" s="148" t="s">
        <v>77</v>
      </c>
    </row>
    <row r="82" spans="1:32" ht="28.5" customHeight="1" x14ac:dyDescent="0.25">
      <c r="A82" s="294" t="str">
        <f>IF(B82=Reactivos_[[#This Row],[Cantidad LANIP]],"LANIP",IF(B82=Reactivos_[[#This Row],[Cantidad 
LDV]],"LDV",IF(B82=Reactivos_[[#This Row],[Cantidad LNDV]],"LNDV",IF(B82=Reactivos_[[#This Row],[GGCA]],"GGCA",IF(B82=Reactivos_[[#This Row],[Cantidad LDF]],"LDF",IF(Reactivos_[[#This Row],[Cantidad LDF&amp;MR]],"LDF&amp;MR",IF(B82=Reactivos_[[#This Row],[Cantidad RED LASE]],"LASE",IF(B82=Reactivos_[[#This Row],[Cantidad LANIA]],"LANIA",IF(B82=Reactivos_[[#This Row],[Cantidad SPA]],"SPA"," ")))))))))</f>
        <v>LDF</v>
      </c>
      <c r="B8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58</v>
      </c>
      <c r="C82" s="325">
        <v>80</v>
      </c>
      <c r="D82" s="326">
        <v>90</v>
      </c>
      <c r="E82" s="245" t="s">
        <v>312</v>
      </c>
      <c r="F82" s="244"/>
      <c r="G82" s="245"/>
      <c r="H82" s="349" t="s">
        <v>103</v>
      </c>
      <c r="I82" s="336" t="s">
        <v>175</v>
      </c>
      <c r="J8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101</v>
      </c>
      <c r="K82" s="160">
        <v>78875</v>
      </c>
      <c r="L82" s="160">
        <f>+Reactivos_[[#This Row],[Cantidad]]*Reactivos_[[#This Row],[Valor de referencia]]</f>
        <v>7966375</v>
      </c>
      <c r="M82" s="254">
        <v>0</v>
      </c>
      <c r="N82" s="255">
        <f>+Reactivos_[[#This Row],[Valor de referencia]]*Reactivos_[[#This Row],[Cantidad LANIP]]</f>
        <v>0</v>
      </c>
      <c r="O82" s="256">
        <v>34</v>
      </c>
      <c r="P82" s="255">
        <f>+Reactivos_[[#This Row],[Cantidad 
LDV]]*Reactivos_[[#This Row],[Valor de referencia]]</f>
        <v>2681750</v>
      </c>
      <c r="Q82" s="257"/>
      <c r="R82" s="255">
        <f>+Reactivos_[[#This Row],[Cantidad LNDV]]*Reactivos_[[#This Row],[Valor de referencia]]</f>
        <v>0</v>
      </c>
      <c r="S82" s="148"/>
      <c r="T82" s="255">
        <f>+Reactivos_[[#This Row],[GGCA]]*Reactivos_[[#This Row],[Valor de referencia]]</f>
        <v>0</v>
      </c>
      <c r="U82" s="254">
        <v>58</v>
      </c>
      <c r="V82" s="255">
        <f>+Reactivos_[[#This Row],[Cantidad LDF]]*Reactivos_[[#This Row],[Valor de referencia]]</f>
        <v>4574750</v>
      </c>
      <c r="W82" s="254">
        <v>8</v>
      </c>
      <c r="X82" s="255">
        <f>+Reactivos_[[#This Row],[Cantidad LDF&amp;MR]]*Reactivos_[[#This Row],[Valor de referencia]]</f>
        <v>631000</v>
      </c>
      <c r="Y82" s="254"/>
      <c r="Z82" s="255">
        <f>+Reactivos_[[#This Row],[Cantidad RED LASE]]*Reactivos_[[#This Row],[Valor de referencia]]</f>
        <v>0</v>
      </c>
      <c r="AA82" s="254">
        <v>1</v>
      </c>
      <c r="AB82" s="255">
        <f>+Reactivos_[[#This Row],[Cantidad LANIA]]*Reactivos_[[#This Row],[Valor de referencia]]</f>
        <v>78875</v>
      </c>
      <c r="AC82" s="254"/>
      <c r="AD82" s="255">
        <f>+Reactivos_[[#This Row],[Cantidad SPA]]*Reactivos_[[#This Row],[Valor de referencia]]</f>
        <v>0</v>
      </c>
      <c r="AE82" s="148" t="s">
        <v>76</v>
      </c>
      <c r="AF82" s="148" t="s">
        <v>101</v>
      </c>
    </row>
    <row r="83" spans="1:32" ht="32.25" customHeight="1" x14ac:dyDescent="0.25">
      <c r="A83" s="294" t="str">
        <f>IF(B83=Reactivos_[[#This Row],[Cantidad LANIP]],"LANIP",IF(B83=Reactivos_[[#This Row],[Cantidad 
LDV]],"LDV",IF(B83=Reactivos_[[#This Row],[Cantidad LNDV]],"LNDV",IF(B83=Reactivos_[[#This Row],[GGCA]],"GGCA",IF(B83=Reactivos_[[#This Row],[Cantidad LDF]],"LDF",IF(Reactivos_[[#This Row],[Cantidad LDF&amp;MR]],"LDF&amp;MR",IF(B83=Reactivos_[[#This Row],[Cantidad RED LASE]],"LASE",IF(B83=Reactivos_[[#This Row],[Cantidad LANIA]],"LANIA",IF(B83=Reactivos_[[#This Row],[Cantidad SPA]],"SPA"," ")))))))))</f>
        <v>LDF</v>
      </c>
      <c r="B8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83" s="325">
        <v>81</v>
      </c>
      <c r="D83" s="326">
        <v>91</v>
      </c>
      <c r="E83" s="245" t="s">
        <v>313</v>
      </c>
      <c r="F83" s="244"/>
      <c r="G83" s="245"/>
      <c r="H83" s="349" t="s">
        <v>314</v>
      </c>
      <c r="I83" s="336" t="s">
        <v>301</v>
      </c>
      <c r="J8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83" s="160">
        <v>774770</v>
      </c>
      <c r="L83" s="160">
        <f>+Reactivos_[[#This Row],[Cantidad]]*Reactivos_[[#This Row],[Valor de referencia]]</f>
        <v>4648620</v>
      </c>
      <c r="M83" s="254">
        <v>0</v>
      </c>
      <c r="N83" s="255">
        <f>+Reactivos_[[#This Row],[Valor de referencia]]*Reactivos_[[#This Row],[Cantidad LANIP]]</f>
        <v>0</v>
      </c>
      <c r="O83" s="256"/>
      <c r="P83" s="255">
        <f>+Reactivos_[[#This Row],[Cantidad 
LDV]]*Reactivos_[[#This Row],[Valor de referencia]]</f>
        <v>0</v>
      </c>
      <c r="Q83" s="257"/>
      <c r="R83" s="255">
        <f>+Reactivos_[[#This Row],[Cantidad LNDV]]*Reactivos_[[#This Row],[Valor de referencia]]</f>
        <v>0</v>
      </c>
      <c r="S83" s="148"/>
      <c r="T83" s="255">
        <f>+Reactivos_[[#This Row],[GGCA]]*Reactivos_[[#This Row],[Valor de referencia]]</f>
        <v>0</v>
      </c>
      <c r="U83" s="254">
        <v>6</v>
      </c>
      <c r="V83" s="255">
        <f>+Reactivos_[[#This Row],[Cantidad LDF]]*Reactivos_[[#This Row],[Valor de referencia]]</f>
        <v>4648620</v>
      </c>
      <c r="W83" s="254"/>
      <c r="X83" s="255">
        <f>+Reactivos_[[#This Row],[Cantidad LDF&amp;MR]]*Reactivos_[[#This Row],[Valor de referencia]]</f>
        <v>0</v>
      </c>
      <c r="Y83" s="254"/>
      <c r="Z83" s="255">
        <f>+Reactivos_[[#This Row],[Cantidad RED LASE]]*Reactivos_[[#This Row],[Valor de referencia]]</f>
        <v>0</v>
      </c>
      <c r="AA83" s="254"/>
      <c r="AB83" s="255">
        <f>+Reactivos_[[#This Row],[Cantidad LANIA]]*Reactivos_[[#This Row],[Valor de referencia]]</f>
        <v>0</v>
      </c>
      <c r="AC83" s="254"/>
      <c r="AD83" s="255">
        <f>+Reactivos_[[#This Row],[Cantidad SPA]]*Reactivos_[[#This Row],[Valor de referencia]]</f>
        <v>0</v>
      </c>
      <c r="AE83" s="148" t="s">
        <v>76</v>
      </c>
      <c r="AF83" s="148" t="s">
        <v>77</v>
      </c>
    </row>
    <row r="84" spans="1:32" ht="25.5" x14ac:dyDescent="0.25">
      <c r="A84" s="294" t="str">
        <f>IF(B84=Reactivos_[[#This Row],[Cantidad LANIP]],"LANIP",IF(B84=Reactivos_[[#This Row],[Cantidad 
LDV]],"LDV",IF(B84=Reactivos_[[#This Row],[Cantidad LNDV]],"LNDV",IF(B84=Reactivos_[[#This Row],[GGCA]],"GGCA",IF(B84=Reactivos_[[#This Row],[Cantidad LDF]],"LDF",IF(Reactivos_[[#This Row],[Cantidad LDF&amp;MR]],"LDF&amp;MR",IF(B84=Reactivos_[[#This Row],[Cantidad RED LASE]],"LASE",IF(B84=Reactivos_[[#This Row],[Cantidad LANIA]],"LANIA",IF(B84=Reactivos_[[#This Row],[Cantidad SPA]],"SPA"," ")))))))))</f>
        <v>LDF</v>
      </c>
      <c r="B8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84" s="325">
        <v>82</v>
      </c>
      <c r="D84" s="326">
        <v>92</v>
      </c>
      <c r="E84" s="327" t="s">
        <v>315</v>
      </c>
      <c r="F84" s="244"/>
      <c r="G84" s="327"/>
      <c r="H84" s="346" t="s">
        <v>316</v>
      </c>
      <c r="I84" s="336" t="s">
        <v>162</v>
      </c>
      <c r="J8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84" s="160">
        <v>417214</v>
      </c>
      <c r="L84" s="160">
        <f>+Reactivos_[[#This Row],[Cantidad]]*Reactivos_[[#This Row],[Valor de referencia]]</f>
        <v>834428</v>
      </c>
      <c r="M84" s="254">
        <v>0</v>
      </c>
      <c r="N84" s="255">
        <f>+Reactivos_[[#This Row],[Valor de referencia]]*Reactivos_[[#This Row],[Cantidad LANIP]]</f>
        <v>0</v>
      </c>
      <c r="O84" s="256"/>
      <c r="P84" s="255">
        <f>+Reactivos_[[#This Row],[Cantidad 
LDV]]*Reactivos_[[#This Row],[Valor de referencia]]</f>
        <v>0</v>
      </c>
      <c r="Q84" s="257"/>
      <c r="R84" s="255">
        <f>+Reactivos_[[#This Row],[Cantidad LNDV]]*Reactivos_[[#This Row],[Valor de referencia]]</f>
        <v>0</v>
      </c>
      <c r="S84" s="148"/>
      <c r="T84" s="255">
        <f>+Reactivos_[[#This Row],[GGCA]]*Reactivos_[[#This Row],[Valor de referencia]]</f>
        <v>0</v>
      </c>
      <c r="U84" s="254">
        <v>1</v>
      </c>
      <c r="V84" s="255">
        <f>+Reactivos_[[#This Row],[Cantidad LDF]]*Reactivos_[[#This Row],[Valor de referencia]]</f>
        <v>417214</v>
      </c>
      <c r="W84" s="254">
        <v>1</v>
      </c>
      <c r="X84" s="255">
        <f>+Reactivos_[[#This Row],[Cantidad LDF&amp;MR]]*Reactivos_[[#This Row],[Valor de referencia]]</f>
        <v>417214</v>
      </c>
      <c r="Y84" s="254"/>
      <c r="Z84" s="255">
        <f>+Reactivos_[[#This Row],[Cantidad RED LASE]]*Reactivos_[[#This Row],[Valor de referencia]]</f>
        <v>0</v>
      </c>
      <c r="AA84" s="254"/>
      <c r="AB84" s="255">
        <f>+Reactivos_[[#This Row],[Cantidad LANIA]]*Reactivos_[[#This Row],[Valor de referencia]]</f>
        <v>0</v>
      </c>
      <c r="AC84" s="254"/>
      <c r="AD84" s="255">
        <f>+Reactivos_[[#This Row],[Cantidad SPA]]*Reactivos_[[#This Row],[Valor de referencia]]</f>
        <v>0</v>
      </c>
      <c r="AE84" s="148" t="s">
        <v>76</v>
      </c>
      <c r="AF84" s="148" t="s">
        <v>77</v>
      </c>
    </row>
    <row r="85" spans="1:32" ht="25.5" customHeight="1" x14ac:dyDescent="0.25">
      <c r="A85" s="294" t="str">
        <f>IF(B85=Reactivos_[[#This Row],[Cantidad LANIP]],"LANIP",IF(B85=Reactivos_[[#This Row],[Cantidad 
LDV]],"LDV",IF(B85=Reactivos_[[#This Row],[Cantidad LNDV]],"LNDV",IF(B85=Reactivos_[[#This Row],[GGCA]],"GGCA",IF(B85=Reactivos_[[#This Row],[Cantidad LDF]],"LDF",IF(Reactivos_[[#This Row],[Cantidad LDF&amp;MR]],"LDF&amp;MR",IF(B85=Reactivos_[[#This Row],[Cantidad RED LASE]],"LASE",IF(B85=Reactivos_[[#This Row],[Cantidad LANIA]],"LANIA",IF(B85=Reactivos_[[#This Row],[Cantidad SPA]],"SPA"," ")))))))))</f>
        <v>LANIA</v>
      </c>
      <c r="B8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85" s="325">
        <v>83</v>
      </c>
      <c r="D85" s="326">
        <v>93</v>
      </c>
      <c r="E85" s="245" t="s">
        <v>317</v>
      </c>
      <c r="F85" s="244"/>
      <c r="G85" s="245"/>
      <c r="H85" s="346" t="s">
        <v>318</v>
      </c>
      <c r="I85" s="353" t="s">
        <v>319</v>
      </c>
      <c r="J8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85" s="160">
        <v>6300693</v>
      </c>
      <c r="L85" s="160">
        <f>+Reactivos_[[#This Row],[Cantidad]]*Reactivos_[[#This Row],[Valor de referencia]]</f>
        <v>6300693</v>
      </c>
      <c r="M85" s="254">
        <v>0</v>
      </c>
      <c r="N85" s="255">
        <f>+Reactivos_[[#This Row],[Valor de referencia]]*Reactivos_[[#This Row],[Cantidad LANIP]]</f>
        <v>0</v>
      </c>
      <c r="O85" s="256"/>
      <c r="P85" s="255">
        <f>+Reactivos_[[#This Row],[Cantidad 
LDV]]*Reactivos_[[#This Row],[Valor de referencia]]</f>
        <v>0</v>
      </c>
      <c r="Q85" s="257"/>
      <c r="R85" s="255">
        <f>+Reactivos_[[#This Row],[Cantidad LNDV]]*Reactivos_[[#This Row],[Valor de referencia]]</f>
        <v>0</v>
      </c>
      <c r="S85" s="148"/>
      <c r="T85" s="255">
        <f>+Reactivos_[[#This Row],[GGCA]]*Reactivos_[[#This Row],[Valor de referencia]]</f>
        <v>0</v>
      </c>
      <c r="U85" s="254"/>
      <c r="V85" s="255">
        <f>+Reactivos_[[#This Row],[Cantidad LDF]]*Reactivos_[[#This Row],[Valor de referencia]]</f>
        <v>0</v>
      </c>
      <c r="W85" s="254"/>
      <c r="X85" s="255">
        <f>+Reactivos_[[#This Row],[Cantidad LDF&amp;MR]]*Reactivos_[[#This Row],[Valor de referencia]]</f>
        <v>0</v>
      </c>
      <c r="Y85" s="254"/>
      <c r="Z85" s="255">
        <f>+Reactivos_[[#This Row],[Cantidad RED LASE]]*Reactivos_[[#This Row],[Valor de referencia]]</f>
        <v>0</v>
      </c>
      <c r="AA85" s="254">
        <v>1</v>
      </c>
      <c r="AB85" s="255">
        <f>+Reactivos_[[#This Row],[Cantidad LANIA]]*Reactivos_[[#This Row],[Valor de referencia]]</f>
        <v>6300693</v>
      </c>
      <c r="AC85" s="254"/>
      <c r="AD85" s="255">
        <f>+Reactivos_[[#This Row],[Cantidad SPA]]*Reactivos_[[#This Row],[Valor de referencia]]</f>
        <v>0</v>
      </c>
      <c r="AE85" s="148" t="s">
        <v>76</v>
      </c>
      <c r="AF85" s="148" t="s">
        <v>77</v>
      </c>
    </row>
    <row r="86" spans="1:32" ht="54.75" customHeight="1" x14ac:dyDescent="0.25">
      <c r="A86" s="294" t="str">
        <f>IF(B86=Reactivos_[[#This Row],[Cantidad LANIP]],"LANIP",IF(B86=Reactivos_[[#This Row],[Cantidad 
LDV]],"LDV",IF(B86=Reactivos_[[#This Row],[Cantidad LNDV]],"LNDV",IF(B86=Reactivos_[[#This Row],[GGCA]],"GGCA",IF(B86=Reactivos_[[#This Row],[Cantidad LDF]],"LDF",IF(Reactivos_[[#This Row],[Cantidad LDF&amp;MR]],"LDF&amp;MR",IF(B86=Reactivos_[[#This Row],[Cantidad RED LASE]],"LASE",IF(B86=Reactivos_[[#This Row],[Cantidad LANIA]],"LANIA",IF(B86=Reactivos_[[#This Row],[Cantidad SPA]],"SPA"," ")))))))))</f>
        <v>LNDV</v>
      </c>
      <c r="B8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86" s="325">
        <v>84</v>
      </c>
      <c r="D86" s="326">
        <v>96</v>
      </c>
      <c r="E86" s="245" t="s">
        <v>320</v>
      </c>
      <c r="F86" s="244"/>
      <c r="G86" s="245"/>
      <c r="H86" s="409" t="s">
        <v>321</v>
      </c>
      <c r="I86" s="353" t="s">
        <v>322</v>
      </c>
      <c r="J8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86" s="160">
        <v>720917</v>
      </c>
      <c r="L86" s="160">
        <f>+Reactivos_[[#This Row],[Cantidad]]*Reactivos_[[#This Row],[Valor de referencia]]</f>
        <v>720917</v>
      </c>
      <c r="M86" s="254">
        <v>0</v>
      </c>
      <c r="N86" s="255">
        <f>+Reactivos_[[#This Row],[Valor de referencia]]*Reactivos_[[#This Row],[Cantidad LANIP]]</f>
        <v>0</v>
      </c>
      <c r="O86" s="256"/>
      <c r="P86" s="255">
        <f>+Reactivos_[[#This Row],[Cantidad 
LDV]]*Reactivos_[[#This Row],[Valor de referencia]]</f>
        <v>0</v>
      </c>
      <c r="Q86" s="257">
        <v>1</v>
      </c>
      <c r="R86" s="255">
        <f>+Reactivos_[[#This Row],[Cantidad LNDV]]*Reactivos_[[#This Row],[Valor de referencia]]</f>
        <v>720917</v>
      </c>
      <c r="S86" s="148"/>
      <c r="T86" s="255">
        <f>+Reactivos_[[#This Row],[GGCA]]*Reactivos_[[#This Row],[Valor de referencia]]</f>
        <v>0</v>
      </c>
      <c r="U86" s="254"/>
      <c r="V86" s="255">
        <f>+Reactivos_[[#This Row],[Cantidad LDF]]*Reactivos_[[#This Row],[Valor de referencia]]</f>
        <v>0</v>
      </c>
      <c r="W86" s="254"/>
      <c r="X86" s="255">
        <f>+Reactivos_[[#This Row],[Cantidad LDF&amp;MR]]*Reactivos_[[#This Row],[Valor de referencia]]</f>
        <v>0</v>
      </c>
      <c r="Y86" s="254"/>
      <c r="Z86" s="255">
        <f>+Reactivos_[[#This Row],[Cantidad RED LASE]]*Reactivos_[[#This Row],[Valor de referencia]]</f>
        <v>0</v>
      </c>
      <c r="AA86" s="254"/>
      <c r="AB86" s="255">
        <f>+Reactivos_[[#This Row],[Cantidad LANIA]]*Reactivos_[[#This Row],[Valor de referencia]]</f>
        <v>0</v>
      </c>
      <c r="AC86" s="254"/>
      <c r="AD86" s="255">
        <f>+Reactivos_[[#This Row],[Cantidad SPA]]*Reactivos_[[#This Row],[Valor de referencia]]</f>
        <v>0</v>
      </c>
      <c r="AE86" s="148" t="s">
        <v>76</v>
      </c>
      <c r="AF86" s="148" t="s">
        <v>77</v>
      </c>
    </row>
    <row r="87" spans="1:32" ht="51" customHeight="1" x14ac:dyDescent="0.25">
      <c r="A87" s="294" t="str">
        <f>IF(B87=Reactivos_[[#This Row],[Cantidad LANIP]],"LANIP",IF(B87=Reactivos_[[#This Row],[Cantidad 
LDV]],"LDV",IF(B87=Reactivos_[[#This Row],[Cantidad LNDV]],"LNDV",IF(B87=Reactivos_[[#This Row],[GGCA]],"GGCA",IF(B87=Reactivos_[[#This Row],[Cantidad LDF]],"LDF",IF(Reactivos_[[#This Row],[Cantidad LDF&amp;MR]],"LDF&amp;MR",IF(B87=Reactivos_[[#This Row],[Cantidad RED LASE]],"LASE",IF(B87=Reactivos_[[#This Row],[Cantidad LANIA]],"LANIA",IF(B87=Reactivos_[[#This Row],[Cantidad SPA]],"SPA"," ")))))))))</f>
        <v>LNDV</v>
      </c>
      <c r="B8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87" s="325">
        <v>85</v>
      </c>
      <c r="D87" s="326">
        <v>97</v>
      </c>
      <c r="E87" s="245" t="s">
        <v>323</v>
      </c>
      <c r="F87" s="244" t="s">
        <v>324</v>
      </c>
      <c r="G87" s="245" t="s">
        <v>325</v>
      </c>
      <c r="H87" s="346" t="s">
        <v>326</v>
      </c>
      <c r="I87" s="416" t="s">
        <v>327</v>
      </c>
      <c r="J8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87" s="160">
        <v>615389</v>
      </c>
      <c r="L87" s="160">
        <f>+Reactivos_[[#This Row],[Cantidad]]*Reactivos_[[#This Row],[Valor de referencia]]</f>
        <v>1846167</v>
      </c>
      <c r="M87" s="254">
        <v>0</v>
      </c>
      <c r="N87" s="255">
        <f>+Reactivos_[[#This Row],[Valor de referencia]]*Reactivos_[[#This Row],[Cantidad LANIP]]</f>
        <v>0</v>
      </c>
      <c r="O87" s="256"/>
      <c r="P87" s="255">
        <f>+Reactivos_[[#This Row],[Cantidad 
LDV]]*Reactivos_[[#This Row],[Valor de referencia]]</f>
        <v>0</v>
      </c>
      <c r="Q87" s="257">
        <v>3</v>
      </c>
      <c r="R87" s="255">
        <f>+Reactivos_[[#This Row],[Cantidad LNDV]]*Reactivos_[[#This Row],[Valor de referencia]]</f>
        <v>1846167</v>
      </c>
      <c r="S87" s="148"/>
      <c r="T87" s="255">
        <f>+Reactivos_[[#This Row],[GGCA]]*Reactivos_[[#This Row],[Valor de referencia]]</f>
        <v>0</v>
      </c>
      <c r="U87" s="254"/>
      <c r="V87" s="255">
        <f>+Reactivos_[[#This Row],[Cantidad LDF]]*Reactivos_[[#This Row],[Valor de referencia]]</f>
        <v>0</v>
      </c>
      <c r="W87" s="254"/>
      <c r="X87" s="255">
        <f>+Reactivos_[[#This Row],[Cantidad LDF&amp;MR]]*Reactivos_[[#This Row],[Valor de referencia]]</f>
        <v>0</v>
      </c>
      <c r="Y87" s="254"/>
      <c r="Z87" s="255">
        <f>+Reactivos_[[#This Row],[Cantidad RED LASE]]*Reactivos_[[#This Row],[Valor de referencia]]</f>
        <v>0</v>
      </c>
      <c r="AA87" s="254"/>
      <c r="AB87" s="255">
        <f>+Reactivos_[[#This Row],[Cantidad LANIA]]*Reactivos_[[#This Row],[Valor de referencia]]</f>
        <v>0</v>
      </c>
      <c r="AC87" s="254"/>
      <c r="AD87" s="255">
        <f>+Reactivos_[[#This Row],[Cantidad SPA]]*Reactivos_[[#This Row],[Valor de referencia]]</f>
        <v>0</v>
      </c>
      <c r="AE87" s="148" t="s">
        <v>76</v>
      </c>
      <c r="AF87" s="148" t="s">
        <v>77</v>
      </c>
    </row>
    <row r="88" spans="1:32" ht="31.5" customHeight="1" x14ac:dyDescent="0.25">
      <c r="A88" s="294" t="str">
        <f>IF(B88=Reactivos_[[#This Row],[Cantidad LANIP]],"LANIP",IF(B88=Reactivos_[[#This Row],[Cantidad 
LDV]],"LDV",IF(B88=Reactivos_[[#This Row],[Cantidad LNDV]],"LNDV",IF(B88=Reactivos_[[#This Row],[GGCA]],"GGCA",IF(B88=Reactivos_[[#This Row],[Cantidad LDF]],"LDF",IF(Reactivos_[[#This Row],[Cantidad LDF&amp;MR]],"LDF&amp;MR",IF(B88=Reactivos_[[#This Row],[Cantidad RED LASE]],"LASE",IF(B88=Reactivos_[[#This Row],[Cantidad LANIA]],"LANIA",IF(B88=Reactivos_[[#This Row],[Cantidad SPA]],"SPA"," ")))))))))</f>
        <v>LNDV</v>
      </c>
      <c r="B8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88" s="325">
        <v>86</v>
      </c>
      <c r="D88" s="326">
        <v>98</v>
      </c>
      <c r="E88" s="331" t="s">
        <v>328</v>
      </c>
      <c r="F88" s="332"/>
      <c r="G88" s="331"/>
      <c r="H88" s="328" t="s">
        <v>329</v>
      </c>
      <c r="I88" s="334" t="s">
        <v>107</v>
      </c>
      <c r="J8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88" s="160">
        <v>247857</v>
      </c>
      <c r="L88" s="160">
        <f>+Reactivos_[[#This Row],[Cantidad]]*Reactivos_[[#This Row],[Valor de referencia]]</f>
        <v>743571</v>
      </c>
      <c r="M88" s="254">
        <v>0</v>
      </c>
      <c r="N88" s="255">
        <f>+Reactivos_[[#This Row],[Valor de referencia]]*Reactivos_[[#This Row],[Cantidad LANIP]]</f>
        <v>0</v>
      </c>
      <c r="O88" s="256"/>
      <c r="P88" s="255">
        <f>+Reactivos_[[#This Row],[Cantidad 
LDV]]*Reactivos_[[#This Row],[Valor de referencia]]</f>
        <v>0</v>
      </c>
      <c r="Q88" s="257">
        <v>2</v>
      </c>
      <c r="R88" s="255">
        <f>+Reactivos_[[#This Row],[Cantidad LNDV]]*Reactivos_[[#This Row],[Valor de referencia]]</f>
        <v>495714</v>
      </c>
      <c r="S88" s="148"/>
      <c r="T88" s="255">
        <f>+Reactivos_[[#This Row],[GGCA]]*Reactivos_[[#This Row],[Valor de referencia]]</f>
        <v>0</v>
      </c>
      <c r="U88" s="254"/>
      <c r="V88" s="255">
        <f>+Reactivos_[[#This Row],[Cantidad LDF]]*Reactivos_[[#This Row],[Valor de referencia]]</f>
        <v>0</v>
      </c>
      <c r="W88" s="254">
        <v>1</v>
      </c>
      <c r="X88" s="255">
        <f>+Reactivos_[[#This Row],[Cantidad LDF&amp;MR]]*Reactivos_[[#This Row],[Valor de referencia]]</f>
        <v>247857</v>
      </c>
      <c r="Y88" s="254"/>
      <c r="Z88" s="255">
        <f>+Reactivos_[[#This Row],[Cantidad RED LASE]]*Reactivos_[[#This Row],[Valor de referencia]]</f>
        <v>0</v>
      </c>
      <c r="AA88" s="254"/>
      <c r="AB88" s="255">
        <f>+Reactivos_[[#This Row],[Cantidad LANIA]]*Reactivos_[[#This Row],[Valor de referencia]]</f>
        <v>0</v>
      </c>
      <c r="AC88" s="254"/>
      <c r="AD88" s="255">
        <f>+Reactivos_[[#This Row],[Cantidad SPA]]*Reactivos_[[#This Row],[Valor de referencia]]</f>
        <v>0</v>
      </c>
      <c r="AE88" s="148" t="s">
        <v>76</v>
      </c>
      <c r="AF88" s="148" t="s">
        <v>77</v>
      </c>
    </row>
    <row r="89" spans="1:32" ht="18" customHeight="1" x14ac:dyDescent="0.25">
      <c r="A89" s="294" t="str">
        <f>IF(B89=Reactivos_[[#This Row],[Cantidad LANIP]],"LANIP",IF(B89=Reactivos_[[#This Row],[Cantidad 
LDV]],"LDV",IF(B89=Reactivos_[[#This Row],[Cantidad LNDV]],"LNDV",IF(B89=Reactivos_[[#This Row],[GGCA]],"GGCA",IF(B89=Reactivos_[[#This Row],[Cantidad LDF]],"LDF",IF(Reactivos_[[#This Row],[Cantidad LDF&amp;MR]],"LDF&amp;MR",IF(B89=Reactivos_[[#This Row],[Cantidad RED LASE]],"LASE",IF(B89=Reactivos_[[#This Row],[Cantidad LANIA]],"LANIA",IF(B89=Reactivos_[[#This Row],[Cantidad SPA]],"SPA"," ")))))))))</f>
        <v>LNDV</v>
      </c>
      <c r="B8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89" s="325">
        <v>87</v>
      </c>
      <c r="D89" s="326">
        <v>99</v>
      </c>
      <c r="E89" s="245" t="s">
        <v>330</v>
      </c>
      <c r="F89" s="244"/>
      <c r="G89" s="245"/>
      <c r="H89" s="346" t="s">
        <v>331</v>
      </c>
      <c r="I89" s="334" t="s">
        <v>175</v>
      </c>
      <c r="J8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89" s="160">
        <v>158508</v>
      </c>
      <c r="L89" s="160">
        <f>+Reactivos_[[#This Row],[Cantidad]]*Reactivos_[[#This Row],[Valor de referencia]]</f>
        <v>317016</v>
      </c>
      <c r="M89" s="254">
        <v>0</v>
      </c>
      <c r="N89" s="255">
        <f>+Reactivos_[[#This Row],[Valor de referencia]]*Reactivos_[[#This Row],[Cantidad LANIP]]</f>
        <v>0</v>
      </c>
      <c r="O89" s="256"/>
      <c r="P89" s="255">
        <f>+Reactivos_[[#This Row],[Cantidad 
LDV]]*Reactivos_[[#This Row],[Valor de referencia]]</f>
        <v>0</v>
      </c>
      <c r="Q89" s="257">
        <v>1</v>
      </c>
      <c r="R89" s="255">
        <f>+Reactivos_[[#This Row],[Cantidad LNDV]]*Reactivos_[[#This Row],[Valor de referencia]]</f>
        <v>158508</v>
      </c>
      <c r="S89" s="148"/>
      <c r="T89" s="255">
        <f>+Reactivos_[[#This Row],[GGCA]]*Reactivos_[[#This Row],[Valor de referencia]]</f>
        <v>0</v>
      </c>
      <c r="U89" s="254"/>
      <c r="V89" s="255">
        <f>+Reactivos_[[#This Row],[Cantidad LDF]]*Reactivos_[[#This Row],[Valor de referencia]]</f>
        <v>0</v>
      </c>
      <c r="W89" s="254"/>
      <c r="X89" s="255">
        <f>+Reactivos_[[#This Row],[Cantidad LDF&amp;MR]]*Reactivos_[[#This Row],[Valor de referencia]]</f>
        <v>0</v>
      </c>
      <c r="Y89" s="254"/>
      <c r="Z89" s="255">
        <f>+Reactivos_[[#This Row],[Cantidad RED LASE]]*Reactivos_[[#This Row],[Valor de referencia]]</f>
        <v>0</v>
      </c>
      <c r="AA89" s="254">
        <v>1</v>
      </c>
      <c r="AB89" s="255">
        <f>+Reactivos_[[#This Row],[Cantidad LANIA]]*Reactivos_[[#This Row],[Valor de referencia]]</f>
        <v>158508</v>
      </c>
      <c r="AC89" s="254"/>
      <c r="AD89" s="255">
        <f>+Reactivos_[[#This Row],[Cantidad SPA]]*Reactivos_[[#This Row],[Valor de referencia]]</f>
        <v>0</v>
      </c>
      <c r="AE89" s="148" t="s">
        <v>77</v>
      </c>
      <c r="AF89" s="148" t="s">
        <v>77</v>
      </c>
    </row>
    <row r="90" spans="1:32" ht="38.25" x14ac:dyDescent="0.25">
      <c r="A90" s="294" t="str">
        <f>IF(B90=Reactivos_[[#This Row],[Cantidad LANIP]],"LANIP",IF(B90=Reactivos_[[#This Row],[Cantidad 
LDV]],"LDV",IF(B90=Reactivos_[[#This Row],[Cantidad LNDV]],"LNDV",IF(B90=Reactivos_[[#This Row],[GGCA]],"GGCA",IF(B90=Reactivos_[[#This Row],[Cantidad LDF]],"LDF",IF(Reactivos_[[#This Row],[Cantidad LDF&amp;MR]],"LDF&amp;MR",IF(B90=Reactivos_[[#This Row],[Cantidad RED LASE]],"LASE",IF(B90=Reactivos_[[#This Row],[Cantidad LANIA]],"LANIA",IF(B90=Reactivos_[[#This Row],[Cantidad SPA]],"SPA"," ")))))))))</f>
        <v>LDF</v>
      </c>
      <c r="B9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90" s="325">
        <v>88</v>
      </c>
      <c r="D90" s="326">
        <v>101</v>
      </c>
      <c r="E90" s="345" t="s">
        <v>332</v>
      </c>
      <c r="F90" s="244"/>
      <c r="G90" s="327"/>
      <c r="H90" s="349" t="s">
        <v>333</v>
      </c>
      <c r="I90" s="334" t="s">
        <v>334</v>
      </c>
      <c r="J9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90" s="160">
        <v>353430</v>
      </c>
      <c r="L90" s="160">
        <f>+Reactivos_[[#This Row],[Cantidad]]*Reactivos_[[#This Row],[Valor de referencia]]</f>
        <v>1413720</v>
      </c>
      <c r="M90" s="254">
        <v>0</v>
      </c>
      <c r="N90" s="255">
        <f>+Reactivos_[[#This Row],[Valor de referencia]]*Reactivos_[[#This Row],[Cantidad LANIP]]</f>
        <v>0</v>
      </c>
      <c r="O90" s="256"/>
      <c r="P90" s="255">
        <f>+Reactivos_[[#This Row],[Cantidad 
LDV]]*Reactivos_[[#This Row],[Valor de referencia]]</f>
        <v>0</v>
      </c>
      <c r="Q90" s="257"/>
      <c r="R90" s="255">
        <f>+Reactivos_[[#This Row],[Cantidad LNDV]]*Reactivos_[[#This Row],[Valor de referencia]]</f>
        <v>0</v>
      </c>
      <c r="S90" s="148"/>
      <c r="T90" s="255">
        <f>+Reactivos_[[#This Row],[GGCA]]*Reactivos_[[#This Row],[Valor de referencia]]</f>
        <v>0</v>
      </c>
      <c r="U90" s="254">
        <v>3</v>
      </c>
      <c r="V90" s="255">
        <f>+Reactivos_[[#This Row],[Cantidad LDF]]*Reactivos_[[#This Row],[Valor de referencia]]</f>
        <v>1060290</v>
      </c>
      <c r="W90" s="254">
        <v>1</v>
      </c>
      <c r="X90" s="255">
        <f>+Reactivos_[[#This Row],[Cantidad LDF&amp;MR]]*Reactivos_[[#This Row],[Valor de referencia]]</f>
        <v>353430</v>
      </c>
      <c r="Y90" s="254"/>
      <c r="Z90" s="255">
        <f>+Reactivos_[[#This Row],[Cantidad RED LASE]]*Reactivos_[[#This Row],[Valor de referencia]]</f>
        <v>0</v>
      </c>
      <c r="AA90" s="254"/>
      <c r="AB90" s="255">
        <f>+Reactivos_[[#This Row],[Cantidad LANIA]]*Reactivos_[[#This Row],[Valor de referencia]]</f>
        <v>0</v>
      </c>
      <c r="AC90" s="254"/>
      <c r="AD90" s="255">
        <f>+Reactivos_[[#This Row],[Cantidad SPA]]*Reactivos_[[#This Row],[Valor de referencia]]</f>
        <v>0</v>
      </c>
      <c r="AE90" s="148" t="s">
        <v>76</v>
      </c>
      <c r="AF90" s="148" t="s">
        <v>77</v>
      </c>
    </row>
    <row r="91" spans="1:32" ht="25.5" x14ac:dyDescent="0.25">
      <c r="A91" s="294" t="str">
        <f>IF(B91=Reactivos_[[#This Row],[Cantidad LANIP]],"LANIP",IF(B91=Reactivos_[[#This Row],[Cantidad 
LDV]],"LDV",IF(B91=Reactivos_[[#This Row],[Cantidad LNDV]],"LNDV",IF(B91=Reactivos_[[#This Row],[GGCA]],"GGCA",IF(B91=Reactivos_[[#This Row],[Cantidad LDF]],"LDF",IF(Reactivos_[[#This Row],[Cantidad LDF&amp;MR]],"LDF&amp;MR",IF(B91=Reactivos_[[#This Row],[Cantidad RED LASE]],"LASE",IF(B91=Reactivos_[[#This Row],[Cantidad LANIA]],"LANIA",IF(B91=Reactivos_[[#This Row],[Cantidad SPA]],"SPA"," ")))))))))</f>
        <v>LANIP</v>
      </c>
      <c r="B9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91" s="325">
        <v>89</v>
      </c>
      <c r="D91" s="326">
        <v>102</v>
      </c>
      <c r="E91" s="327" t="s">
        <v>335</v>
      </c>
      <c r="F91" s="244"/>
      <c r="G91" s="327"/>
      <c r="H91" s="346" t="s">
        <v>336</v>
      </c>
      <c r="I91" s="334" t="s">
        <v>337</v>
      </c>
      <c r="J9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K91" s="160">
        <v>457565</v>
      </c>
      <c r="L91" s="160">
        <f>+Reactivos_[[#This Row],[Cantidad]]*Reactivos_[[#This Row],[Valor de referencia]]</f>
        <v>9151300</v>
      </c>
      <c r="M91" s="254">
        <v>6</v>
      </c>
      <c r="N91" s="255">
        <f>+Reactivos_[[#This Row],[Valor de referencia]]*Reactivos_[[#This Row],[Cantidad LANIP]]</f>
        <v>2745390</v>
      </c>
      <c r="O91" s="256">
        <v>5</v>
      </c>
      <c r="P91" s="255">
        <f>+Reactivos_[[#This Row],[Cantidad 
LDV]]*Reactivos_[[#This Row],[Valor de referencia]]</f>
        <v>2287825</v>
      </c>
      <c r="Q91" s="257">
        <v>5</v>
      </c>
      <c r="R91" s="255">
        <f>+Reactivos_[[#This Row],[Cantidad LNDV]]*Reactivos_[[#This Row],[Valor de referencia]]</f>
        <v>2287825</v>
      </c>
      <c r="S91" s="148"/>
      <c r="T91" s="255">
        <f>+Reactivos_[[#This Row],[GGCA]]*Reactivos_[[#This Row],[Valor de referencia]]</f>
        <v>0</v>
      </c>
      <c r="U91" s="254">
        <v>4</v>
      </c>
      <c r="V91" s="255">
        <f>+Reactivos_[[#This Row],[Cantidad LDF]]*Reactivos_[[#This Row],[Valor de referencia]]</f>
        <v>1830260</v>
      </c>
      <c r="W91" s="254"/>
      <c r="X91" s="255">
        <f>+Reactivos_[[#This Row],[Cantidad LDF&amp;MR]]*Reactivos_[[#This Row],[Valor de referencia]]</f>
        <v>0</v>
      </c>
      <c r="Y91" s="254"/>
      <c r="Z91" s="255">
        <f>+Reactivos_[[#This Row],[Cantidad RED LASE]]*Reactivos_[[#This Row],[Valor de referencia]]</f>
        <v>0</v>
      </c>
      <c r="AA91" s="254"/>
      <c r="AB91" s="255">
        <f>+Reactivos_[[#This Row],[Cantidad LANIA]]*Reactivos_[[#This Row],[Valor de referencia]]</f>
        <v>0</v>
      </c>
      <c r="AC91" s="254"/>
      <c r="AD91" s="255">
        <f>+Reactivos_[[#This Row],[Cantidad SPA]]*Reactivos_[[#This Row],[Valor de referencia]]</f>
        <v>0</v>
      </c>
      <c r="AE91" s="148" t="s">
        <v>76</v>
      </c>
      <c r="AF91" s="148" t="s">
        <v>77</v>
      </c>
    </row>
    <row r="92" spans="1:32" ht="33.75" customHeight="1" x14ac:dyDescent="0.25">
      <c r="A92" s="294" t="str">
        <f>IF(B92=Reactivos_[[#This Row],[Cantidad LANIP]],"LANIP",IF(B92=Reactivos_[[#This Row],[Cantidad 
LDV]],"LDV",IF(B92=Reactivos_[[#This Row],[Cantidad LNDV]],"LNDV",IF(B92=Reactivos_[[#This Row],[GGCA]],"GGCA",IF(B92=Reactivos_[[#This Row],[Cantidad LDF]],"LDF",IF(Reactivos_[[#This Row],[Cantidad LDF&amp;MR]],"LDF&amp;MR",IF(B92=Reactivos_[[#This Row],[Cantidad RED LASE]],"LASE",IF(B92=Reactivos_[[#This Row],[Cantidad LANIA]],"LANIA",IF(B92=Reactivos_[[#This Row],[Cantidad SPA]],"SPA"," ")))))))))</f>
        <v>LANIP</v>
      </c>
      <c r="B9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92" s="325">
        <v>90</v>
      </c>
      <c r="D92" s="326">
        <v>103</v>
      </c>
      <c r="E92" s="327" t="s">
        <v>338</v>
      </c>
      <c r="F92" s="244"/>
      <c r="G92" s="327"/>
      <c r="H92" s="346" t="s">
        <v>339</v>
      </c>
      <c r="I92" s="334" t="s">
        <v>340</v>
      </c>
      <c r="J9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92" s="160">
        <v>779640</v>
      </c>
      <c r="L92" s="160">
        <f>+Reactivos_[[#This Row],[Cantidad]]*Reactivos_[[#This Row],[Valor de referencia]]</f>
        <v>10135320</v>
      </c>
      <c r="M92" s="254">
        <v>5</v>
      </c>
      <c r="N92" s="255">
        <f>+Reactivos_[[#This Row],[Valor de referencia]]*Reactivos_[[#This Row],[Cantidad LANIP]]</f>
        <v>3898200</v>
      </c>
      <c r="O92" s="256"/>
      <c r="P92" s="255">
        <f>+Reactivos_[[#This Row],[Cantidad 
LDV]]*Reactivos_[[#This Row],[Valor de referencia]]</f>
        <v>0</v>
      </c>
      <c r="Q92" s="257">
        <v>5</v>
      </c>
      <c r="R92" s="255">
        <f>+Reactivos_[[#This Row],[Cantidad LNDV]]*Reactivos_[[#This Row],[Valor de referencia]]</f>
        <v>3898200</v>
      </c>
      <c r="S92" s="148"/>
      <c r="T92" s="255">
        <f>+Reactivos_[[#This Row],[GGCA]]*Reactivos_[[#This Row],[Valor de referencia]]</f>
        <v>0</v>
      </c>
      <c r="U92" s="254">
        <v>3</v>
      </c>
      <c r="V92" s="255">
        <f>+Reactivos_[[#This Row],[Cantidad LDF]]*Reactivos_[[#This Row],[Valor de referencia]]</f>
        <v>2338920</v>
      </c>
      <c r="W92" s="254"/>
      <c r="X92" s="255">
        <f>+Reactivos_[[#This Row],[Cantidad LDF&amp;MR]]*Reactivos_[[#This Row],[Valor de referencia]]</f>
        <v>0</v>
      </c>
      <c r="Y92" s="254"/>
      <c r="Z92" s="255">
        <f>+Reactivos_[[#This Row],[Cantidad RED LASE]]*Reactivos_[[#This Row],[Valor de referencia]]</f>
        <v>0</v>
      </c>
      <c r="AA92" s="254"/>
      <c r="AB92" s="255">
        <f>+Reactivos_[[#This Row],[Cantidad LANIA]]*Reactivos_[[#This Row],[Valor de referencia]]</f>
        <v>0</v>
      </c>
      <c r="AC92" s="254"/>
      <c r="AD92" s="255">
        <f>+Reactivos_[[#This Row],[Cantidad SPA]]*Reactivos_[[#This Row],[Valor de referencia]]</f>
        <v>0</v>
      </c>
      <c r="AE92" s="148" t="s">
        <v>76</v>
      </c>
      <c r="AF92" s="148" t="s">
        <v>77</v>
      </c>
    </row>
    <row r="93" spans="1:32" x14ac:dyDescent="0.25">
      <c r="A93" s="294" t="str">
        <f>IF(B93=Reactivos_[[#This Row],[Cantidad LANIP]],"LANIP",IF(B93=Reactivos_[[#This Row],[Cantidad 
LDV]],"LDV",IF(B93=Reactivos_[[#This Row],[Cantidad LNDV]],"LNDV",IF(B93=Reactivos_[[#This Row],[GGCA]],"GGCA",IF(B93=Reactivos_[[#This Row],[Cantidad LDF]],"LDF",IF(Reactivos_[[#This Row],[Cantidad LDF&amp;MR]],"LDF&amp;MR",IF(B93=Reactivos_[[#This Row],[Cantidad RED LASE]],"LASE",IF(B93=Reactivos_[[#This Row],[Cantidad LANIA]],"LANIA",IF(B93=Reactivos_[[#This Row],[Cantidad SPA]],"SPA"," ")))))))))</f>
        <v>LANIA</v>
      </c>
      <c r="B9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93" s="325">
        <v>91</v>
      </c>
      <c r="D93" s="326">
        <v>104</v>
      </c>
      <c r="E93" s="245" t="s">
        <v>341</v>
      </c>
      <c r="F93" s="244"/>
      <c r="G93" s="245"/>
      <c r="H93" s="335" t="s">
        <v>106</v>
      </c>
      <c r="I93" s="336" t="s">
        <v>342</v>
      </c>
      <c r="J9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93" s="160">
        <v>1098251</v>
      </c>
      <c r="L93" s="160">
        <f>+Reactivos_[[#This Row],[Cantidad]]*Reactivos_[[#This Row],[Valor de referencia]]</f>
        <v>5491255</v>
      </c>
      <c r="M93" s="254">
        <v>0</v>
      </c>
      <c r="N93" s="255">
        <f>+Reactivos_[[#This Row],[Valor de referencia]]*Reactivos_[[#This Row],[Cantidad LANIP]]</f>
        <v>0</v>
      </c>
      <c r="O93" s="256"/>
      <c r="P93" s="255">
        <f>+Reactivos_[[#This Row],[Cantidad 
LDV]]*Reactivos_[[#This Row],[Valor de referencia]]</f>
        <v>0</v>
      </c>
      <c r="Q93" s="257"/>
      <c r="R93" s="255">
        <f>+Reactivos_[[#This Row],[Cantidad LNDV]]*Reactivos_[[#This Row],[Valor de referencia]]</f>
        <v>0</v>
      </c>
      <c r="S93" s="148"/>
      <c r="T93" s="255">
        <f>+Reactivos_[[#This Row],[GGCA]]*Reactivos_[[#This Row],[Valor de referencia]]</f>
        <v>0</v>
      </c>
      <c r="U93" s="254">
        <v>2</v>
      </c>
      <c r="V93" s="255">
        <f>+Reactivos_[[#This Row],[Cantidad LDF]]*Reactivos_[[#This Row],[Valor de referencia]]</f>
        <v>2196502</v>
      </c>
      <c r="W93" s="254"/>
      <c r="X93" s="255">
        <f>+Reactivos_[[#This Row],[Cantidad LDF&amp;MR]]*Reactivos_[[#This Row],[Valor de referencia]]</f>
        <v>0</v>
      </c>
      <c r="Y93" s="254"/>
      <c r="Z93" s="255">
        <f>+Reactivos_[[#This Row],[Cantidad RED LASE]]*Reactivos_[[#This Row],[Valor de referencia]]</f>
        <v>0</v>
      </c>
      <c r="AA93" s="254">
        <v>3</v>
      </c>
      <c r="AB93" s="255">
        <f>+Reactivos_[[#This Row],[Cantidad LANIA]]*Reactivos_[[#This Row],[Valor de referencia]]</f>
        <v>3294753</v>
      </c>
      <c r="AC93" s="254"/>
      <c r="AD93" s="255">
        <f>+Reactivos_[[#This Row],[Cantidad SPA]]*Reactivos_[[#This Row],[Valor de referencia]]</f>
        <v>0</v>
      </c>
      <c r="AE93" s="148" t="s">
        <v>76</v>
      </c>
      <c r="AF93" s="148" t="s">
        <v>77</v>
      </c>
    </row>
    <row r="94" spans="1:32" ht="27" customHeight="1" x14ac:dyDescent="0.25">
      <c r="A94" s="294" t="str">
        <f>IF(B94=Reactivos_[[#This Row],[Cantidad LANIP]],"LANIP",IF(B94=Reactivos_[[#This Row],[Cantidad 
LDV]],"LDV",IF(B94=Reactivos_[[#This Row],[Cantidad LNDV]],"LNDV",IF(B94=Reactivos_[[#This Row],[GGCA]],"GGCA",IF(B94=Reactivos_[[#This Row],[Cantidad LDF]],"LDF",IF(Reactivos_[[#This Row],[Cantidad LDF&amp;MR]],"LDF&amp;MR",IF(B94=Reactivos_[[#This Row],[Cantidad RED LASE]],"LASE",IF(B94=Reactivos_[[#This Row],[Cantidad LANIA]],"LANIA",IF(B94=Reactivos_[[#This Row],[Cantidad SPA]],"SPA"," ")))))))))</f>
        <v>LDF</v>
      </c>
      <c r="B9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94" s="325">
        <v>92</v>
      </c>
      <c r="D94" s="326">
        <v>105</v>
      </c>
      <c r="E94" s="327" t="s">
        <v>343</v>
      </c>
      <c r="F94" s="244"/>
      <c r="G94" s="327"/>
      <c r="H94" s="346" t="s">
        <v>344</v>
      </c>
      <c r="I94" s="334" t="s">
        <v>345</v>
      </c>
      <c r="J9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9</v>
      </c>
      <c r="K94" s="160">
        <v>433160</v>
      </c>
      <c r="L94" s="160">
        <f>+Reactivos_[[#This Row],[Cantidad]]*Reactivos_[[#This Row],[Valor de referencia]]</f>
        <v>3898440</v>
      </c>
      <c r="M94" s="254">
        <v>0</v>
      </c>
      <c r="N94" s="255">
        <f>+Reactivos_[[#This Row],[Valor de referencia]]*Reactivos_[[#This Row],[Cantidad LANIP]]</f>
        <v>0</v>
      </c>
      <c r="O94" s="256">
        <v>1</v>
      </c>
      <c r="P94" s="255">
        <f>+Reactivos_[[#This Row],[Cantidad 
LDV]]*Reactivos_[[#This Row],[Valor de referencia]]</f>
        <v>433160</v>
      </c>
      <c r="Q94" s="257"/>
      <c r="R94" s="255">
        <f>+Reactivos_[[#This Row],[Cantidad LNDV]]*Reactivos_[[#This Row],[Valor de referencia]]</f>
        <v>0</v>
      </c>
      <c r="S94" s="148"/>
      <c r="T94" s="255">
        <f>+Reactivos_[[#This Row],[GGCA]]*Reactivos_[[#This Row],[Valor de referencia]]</f>
        <v>0</v>
      </c>
      <c r="U94" s="254">
        <v>4</v>
      </c>
      <c r="V94" s="255">
        <f>+Reactivos_[[#This Row],[Cantidad LDF]]*Reactivos_[[#This Row],[Valor de referencia]]</f>
        <v>1732640</v>
      </c>
      <c r="W94" s="254">
        <v>2</v>
      </c>
      <c r="X94" s="255">
        <f>+Reactivos_[[#This Row],[Cantidad LDF&amp;MR]]*Reactivos_[[#This Row],[Valor de referencia]]</f>
        <v>866320</v>
      </c>
      <c r="Y94" s="254"/>
      <c r="Z94" s="255">
        <f>+Reactivos_[[#This Row],[Cantidad RED LASE]]*Reactivos_[[#This Row],[Valor de referencia]]</f>
        <v>0</v>
      </c>
      <c r="AA94" s="254">
        <v>2</v>
      </c>
      <c r="AB94" s="255">
        <f>+Reactivos_[[#This Row],[Cantidad LANIA]]*Reactivos_[[#This Row],[Valor de referencia]]</f>
        <v>866320</v>
      </c>
      <c r="AC94" s="254"/>
      <c r="AD94" s="255">
        <f>+Reactivos_[[#This Row],[Cantidad SPA]]*Reactivos_[[#This Row],[Valor de referencia]]</f>
        <v>0</v>
      </c>
      <c r="AE94" s="148" t="s">
        <v>76</v>
      </c>
      <c r="AF94" s="148" t="s">
        <v>77</v>
      </c>
    </row>
    <row r="95" spans="1:32" ht="25.5" x14ac:dyDescent="0.25">
      <c r="A95" s="294" t="str">
        <f>IF(B95=Reactivos_[[#This Row],[Cantidad LANIP]],"LANIP",IF(B95=Reactivos_[[#This Row],[Cantidad 
LDV]],"LDV",IF(B95=Reactivos_[[#This Row],[Cantidad LNDV]],"LNDV",IF(B95=Reactivos_[[#This Row],[GGCA]],"GGCA",IF(B95=Reactivos_[[#This Row],[Cantidad LDF]],"LDF",IF(Reactivos_[[#This Row],[Cantidad LDF&amp;MR]],"LDF&amp;MR",IF(B95=Reactivos_[[#This Row],[Cantidad RED LASE]],"LASE",IF(B95=Reactivos_[[#This Row],[Cantidad LANIA]],"LANIA",IF(B95=Reactivos_[[#This Row],[Cantidad SPA]],"SPA"," ")))))))))</f>
        <v>LNDV</v>
      </c>
      <c r="B9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95" s="325">
        <v>93</v>
      </c>
      <c r="D95" s="326">
        <v>106</v>
      </c>
      <c r="E95" s="327" t="s">
        <v>346</v>
      </c>
      <c r="F95" s="244"/>
      <c r="G95" s="327"/>
      <c r="H95" s="349" t="s">
        <v>347</v>
      </c>
      <c r="I95" s="334" t="s">
        <v>80</v>
      </c>
      <c r="J9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95" s="160">
        <v>555563</v>
      </c>
      <c r="L95" s="160">
        <f>+Reactivos_[[#This Row],[Cantidad]]*Reactivos_[[#This Row],[Valor de referencia]]</f>
        <v>1111126</v>
      </c>
      <c r="M95" s="254">
        <v>0</v>
      </c>
      <c r="N95" s="255">
        <f>+Reactivos_[[#This Row],[Valor de referencia]]*Reactivos_[[#This Row],[Cantidad LANIP]]</f>
        <v>0</v>
      </c>
      <c r="O95" s="256"/>
      <c r="P95" s="255">
        <f>+Reactivos_[[#This Row],[Cantidad 
LDV]]*Reactivos_[[#This Row],[Valor de referencia]]</f>
        <v>0</v>
      </c>
      <c r="Q95" s="257">
        <v>2</v>
      </c>
      <c r="R95" s="255">
        <f>+Reactivos_[[#This Row],[Cantidad LNDV]]*Reactivos_[[#This Row],[Valor de referencia]]</f>
        <v>1111126</v>
      </c>
      <c r="S95" s="148"/>
      <c r="T95" s="255">
        <f>+Reactivos_[[#This Row],[GGCA]]*Reactivos_[[#This Row],[Valor de referencia]]</f>
        <v>0</v>
      </c>
      <c r="U95" s="254"/>
      <c r="V95" s="255">
        <f>+Reactivos_[[#This Row],[Cantidad LDF]]*Reactivos_[[#This Row],[Valor de referencia]]</f>
        <v>0</v>
      </c>
      <c r="W95" s="254"/>
      <c r="X95" s="255">
        <f>+Reactivos_[[#This Row],[Cantidad LDF&amp;MR]]*Reactivos_[[#This Row],[Valor de referencia]]</f>
        <v>0</v>
      </c>
      <c r="Y95" s="254"/>
      <c r="Z95" s="255">
        <f>+Reactivos_[[#This Row],[Cantidad RED LASE]]*Reactivos_[[#This Row],[Valor de referencia]]</f>
        <v>0</v>
      </c>
      <c r="AA95" s="254"/>
      <c r="AB95" s="255">
        <f>+Reactivos_[[#This Row],[Cantidad LANIA]]*Reactivos_[[#This Row],[Valor de referencia]]</f>
        <v>0</v>
      </c>
      <c r="AC95" s="254"/>
      <c r="AD95" s="255">
        <f>+Reactivos_[[#This Row],[Cantidad SPA]]*Reactivos_[[#This Row],[Valor de referencia]]</f>
        <v>0</v>
      </c>
      <c r="AE95" s="148" t="s">
        <v>76</v>
      </c>
      <c r="AF95" s="148" t="s">
        <v>77</v>
      </c>
    </row>
    <row r="96" spans="1:32" ht="33" customHeight="1" x14ac:dyDescent="0.25">
      <c r="A96" s="294" t="str">
        <f>IF(B96=Reactivos_[[#This Row],[Cantidad LANIP]],"LANIP",IF(B96=Reactivos_[[#This Row],[Cantidad 
LDV]],"LDV",IF(B96=Reactivos_[[#This Row],[Cantidad LNDV]],"LNDV",IF(B96=Reactivos_[[#This Row],[GGCA]],"GGCA",IF(B96=Reactivos_[[#This Row],[Cantidad LDF]],"LDF",IF(Reactivos_[[#This Row],[Cantidad LDF&amp;MR]],"LDF&amp;MR",IF(B96=Reactivos_[[#This Row],[Cantidad RED LASE]],"LASE",IF(B96=Reactivos_[[#This Row],[Cantidad LANIA]],"LANIA",IF(B96=Reactivos_[[#This Row],[Cantidad SPA]],"SPA"," ")))))))))</f>
        <v>LANIP</v>
      </c>
      <c r="B9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96" s="325">
        <v>94</v>
      </c>
      <c r="D96" s="326">
        <v>107</v>
      </c>
      <c r="E96" s="245" t="s">
        <v>348</v>
      </c>
      <c r="F96" s="244" t="s">
        <v>349</v>
      </c>
      <c r="G96" s="245" t="s">
        <v>350</v>
      </c>
      <c r="H96" s="346" t="s">
        <v>106</v>
      </c>
      <c r="I96" s="336" t="s">
        <v>351</v>
      </c>
      <c r="J9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96" s="160">
        <v>1722823</v>
      </c>
      <c r="L96" s="160">
        <f>+Reactivos_[[#This Row],[Cantidad]]*Reactivos_[[#This Row],[Valor de referencia]]</f>
        <v>5168469</v>
      </c>
      <c r="M96" s="254">
        <v>3</v>
      </c>
      <c r="N96" s="255">
        <f>+Reactivos_[[#This Row],[Valor de referencia]]*Reactivos_[[#This Row],[Cantidad LANIP]]</f>
        <v>5168469</v>
      </c>
      <c r="O96" s="256"/>
      <c r="P96" s="255">
        <f>+Reactivos_[[#This Row],[Cantidad 
LDV]]*Reactivos_[[#This Row],[Valor de referencia]]</f>
        <v>0</v>
      </c>
      <c r="Q96" s="257"/>
      <c r="R96" s="255">
        <f>+Reactivos_[[#This Row],[Cantidad LNDV]]*Reactivos_[[#This Row],[Valor de referencia]]</f>
        <v>0</v>
      </c>
      <c r="S96" s="148"/>
      <c r="T96" s="255">
        <f>+Reactivos_[[#This Row],[GGCA]]*Reactivos_[[#This Row],[Valor de referencia]]</f>
        <v>0</v>
      </c>
      <c r="U96" s="254"/>
      <c r="V96" s="255">
        <f>+Reactivos_[[#This Row],[Cantidad LDF]]*Reactivos_[[#This Row],[Valor de referencia]]</f>
        <v>0</v>
      </c>
      <c r="W96" s="254"/>
      <c r="X96" s="255">
        <f>+Reactivos_[[#This Row],[Cantidad LDF&amp;MR]]*Reactivos_[[#This Row],[Valor de referencia]]</f>
        <v>0</v>
      </c>
      <c r="Y96" s="254"/>
      <c r="Z96" s="255">
        <f>+Reactivos_[[#This Row],[Cantidad RED LASE]]*Reactivos_[[#This Row],[Valor de referencia]]</f>
        <v>0</v>
      </c>
      <c r="AA96" s="254"/>
      <c r="AB96" s="255">
        <f>+Reactivos_[[#This Row],[Cantidad LANIA]]*Reactivos_[[#This Row],[Valor de referencia]]</f>
        <v>0</v>
      </c>
      <c r="AC96" s="254"/>
      <c r="AD96" s="255">
        <f>+Reactivos_[[#This Row],[Cantidad SPA]]*Reactivos_[[#This Row],[Valor de referencia]]</f>
        <v>0</v>
      </c>
      <c r="AE96" s="148" t="s">
        <v>76</v>
      </c>
      <c r="AF96" s="148" t="s">
        <v>77</v>
      </c>
    </row>
    <row r="97" spans="1:32" ht="38.25" x14ac:dyDescent="0.25">
      <c r="A97" s="294" t="str">
        <f>IF(B97=Reactivos_[[#This Row],[Cantidad LANIP]],"LANIP",IF(B97=Reactivos_[[#This Row],[Cantidad 
LDV]],"LDV",IF(B97=Reactivos_[[#This Row],[Cantidad LNDV]],"LNDV",IF(B97=Reactivos_[[#This Row],[GGCA]],"GGCA",IF(B97=Reactivos_[[#This Row],[Cantidad LDF]],"LDF",IF(Reactivos_[[#This Row],[Cantidad LDF&amp;MR]],"LDF&amp;MR",IF(B97=Reactivos_[[#This Row],[Cantidad RED LASE]],"LASE",IF(B97=Reactivos_[[#This Row],[Cantidad LANIA]],"LANIA",IF(B97=Reactivos_[[#This Row],[Cantidad SPA]],"SPA"," ")))))))))</f>
        <v>LNDV</v>
      </c>
      <c r="B9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97" s="325">
        <v>95</v>
      </c>
      <c r="D97" s="326">
        <v>108</v>
      </c>
      <c r="E97" s="414" t="s">
        <v>352</v>
      </c>
      <c r="F97" s="244" t="s">
        <v>353</v>
      </c>
      <c r="G97" s="245" t="s">
        <v>354</v>
      </c>
      <c r="H97" s="349" t="s">
        <v>355</v>
      </c>
      <c r="I97" s="336" t="s">
        <v>356</v>
      </c>
      <c r="J9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97" s="160">
        <v>417036</v>
      </c>
      <c r="L97" s="160">
        <f>+Reactivos_[[#This Row],[Cantidad]]*Reactivos_[[#This Row],[Valor de referencia]]</f>
        <v>417036</v>
      </c>
      <c r="M97" s="254">
        <v>0</v>
      </c>
      <c r="N97" s="255">
        <f>+Reactivos_[[#This Row],[Valor de referencia]]*Reactivos_[[#This Row],[Cantidad LANIP]]</f>
        <v>0</v>
      </c>
      <c r="O97" s="256"/>
      <c r="P97" s="255">
        <f>+Reactivos_[[#This Row],[Cantidad 
LDV]]*Reactivos_[[#This Row],[Valor de referencia]]</f>
        <v>0</v>
      </c>
      <c r="Q97" s="257">
        <v>1</v>
      </c>
      <c r="R97" s="255">
        <f>+Reactivos_[[#This Row],[Cantidad LNDV]]*Reactivos_[[#This Row],[Valor de referencia]]</f>
        <v>417036</v>
      </c>
      <c r="S97" s="148"/>
      <c r="T97" s="255">
        <f>+Reactivos_[[#This Row],[GGCA]]*Reactivos_[[#This Row],[Valor de referencia]]</f>
        <v>0</v>
      </c>
      <c r="U97" s="254"/>
      <c r="V97" s="255">
        <f>+Reactivos_[[#This Row],[Cantidad LDF]]*Reactivos_[[#This Row],[Valor de referencia]]</f>
        <v>0</v>
      </c>
      <c r="W97" s="254"/>
      <c r="X97" s="255">
        <f>+Reactivos_[[#This Row],[Cantidad LDF&amp;MR]]*Reactivos_[[#This Row],[Valor de referencia]]</f>
        <v>0</v>
      </c>
      <c r="Y97" s="254"/>
      <c r="Z97" s="255">
        <f>+Reactivos_[[#This Row],[Cantidad RED LASE]]*Reactivos_[[#This Row],[Valor de referencia]]</f>
        <v>0</v>
      </c>
      <c r="AA97" s="254"/>
      <c r="AB97" s="255">
        <f>+Reactivos_[[#This Row],[Cantidad LANIA]]*Reactivos_[[#This Row],[Valor de referencia]]</f>
        <v>0</v>
      </c>
      <c r="AC97" s="254"/>
      <c r="AD97" s="255">
        <f>+Reactivos_[[#This Row],[Cantidad SPA]]*Reactivos_[[#This Row],[Valor de referencia]]</f>
        <v>0</v>
      </c>
      <c r="AE97" s="148" t="s">
        <v>76</v>
      </c>
      <c r="AF97" s="148" t="s">
        <v>77</v>
      </c>
    </row>
    <row r="98" spans="1:32" ht="45" customHeight="1" x14ac:dyDescent="0.25">
      <c r="A98" s="294" t="str">
        <f>IF(B98=Reactivos_[[#This Row],[Cantidad LANIP]],"LANIP",IF(B98=Reactivos_[[#This Row],[Cantidad 
LDV]],"LDV",IF(B98=Reactivos_[[#This Row],[Cantidad LNDV]],"LNDV",IF(B98=Reactivos_[[#This Row],[GGCA]],"GGCA",IF(B98=Reactivos_[[#This Row],[Cantidad LDF]],"LDF",IF(Reactivos_[[#This Row],[Cantidad LDF&amp;MR]],"LDF&amp;MR",IF(B98=Reactivos_[[#This Row],[Cantidad RED LASE]],"LASE",IF(B98=Reactivos_[[#This Row],[Cantidad LANIA]],"LANIA",IF(B98=Reactivos_[[#This Row],[Cantidad SPA]],"SPA"," ")))))))))</f>
        <v>LNDV</v>
      </c>
      <c r="B9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25</v>
      </c>
      <c r="C98" s="325">
        <v>96</v>
      </c>
      <c r="D98" s="326">
        <v>109</v>
      </c>
      <c r="E98" s="327" t="s">
        <v>357</v>
      </c>
      <c r="F98" s="244"/>
      <c r="G98" s="327"/>
      <c r="H98" s="346" t="s">
        <v>358</v>
      </c>
      <c r="I98" s="334" t="s">
        <v>107</v>
      </c>
      <c r="J9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25</v>
      </c>
      <c r="K98" s="160">
        <v>340306</v>
      </c>
      <c r="L98" s="160">
        <f>+Reactivos_[[#This Row],[Cantidad]]*Reactivos_[[#This Row],[Valor de referencia]]</f>
        <v>8507650</v>
      </c>
      <c r="M98" s="254">
        <v>0</v>
      </c>
      <c r="N98" s="255">
        <f>+Reactivos_[[#This Row],[Valor de referencia]]*Reactivos_[[#This Row],[Cantidad LANIP]]</f>
        <v>0</v>
      </c>
      <c r="O98" s="256"/>
      <c r="P98" s="255">
        <f>+Reactivos_[[#This Row],[Cantidad 
LDV]]*Reactivos_[[#This Row],[Valor de referencia]]</f>
        <v>0</v>
      </c>
      <c r="Q98" s="257">
        <v>25</v>
      </c>
      <c r="R98" s="255">
        <f>+Reactivos_[[#This Row],[Cantidad LNDV]]*Reactivos_[[#This Row],[Valor de referencia]]</f>
        <v>8507650</v>
      </c>
      <c r="S98" s="148"/>
      <c r="T98" s="255">
        <f>+Reactivos_[[#This Row],[GGCA]]*Reactivos_[[#This Row],[Valor de referencia]]</f>
        <v>0</v>
      </c>
      <c r="U98" s="254"/>
      <c r="V98" s="255">
        <f>+Reactivos_[[#This Row],[Cantidad LDF]]*Reactivos_[[#This Row],[Valor de referencia]]</f>
        <v>0</v>
      </c>
      <c r="W98" s="254"/>
      <c r="X98" s="255">
        <f>+Reactivos_[[#This Row],[Cantidad LDF&amp;MR]]*Reactivos_[[#This Row],[Valor de referencia]]</f>
        <v>0</v>
      </c>
      <c r="Y98" s="254"/>
      <c r="Z98" s="255">
        <f>+Reactivos_[[#This Row],[Cantidad RED LASE]]*Reactivos_[[#This Row],[Valor de referencia]]</f>
        <v>0</v>
      </c>
      <c r="AA98" s="254"/>
      <c r="AB98" s="255">
        <f>+Reactivos_[[#This Row],[Cantidad LANIA]]*Reactivos_[[#This Row],[Valor de referencia]]</f>
        <v>0</v>
      </c>
      <c r="AC98" s="254"/>
      <c r="AD98" s="255">
        <f>+Reactivos_[[#This Row],[Cantidad SPA]]*Reactivos_[[#This Row],[Valor de referencia]]</f>
        <v>0</v>
      </c>
      <c r="AE98" s="148" t="s">
        <v>76</v>
      </c>
      <c r="AF98" s="148" t="s">
        <v>77</v>
      </c>
    </row>
    <row r="99" spans="1:32" ht="26.25" customHeight="1" x14ac:dyDescent="0.25">
      <c r="A99" s="294" t="str">
        <f>IF(B99=Reactivos_[[#This Row],[Cantidad LANIP]],"LANIP",IF(B99=Reactivos_[[#This Row],[Cantidad 
LDV]],"LDV",IF(B99=Reactivos_[[#This Row],[Cantidad LNDV]],"LNDV",IF(B99=Reactivos_[[#This Row],[GGCA]],"GGCA",IF(B99=Reactivos_[[#This Row],[Cantidad LDF]],"LDF",IF(Reactivos_[[#This Row],[Cantidad LDF&amp;MR]],"LDF&amp;MR",IF(B99=Reactivos_[[#This Row],[Cantidad RED LASE]],"LASE",IF(B99=Reactivos_[[#This Row],[Cantidad LANIA]],"LANIA",IF(B99=Reactivos_[[#This Row],[Cantidad SPA]],"SPA"," ")))))))))</f>
        <v>LNDV</v>
      </c>
      <c r="B9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99" s="325">
        <v>97</v>
      </c>
      <c r="D99" s="326">
        <v>110</v>
      </c>
      <c r="E99" s="327" t="s">
        <v>359</v>
      </c>
      <c r="F99" s="318" t="s">
        <v>360</v>
      </c>
      <c r="G99" s="327"/>
      <c r="H99" s="346" t="s">
        <v>361</v>
      </c>
      <c r="I99" s="334" t="s">
        <v>362</v>
      </c>
      <c r="J9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99" s="160">
        <v>218692</v>
      </c>
      <c r="L99" s="160">
        <f>+Reactivos_[[#This Row],[Cantidad]]*Reactivos_[[#This Row],[Valor de referencia]]</f>
        <v>218692</v>
      </c>
      <c r="M99" s="254">
        <v>0</v>
      </c>
      <c r="N99" s="255">
        <f>+Reactivos_[[#This Row],[Valor de referencia]]*Reactivos_[[#This Row],[Cantidad LANIP]]</f>
        <v>0</v>
      </c>
      <c r="O99" s="256"/>
      <c r="P99" s="255">
        <f>+Reactivos_[[#This Row],[Cantidad 
LDV]]*Reactivos_[[#This Row],[Valor de referencia]]</f>
        <v>0</v>
      </c>
      <c r="Q99" s="257">
        <v>1</v>
      </c>
      <c r="R99" s="255">
        <f>+Reactivos_[[#This Row],[Cantidad LNDV]]*Reactivos_[[#This Row],[Valor de referencia]]</f>
        <v>218692</v>
      </c>
      <c r="S99" s="148"/>
      <c r="T99" s="255">
        <f>+Reactivos_[[#This Row],[GGCA]]*Reactivos_[[#This Row],[Valor de referencia]]</f>
        <v>0</v>
      </c>
      <c r="U99" s="254"/>
      <c r="V99" s="255">
        <f>+Reactivos_[[#This Row],[Cantidad LDF]]*Reactivos_[[#This Row],[Valor de referencia]]</f>
        <v>0</v>
      </c>
      <c r="W99" s="254"/>
      <c r="X99" s="255">
        <f>+Reactivos_[[#This Row],[Cantidad LDF&amp;MR]]*Reactivos_[[#This Row],[Valor de referencia]]</f>
        <v>0</v>
      </c>
      <c r="Y99" s="254"/>
      <c r="Z99" s="255">
        <f>+Reactivos_[[#This Row],[Cantidad RED LASE]]*Reactivos_[[#This Row],[Valor de referencia]]</f>
        <v>0</v>
      </c>
      <c r="AA99" s="254"/>
      <c r="AB99" s="255">
        <f>+Reactivos_[[#This Row],[Cantidad LANIA]]*Reactivos_[[#This Row],[Valor de referencia]]</f>
        <v>0</v>
      </c>
      <c r="AC99" s="254"/>
      <c r="AD99" s="255">
        <f>+Reactivos_[[#This Row],[Cantidad SPA]]*Reactivos_[[#This Row],[Valor de referencia]]</f>
        <v>0</v>
      </c>
      <c r="AE99" s="148" t="s">
        <v>76</v>
      </c>
      <c r="AF99" s="148" t="s">
        <v>77</v>
      </c>
    </row>
    <row r="100" spans="1:32" ht="31.5" customHeight="1" x14ac:dyDescent="0.25">
      <c r="A100" s="294" t="str">
        <f>IF(B100=Reactivos_[[#This Row],[Cantidad LANIP]],"LANIP",IF(B100=Reactivos_[[#This Row],[Cantidad 
LDV]],"LDV",IF(B100=Reactivos_[[#This Row],[Cantidad LNDV]],"LNDV",IF(B100=Reactivos_[[#This Row],[GGCA]],"GGCA",IF(B100=Reactivos_[[#This Row],[Cantidad LDF]],"LDF",IF(Reactivos_[[#This Row],[Cantidad LDF&amp;MR]],"LDF&amp;MR",IF(B100=Reactivos_[[#This Row],[Cantidad RED LASE]],"LASE",IF(B100=Reactivos_[[#This Row],[Cantidad LANIA]],"LANIA",IF(B100=Reactivos_[[#This Row],[Cantidad SPA]],"SPA"," ")))))))))</f>
        <v>LDF</v>
      </c>
      <c r="B10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100" s="325">
        <v>98</v>
      </c>
      <c r="D100" s="326">
        <v>111</v>
      </c>
      <c r="E100" s="327" t="s">
        <v>363</v>
      </c>
      <c r="F100" s="244"/>
      <c r="G100" s="327"/>
      <c r="H100" s="349" t="s">
        <v>364</v>
      </c>
      <c r="I100" s="334" t="s">
        <v>365</v>
      </c>
      <c r="J10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100" s="160">
        <v>320794</v>
      </c>
      <c r="L100" s="160">
        <f>+Reactivos_[[#This Row],[Cantidad]]*Reactivos_[[#This Row],[Valor de referencia]]</f>
        <v>3207940</v>
      </c>
      <c r="M100" s="254">
        <v>0</v>
      </c>
      <c r="N100" s="255">
        <f>+Reactivos_[[#This Row],[Valor de referencia]]*Reactivos_[[#This Row],[Cantidad LANIP]]</f>
        <v>0</v>
      </c>
      <c r="O100" s="256"/>
      <c r="P100" s="255">
        <f>+Reactivos_[[#This Row],[Cantidad 
LDV]]*Reactivos_[[#This Row],[Valor de referencia]]</f>
        <v>0</v>
      </c>
      <c r="Q100" s="257"/>
      <c r="R100" s="255">
        <f>+Reactivos_[[#This Row],[Cantidad LNDV]]*Reactivos_[[#This Row],[Valor de referencia]]</f>
        <v>0</v>
      </c>
      <c r="S100" s="148"/>
      <c r="T100" s="255">
        <f>+Reactivos_[[#This Row],[GGCA]]*Reactivos_[[#This Row],[Valor de referencia]]</f>
        <v>0</v>
      </c>
      <c r="U100" s="254">
        <v>10</v>
      </c>
      <c r="V100" s="255">
        <f>+Reactivos_[[#This Row],[Cantidad LDF]]*Reactivos_[[#This Row],[Valor de referencia]]</f>
        <v>3207940</v>
      </c>
      <c r="W100" s="254"/>
      <c r="X100" s="255">
        <f>+Reactivos_[[#This Row],[Cantidad LDF&amp;MR]]*Reactivos_[[#This Row],[Valor de referencia]]</f>
        <v>0</v>
      </c>
      <c r="Y100" s="254"/>
      <c r="Z100" s="255">
        <f>+Reactivos_[[#This Row],[Cantidad RED LASE]]*Reactivos_[[#This Row],[Valor de referencia]]</f>
        <v>0</v>
      </c>
      <c r="AA100" s="254"/>
      <c r="AB100" s="255">
        <f>+Reactivos_[[#This Row],[Cantidad LANIA]]*Reactivos_[[#This Row],[Valor de referencia]]</f>
        <v>0</v>
      </c>
      <c r="AC100" s="254"/>
      <c r="AD100" s="255">
        <f>+Reactivos_[[#This Row],[Cantidad SPA]]*Reactivos_[[#This Row],[Valor de referencia]]</f>
        <v>0</v>
      </c>
      <c r="AE100" s="148" t="s">
        <v>76</v>
      </c>
      <c r="AF100" s="148" t="s">
        <v>77</v>
      </c>
    </row>
    <row r="101" spans="1:32" ht="48.75" customHeight="1" x14ac:dyDescent="0.25">
      <c r="A101" s="294" t="str">
        <f>IF(B101=Reactivos_[[#This Row],[Cantidad LANIP]],"LANIP",IF(B101=Reactivos_[[#This Row],[Cantidad 
LDV]],"LDV",IF(B101=Reactivos_[[#This Row],[Cantidad LNDV]],"LNDV",IF(B101=Reactivos_[[#This Row],[GGCA]],"GGCA",IF(B101=Reactivos_[[#This Row],[Cantidad LDF]],"LDF",IF(Reactivos_[[#This Row],[Cantidad LDF&amp;MR]],"LDF&amp;MR",IF(B101=Reactivos_[[#This Row],[Cantidad RED LASE]],"LASE",IF(B101=Reactivos_[[#This Row],[Cantidad LANIA]],"LANIA",IF(B101=Reactivos_[[#This Row],[Cantidad SPA]],"SPA"," ")))))))))</f>
        <v>LNDV</v>
      </c>
      <c r="B10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23</v>
      </c>
      <c r="C101" s="325">
        <v>99</v>
      </c>
      <c r="D101" s="326">
        <v>117</v>
      </c>
      <c r="E101" s="327" t="s">
        <v>366</v>
      </c>
      <c r="F101" s="244"/>
      <c r="G101" s="327"/>
      <c r="H101" s="346" t="s">
        <v>367</v>
      </c>
      <c r="I101" s="334" t="s">
        <v>368</v>
      </c>
      <c r="J10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33</v>
      </c>
      <c r="K101" s="160">
        <v>559629</v>
      </c>
      <c r="L101" s="160">
        <f>+Reactivos_[[#This Row],[Cantidad]]*Reactivos_[[#This Row],[Valor de referencia]]</f>
        <v>18467757</v>
      </c>
      <c r="M101" s="254">
        <v>0</v>
      </c>
      <c r="N101" s="255">
        <f>+Reactivos_[[#This Row],[Valor de referencia]]*Reactivos_[[#This Row],[Cantidad LANIP]]</f>
        <v>0</v>
      </c>
      <c r="O101" s="256">
        <v>10</v>
      </c>
      <c r="P101" s="255">
        <f>+Reactivos_[[#This Row],[Cantidad 
LDV]]*Reactivos_[[#This Row],[Valor de referencia]]</f>
        <v>5596290</v>
      </c>
      <c r="Q101" s="257">
        <v>23</v>
      </c>
      <c r="R101" s="255">
        <f>+Reactivos_[[#This Row],[Cantidad LNDV]]*Reactivos_[[#This Row],[Valor de referencia]]</f>
        <v>12871467</v>
      </c>
      <c r="S101" s="148"/>
      <c r="T101" s="255">
        <f>+Reactivos_[[#This Row],[GGCA]]*Reactivos_[[#This Row],[Valor de referencia]]</f>
        <v>0</v>
      </c>
      <c r="U101" s="254"/>
      <c r="V101" s="255">
        <f>+Reactivos_[[#This Row],[Cantidad LDF]]*Reactivos_[[#This Row],[Valor de referencia]]</f>
        <v>0</v>
      </c>
      <c r="W101" s="254"/>
      <c r="X101" s="255">
        <f>+Reactivos_[[#This Row],[Cantidad LDF&amp;MR]]*Reactivos_[[#This Row],[Valor de referencia]]</f>
        <v>0</v>
      </c>
      <c r="Y101" s="254"/>
      <c r="Z101" s="255">
        <f>+Reactivos_[[#This Row],[Cantidad RED LASE]]*Reactivos_[[#This Row],[Valor de referencia]]</f>
        <v>0</v>
      </c>
      <c r="AA101" s="254"/>
      <c r="AB101" s="255">
        <f>+Reactivos_[[#This Row],[Cantidad LANIA]]*Reactivos_[[#This Row],[Valor de referencia]]</f>
        <v>0</v>
      </c>
      <c r="AC101" s="254"/>
      <c r="AD101" s="255">
        <f>+Reactivos_[[#This Row],[Cantidad SPA]]*Reactivos_[[#This Row],[Valor de referencia]]</f>
        <v>0</v>
      </c>
      <c r="AE101" s="148" t="s">
        <v>76</v>
      </c>
      <c r="AF101" s="310" t="s">
        <v>101</v>
      </c>
    </row>
    <row r="102" spans="1:32" ht="45" customHeight="1" x14ac:dyDescent="0.25">
      <c r="A102" s="294" t="str">
        <f>IF(B102=Reactivos_[[#This Row],[Cantidad LANIP]],"LANIP",IF(B102=Reactivos_[[#This Row],[Cantidad 
LDV]],"LDV",IF(B102=Reactivos_[[#This Row],[Cantidad LNDV]],"LNDV",IF(B102=Reactivos_[[#This Row],[GGCA]],"GGCA",IF(B102=Reactivos_[[#This Row],[Cantidad LDF]],"LDF",IF(Reactivos_[[#This Row],[Cantidad LDF&amp;MR]],"LDF&amp;MR",IF(B102=Reactivos_[[#This Row],[Cantidad RED LASE]],"LASE",IF(B102=Reactivos_[[#This Row],[Cantidad LANIA]],"LANIA",IF(B102=Reactivos_[[#This Row],[Cantidad SPA]],"SPA"," ")))))))))</f>
        <v>LNDV</v>
      </c>
      <c r="B10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23</v>
      </c>
      <c r="C102" s="325">
        <v>100</v>
      </c>
      <c r="D102" s="326">
        <v>118</v>
      </c>
      <c r="E102" s="327" t="s">
        <v>369</v>
      </c>
      <c r="F102" s="244"/>
      <c r="G102" s="327"/>
      <c r="H102" s="346" t="s">
        <v>370</v>
      </c>
      <c r="I102" s="334" t="s">
        <v>371</v>
      </c>
      <c r="J10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28</v>
      </c>
      <c r="K102" s="160">
        <v>3224958</v>
      </c>
      <c r="L102" s="160">
        <f>+Reactivos_[[#This Row],[Cantidad]]*Reactivos_[[#This Row],[Valor de referencia]]</f>
        <v>90298824</v>
      </c>
      <c r="M102" s="254">
        <v>0</v>
      </c>
      <c r="N102" s="255">
        <f>+Reactivos_[[#This Row],[Valor de referencia]]*Reactivos_[[#This Row],[Cantidad LANIP]]</f>
        <v>0</v>
      </c>
      <c r="O102" s="256">
        <v>5</v>
      </c>
      <c r="P102" s="255">
        <f>+Reactivos_[[#This Row],[Cantidad 
LDV]]*Reactivos_[[#This Row],[Valor de referencia]]</f>
        <v>16124790</v>
      </c>
      <c r="Q102" s="257">
        <v>23</v>
      </c>
      <c r="R102" s="255">
        <f>+Reactivos_[[#This Row],[Cantidad LNDV]]*Reactivos_[[#This Row],[Valor de referencia]]</f>
        <v>74174034</v>
      </c>
      <c r="S102" s="148"/>
      <c r="T102" s="255">
        <f>+Reactivos_[[#This Row],[GGCA]]*Reactivos_[[#This Row],[Valor de referencia]]</f>
        <v>0</v>
      </c>
      <c r="U102" s="254"/>
      <c r="V102" s="255">
        <f>+Reactivos_[[#This Row],[Cantidad LDF]]*Reactivos_[[#This Row],[Valor de referencia]]</f>
        <v>0</v>
      </c>
      <c r="W102" s="254"/>
      <c r="X102" s="255">
        <f>+Reactivos_[[#This Row],[Cantidad LDF&amp;MR]]*Reactivos_[[#This Row],[Valor de referencia]]</f>
        <v>0</v>
      </c>
      <c r="Y102" s="254"/>
      <c r="Z102" s="255">
        <f>+Reactivos_[[#This Row],[Cantidad RED LASE]]*Reactivos_[[#This Row],[Valor de referencia]]</f>
        <v>0</v>
      </c>
      <c r="AA102" s="254"/>
      <c r="AB102" s="255">
        <f>+Reactivos_[[#This Row],[Cantidad LANIA]]*Reactivos_[[#This Row],[Valor de referencia]]</f>
        <v>0</v>
      </c>
      <c r="AC102" s="254"/>
      <c r="AD102" s="255">
        <f>+Reactivos_[[#This Row],[Cantidad SPA]]*Reactivos_[[#This Row],[Valor de referencia]]</f>
        <v>0</v>
      </c>
      <c r="AE102" s="148" t="s">
        <v>76</v>
      </c>
      <c r="AF102" s="310" t="s">
        <v>101</v>
      </c>
    </row>
    <row r="103" spans="1:32" ht="38.25" x14ac:dyDescent="0.25">
      <c r="A103" s="294" t="str">
        <f>IF(B103=Reactivos_[[#This Row],[Cantidad LANIP]],"LANIP",IF(B103=Reactivos_[[#This Row],[Cantidad 
LDV]],"LDV",IF(B103=Reactivos_[[#This Row],[Cantidad LNDV]],"LNDV",IF(B103=Reactivos_[[#This Row],[GGCA]],"GGCA",IF(B103=Reactivos_[[#This Row],[Cantidad LDF]],"LDF",IF(Reactivos_[[#This Row],[Cantidad LDF&amp;MR]],"LDF&amp;MR",IF(B103=Reactivos_[[#This Row],[Cantidad RED LASE]],"LASE",IF(B103=Reactivos_[[#This Row],[Cantidad LANIA]],"LANIA",IF(B103=Reactivos_[[#This Row],[Cantidad SPA]],"SPA"," ")))))))))</f>
        <v>LNDV</v>
      </c>
      <c r="B10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103" s="325">
        <v>101</v>
      </c>
      <c r="D103" s="326">
        <v>119</v>
      </c>
      <c r="E103" s="327" t="s">
        <v>372</v>
      </c>
      <c r="F103" s="244"/>
      <c r="G103" s="327"/>
      <c r="H103" s="349" t="s">
        <v>373</v>
      </c>
      <c r="I103" s="334" t="s">
        <v>371</v>
      </c>
      <c r="J10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103" s="160">
        <v>3224958</v>
      </c>
      <c r="L103" s="160">
        <f>+Reactivos_[[#This Row],[Cantidad]]*Reactivos_[[#This Row],[Valor de referencia]]</f>
        <v>41924454</v>
      </c>
      <c r="M103" s="254">
        <v>0</v>
      </c>
      <c r="N103" s="255">
        <f>+Reactivos_[[#This Row],[Valor de referencia]]*Reactivos_[[#This Row],[Cantidad LANIP]]</f>
        <v>0</v>
      </c>
      <c r="O103" s="256">
        <v>5</v>
      </c>
      <c r="P103" s="255">
        <f>+Reactivos_[[#This Row],[Cantidad 
LDV]]*Reactivos_[[#This Row],[Valor de referencia]]</f>
        <v>16124790</v>
      </c>
      <c r="Q103" s="257">
        <v>8</v>
      </c>
      <c r="R103" s="255">
        <f>+Reactivos_[[#This Row],[Cantidad LNDV]]*Reactivos_[[#This Row],[Valor de referencia]]</f>
        <v>25799664</v>
      </c>
      <c r="S103" s="148"/>
      <c r="T103" s="255">
        <f>+Reactivos_[[#This Row],[GGCA]]*Reactivos_[[#This Row],[Valor de referencia]]</f>
        <v>0</v>
      </c>
      <c r="U103" s="254"/>
      <c r="V103" s="255">
        <f>+Reactivos_[[#This Row],[Cantidad LDF]]*Reactivos_[[#This Row],[Valor de referencia]]</f>
        <v>0</v>
      </c>
      <c r="W103" s="254"/>
      <c r="X103" s="255">
        <f>+Reactivos_[[#This Row],[Cantidad LDF&amp;MR]]*Reactivos_[[#This Row],[Valor de referencia]]</f>
        <v>0</v>
      </c>
      <c r="Y103" s="254"/>
      <c r="Z103" s="255">
        <f>+Reactivos_[[#This Row],[Cantidad RED LASE]]*Reactivos_[[#This Row],[Valor de referencia]]</f>
        <v>0</v>
      </c>
      <c r="AA103" s="254"/>
      <c r="AB103" s="255">
        <f>+Reactivos_[[#This Row],[Cantidad LANIA]]*Reactivos_[[#This Row],[Valor de referencia]]</f>
        <v>0</v>
      </c>
      <c r="AC103" s="254"/>
      <c r="AD103" s="255">
        <f>+Reactivos_[[#This Row],[Cantidad SPA]]*Reactivos_[[#This Row],[Valor de referencia]]</f>
        <v>0</v>
      </c>
      <c r="AE103" s="148" t="s">
        <v>76</v>
      </c>
      <c r="AF103" s="310" t="s">
        <v>101</v>
      </c>
    </row>
    <row r="104" spans="1:32" ht="38.25" x14ac:dyDescent="0.25">
      <c r="A104" s="294" t="str">
        <f>IF(B104=Reactivos_[[#This Row],[Cantidad LANIP]],"LANIP",IF(B104=Reactivos_[[#This Row],[Cantidad 
LDV]],"LDV",IF(B104=Reactivos_[[#This Row],[Cantidad LNDV]],"LNDV",IF(B104=Reactivos_[[#This Row],[GGCA]],"GGCA",IF(B104=Reactivos_[[#This Row],[Cantidad LDF]],"LDF",IF(Reactivos_[[#This Row],[Cantidad LDF&amp;MR]],"LDF&amp;MR",IF(B104=Reactivos_[[#This Row],[Cantidad RED LASE]],"LASE",IF(B104=Reactivos_[[#This Row],[Cantidad LANIA]],"LANIA",IF(B104=Reactivos_[[#This Row],[Cantidad SPA]],"SPA"," ")))))))))</f>
        <v>LDV</v>
      </c>
      <c r="B10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04" s="325">
        <v>102</v>
      </c>
      <c r="D104" s="326">
        <v>120</v>
      </c>
      <c r="E104" s="331" t="s">
        <v>374</v>
      </c>
      <c r="F104" s="332"/>
      <c r="G104" s="331"/>
      <c r="H104" s="344" t="s">
        <v>375</v>
      </c>
      <c r="I104" s="334" t="s">
        <v>371</v>
      </c>
      <c r="J10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04" s="160">
        <v>3224965</v>
      </c>
      <c r="L104" s="160">
        <f>+Reactivos_[[#This Row],[Cantidad]]*Reactivos_[[#This Row],[Valor de referencia]]</f>
        <v>16124825</v>
      </c>
      <c r="M104" s="254">
        <v>0</v>
      </c>
      <c r="N104" s="255">
        <f>+Reactivos_[[#This Row],[Valor de referencia]]*Reactivos_[[#This Row],[Cantidad LANIP]]</f>
        <v>0</v>
      </c>
      <c r="O104" s="256">
        <v>5</v>
      </c>
      <c r="P104" s="255">
        <f>+Reactivos_[[#This Row],[Cantidad 
LDV]]*Reactivos_[[#This Row],[Valor de referencia]]</f>
        <v>16124825</v>
      </c>
      <c r="Q104" s="257"/>
      <c r="R104" s="255">
        <f>+Reactivos_[[#This Row],[Cantidad LNDV]]*Reactivos_[[#This Row],[Valor de referencia]]</f>
        <v>0</v>
      </c>
      <c r="S104" s="148"/>
      <c r="T104" s="255">
        <f>+Reactivos_[[#This Row],[GGCA]]*Reactivos_[[#This Row],[Valor de referencia]]</f>
        <v>0</v>
      </c>
      <c r="U104" s="254"/>
      <c r="V104" s="255">
        <f>+Reactivos_[[#This Row],[Cantidad LDF]]*Reactivos_[[#This Row],[Valor de referencia]]</f>
        <v>0</v>
      </c>
      <c r="W104" s="254"/>
      <c r="X104" s="255">
        <f>+Reactivos_[[#This Row],[Cantidad LDF&amp;MR]]*Reactivos_[[#This Row],[Valor de referencia]]</f>
        <v>0</v>
      </c>
      <c r="Y104" s="254"/>
      <c r="Z104" s="255">
        <f>+Reactivos_[[#This Row],[Cantidad RED LASE]]*Reactivos_[[#This Row],[Valor de referencia]]</f>
        <v>0</v>
      </c>
      <c r="AA104" s="254"/>
      <c r="AB104" s="255">
        <f>+Reactivos_[[#This Row],[Cantidad LANIA]]*Reactivos_[[#This Row],[Valor de referencia]]</f>
        <v>0</v>
      </c>
      <c r="AC104" s="254"/>
      <c r="AD104" s="255">
        <f>+Reactivos_[[#This Row],[Cantidad SPA]]*Reactivos_[[#This Row],[Valor de referencia]]</f>
        <v>0</v>
      </c>
      <c r="AE104" s="148" t="s">
        <v>76</v>
      </c>
      <c r="AF104" s="310" t="s">
        <v>101</v>
      </c>
    </row>
    <row r="105" spans="1:32" ht="38.25" x14ac:dyDescent="0.25">
      <c r="A105" s="294" t="str">
        <f>IF(B105=Reactivos_[[#This Row],[Cantidad LANIP]],"LANIP",IF(B105=Reactivos_[[#This Row],[Cantidad 
LDV]],"LDV",IF(B105=Reactivos_[[#This Row],[Cantidad LNDV]],"LNDV",IF(B105=Reactivos_[[#This Row],[GGCA]],"GGCA",IF(B105=Reactivos_[[#This Row],[Cantidad LDF]],"LDF",IF(Reactivos_[[#This Row],[Cantidad LDF&amp;MR]],"LDF&amp;MR",IF(B105=Reactivos_[[#This Row],[Cantidad RED LASE]],"LASE",IF(B105=Reactivos_[[#This Row],[Cantidad LANIA]],"LANIA",IF(B105=Reactivos_[[#This Row],[Cantidad SPA]],"SPA"," ")))))))))</f>
        <v>LNDV</v>
      </c>
      <c r="B10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105" s="325">
        <v>103</v>
      </c>
      <c r="D105" s="326">
        <v>121</v>
      </c>
      <c r="E105" s="327" t="s">
        <v>376</v>
      </c>
      <c r="F105" s="244"/>
      <c r="G105" s="327"/>
      <c r="H105" s="349" t="s">
        <v>377</v>
      </c>
      <c r="I105" s="334" t="s">
        <v>371</v>
      </c>
      <c r="J10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105" s="160">
        <v>1961832</v>
      </c>
      <c r="L105" s="160">
        <f>+Reactivos_[[#This Row],[Cantidad]]*Reactivos_[[#This Row],[Valor de referencia]]</f>
        <v>25503816</v>
      </c>
      <c r="M105" s="254">
        <v>0</v>
      </c>
      <c r="N105" s="255">
        <f>+Reactivos_[[#This Row],[Valor de referencia]]*Reactivos_[[#This Row],[Cantidad LANIP]]</f>
        <v>0</v>
      </c>
      <c r="O105" s="256">
        <v>5</v>
      </c>
      <c r="P105" s="255">
        <f>+Reactivos_[[#This Row],[Cantidad 
LDV]]*Reactivos_[[#This Row],[Valor de referencia]]</f>
        <v>9809160</v>
      </c>
      <c r="Q105" s="257">
        <v>8</v>
      </c>
      <c r="R105" s="255">
        <f>+Reactivos_[[#This Row],[Cantidad LNDV]]*Reactivos_[[#This Row],[Valor de referencia]]</f>
        <v>15694656</v>
      </c>
      <c r="S105" s="148"/>
      <c r="T105" s="255">
        <f>+Reactivos_[[#This Row],[GGCA]]*Reactivos_[[#This Row],[Valor de referencia]]</f>
        <v>0</v>
      </c>
      <c r="U105" s="254"/>
      <c r="V105" s="255">
        <f>+Reactivos_[[#This Row],[Cantidad LDF]]*Reactivos_[[#This Row],[Valor de referencia]]</f>
        <v>0</v>
      </c>
      <c r="W105" s="254"/>
      <c r="X105" s="255">
        <f>+Reactivos_[[#This Row],[Cantidad LDF&amp;MR]]*Reactivos_[[#This Row],[Valor de referencia]]</f>
        <v>0</v>
      </c>
      <c r="Y105" s="254"/>
      <c r="Z105" s="255">
        <f>+Reactivos_[[#This Row],[Cantidad RED LASE]]*Reactivos_[[#This Row],[Valor de referencia]]</f>
        <v>0</v>
      </c>
      <c r="AA105" s="254"/>
      <c r="AB105" s="255">
        <f>+Reactivos_[[#This Row],[Cantidad LANIA]]*Reactivos_[[#This Row],[Valor de referencia]]</f>
        <v>0</v>
      </c>
      <c r="AC105" s="254"/>
      <c r="AD105" s="255">
        <f>+Reactivos_[[#This Row],[Cantidad SPA]]*Reactivos_[[#This Row],[Valor de referencia]]</f>
        <v>0</v>
      </c>
      <c r="AE105" s="148" t="s">
        <v>76</v>
      </c>
      <c r="AF105" s="310" t="s">
        <v>101</v>
      </c>
    </row>
    <row r="106" spans="1:32" ht="63" customHeight="1" x14ac:dyDescent="0.25">
      <c r="A106" s="294" t="str">
        <f>IF(B106=Reactivos_[[#This Row],[Cantidad LANIP]],"LANIP",IF(B106=Reactivos_[[#This Row],[Cantidad 
LDV]],"LDV",IF(B106=Reactivos_[[#This Row],[Cantidad LNDV]],"LNDV",IF(B106=Reactivos_[[#This Row],[GGCA]],"GGCA",IF(B106=Reactivos_[[#This Row],[Cantidad LDF]],"LDF",IF(Reactivos_[[#This Row],[Cantidad LDF&amp;MR]],"LDF&amp;MR",IF(B106=Reactivos_[[#This Row],[Cantidad RED LASE]],"LASE",IF(B106=Reactivos_[[#This Row],[Cantidad LANIA]],"LANIA",IF(B106=Reactivos_[[#This Row],[Cantidad SPA]],"SPA"," ")))))))))</f>
        <v>LNDV</v>
      </c>
      <c r="B10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06" s="325">
        <v>104</v>
      </c>
      <c r="D106" s="326">
        <v>122</v>
      </c>
      <c r="E106" s="345" t="s">
        <v>378</v>
      </c>
      <c r="F106" s="244"/>
      <c r="G106" s="245"/>
      <c r="H106" s="405" t="s">
        <v>379</v>
      </c>
      <c r="I106" s="329" t="s">
        <v>380</v>
      </c>
      <c r="J10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06" s="160">
        <v>1877600</v>
      </c>
      <c r="L106" s="160">
        <f>+Reactivos_[[#This Row],[Cantidad]]*Reactivos_[[#This Row],[Valor de referencia]]</f>
        <v>3755200</v>
      </c>
      <c r="M106" s="254">
        <v>0</v>
      </c>
      <c r="N106" s="255">
        <f>+Reactivos_[[#This Row],[Valor de referencia]]*Reactivos_[[#This Row],[Cantidad LANIP]]</f>
        <v>0</v>
      </c>
      <c r="O106" s="256"/>
      <c r="P106" s="255">
        <f>+Reactivos_[[#This Row],[Cantidad 
LDV]]*Reactivos_[[#This Row],[Valor de referencia]]</f>
        <v>0</v>
      </c>
      <c r="Q106" s="257">
        <v>2</v>
      </c>
      <c r="R106" s="255">
        <f>+Reactivos_[[#This Row],[Cantidad LNDV]]*Reactivos_[[#This Row],[Valor de referencia]]</f>
        <v>3755200</v>
      </c>
      <c r="S106" s="148"/>
      <c r="T106" s="255">
        <f>+Reactivos_[[#This Row],[GGCA]]*Reactivos_[[#This Row],[Valor de referencia]]</f>
        <v>0</v>
      </c>
      <c r="U106" s="254"/>
      <c r="V106" s="255">
        <f>+Reactivos_[[#This Row],[Cantidad LDF]]*Reactivos_[[#This Row],[Valor de referencia]]</f>
        <v>0</v>
      </c>
      <c r="W106" s="254"/>
      <c r="X106" s="255">
        <f>+Reactivos_[[#This Row],[Cantidad LDF&amp;MR]]*Reactivos_[[#This Row],[Valor de referencia]]</f>
        <v>0</v>
      </c>
      <c r="Y106" s="254"/>
      <c r="Z106" s="255">
        <f>+Reactivos_[[#This Row],[Cantidad RED LASE]]*Reactivos_[[#This Row],[Valor de referencia]]</f>
        <v>0</v>
      </c>
      <c r="AA106" s="254"/>
      <c r="AB106" s="255">
        <f>+Reactivos_[[#This Row],[Cantidad LANIA]]*Reactivos_[[#This Row],[Valor de referencia]]</f>
        <v>0</v>
      </c>
      <c r="AC106" s="254"/>
      <c r="AD106" s="255">
        <f>+Reactivos_[[#This Row],[Cantidad SPA]]*Reactivos_[[#This Row],[Valor de referencia]]</f>
        <v>0</v>
      </c>
      <c r="AE106" s="148" t="s">
        <v>76</v>
      </c>
      <c r="AF106" s="148" t="s">
        <v>77</v>
      </c>
    </row>
    <row r="107" spans="1:32" ht="28.5" customHeight="1" x14ac:dyDescent="0.25">
      <c r="A107" s="294" t="str">
        <f>IF(B107=Reactivos_[[#This Row],[Cantidad LANIP]],"LANIP",IF(B107=Reactivos_[[#This Row],[Cantidad 
LDV]],"LDV",IF(B107=Reactivos_[[#This Row],[Cantidad LNDV]],"LNDV",IF(B107=Reactivos_[[#This Row],[GGCA]],"GGCA",IF(B107=Reactivos_[[#This Row],[Cantidad LDF]],"LDF",IF(Reactivos_[[#This Row],[Cantidad LDF&amp;MR]],"LDF&amp;MR",IF(B107=Reactivos_[[#This Row],[Cantidad RED LASE]],"LASE",IF(B107=Reactivos_[[#This Row],[Cantidad LANIA]],"LANIA",IF(B107=Reactivos_[[#This Row],[Cantidad SPA]],"SPA"," ")))))))))</f>
        <v>LNDV</v>
      </c>
      <c r="B10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07" s="325">
        <v>105</v>
      </c>
      <c r="D107" s="326">
        <v>123</v>
      </c>
      <c r="E107" s="327" t="s">
        <v>381</v>
      </c>
      <c r="F107" s="244"/>
      <c r="G107" s="327"/>
      <c r="H107" s="346" t="s">
        <v>382</v>
      </c>
      <c r="I107" s="334" t="s">
        <v>383</v>
      </c>
      <c r="J10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07" s="160">
        <v>1861000</v>
      </c>
      <c r="L107" s="160">
        <f>+Reactivos_[[#This Row],[Cantidad]]*Reactivos_[[#This Row],[Valor de referencia]]</f>
        <v>9305000</v>
      </c>
      <c r="M107" s="254">
        <v>0</v>
      </c>
      <c r="N107" s="255">
        <f>+Reactivos_[[#This Row],[Valor de referencia]]*Reactivos_[[#This Row],[Cantidad LANIP]]</f>
        <v>0</v>
      </c>
      <c r="O107" s="256"/>
      <c r="P107" s="255">
        <f>+Reactivos_[[#This Row],[Cantidad 
LDV]]*Reactivos_[[#This Row],[Valor de referencia]]</f>
        <v>0</v>
      </c>
      <c r="Q107" s="257">
        <v>5</v>
      </c>
      <c r="R107" s="255">
        <f>+Reactivos_[[#This Row],[Cantidad LNDV]]*Reactivos_[[#This Row],[Valor de referencia]]</f>
        <v>9305000</v>
      </c>
      <c r="S107" s="148"/>
      <c r="T107" s="255">
        <f>+Reactivos_[[#This Row],[GGCA]]*Reactivos_[[#This Row],[Valor de referencia]]</f>
        <v>0</v>
      </c>
      <c r="U107" s="254"/>
      <c r="V107" s="255">
        <f>+Reactivos_[[#This Row],[Cantidad LDF]]*Reactivos_[[#This Row],[Valor de referencia]]</f>
        <v>0</v>
      </c>
      <c r="W107" s="254"/>
      <c r="X107" s="255">
        <f>+Reactivos_[[#This Row],[Cantidad LDF&amp;MR]]*Reactivos_[[#This Row],[Valor de referencia]]</f>
        <v>0</v>
      </c>
      <c r="Y107" s="254"/>
      <c r="Z107" s="255">
        <f>+Reactivos_[[#This Row],[Cantidad RED LASE]]*Reactivos_[[#This Row],[Valor de referencia]]</f>
        <v>0</v>
      </c>
      <c r="AA107" s="254"/>
      <c r="AB107" s="255">
        <f>+Reactivos_[[#This Row],[Cantidad LANIA]]*Reactivos_[[#This Row],[Valor de referencia]]</f>
        <v>0</v>
      </c>
      <c r="AC107" s="254"/>
      <c r="AD107" s="255">
        <f>+Reactivos_[[#This Row],[Cantidad SPA]]*Reactivos_[[#This Row],[Valor de referencia]]</f>
        <v>0</v>
      </c>
      <c r="AE107" s="148" t="s">
        <v>76</v>
      </c>
      <c r="AF107" s="148" t="s">
        <v>77</v>
      </c>
    </row>
    <row r="108" spans="1:32" ht="25.5" x14ac:dyDescent="0.25">
      <c r="A108" s="294" t="str">
        <f>IF(B108=Reactivos_[[#This Row],[Cantidad LANIP]],"LANIP",IF(B108=Reactivos_[[#This Row],[Cantidad 
LDV]],"LDV",IF(B108=Reactivos_[[#This Row],[Cantidad LNDV]],"LNDV",IF(B108=Reactivos_[[#This Row],[GGCA]],"GGCA",IF(B108=Reactivos_[[#This Row],[Cantidad LDF]],"LDF",IF(Reactivos_[[#This Row],[Cantidad LDF&amp;MR]],"LDF&amp;MR",IF(B108=Reactivos_[[#This Row],[Cantidad RED LASE]],"LASE",IF(B108=Reactivos_[[#This Row],[Cantidad LANIA]],"LANIA",IF(B108=Reactivos_[[#This Row],[Cantidad SPA]],"SPA"," ")))))))))</f>
        <v>LNDV</v>
      </c>
      <c r="B10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23</v>
      </c>
      <c r="C108" s="325">
        <v>106</v>
      </c>
      <c r="D108" s="326">
        <v>124</v>
      </c>
      <c r="E108" s="327" t="s">
        <v>384</v>
      </c>
      <c r="F108" s="244"/>
      <c r="G108" s="327"/>
      <c r="H108" s="346" t="s">
        <v>385</v>
      </c>
      <c r="I108" s="334" t="s">
        <v>386</v>
      </c>
      <c r="J10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28</v>
      </c>
      <c r="K108" s="160">
        <v>1899055</v>
      </c>
      <c r="L108" s="160">
        <f>+Reactivos_[[#This Row],[Cantidad]]*Reactivos_[[#This Row],[Valor de referencia]]</f>
        <v>53173540</v>
      </c>
      <c r="M108" s="254">
        <v>0</v>
      </c>
      <c r="N108" s="255">
        <f>+Reactivos_[[#This Row],[Valor de referencia]]*Reactivos_[[#This Row],[Cantidad LANIP]]</f>
        <v>0</v>
      </c>
      <c r="O108" s="256">
        <v>5</v>
      </c>
      <c r="P108" s="255">
        <f>+Reactivos_[[#This Row],[Cantidad 
LDV]]*Reactivos_[[#This Row],[Valor de referencia]]</f>
        <v>9495275</v>
      </c>
      <c r="Q108" s="257">
        <v>23</v>
      </c>
      <c r="R108" s="255">
        <f>+Reactivos_[[#This Row],[Cantidad LNDV]]*Reactivos_[[#This Row],[Valor de referencia]]</f>
        <v>43678265</v>
      </c>
      <c r="S108" s="148"/>
      <c r="T108" s="255">
        <f>+Reactivos_[[#This Row],[GGCA]]*Reactivos_[[#This Row],[Valor de referencia]]</f>
        <v>0</v>
      </c>
      <c r="U108" s="254"/>
      <c r="V108" s="255">
        <f>+Reactivos_[[#This Row],[Cantidad LDF]]*Reactivos_[[#This Row],[Valor de referencia]]</f>
        <v>0</v>
      </c>
      <c r="W108" s="254"/>
      <c r="X108" s="255">
        <f>+Reactivos_[[#This Row],[Cantidad LDF&amp;MR]]*Reactivos_[[#This Row],[Valor de referencia]]</f>
        <v>0</v>
      </c>
      <c r="Y108" s="254"/>
      <c r="Z108" s="255">
        <f>+Reactivos_[[#This Row],[Cantidad RED LASE]]*Reactivos_[[#This Row],[Valor de referencia]]</f>
        <v>0</v>
      </c>
      <c r="AA108" s="254"/>
      <c r="AB108" s="255">
        <f>+Reactivos_[[#This Row],[Cantidad LANIA]]*Reactivos_[[#This Row],[Valor de referencia]]</f>
        <v>0</v>
      </c>
      <c r="AC108" s="254"/>
      <c r="AD108" s="255">
        <f>+Reactivos_[[#This Row],[Cantidad SPA]]*Reactivos_[[#This Row],[Valor de referencia]]</f>
        <v>0</v>
      </c>
      <c r="AE108" s="148" t="s">
        <v>76</v>
      </c>
      <c r="AF108" s="310" t="s">
        <v>101</v>
      </c>
    </row>
    <row r="109" spans="1:32" ht="42.75" customHeight="1" x14ac:dyDescent="0.25">
      <c r="A109" s="294" t="str">
        <f>IF(B109=Reactivos_[[#This Row],[Cantidad LANIP]],"LANIP",IF(B109=Reactivos_[[#This Row],[Cantidad 
LDV]],"LDV",IF(B109=Reactivos_[[#This Row],[Cantidad LNDV]],"LNDV",IF(B109=Reactivos_[[#This Row],[GGCA]],"GGCA",IF(B109=Reactivos_[[#This Row],[Cantidad LDF]],"LDF",IF(Reactivos_[[#This Row],[Cantidad LDF&amp;MR]],"LDF&amp;MR",IF(B109=Reactivos_[[#This Row],[Cantidad RED LASE]],"LASE",IF(B109=Reactivos_[[#This Row],[Cantidad LANIA]],"LANIA",IF(B109=Reactivos_[[#This Row],[Cantidad SPA]],"SPA"," ")))))))))</f>
        <v>LDV</v>
      </c>
      <c r="B10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109" s="325">
        <v>107</v>
      </c>
      <c r="D109" s="326">
        <v>126</v>
      </c>
      <c r="E109" s="331" t="s">
        <v>387</v>
      </c>
      <c r="F109" s="332"/>
      <c r="G109" s="331"/>
      <c r="H109" s="328" t="s">
        <v>388</v>
      </c>
      <c r="I109" s="410" t="s">
        <v>389</v>
      </c>
      <c r="J10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109" s="160">
        <v>1729585</v>
      </c>
      <c r="L109" s="160">
        <f>+Reactivos_[[#This Row],[Cantidad]]*Reactivos_[[#This Row],[Valor de referencia]]</f>
        <v>22484605</v>
      </c>
      <c r="M109" s="254">
        <v>0</v>
      </c>
      <c r="N109" s="255">
        <f>+Reactivos_[[#This Row],[Valor de referencia]]*Reactivos_[[#This Row],[Cantidad LANIP]]</f>
        <v>0</v>
      </c>
      <c r="O109" s="256">
        <v>13</v>
      </c>
      <c r="P109" s="255">
        <f>+Reactivos_[[#This Row],[Cantidad 
LDV]]*Reactivos_[[#This Row],[Valor de referencia]]</f>
        <v>22484605</v>
      </c>
      <c r="Q109" s="257"/>
      <c r="R109" s="255">
        <f>+Reactivos_[[#This Row],[Cantidad LNDV]]*Reactivos_[[#This Row],[Valor de referencia]]</f>
        <v>0</v>
      </c>
      <c r="S109" s="148"/>
      <c r="T109" s="255">
        <f>+Reactivos_[[#This Row],[GGCA]]*Reactivos_[[#This Row],[Valor de referencia]]</f>
        <v>0</v>
      </c>
      <c r="U109" s="254"/>
      <c r="V109" s="255">
        <f>+Reactivos_[[#This Row],[Cantidad LDF]]*Reactivos_[[#This Row],[Valor de referencia]]</f>
        <v>0</v>
      </c>
      <c r="W109" s="254"/>
      <c r="X109" s="255">
        <f>+Reactivos_[[#This Row],[Cantidad LDF&amp;MR]]*Reactivos_[[#This Row],[Valor de referencia]]</f>
        <v>0</v>
      </c>
      <c r="Y109" s="254"/>
      <c r="Z109" s="255">
        <f>+Reactivos_[[#This Row],[Cantidad RED LASE]]*Reactivos_[[#This Row],[Valor de referencia]]</f>
        <v>0</v>
      </c>
      <c r="AA109" s="254"/>
      <c r="AB109" s="255">
        <f>+Reactivos_[[#This Row],[Cantidad LANIA]]*Reactivos_[[#This Row],[Valor de referencia]]</f>
        <v>0</v>
      </c>
      <c r="AC109" s="254"/>
      <c r="AD109" s="255">
        <f>+Reactivos_[[#This Row],[Cantidad SPA]]*Reactivos_[[#This Row],[Valor de referencia]]</f>
        <v>0</v>
      </c>
      <c r="AE109" s="148" t="s">
        <v>76</v>
      </c>
      <c r="AF109" s="148" t="s">
        <v>77</v>
      </c>
    </row>
    <row r="110" spans="1:32" ht="25.5" customHeight="1" x14ac:dyDescent="0.25">
      <c r="A110" s="294" t="str">
        <f>IF(B110=Reactivos_[[#This Row],[Cantidad LANIP]],"LANIP",IF(B110=Reactivos_[[#This Row],[Cantidad 
LDV]],"LDV",IF(B110=Reactivos_[[#This Row],[Cantidad LNDV]],"LNDV",IF(B110=Reactivos_[[#This Row],[GGCA]],"GGCA",IF(B110=Reactivos_[[#This Row],[Cantidad LDF]],"LDF",IF(Reactivos_[[#This Row],[Cantidad LDF&amp;MR]],"LDF&amp;MR",IF(B110=Reactivos_[[#This Row],[Cantidad RED LASE]],"LASE",IF(B110=Reactivos_[[#This Row],[Cantidad LANIA]],"LANIA",IF(B110=Reactivos_[[#This Row],[Cantidad SPA]],"SPA"," ")))))))))</f>
        <v>LDV</v>
      </c>
      <c r="B11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10" s="325">
        <v>108</v>
      </c>
      <c r="D110" s="326">
        <v>129</v>
      </c>
      <c r="E110" s="327" t="s">
        <v>390</v>
      </c>
      <c r="F110" s="338"/>
      <c r="G110" s="339"/>
      <c r="H110" s="328" t="s">
        <v>375</v>
      </c>
      <c r="I110" s="329" t="s">
        <v>391</v>
      </c>
      <c r="J11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10" s="160">
        <v>3224965</v>
      </c>
      <c r="L110" s="160">
        <f>+Reactivos_[[#This Row],[Cantidad]]*Reactivos_[[#This Row],[Valor de referencia]]</f>
        <v>16124825</v>
      </c>
      <c r="M110" s="254">
        <v>0</v>
      </c>
      <c r="N110" s="255">
        <f>+Reactivos_[[#This Row],[Valor de referencia]]*Reactivos_[[#This Row],[Cantidad LANIP]]</f>
        <v>0</v>
      </c>
      <c r="O110" s="256">
        <v>5</v>
      </c>
      <c r="P110" s="255">
        <f>+Reactivos_[[#This Row],[Cantidad 
LDV]]*Reactivos_[[#This Row],[Valor de referencia]]</f>
        <v>16124825</v>
      </c>
      <c r="Q110" s="257"/>
      <c r="R110" s="255">
        <f>+Reactivos_[[#This Row],[Cantidad LNDV]]*Reactivos_[[#This Row],[Valor de referencia]]</f>
        <v>0</v>
      </c>
      <c r="S110" s="148"/>
      <c r="T110" s="255">
        <f>+Reactivos_[[#This Row],[GGCA]]*Reactivos_[[#This Row],[Valor de referencia]]</f>
        <v>0</v>
      </c>
      <c r="U110" s="254"/>
      <c r="V110" s="255">
        <f>+Reactivos_[[#This Row],[Cantidad LDF]]*Reactivos_[[#This Row],[Valor de referencia]]</f>
        <v>0</v>
      </c>
      <c r="W110" s="254"/>
      <c r="X110" s="255">
        <f>+Reactivos_[[#This Row],[Cantidad LDF&amp;MR]]*Reactivos_[[#This Row],[Valor de referencia]]</f>
        <v>0</v>
      </c>
      <c r="Y110" s="254"/>
      <c r="Z110" s="255">
        <f>+Reactivos_[[#This Row],[Cantidad RED LASE]]*Reactivos_[[#This Row],[Valor de referencia]]</f>
        <v>0</v>
      </c>
      <c r="AA110" s="254"/>
      <c r="AB110" s="255">
        <f>+Reactivos_[[#This Row],[Cantidad LANIA]]*Reactivos_[[#This Row],[Valor de referencia]]</f>
        <v>0</v>
      </c>
      <c r="AC110" s="254"/>
      <c r="AD110" s="255">
        <f>+Reactivos_[[#This Row],[Cantidad SPA]]*Reactivos_[[#This Row],[Valor de referencia]]</f>
        <v>0</v>
      </c>
      <c r="AE110" s="148" t="s">
        <v>76</v>
      </c>
      <c r="AF110" s="310" t="s">
        <v>101</v>
      </c>
    </row>
    <row r="111" spans="1:32" ht="38.25" x14ac:dyDescent="0.25">
      <c r="A111" s="294" t="str">
        <f>IF(B111=Reactivos_[[#This Row],[Cantidad LANIP]],"LANIP",IF(B111=Reactivos_[[#This Row],[Cantidad 
LDV]],"LDV",IF(B111=Reactivos_[[#This Row],[Cantidad LNDV]],"LNDV",IF(B111=Reactivos_[[#This Row],[GGCA]],"GGCA",IF(B111=Reactivos_[[#This Row],[Cantidad LDF]],"LDF",IF(Reactivos_[[#This Row],[Cantidad LDF&amp;MR]],"LDF&amp;MR",IF(B111=Reactivos_[[#This Row],[Cantidad RED LASE]],"LASE",IF(B111=Reactivos_[[#This Row],[Cantidad LANIA]],"LANIA",IF(B111=Reactivos_[[#This Row],[Cantidad SPA]],"SPA"," ")))))))))</f>
        <v>LNDV</v>
      </c>
      <c r="B11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23</v>
      </c>
      <c r="C111" s="325">
        <v>109</v>
      </c>
      <c r="D111" s="326">
        <v>130</v>
      </c>
      <c r="E111" s="327" t="s">
        <v>392</v>
      </c>
      <c r="F111" s="244"/>
      <c r="G111" s="327"/>
      <c r="H111" s="346" t="s">
        <v>375</v>
      </c>
      <c r="I111" s="334" t="s">
        <v>393</v>
      </c>
      <c r="J11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28</v>
      </c>
      <c r="K111" s="160">
        <v>3224958</v>
      </c>
      <c r="L111" s="160">
        <f>+Reactivos_[[#This Row],[Cantidad]]*Reactivos_[[#This Row],[Valor de referencia]]</f>
        <v>90298824</v>
      </c>
      <c r="M111" s="254">
        <v>0</v>
      </c>
      <c r="N111" s="255">
        <f>+Reactivos_[[#This Row],[Valor de referencia]]*Reactivos_[[#This Row],[Cantidad LANIP]]</f>
        <v>0</v>
      </c>
      <c r="O111" s="256">
        <v>5</v>
      </c>
      <c r="P111" s="255">
        <f>+Reactivos_[[#This Row],[Cantidad 
LDV]]*Reactivos_[[#This Row],[Valor de referencia]]</f>
        <v>16124790</v>
      </c>
      <c r="Q111" s="257">
        <v>23</v>
      </c>
      <c r="R111" s="255">
        <f>+Reactivos_[[#This Row],[Cantidad LNDV]]*Reactivos_[[#This Row],[Valor de referencia]]</f>
        <v>74174034</v>
      </c>
      <c r="S111" s="148"/>
      <c r="T111" s="255">
        <f>+Reactivos_[[#This Row],[GGCA]]*Reactivos_[[#This Row],[Valor de referencia]]</f>
        <v>0</v>
      </c>
      <c r="U111" s="254"/>
      <c r="V111" s="255">
        <f>+Reactivos_[[#This Row],[Cantidad LDF]]*Reactivos_[[#This Row],[Valor de referencia]]</f>
        <v>0</v>
      </c>
      <c r="W111" s="254"/>
      <c r="X111" s="255">
        <f>+Reactivos_[[#This Row],[Cantidad LDF&amp;MR]]*Reactivos_[[#This Row],[Valor de referencia]]</f>
        <v>0</v>
      </c>
      <c r="Y111" s="254"/>
      <c r="Z111" s="255">
        <f>+Reactivos_[[#This Row],[Cantidad RED LASE]]*Reactivos_[[#This Row],[Valor de referencia]]</f>
        <v>0</v>
      </c>
      <c r="AA111" s="254"/>
      <c r="AB111" s="255">
        <f>+Reactivos_[[#This Row],[Cantidad LANIA]]*Reactivos_[[#This Row],[Valor de referencia]]</f>
        <v>0</v>
      </c>
      <c r="AC111" s="254"/>
      <c r="AD111" s="255">
        <f>+Reactivos_[[#This Row],[Cantidad SPA]]*Reactivos_[[#This Row],[Valor de referencia]]</f>
        <v>0</v>
      </c>
      <c r="AE111" s="148" t="s">
        <v>76</v>
      </c>
      <c r="AF111" s="310" t="s">
        <v>101</v>
      </c>
    </row>
    <row r="112" spans="1:32" ht="25.5" customHeight="1" x14ac:dyDescent="0.25">
      <c r="A112" s="294" t="str">
        <f>IF(B112=Reactivos_[[#This Row],[Cantidad LANIP]],"LANIP",IF(B112=Reactivos_[[#This Row],[Cantidad 
LDV]],"LDV",IF(B112=Reactivos_[[#This Row],[Cantidad LNDV]],"LNDV",IF(B112=Reactivos_[[#This Row],[GGCA]],"GGCA",IF(B112=Reactivos_[[#This Row],[Cantidad LDF]],"LDF",IF(Reactivos_[[#This Row],[Cantidad LDF&amp;MR]],"LDF&amp;MR",IF(B112=Reactivos_[[#This Row],[Cantidad RED LASE]],"LASE",IF(B112=Reactivos_[[#This Row],[Cantidad LANIA]],"LANIA",IF(B112=Reactivos_[[#This Row],[Cantidad SPA]],"SPA"," ")))))))))</f>
        <v>LNDV</v>
      </c>
      <c r="B11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112" s="325">
        <v>110</v>
      </c>
      <c r="D112" s="326">
        <v>131</v>
      </c>
      <c r="E112" s="327" t="s">
        <v>394</v>
      </c>
      <c r="F112" s="244"/>
      <c r="G112" s="327"/>
      <c r="H112" s="346" t="s">
        <v>375</v>
      </c>
      <c r="I112" s="334" t="s">
        <v>393</v>
      </c>
      <c r="J11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112" s="160">
        <v>3224958</v>
      </c>
      <c r="L112" s="160">
        <f>+Reactivos_[[#This Row],[Cantidad]]*Reactivos_[[#This Row],[Valor de referencia]]</f>
        <v>41924454</v>
      </c>
      <c r="M112" s="254">
        <v>0</v>
      </c>
      <c r="N112" s="255">
        <f>+Reactivos_[[#This Row],[Valor de referencia]]*Reactivos_[[#This Row],[Cantidad LANIP]]</f>
        <v>0</v>
      </c>
      <c r="O112" s="256">
        <v>5</v>
      </c>
      <c r="P112" s="255">
        <f>+Reactivos_[[#This Row],[Cantidad 
LDV]]*Reactivos_[[#This Row],[Valor de referencia]]</f>
        <v>16124790</v>
      </c>
      <c r="Q112" s="257">
        <v>8</v>
      </c>
      <c r="R112" s="255">
        <f>+Reactivos_[[#This Row],[Cantidad LNDV]]*Reactivos_[[#This Row],[Valor de referencia]]</f>
        <v>25799664</v>
      </c>
      <c r="S112" s="148"/>
      <c r="T112" s="255">
        <f>+Reactivos_[[#This Row],[GGCA]]*Reactivos_[[#This Row],[Valor de referencia]]</f>
        <v>0</v>
      </c>
      <c r="U112" s="254"/>
      <c r="V112" s="255">
        <f>+Reactivos_[[#This Row],[Cantidad LDF]]*Reactivos_[[#This Row],[Valor de referencia]]</f>
        <v>0</v>
      </c>
      <c r="W112" s="254"/>
      <c r="X112" s="255">
        <f>+Reactivos_[[#This Row],[Cantidad LDF&amp;MR]]*Reactivos_[[#This Row],[Valor de referencia]]</f>
        <v>0</v>
      </c>
      <c r="Y112" s="254"/>
      <c r="Z112" s="255">
        <f>+Reactivos_[[#This Row],[Cantidad RED LASE]]*Reactivos_[[#This Row],[Valor de referencia]]</f>
        <v>0</v>
      </c>
      <c r="AA112" s="254"/>
      <c r="AB112" s="255">
        <f>+Reactivos_[[#This Row],[Cantidad LANIA]]*Reactivos_[[#This Row],[Valor de referencia]]</f>
        <v>0</v>
      </c>
      <c r="AC112" s="254"/>
      <c r="AD112" s="255">
        <f>+Reactivos_[[#This Row],[Cantidad SPA]]*Reactivos_[[#This Row],[Valor de referencia]]</f>
        <v>0</v>
      </c>
      <c r="AE112" s="148" t="s">
        <v>76</v>
      </c>
      <c r="AF112" s="310" t="s">
        <v>101</v>
      </c>
    </row>
    <row r="113" spans="1:32" ht="38.25" x14ac:dyDescent="0.25">
      <c r="A113" s="294" t="str">
        <f>IF(B113=Reactivos_[[#This Row],[Cantidad LANIP]],"LANIP",IF(B113=Reactivos_[[#This Row],[Cantidad 
LDV]],"LDV",IF(B113=Reactivos_[[#This Row],[Cantidad LNDV]],"LNDV",IF(B113=Reactivos_[[#This Row],[GGCA]],"GGCA",IF(B113=Reactivos_[[#This Row],[Cantidad LDF]],"LDF",IF(Reactivos_[[#This Row],[Cantidad LDF&amp;MR]],"LDF&amp;MR",IF(B113=Reactivos_[[#This Row],[Cantidad RED LASE]],"LASE",IF(B113=Reactivos_[[#This Row],[Cantidad LANIA]],"LANIA",IF(B113=Reactivos_[[#This Row],[Cantidad SPA]],"SPA"," ")))))))))</f>
        <v>LNDV</v>
      </c>
      <c r="B11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113" s="325">
        <v>111</v>
      </c>
      <c r="D113" s="326">
        <v>132</v>
      </c>
      <c r="E113" s="327" t="s">
        <v>395</v>
      </c>
      <c r="F113" s="244"/>
      <c r="G113" s="327"/>
      <c r="H113" s="346" t="s">
        <v>375</v>
      </c>
      <c r="I113" s="334" t="s">
        <v>393</v>
      </c>
      <c r="J11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113" s="160">
        <v>3224958</v>
      </c>
      <c r="L113" s="160">
        <f>+Reactivos_[[#This Row],[Cantidad]]*Reactivos_[[#This Row],[Valor de referencia]]</f>
        <v>41924454</v>
      </c>
      <c r="M113" s="254">
        <v>0</v>
      </c>
      <c r="N113" s="255">
        <f>+Reactivos_[[#This Row],[Valor de referencia]]*Reactivos_[[#This Row],[Cantidad LANIP]]</f>
        <v>0</v>
      </c>
      <c r="O113" s="256">
        <v>5</v>
      </c>
      <c r="P113" s="255">
        <f>+Reactivos_[[#This Row],[Cantidad 
LDV]]*Reactivos_[[#This Row],[Valor de referencia]]</f>
        <v>16124790</v>
      </c>
      <c r="Q113" s="257">
        <v>8</v>
      </c>
      <c r="R113" s="255">
        <f>+Reactivos_[[#This Row],[Cantidad LNDV]]*Reactivos_[[#This Row],[Valor de referencia]]</f>
        <v>25799664</v>
      </c>
      <c r="S113" s="148"/>
      <c r="T113" s="255">
        <f>+Reactivos_[[#This Row],[GGCA]]*Reactivos_[[#This Row],[Valor de referencia]]</f>
        <v>0</v>
      </c>
      <c r="U113" s="254"/>
      <c r="V113" s="255">
        <f>+Reactivos_[[#This Row],[Cantidad LDF]]*Reactivos_[[#This Row],[Valor de referencia]]</f>
        <v>0</v>
      </c>
      <c r="W113" s="254"/>
      <c r="X113" s="255">
        <f>+Reactivos_[[#This Row],[Cantidad LDF&amp;MR]]*Reactivos_[[#This Row],[Valor de referencia]]</f>
        <v>0</v>
      </c>
      <c r="Y113" s="254"/>
      <c r="Z113" s="255">
        <f>+Reactivos_[[#This Row],[Cantidad RED LASE]]*Reactivos_[[#This Row],[Valor de referencia]]</f>
        <v>0</v>
      </c>
      <c r="AA113" s="254"/>
      <c r="AB113" s="255">
        <f>+Reactivos_[[#This Row],[Cantidad LANIA]]*Reactivos_[[#This Row],[Valor de referencia]]</f>
        <v>0</v>
      </c>
      <c r="AC113" s="254"/>
      <c r="AD113" s="255">
        <f>+Reactivos_[[#This Row],[Cantidad SPA]]*Reactivos_[[#This Row],[Valor de referencia]]</f>
        <v>0</v>
      </c>
      <c r="AE113" s="148" t="s">
        <v>76</v>
      </c>
      <c r="AF113" s="310" t="s">
        <v>101</v>
      </c>
    </row>
    <row r="114" spans="1:32" ht="25.5" x14ac:dyDescent="0.25">
      <c r="A114" s="294" t="str">
        <f>IF(B114=Reactivos_[[#This Row],[Cantidad LANIP]],"LANIP",IF(B114=Reactivos_[[#This Row],[Cantidad 
LDV]],"LDV",IF(B114=Reactivos_[[#This Row],[Cantidad LNDV]],"LNDV",IF(B114=Reactivos_[[#This Row],[GGCA]],"GGCA",IF(B114=Reactivos_[[#This Row],[Cantidad LDF]],"LDF",IF(Reactivos_[[#This Row],[Cantidad LDF&amp;MR]],"LDF&amp;MR",IF(B114=Reactivos_[[#This Row],[Cantidad RED LASE]],"LASE",IF(B114=Reactivos_[[#This Row],[Cantidad LANIA]],"LANIA",IF(B114=Reactivos_[[#This Row],[Cantidad SPA]],"SPA"," ")))))))))</f>
        <v>LANIA</v>
      </c>
      <c r="B11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14" s="325">
        <v>112</v>
      </c>
      <c r="D114" s="326">
        <v>133</v>
      </c>
      <c r="E114" s="327" t="s">
        <v>396</v>
      </c>
      <c r="F114" s="338"/>
      <c r="G114" s="339"/>
      <c r="H114" s="330" t="s">
        <v>397</v>
      </c>
      <c r="I114" s="347" t="s">
        <v>398</v>
      </c>
      <c r="J11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14" s="160">
        <v>2197639</v>
      </c>
      <c r="L114" s="160">
        <f>+Reactivos_[[#This Row],[Cantidad]]*Reactivos_[[#This Row],[Valor de referencia]]</f>
        <v>4395278</v>
      </c>
      <c r="M114" s="254">
        <v>0</v>
      </c>
      <c r="N114" s="255">
        <f>+Reactivos_[[#This Row],[Valor de referencia]]*Reactivos_[[#This Row],[Cantidad LANIP]]</f>
        <v>0</v>
      </c>
      <c r="O114" s="256"/>
      <c r="P114" s="255">
        <f>+Reactivos_[[#This Row],[Cantidad 
LDV]]*Reactivos_[[#This Row],[Valor de referencia]]</f>
        <v>0</v>
      </c>
      <c r="Q114" s="257"/>
      <c r="R114" s="255">
        <f>+Reactivos_[[#This Row],[Cantidad LNDV]]*Reactivos_[[#This Row],[Valor de referencia]]</f>
        <v>0</v>
      </c>
      <c r="S114" s="148"/>
      <c r="T114" s="255">
        <f>+Reactivos_[[#This Row],[GGCA]]*Reactivos_[[#This Row],[Valor de referencia]]</f>
        <v>0</v>
      </c>
      <c r="U114" s="254"/>
      <c r="V114" s="255">
        <f>+Reactivos_[[#This Row],[Cantidad LDF]]*Reactivos_[[#This Row],[Valor de referencia]]</f>
        <v>0</v>
      </c>
      <c r="W114" s="254"/>
      <c r="X114" s="255">
        <f>+Reactivos_[[#This Row],[Cantidad LDF&amp;MR]]*Reactivos_[[#This Row],[Valor de referencia]]</f>
        <v>0</v>
      </c>
      <c r="Y114" s="254"/>
      <c r="Z114" s="255">
        <f>+Reactivos_[[#This Row],[Cantidad RED LASE]]*Reactivos_[[#This Row],[Valor de referencia]]</f>
        <v>0</v>
      </c>
      <c r="AA114" s="254">
        <v>2</v>
      </c>
      <c r="AB114" s="255">
        <f>+Reactivos_[[#This Row],[Cantidad LANIA]]*Reactivos_[[#This Row],[Valor de referencia]]</f>
        <v>4395278</v>
      </c>
      <c r="AC114" s="254"/>
      <c r="AD114" s="255">
        <f>+Reactivos_[[#This Row],[Cantidad SPA]]*Reactivos_[[#This Row],[Valor de referencia]]</f>
        <v>0</v>
      </c>
      <c r="AE114" s="148" t="s">
        <v>76</v>
      </c>
      <c r="AF114" s="148" t="s">
        <v>77</v>
      </c>
    </row>
    <row r="115" spans="1:32" ht="25.5" x14ac:dyDescent="0.25">
      <c r="A115" s="294" t="str">
        <f>IF(B115=Reactivos_[[#This Row],[Cantidad LANIP]],"LANIP",IF(B115=Reactivos_[[#This Row],[Cantidad 
LDV]],"LDV",IF(B115=Reactivos_[[#This Row],[Cantidad LNDV]],"LNDV",IF(B115=Reactivos_[[#This Row],[GGCA]],"GGCA",IF(B115=Reactivos_[[#This Row],[Cantidad LDF]],"LDF",IF(Reactivos_[[#This Row],[Cantidad LDF&amp;MR]],"LDF&amp;MR",IF(B115=Reactivos_[[#This Row],[Cantidad RED LASE]],"LASE",IF(B115=Reactivos_[[#This Row],[Cantidad LANIA]],"LANIA",IF(B115=Reactivos_[[#This Row],[Cantidad SPA]],"SPA"," ")))))))))</f>
        <v>LANIA</v>
      </c>
      <c r="B11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15" s="325">
        <v>113</v>
      </c>
      <c r="D115" s="326">
        <v>134</v>
      </c>
      <c r="E115" s="327" t="s">
        <v>399</v>
      </c>
      <c r="F115" s="338"/>
      <c r="G115" s="339"/>
      <c r="H115" s="330" t="s">
        <v>397</v>
      </c>
      <c r="I115" s="347" t="s">
        <v>398</v>
      </c>
      <c r="J11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15" s="160">
        <v>2659184</v>
      </c>
      <c r="L115" s="160">
        <f>+Reactivos_[[#This Row],[Cantidad]]*Reactivos_[[#This Row],[Valor de referencia]]</f>
        <v>5318368</v>
      </c>
      <c r="M115" s="254">
        <v>0</v>
      </c>
      <c r="N115" s="255">
        <f>+Reactivos_[[#This Row],[Valor de referencia]]*Reactivos_[[#This Row],[Cantidad LANIP]]</f>
        <v>0</v>
      </c>
      <c r="O115" s="256"/>
      <c r="P115" s="255">
        <f>+Reactivos_[[#This Row],[Cantidad 
LDV]]*Reactivos_[[#This Row],[Valor de referencia]]</f>
        <v>0</v>
      </c>
      <c r="Q115" s="257"/>
      <c r="R115" s="255">
        <f>+Reactivos_[[#This Row],[Cantidad LNDV]]*Reactivos_[[#This Row],[Valor de referencia]]</f>
        <v>0</v>
      </c>
      <c r="S115" s="148"/>
      <c r="T115" s="255">
        <f>+Reactivos_[[#This Row],[GGCA]]*Reactivos_[[#This Row],[Valor de referencia]]</f>
        <v>0</v>
      </c>
      <c r="U115" s="254"/>
      <c r="V115" s="255">
        <f>+Reactivos_[[#This Row],[Cantidad LDF]]*Reactivos_[[#This Row],[Valor de referencia]]</f>
        <v>0</v>
      </c>
      <c r="W115" s="254"/>
      <c r="X115" s="255">
        <f>+Reactivos_[[#This Row],[Cantidad LDF&amp;MR]]*Reactivos_[[#This Row],[Valor de referencia]]</f>
        <v>0</v>
      </c>
      <c r="Y115" s="254"/>
      <c r="Z115" s="255">
        <f>+Reactivos_[[#This Row],[Cantidad RED LASE]]*Reactivos_[[#This Row],[Valor de referencia]]</f>
        <v>0</v>
      </c>
      <c r="AA115" s="254">
        <v>2</v>
      </c>
      <c r="AB115" s="255">
        <f>+Reactivos_[[#This Row],[Cantidad LANIA]]*Reactivos_[[#This Row],[Valor de referencia]]</f>
        <v>5318368</v>
      </c>
      <c r="AC115" s="254"/>
      <c r="AD115" s="255">
        <f>+Reactivos_[[#This Row],[Cantidad SPA]]*Reactivos_[[#This Row],[Valor de referencia]]</f>
        <v>0</v>
      </c>
      <c r="AE115" s="148" t="s">
        <v>76</v>
      </c>
      <c r="AF115" s="148" t="s">
        <v>77</v>
      </c>
    </row>
    <row r="116" spans="1:32" x14ac:dyDescent="0.25">
      <c r="A116" s="294" t="str">
        <f>IF(B116=Reactivos_[[#This Row],[Cantidad LANIP]],"LANIP",IF(B116=Reactivos_[[#This Row],[Cantidad 
LDV]],"LDV",IF(B116=Reactivos_[[#This Row],[Cantidad LNDV]],"LNDV",IF(B116=Reactivos_[[#This Row],[GGCA]],"GGCA",IF(B116=Reactivos_[[#This Row],[Cantidad LDF]],"LDF",IF(Reactivos_[[#This Row],[Cantidad LDF&amp;MR]],"LDF&amp;MR",IF(B116=Reactivos_[[#This Row],[Cantidad RED LASE]],"LASE",IF(B116=Reactivos_[[#This Row],[Cantidad LANIA]],"LANIA",IF(B116=Reactivos_[[#This Row],[Cantidad SPA]],"SPA"," ")))))))))</f>
        <v>LNDV</v>
      </c>
      <c r="B11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116" s="325">
        <v>114</v>
      </c>
      <c r="D116" s="326">
        <v>135</v>
      </c>
      <c r="E116" s="327" t="s">
        <v>400</v>
      </c>
      <c r="F116" s="244"/>
      <c r="G116" s="327"/>
      <c r="H116" s="346" t="s">
        <v>401</v>
      </c>
      <c r="I116" s="334" t="s">
        <v>402</v>
      </c>
      <c r="J11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K116" s="160">
        <v>837098</v>
      </c>
      <c r="L116" s="160">
        <f>+Reactivos_[[#This Row],[Cantidad]]*Reactivos_[[#This Row],[Valor de referencia]]</f>
        <v>12556470</v>
      </c>
      <c r="M116" s="254">
        <v>0</v>
      </c>
      <c r="N116" s="255">
        <f>+Reactivos_[[#This Row],[Valor de referencia]]*Reactivos_[[#This Row],[Cantidad LANIP]]</f>
        <v>0</v>
      </c>
      <c r="O116" s="256">
        <v>5</v>
      </c>
      <c r="P116" s="255">
        <f>+Reactivos_[[#This Row],[Cantidad 
LDV]]*Reactivos_[[#This Row],[Valor de referencia]]</f>
        <v>4185490</v>
      </c>
      <c r="Q116" s="257">
        <v>10</v>
      </c>
      <c r="R116" s="255">
        <f>+Reactivos_[[#This Row],[Cantidad LNDV]]*Reactivos_[[#This Row],[Valor de referencia]]</f>
        <v>8370980</v>
      </c>
      <c r="S116" s="148"/>
      <c r="T116" s="255">
        <f>+Reactivos_[[#This Row],[GGCA]]*Reactivos_[[#This Row],[Valor de referencia]]</f>
        <v>0</v>
      </c>
      <c r="U116" s="254"/>
      <c r="V116" s="255">
        <f>+Reactivos_[[#This Row],[Cantidad LDF]]*Reactivos_[[#This Row],[Valor de referencia]]</f>
        <v>0</v>
      </c>
      <c r="W116" s="254"/>
      <c r="X116" s="255">
        <f>+Reactivos_[[#This Row],[Cantidad LDF&amp;MR]]*Reactivos_[[#This Row],[Valor de referencia]]</f>
        <v>0</v>
      </c>
      <c r="Y116" s="254"/>
      <c r="Z116" s="255">
        <f>+Reactivos_[[#This Row],[Cantidad RED LASE]]*Reactivos_[[#This Row],[Valor de referencia]]</f>
        <v>0</v>
      </c>
      <c r="AA116" s="254"/>
      <c r="AB116" s="255">
        <f>+Reactivos_[[#This Row],[Cantidad LANIA]]*Reactivos_[[#This Row],[Valor de referencia]]</f>
        <v>0</v>
      </c>
      <c r="AC116" s="254"/>
      <c r="AD116" s="255">
        <f>+Reactivos_[[#This Row],[Cantidad SPA]]*Reactivos_[[#This Row],[Valor de referencia]]</f>
        <v>0</v>
      </c>
      <c r="AE116" s="148" t="s">
        <v>76</v>
      </c>
      <c r="AF116" s="310" t="s">
        <v>101</v>
      </c>
    </row>
    <row r="117" spans="1:32" ht="25.5" x14ac:dyDescent="0.25">
      <c r="A117" s="294" t="str">
        <f>IF(B117=Reactivos_[[#This Row],[Cantidad LANIP]],"LANIP",IF(B117=Reactivos_[[#This Row],[Cantidad 
LDV]],"LDV",IF(B117=Reactivos_[[#This Row],[Cantidad LNDV]],"LNDV",IF(B117=Reactivos_[[#This Row],[GGCA]],"GGCA",IF(B117=Reactivos_[[#This Row],[Cantidad LDF]],"LDF",IF(Reactivos_[[#This Row],[Cantidad LDF&amp;MR]],"LDF&amp;MR",IF(B117=Reactivos_[[#This Row],[Cantidad RED LASE]],"LASE",IF(B117=Reactivos_[[#This Row],[Cantidad LANIA]],"LANIA",IF(B117=Reactivos_[[#This Row],[Cantidad SPA]],"SPA"," ")))))))))</f>
        <v>LDV</v>
      </c>
      <c r="B11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117" s="325">
        <v>115</v>
      </c>
      <c r="D117" s="326">
        <v>136</v>
      </c>
      <c r="E117" s="331" t="s">
        <v>403</v>
      </c>
      <c r="F117" s="332"/>
      <c r="G117" s="331"/>
      <c r="H117" s="333" t="s">
        <v>388</v>
      </c>
      <c r="I117" s="334" t="s">
        <v>404</v>
      </c>
      <c r="J11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117" s="160">
        <v>1742088</v>
      </c>
      <c r="L117" s="160">
        <f>+Reactivos_[[#This Row],[Cantidad]]*Reactivos_[[#This Row],[Valor de referencia]]</f>
        <v>22647144</v>
      </c>
      <c r="M117" s="254">
        <v>0</v>
      </c>
      <c r="N117" s="255">
        <f>+Reactivos_[[#This Row],[Valor de referencia]]*Reactivos_[[#This Row],[Cantidad LANIP]]</f>
        <v>0</v>
      </c>
      <c r="O117" s="256">
        <v>13</v>
      </c>
      <c r="P117" s="255">
        <f>+Reactivos_[[#This Row],[Cantidad 
LDV]]*Reactivos_[[#This Row],[Valor de referencia]]</f>
        <v>22647144</v>
      </c>
      <c r="Q117" s="257"/>
      <c r="R117" s="255">
        <f>+Reactivos_[[#This Row],[Cantidad LNDV]]*Reactivos_[[#This Row],[Valor de referencia]]</f>
        <v>0</v>
      </c>
      <c r="S117" s="148"/>
      <c r="T117" s="255">
        <f>+Reactivos_[[#This Row],[GGCA]]*Reactivos_[[#This Row],[Valor de referencia]]</f>
        <v>0</v>
      </c>
      <c r="U117" s="254"/>
      <c r="V117" s="255">
        <f>+Reactivos_[[#This Row],[Cantidad LDF]]*Reactivos_[[#This Row],[Valor de referencia]]</f>
        <v>0</v>
      </c>
      <c r="W117" s="254"/>
      <c r="X117" s="255">
        <f>+Reactivos_[[#This Row],[Cantidad LDF&amp;MR]]*Reactivos_[[#This Row],[Valor de referencia]]</f>
        <v>0</v>
      </c>
      <c r="Y117" s="254"/>
      <c r="Z117" s="255">
        <f>+Reactivos_[[#This Row],[Cantidad RED LASE]]*Reactivos_[[#This Row],[Valor de referencia]]</f>
        <v>0</v>
      </c>
      <c r="AA117" s="254"/>
      <c r="AB117" s="255">
        <f>+Reactivos_[[#This Row],[Cantidad LANIA]]*Reactivos_[[#This Row],[Valor de referencia]]</f>
        <v>0</v>
      </c>
      <c r="AC117" s="254"/>
      <c r="AD117" s="255">
        <f>+Reactivos_[[#This Row],[Cantidad SPA]]*Reactivos_[[#This Row],[Valor de referencia]]</f>
        <v>0</v>
      </c>
      <c r="AE117" s="148" t="s">
        <v>76</v>
      </c>
      <c r="AF117" s="148" t="s">
        <v>77</v>
      </c>
    </row>
    <row r="118" spans="1:32" ht="25.5" x14ac:dyDescent="0.25">
      <c r="A118" s="294" t="str">
        <f>IF(B118=Reactivos_[[#This Row],[Cantidad LANIP]],"LANIP",IF(B118=Reactivos_[[#This Row],[Cantidad 
LDV]],"LDV",IF(B118=Reactivos_[[#This Row],[Cantidad LNDV]],"LNDV",IF(B118=Reactivos_[[#This Row],[GGCA]],"GGCA",IF(B118=Reactivos_[[#This Row],[Cantidad LDF]],"LDF",IF(Reactivos_[[#This Row],[Cantidad LDF&amp;MR]],"LDF&amp;MR",IF(B118=Reactivos_[[#This Row],[Cantidad RED LASE]],"LASE",IF(B118=Reactivos_[[#This Row],[Cantidad LANIA]],"LANIA",IF(B118=Reactivos_[[#This Row],[Cantidad SPA]],"SPA"," ")))))))))</f>
        <v>LDV</v>
      </c>
      <c r="B11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118" s="325">
        <v>116</v>
      </c>
      <c r="D118" s="326">
        <v>137</v>
      </c>
      <c r="E118" s="327" t="s">
        <v>405</v>
      </c>
      <c r="F118" s="244"/>
      <c r="G118" s="327"/>
      <c r="H118" s="346" t="s">
        <v>406</v>
      </c>
      <c r="I118" s="334" t="s">
        <v>404</v>
      </c>
      <c r="J11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118" s="160">
        <v>3798503</v>
      </c>
      <c r="L118" s="160">
        <f>+Reactivos_[[#This Row],[Cantidad]]*Reactivos_[[#This Row],[Valor de referencia]]</f>
        <v>60776048</v>
      </c>
      <c r="M118" s="254">
        <v>0</v>
      </c>
      <c r="N118" s="255">
        <f>+Reactivos_[[#This Row],[Valor de referencia]]*Reactivos_[[#This Row],[Cantidad LANIP]]</f>
        <v>0</v>
      </c>
      <c r="O118" s="256">
        <v>13</v>
      </c>
      <c r="P118" s="255">
        <f>+Reactivos_[[#This Row],[Cantidad 
LDV]]*Reactivos_[[#This Row],[Valor de referencia]]</f>
        <v>49380539</v>
      </c>
      <c r="Q118" s="257">
        <v>3</v>
      </c>
      <c r="R118" s="255">
        <f>+Reactivos_[[#This Row],[Cantidad LNDV]]*Reactivos_[[#This Row],[Valor de referencia]]</f>
        <v>11395509</v>
      </c>
      <c r="S118" s="148"/>
      <c r="T118" s="255">
        <f>+Reactivos_[[#This Row],[GGCA]]*Reactivos_[[#This Row],[Valor de referencia]]</f>
        <v>0</v>
      </c>
      <c r="U118" s="254"/>
      <c r="V118" s="255">
        <f>+Reactivos_[[#This Row],[Cantidad LDF]]*Reactivos_[[#This Row],[Valor de referencia]]</f>
        <v>0</v>
      </c>
      <c r="W118" s="254"/>
      <c r="X118" s="255">
        <f>+Reactivos_[[#This Row],[Cantidad LDF&amp;MR]]*Reactivos_[[#This Row],[Valor de referencia]]</f>
        <v>0</v>
      </c>
      <c r="Y118" s="254"/>
      <c r="Z118" s="255">
        <f>+Reactivos_[[#This Row],[Cantidad RED LASE]]*Reactivos_[[#This Row],[Valor de referencia]]</f>
        <v>0</v>
      </c>
      <c r="AA118" s="254"/>
      <c r="AB118" s="255">
        <f>+Reactivos_[[#This Row],[Cantidad LANIA]]*Reactivos_[[#This Row],[Valor de referencia]]</f>
        <v>0</v>
      </c>
      <c r="AC118" s="254"/>
      <c r="AD118" s="255">
        <f>+Reactivos_[[#This Row],[Cantidad SPA]]*Reactivos_[[#This Row],[Valor de referencia]]</f>
        <v>0</v>
      </c>
      <c r="AE118" s="148" t="s">
        <v>76</v>
      </c>
      <c r="AF118" s="148" t="s">
        <v>77</v>
      </c>
    </row>
    <row r="119" spans="1:32" ht="45" customHeight="1" x14ac:dyDescent="0.25">
      <c r="A119" s="294" t="str">
        <f>IF(B119=Reactivos_[[#This Row],[Cantidad LANIP]],"LANIP",IF(B119=Reactivos_[[#This Row],[Cantidad 
LDV]],"LDV",IF(B119=Reactivos_[[#This Row],[Cantidad LNDV]],"LNDV",IF(B119=Reactivos_[[#This Row],[GGCA]],"GGCA",IF(B119=Reactivos_[[#This Row],[Cantidad LDF]],"LDF",IF(Reactivos_[[#This Row],[Cantidad LDF&amp;MR]],"LDF&amp;MR",IF(B119=Reactivos_[[#This Row],[Cantidad RED LASE]],"LASE",IF(B119=Reactivos_[[#This Row],[Cantidad LANIA]],"LANIA",IF(B119=Reactivos_[[#This Row],[Cantidad SPA]],"SPA"," ")))))))))</f>
        <v>LNDV</v>
      </c>
      <c r="B11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19" s="325">
        <v>117</v>
      </c>
      <c r="D119" s="326">
        <v>138</v>
      </c>
      <c r="E119" s="245" t="s">
        <v>407</v>
      </c>
      <c r="F119" s="244"/>
      <c r="G119" s="245"/>
      <c r="H119" s="349" t="s">
        <v>408</v>
      </c>
      <c r="I119" s="336" t="s">
        <v>409</v>
      </c>
      <c r="J11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19" s="160">
        <v>1286670</v>
      </c>
      <c r="L119" s="160">
        <f>+Reactivos_[[#This Row],[Cantidad]]*Reactivos_[[#This Row],[Valor de referencia]]</f>
        <v>2573340</v>
      </c>
      <c r="M119" s="254">
        <v>0</v>
      </c>
      <c r="N119" s="255">
        <f>+Reactivos_[[#This Row],[Valor de referencia]]*Reactivos_[[#This Row],[Cantidad LANIP]]</f>
        <v>0</v>
      </c>
      <c r="O119" s="256"/>
      <c r="P119" s="255">
        <f>+Reactivos_[[#This Row],[Cantidad 
LDV]]*Reactivos_[[#This Row],[Valor de referencia]]</f>
        <v>0</v>
      </c>
      <c r="Q119" s="257">
        <v>2</v>
      </c>
      <c r="R119" s="255">
        <f>+Reactivos_[[#This Row],[Cantidad LNDV]]*Reactivos_[[#This Row],[Valor de referencia]]</f>
        <v>2573340</v>
      </c>
      <c r="S119" s="148"/>
      <c r="T119" s="255">
        <f>+Reactivos_[[#This Row],[GGCA]]*Reactivos_[[#This Row],[Valor de referencia]]</f>
        <v>0</v>
      </c>
      <c r="U119" s="254"/>
      <c r="V119" s="255">
        <f>+Reactivos_[[#This Row],[Cantidad LDF]]*Reactivos_[[#This Row],[Valor de referencia]]</f>
        <v>0</v>
      </c>
      <c r="W119" s="254"/>
      <c r="X119" s="255">
        <f>+Reactivos_[[#This Row],[Cantidad LDF&amp;MR]]*Reactivos_[[#This Row],[Valor de referencia]]</f>
        <v>0</v>
      </c>
      <c r="Y119" s="254"/>
      <c r="Z119" s="255">
        <f>+Reactivos_[[#This Row],[Cantidad RED LASE]]*Reactivos_[[#This Row],[Valor de referencia]]</f>
        <v>0</v>
      </c>
      <c r="AA119" s="254"/>
      <c r="AB119" s="255">
        <f>+Reactivos_[[#This Row],[Cantidad LANIA]]*Reactivos_[[#This Row],[Valor de referencia]]</f>
        <v>0</v>
      </c>
      <c r="AC119" s="254"/>
      <c r="AD119" s="255">
        <f>+Reactivos_[[#This Row],[Cantidad SPA]]*Reactivos_[[#This Row],[Valor de referencia]]</f>
        <v>0</v>
      </c>
      <c r="AE119" s="148" t="s">
        <v>76</v>
      </c>
      <c r="AF119" s="148" t="s">
        <v>77</v>
      </c>
    </row>
    <row r="120" spans="1:32" ht="53.25" customHeight="1" x14ac:dyDescent="0.25">
      <c r="A120" s="294" t="str">
        <f>IF(B120=Reactivos_[[#This Row],[Cantidad LANIP]],"LANIP",IF(B120=Reactivos_[[#This Row],[Cantidad 
LDV]],"LDV",IF(B120=Reactivos_[[#This Row],[Cantidad LNDV]],"LNDV",IF(B120=Reactivos_[[#This Row],[GGCA]],"GGCA",IF(B120=Reactivos_[[#This Row],[Cantidad LDF]],"LDF",IF(Reactivos_[[#This Row],[Cantidad LDF&amp;MR]],"LDF&amp;MR",IF(B120=Reactivos_[[#This Row],[Cantidad RED LASE]],"LASE",IF(B120=Reactivos_[[#This Row],[Cantidad LANIA]],"LANIA",IF(B120=Reactivos_[[#This Row],[Cantidad SPA]],"SPA"," ")))))))))</f>
        <v>LNDV</v>
      </c>
      <c r="B12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20" s="325">
        <v>118</v>
      </c>
      <c r="D120" s="326">
        <v>139</v>
      </c>
      <c r="E120" s="245" t="s">
        <v>410</v>
      </c>
      <c r="F120" s="244"/>
      <c r="G120" s="245"/>
      <c r="H120" s="349" t="s">
        <v>408</v>
      </c>
      <c r="I120" s="336" t="s">
        <v>409</v>
      </c>
      <c r="J12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20" s="160">
        <v>4968040</v>
      </c>
      <c r="L120" s="160">
        <f>+Reactivos_[[#This Row],[Cantidad]]*Reactivos_[[#This Row],[Valor de referencia]]</f>
        <v>4968040</v>
      </c>
      <c r="M120" s="254">
        <v>0</v>
      </c>
      <c r="N120" s="255">
        <f>+Reactivos_[[#This Row],[Valor de referencia]]*Reactivos_[[#This Row],[Cantidad LANIP]]</f>
        <v>0</v>
      </c>
      <c r="O120" s="256"/>
      <c r="P120" s="255">
        <f>+Reactivos_[[#This Row],[Cantidad 
LDV]]*Reactivos_[[#This Row],[Valor de referencia]]</f>
        <v>0</v>
      </c>
      <c r="Q120" s="257">
        <v>1</v>
      </c>
      <c r="R120" s="255">
        <f>+Reactivos_[[#This Row],[Cantidad LNDV]]*Reactivos_[[#This Row],[Valor de referencia]]</f>
        <v>4968040</v>
      </c>
      <c r="S120" s="148"/>
      <c r="T120" s="255">
        <f>+Reactivos_[[#This Row],[GGCA]]*Reactivos_[[#This Row],[Valor de referencia]]</f>
        <v>0</v>
      </c>
      <c r="U120" s="254"/>
      <c r="V120" s="255">
        <f>+Reactivos_[[#This Row],[Cantidad LDF]]*Reactivos_[[#This Row],[Valor de referencia]]</f>
        <v>0</v>
      </c>
      <c r="W120" s="254"/>
      <c r="X120" s="255">
        <f>+Reactivos_[[#This Row],[Cantidad LDF&amp;MR]]*Reactivos_[[#This Row],[Valor de referencia]]</f>
        <v>0</v>
      </c>
      <c r="Y120" s="254"/>
      <c r="Z120" s="255">
        <f>+Reactivos_[[#This Row],[Cantidad RED LASE]]*Reactivos_[[#This Row],[Valor de referencia]]</f>
        <v>0</v>
      </c>
      <c r="AA120" s="254"/>
      <c r="AB120" s="255">
        <f>+Reactivos_[[#This Row],[Cantidad LANIA]]*Reactivos_[[#This Row],[Valor de referencia]]</f>
        <v>0</v>
      </c>
      <c r="AC120" s="254"/>
      <c r="AD120" s="255">
        <f>+Reactivos_[[#This Row],[Cantidad SPA]]*Reactivos_[[#This Row],[Valor de referencia]]</f>
        <v>0</v>
      </c>
      <c r="AE120" s="148" t="s">
        <v>76</v>
      </c>
      <c r="AF120" s="148" t="s">
        <v>77</v>
      </c>
    </row>
    <row r="121" spans="1:32" ht="36" customHeight="1" x14ac:dyDescent="0.25">
      <c r="A121" s="294" t="str">
        <f>IF(B121=Reactivos_[[#This Row],[Cantidad LANIP]],"LANIP",IF(B121=Reactivos_[[#This Row],[Cantidad 
LDV]],"LDV",IF(B121=Reactivos_[[#This Row],[Cantidad LNDV]],"LNDV",IF(B121=Reactivos_[[#This Row],[GGCA]],"GGCA",IF(B121=Reactivos_[[#This Row],[Cantidad LDF]],"LDF",IF(Reactivos_[[#This Row],[Cantidad LDF&amp;MR]],"LDF&amp;MR",IF(B121=Reactivos_[[#This Row],[Cantidad RED LASE]],"LASE",IF(B121=Reactivos_[[#This Row],[Cantidad LANIA]],"LANIA",IF(B121=Reactivos_[[#This Row],[Cantidad SPA]],"SPA"," ")))))))))</f>
        <v>LNDV</v>
      </c>
      <c r="B12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21" s="325">
        <v>119</v>
      </c>
      <c r="D121" s="326">
        <v>140</v>
      </c>
      <c r="E121" s="245" t="s">
        <v>411</v>
      </c>
      <c r="F121" s="244"/>
      <c r="G121" s="245"/>
      <c r="H121" s="349" t="s">
        <v>408</v>
      </c>
      <c r="I121" s="336" t="s">
        <v>409</v>
      </c>
      <c r="J12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21" s="160">
        <v>1286670</v>
      </c>
      <c r="L121" s="160">
        <f>+Reactivos_[[#This Row],[Cantidad]]*Reactivos_[[#This Row],[Valor de referencia]]</f>
        <v>1286670</v>
      </c>
      <c r="M121" s="254">
        <v>0</v>
      </c>
      <c r="N121" s="255">
        <f>+Reactivos_[[#This Row],[Valor de referencia]]*Reactivos_[[#This Row],[Cantidad LANIP]]</f>
        <v>0</v>
      </c>
      <c r="O121" s="256"/>
      <c r="P121" s="255">
        <f>+Reactivos_[[#This Row],[Cantidad 
LDV]]*Reactivos_[[#This Row],[Valor de referencia]]</f>
        <v>0</v>
      </c>
      <c r="Q121" s="257">
        <v>1</v>
      </c>
      <c r="R121" s="255">
        <f>+Reactivos_[[#This Row],[Cantidad LNDV]]*Reactivos_[[#This Row],[Valor de referencia]]</f>
        <v>1286670</v>
      </c>
      <c r="S121" s="148"/>
      <c r="T121" s="255">
        <f>+Reactivos_[[#This Row],[GGCA]]*Reactivos_[[#This Row],[Valor de referencia]]</f>
        <v>0</v>
      </c>
      <c r="U121" s="254"/>
      <c r="V121" s="255">
        <f>+Reactivos_[[#This Row],[Cantidad LDF]]*Reactivos_[[#This Row],[Valor de referencia]]</f>
        <v>0</v>
      </c>
      <c r="W121" s="254"/>
      <c r="X121" s="255">
        <f>+Reactivos_[[#This Row],[Cantidad LDF&amp;MR]]*Reactivos_[[#This Row],[Valor de referencia]]</f>
        <v>0</v>
      </c>
      <c r="Y121" s="254"/>
      <c r="Z121" s="255">
        <f>+Reactivos_[[#This Row],[Cantidad RED LASE]]*Reactivos_[[#This Row],[Valor de referencia]]</f>
        <v>0</v>
      </c>
      <c r="AA121" s="254"/>
      <c r="AB121" s="255">
        <f>+Reactivos_[[#This Row],[Cantidad LANIA]]*Reactivos_[[#This Row],[Valor de referencia]]</f>
        <v>0</v>
      </c>
      <c r="AC121" s="254"/>
      <c r="AD121" s="255">
        <f>+Reactivos_[[#This Row],[Cantidad SPA]]*Reactivos_[[#This Row],[Valor de referencia]]</f>
        <v>0</v>
      </c>
      <c r="AE121" s="148" t="s">
        <v>76</v>
      </c>
      <c r="AF121" s="148" t="s">
        <v>77</v>
      </c>
    </row>
    <row r="122" spans="1:32" ht="35.25" customHeight="1" x14ac:dyDescent="0.25">
      <c r="A122" s="294" t="str">
        <f>IF(B122=Reactivos_[[#This Row],[Cantidad LANIP]],"LANIP",IF(B122=Reactivos_[[#This Row],[Cantidad 
LDV]],"LDV",IF(B122=Reactivos_[[#This Row],[Cantidad LNDV]],"LNDV",IF(B122=Reactivos_[[#This Row],[GGCA]],"GGCA",IF(B122=Reactivos_[[#This Row],[Cantidad LDF]],"LDF",IF(Reactivos_[[#This Row],[Cantidad LDF&amp;MR]],"LDF&amp;MR",IF(B122=Reactivos_[[#This Row],[Cantidad RED LASE]],"LASE",IF(B122=Reactivos_[[#This Row],[Cantidad LANIA]],"LANIA",IF(B122=Reactivos_[[#This Row],[Cantidad SPA]],"SPA"," ")))))))))</f>
        <v>LNDV</v>
      </c>
      <c r="B12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22" s="325">
        <v>120</v>
      </c>
      <c r="D122" s="326">
        <v>141</v>
      </c>
      <c r="E122" s="245" t="s">
        <v>412</v>
      </c>
      <c r="F122" s="244"/>
      <c r="G122" s="245"/>
      <c r="H122" s="349" t="s">
        <v>408</v>
      </c>
      <c r="I122" s="336" t="s">
        <v>409</v>
      </c>
      <c r="J12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22" s="160">
        <v>1635480</v>
      </c>
      <c r="L122" s="160">
        <f>+Reactivos_[[#This Row],[Cantidad]]*Reactivos_[[#This Row],[Valor de referencia]]</f>
        <v>1635480</v>
      </c>
      <c r="M122" s="254">
        <v>0</v>
      </c>
      <c r="N122" s="255">
        <f>+Reactivos_[[#This Row],[Valor de referencia]]*Reactivos_[[#This Row],[Cantidad LANIP]]</f>
        <v>0</v>
      </c>
      <c r="O122" s="256"/>
      <c r="P122" s="255">
        <f>+Reactivos_[[#This Row],[Cantidad 
LDV]]*Reactivos_[[#This Row],[Valor de referencia]]</f>
        <v>0</v>
      </c>
      <c r="Q122" s="257">
        <v>1</v>
      </c>
      <c r="R122" s="255">
        <f>+Reactivos_[[#This Row],[Cantidad LNDV]]*Reactivos_[[#This Row],[Valor de referencia]]</f>
        <v>1635480</v>
      </c>
      <c r="S122" s="148"/>
      <c r="T122" s="255">
        <f>+Reactivos_[[#This Row],[GGCA]]*Reactivos_[[#This Row],[Valor de referencia]]</f>
        <v>0</v>
      </c>
      <c r="U122" s="254"/>
      <c r="V122" s="255">
        <f>+Reactivos_[[#This Row],[Cantidad LDF]]*Reactivos_[[#This Row],[Valor de referencia]]</f>
        <v>0</v>
      </c>
      <c r="W122" s="254"/>
      <c r="X122" s="255">
        <f>+Reactivos_[[#This Row],[Cantidad LDF&amp;MR]]*Reactivos_[[#This Row],[Valor de referencia]]</f>
        <v>0</v>
      </c>
      <c r="Y122" s="254"/>
      <c r="Z122" s="255">
        <f>+Reactivos_[[#This Row],[Cantidad RED LASE]]*Reactivos_[[#This Row],[Valor de referencia]]</f>
        <v>0</v>
      </c>
      <c r="AA122" s="254"/>
      <c r="AB122" s="255">
        <f>+Reactivos_[[#This Row],[Cantidad LANIA]]*Reactivos_[[#This Row],[Valor de referencia]]</f>
        <v>0</v>
      </c>
      <c r="AC122" s="254"/>
      <c r="AD122" s="255">
        <f>+Reactivos_[[#This Row],[Cantidad SPA]]*Reactivos_[[#This Row],[Valor de referencia]]</f>
        <v>0</v>
      </c>
      <c r="AE122" s="148" t="s">
        <v>76</v>
      </c>
      <c r="AF122" s="148" t="s">
        <v>77</v>
      </c>
    </row>
    <row r="123" spans="1:32" ht="45.75" customHeight="1" x14ac:dyDescent="0.25">
      <c r="A123" s="294" t="str">
        <f>IF(B123=Reactivos_[[#This Row],[Cantidad LANIP]],"LANIP",IF(B123=Reactivos_[[#This Row],[Cantidad 
LDV]],"LDV",IF(B123=Reactivos_[[#This Row],[Cantidad LNDV]],"LNDV",IF(B123=Reactivos_[[#This Row],[GGCA]],"GGCA",IF(B123=Reactivos_[[#This Row],[Cantidad LDF]],"LDF",IF(Reactivos_[[#This Row],[Cantidad LDF&amp;MR]],"LDF&amp;MR",IF(B123=Reactivos_[[#This Row],[Cantidad RED LASE]],"LASE",IF(B123=Reactivos_[[#This Row],[Cantidad LANIA]],"LANIA",IF(B123=Reactivos_[[#This Row],[Cantidad SPA]],"SPA"," ")))))))))</f>
        <v>LNDV</v>
      </c>
      <c r="B12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23" s="325">
        <v>121</v>
      </c>
      <c r="D123" s="326">
        <v>143</v>
      </c>
      <c r="E123" s="245" t="s">
        <v>413</v>
      </c>
      <c r="F123" s="244"/>
      <c r="G123" s="245"/>
      <c r="H123" s="349" t="s">
        <v>408</v>
      </c>
      <c r="I123" s="336" t="s">
        <v>409</v>
      </c>
      <c r="J12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23" s="160">
        <v>1531530</v>
      </c>
      <c r="L123" s="160">
        <f>+Reactivos_[[#This Row],[Cantidad]]*Reactivos_[[#This Row],[Valor de referencia]]</f>
        <v>1531530</v>
      </c>
      <c r="M123" s="254">
        <v>0</v>
      </c>
      <c r="N123" s="255">
        <f>+Reactivos_[[#This Row],[Valor de referencia]]*Reactivos_[[#This Row],[Cantidad LANIP]]</f>
        <v>0</v>
      </c>
      <c r="O123" s="256"/>
      <c r="P123" s="255">
        <f>+Reactivos_[[#This Row],[Cantidad 
LDV]]*Reactivos_[[#This Row],[Valor de referencia]]</f>
        <v>0</v>
      </c>
      <c r="Q123" s="257">
        <v>1</v>
      </c>
      <c r="R123" s="255">
        <f>+Reactivos_[[#This Row],[Cantidad LNDV]]*Reactivos_[[#This Row],[Valor de referencia]]</f>
        <v>1531530</v>
      </c>
      <c r="S123" s="148"/>
      <c r="T123" s="255">
        <f>+Reactivos_[[#This Row],[GGCA]]*Reactivos_[[#This Row],[Valor de referencia]]</f>
        <v>0</v>
      </c>
      <c r="U123" s="254"/>
      <c r="V123" s="255">
        <f>+Reactivos_[[#This Row],[Cantidad LDF]]*Reactivos_[[#This Row],[Valor de referencia]]</f>
        <v>0</v>
      </c>
      <c r="W123" s="254"/>
      <c r="X123" s="255">
        <f>+Reactivos_[[#This Row],[Cantidad LDF&amp;MR]]*Reactivos_[[#This Row],[Valor de referencia]]</f>
        <v>0</v>
      </c>
      <c r="Y123" s="254"/>
      <c r="Z123" s="255">
        <f>+Reactivos_[[#This Row],[Cantidad RED LASE]]*Reactivos_[[#This Row],[Valor de referencia]]</f>
        <v>0</v>
      </c>
      <c r="AA123" s="254"/>
      <c r="AB123" s="255">
        <f>+Reactivos_[[#This Row],[Cantidad LANIA]]*Reactivos_[[#This Row],[Valor de referencia]]</f>
        <v>0</v>
      </c>
      <c r="AC123" s="254"/>
      <c r="AD123" s="255">
        <f>+Reactivos_[[#This Row],[Cantidad SPA]]*Reactivos_[[#This Row],[Valor de referencia]]</f>
        <v>0</v>
      </c>
      <c r="AE123" s="148" t="s">
        <v>76</v>
      </c>
      <c r="AF123" s="148" t="s">
        <v>77</v>
      </c>
    </row>
    <row r="124" spans="1:32" ht="47.25" customHeight="1" x14ac:dyDescent="0.25">
      <c r="A124" s="294" t="str">
        <f>IF(B124=Reactivos_[[#This Row],[Cantidad LANIP]],"LANIP",IF(B124=Reactivos_[[#This Row],[Cantidad 
LDV]],"LDV",IF(B124=Reactivos_[[#This Row],[Cantidad LNDV]],"LNDV",IF(B124=Reactivos_[[#This Row],[GGCA]],"GGCA",IF(B124=Reactivos_[[#This Row],[Cantidad LDF]],"LDF",IF(Reactivos_[[#This Row],[Cantidad LDF&amp;MR]],"LDF&amp;MR",IF(B124=Reactivos_[[#This Row],[Cantidad RED LASE]],"LASE",IF(B124=Reactivos_[[#This Row],[Cantidad LANIA]],"LANIA",IF(B124=Reactivos_[[#This Row],[Cantidad SPA]],"SPA"," ")))))))))</f>
        <v>LNDV</v>
      </c>
      <c r="B12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24" s="325">
        <v>122</v>
      </c>
      <c r="D124" s="326">
        <v>145</v>
      </c>
      <c r="E124" s="245" t="s">
        <v>414</v>
      </c>
      <c r="F124" s="244"/>
      <c r="G124" s="245"/>
      <c r="H124" s="349" t="s">
        <v>408</v>
      </c>
      <c r="I124" s="336" t="s">
        <v>409</v>
      </c>
      <c r="J12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24" s="160">
        <v>1635480</v>
      </c>
      <c r="L124" s="160">
        <f>+Reactivos_[[#This Row],[Cantidad]]*Reactivos_[[#This Row],[Valor de referencia]]</f>
        <v>1635480</v>
      </c>
      <c r="M124" s="254">
        <v>0</v>
      </c>
      <c r="N124" s="255">
        <f>+Reactivos_[[#This Row],[Valor de referencia]]*Reactivos_[[#This Row],[Cantidad LANIP]]</f>
        <v>0</v>
      </c>
      <c r="O124" s="256"/>
      <c r="P124" s="255">
        <f>+Reactivos_[[#This Row],[Cantidad 
LDV]]*Reactivos_[[#This Row],[Valor de referencia]]</f>
        <v>0</v>
      </c>
      <c r="Q124" s="257">
        <v>1</v>
      </c>
      <c r="R124" s="255">
        <f>+Reactivos_[[#This Row],[Cantidad LNDV]]*Reactivos_[[#This Row],[Valor de referencia]]</f>
        <v>1635480</v>
      </c>
      <c r="S124" s="148"/>
      <c r="T124" s="255">
        <f>+Reactivos_[[#This Row],[GGCA]]*Reactivos_[[#This Row],[Valor de referencia]]</f>
        <v>0</v>
      </c>
      <c r="U124" s="254"/>
      <c r="V124" s="255">
        <f>+Reactivos_[[#This Row],[Cantidad LDF]]*Reactivos_[[#This Row],[Valor de referencia]]</f>
        <v>0</v>
      </c>
      <c r="W124" s="254"/>
      <c r="X124" s="255">
        <f>+Reactivos_[[#This Row],[Cantidad LDF&amp;MR]]*Reactivos_[[#This Row],[Valor de referencia]]</f>
        <v>0</v>
      </c>
      <c r="Y124" s="254"/>
      <c r="Z124" s="255">
        <f>+Reactivos_[[#This Row],[Cantidad RED LASE]]*Reactivos_[[#This Row],[Valor de referencia]]</f>
        <v>0</v>
      </c>
      <c r="AA124" s="254"/>
      <c r="AB124" s="255">
        <f>+Reactivos_[[#This Row],[Cantidad LANIA]]*Reactivos_[[#This Row],[Valor de referencia]]</f>
        <v>0</v>
      </c>
      <c r="AC124" s="254"/>
      <c r="AD124" s="255">
        <f>+Reactivos_[[#This Row],[Cantidad SPA]]*Reactivos_[[#This Row],[Valor de referencia]]</f>
        <v>0</v>
      </c>
      <c r="AE124" s="148" t="s">
        <v>76</v>
      </c>
      <c r="AF124" s="148" t="s">
        <v>77</v>
      </c>
    </row>
    <row r="125" spans="1:32" ht="25.5" x14ac:dyDescent="0.25">
      <c r="A125" s="294" t="str">
        <f>IF(B125=Reactivos_[[#This Row],[Cantidad LANIP]],"LANIP",IF(B125=Reactivos_[[#This Row],[Cantidad 
LDV]],"LDV",IF(B125=Reactivos_[[#This Row],[Cantidad LNDV]],"LNDV",IF(B125=Reactivos_[[#This Row],[GGCA]],"GGCA",IF(B125=Reactivos_[[#This Row],[Cantidad LDF]],"LDF",IF(Reactivos_[[#This Row],[Cantidad LDF&amp;MR]],"LDF&amp;MR",IF(B125=Reactivos_[[#This Row],[Cantidad RED LASE]],"LASE",IF(B125=Reactivos_[[#This Row],[Cantidad LANIA]],"LANIA",IF(B125=Reactivos_[[#This Row],[Cantidad SPA]],"SPA"," ")))))))))</f>
        <v>LDV</v>
      </c>
      <c r="B12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125" s="325">
        <v>123</v>
      </c>
      <c r="D125" s="326">
        <v>150</v>
      </c>
      <c r="E125" s="245" t="s">
        <v>415</v>
      </c>
      <c r="F125" s="244"/>
      <c r="G125" s="245"/>
      <c r="H125" s="349" t="s">
        <v>408</v>
      </c>
      <c r="I125" s="336" t="s">
        <v>409</v>
      </c>
      <c r="J12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125" s="160">
        <v>1286670</v>
      </c>
      <c r="L125" s="160">
        <f>+Reactivos_[[#This Row],[Cantidad]]*Reactivos_[[#This Row],[Valor de referencia]]</f>
        <v>20586720</v>
      </c>
      <c r="M125" s="254">
        <v>0</v>
      </c>
      <c r="N125" s="255">
        <f>+Reactivos_[[#This Row],[Valor de referencia]]*Reactivos_[[#This Row],[Cantidad LANIP]]</f>
        <v>0</v>
      </c>
      <c r="O125" s="256">
        <v>13</v>
      </c>
      <c r="P125" s="255">
        <f>+Reactivos_[[#This Row],[Cantidad 
LDV]]*Reactivos_[[#This Row],[Valor de referencia]]</f>
        <v>16726710</v>
      </c>
      <c r="Q125" s="257">
        <v>1</v>
      </c>
      <c r="R125" s="255">
        <f>+Reactivos_[[#This Row],[Cantidad LNDV]]*Reactivos_[[#This Row],[Valor de referencia]]</f>
        <v>1286670</v>
      </c>
      <c r="S125" s="148"/>
      <c r="T125" s="255">
        <f>+Reactivos_[[#This Row],[GGCA]]*Reactivos_[[#This Row],[Valor de referencia]]</f>
        <v>0</v>
      </c>
      <c r="U125" s="254"/>
      <c r="V125" s="255">
        <f>+Reactivos_[[#This Row],[Cantidad LDF]]*Reactivos_[[#This Row],[Valor de referencia]]</f>
        <v>0</v>
      </c>
      <c r="W125" s="254"/>
      <c r="X125" s="255">
        <f>+Reactivos_[[#This Row],[Cantidad LDF&amp;MR]]*Reactivos_[[#This Row],[Valor de referencia]]</f>
        <v>0</v>
      </c>
      <c r="Y125" s="254"/>
      <c r="Z125" s="255">
        <f>+Reactivos_[[#This Row],[Cantidad RED LASE]]*Reactivos_[[#This Row],[Valor de referencia]]</f>
        <v>0</v>
      </c>
      <c r="AA125" s="254">
        <v>2</v>
      </c>
      <c r="AB125" s="255">
        <f>+Reactivos_[[#This Row],[Cantidad LANIA]]*Reactivos_[[#This Row],[Valor de referencia]]</f>
        <v>2573340</v>
      </c>
      <c r="AC125" s="254"/>
      <c r="AD125" s="255">
        <f>+Reactivos_[[#This Row],[Cantidad SPA]]*Reactivos_[[#This Row],[Valor de referencia]]</f>
        <v>0</v>
      </c>
      <c r="AE125" s="148" t="s">
        <v>76</v>
      </c>
      <c r="AF125" s="148" t="s">
        <v>77</v>
      </c>
    </row>
    <row r="126" spans="1:32" ht="25.5" x14ac:dyDescent="0.25">
      <c r="A126" s="294" t="str">
        <f>IF(B126=Reactivos_[[#This Row],[Cantidad LANIP]],"LANIP",IF(B126=Reactivos_[[#This Row],[Cantidad 
LDV]],"LDV",IF(B126=Reactivos_[[#This Row],[Cantidad LNDV]],"LNDV",IF(B126=Reactivos_[[#This Row],[GGCA]],"GGCA",IF(B126=Reactivos_[[#This Row],[Cantidad LDF]],"LDF",IF(Reactivos_[[#This Row],[Cantidad LDF&amp;MR]],"LDF&amp;MR",IF(B126=Reactivos_[[#This Row],[Cantidad RED LASE]],"LASE",IF(B126=Reactivos_[[#This Row],[Cantidad LANIA]],"LANIA",IF(B126=Reactivos_[[#This Row],[Cantidad SPA]],"SPA"," ")))))))))</f>
        <v>LDV</v>
      </c>
      <c r="B12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26" s="325">
        <v>124</v>
      </c>
      <c r="D126" s="326">
        <v>151</v>
      </c>
      <c r="E126" s="327" t="s">
        <v>416</v>
      </c>
      <c r="F126" s="244"/>
      <c r="G126" s="327"/>
      <c r="H126" s="349" t="s">
        <v>408</v>
      </c>
      <c r="I126" s="329" t="s">
        <v>417</v>
      </c>
      <c r="J12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26" s="160">
        <v>1497136</v>
      </c>
      <c r="L126" s="160">
        <f>+Reactivos_[[#This Row],[Cantidad]]*Reactivos_[[#This Row],[Valor de referencia]]</f>
        <v>1497136</v>
      </c>
      <c r="M126" s="254">
        <v>0</v>
      </c>
      <c r="N126" s="255">
        <f>+Reactivos_[[#This Row],[Valor de referencia]]*Reactivos_[[#This Row],[Cantidad LANIP]]</f>
        <v>0</v>
      </c>
      <c r="O126" s="256">
        <v>1</v>
      </c>
      <c r="P126" s="255">
        <f>+Reactivos_[[#This Row],[Cantidad 
LDV]]*Reactivos_[[#This Row],[Valor de referencia]]</f>
        <v>1497136</v>
      </c>
      <c r="Q126" s="257"/>
      <c r="R126" s="255">
        <f>+Reactivos_[[#This Row],[Cantidad LNDV]]*Reactivos_[[#This Row],[Valor de referencia]]</f>
        <v>0</v>
      </c>
      <c r="S126" s="148"/>
      <c r="T126" s="255">
        <f>+Reactivos_[[#This Row],[GGCA]]*Reactivos_[[#This Row],[Valor de referencia]]</f>
        <v>0</v>
      </c>
      <c r="U126" s="254"/>
      <c r="V126" s="255">
        <f>+Reactivos_[[#This Row],[Cantidad LDF]]*Reactivos_[[#This Row],[Valor de referencia]]</f>
        <v>0</v>
      </c>
      <c r="W126" s="254"/>
      <c r="X126" s="255">
        <f>+Reactivos_[[#This Row],[Cantidad LDF&amp;MR]]*Reactivos_[[#This Row],[Valor de referencia]]</f>
        <v>0</v>
      </c>
      <c r="Y126" s="254"/>
      <c r="Z126" s="255">
        <f>+Reactivos_[[#This Row],[Cantidad RED LASE]]*Reactivos_[[#This Row],[Valor de referencia]]</f>
        <v>0</v>
      </c>
      <c r="AA126" s="254"/>
      <c r="AB126" s="255">
        <f>+Reactivos_[[#This Row],[Cantidad LANIA]]*Reactivos_[[#This Row],[Valor de referencia]]</f>
        <v>0</v>
      </c>
      <c r="AC126" s="254"/>
      <c r="AD126" s="255">
        <f>+Reactivos_[[#This Row],[Cantidad SPA]]*Reactivos_[[#This Row],[Valor de referencia]]</f>
        <v>0</v>
      </c>
      <c r="AE126" s="148" t="s">
        <v>76</v>
      </c>
      <c r="AF126" s="148" t="s">
        <v>77</v>
      </c>
    </row>
    <row r="127" spans="1:32" ht="25.5" x14ac:dyDescent="0.25">
      <c r="A127" s="294" t="str">
        <f>IF(B127=Reactivos_[[#This Row],[Cantidad LANIP]],"LANIP",IF(B127=Reactivos_[[#This Row],[Cantidad 
LDV]],"LDV",IF(B127=Reactivos_[[#This Row],[Cantidad LNDV]],"LNDV",IF(B127=Reactivos_[[#This Row],[GGCA]],"GGCA",IF(B127=Reactivos_[[#This Row],[Cantidad LDF]],"LDF",IF(Reactivos_[[#This Row],[Cantidad LDF&amp;MR]],"LDF&amp;MR",IF(B127=Reactivos_[[#This Row],[Cantidad RED LASE]],"LASE",IF(B127=Reactivos_[[#This Row],[Cantidad LANIA]],"LANIA",IF(B127=Reactivos_[[#This Row],[Cantidad SPA]],"SPA"," ")))))))))</f>
        <v>LDV</v>
      </c>
      <c r="B12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27" s="325">
        <v>125</v>
      </c>
      <c r="D127" s="326">
        <v>152</v>
      </c>
      <c r="E127" s="327" t="s">
        <v>418</v>
      </c>
      <c r="F127" s="244"/>
      <c r="G127" s="327"/>
      <c r="H127" s="349" t="s">
        <v>408</v>
      </c>
      <c r="I127" s="347" t="s">
        <v>417</v>
      </c>
      <c r="J12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27" s="160">
        <v>3614982</v>
      </c>
      <c r="L127" s="160">
        <f>+Reactivos_[[#This Row],[Cantidad]]*Reactivos_[[#This Row],[Valor de referencia]]</f>
        <v>3614982</v>
      </c>
      <c r="M127" s="254">
        <v>0</v>
      </c>
      <c r="N127" s="255">
        <f>+Reactivos_[[#This Row],[Valor de referencia]]*Reactivos_[[#This Row],[Cantidad LANIP]]</f>
        <v>0</v>
      </c>
      <c r="O127" s="256">
        <v>1</v>
      </c>
      <c r="P127" s="255">
        <f>+Reactivos_[[#This Row],[Cantidad 
LDV]]*Reactivos_[[#This Row],[Valor de referencia]]</f>
        <v>3614982</v>
      </c>
      <c r="Q127" s="257"/>
      <c r="R127" s="255">
        <f>+Reactivos_[[#This Row],[Cantidad LNDV]]*Reactivos_[[#This Row],[Valor de referencia]]</f>
        <v>0</v>
      </c>
      <c r="S127" s="148"/>
      <c r="T127" s="255">
        <f>+Reactivos_[[#This Row],[GGCA]]*Reactivos_[[#This Row],[Valor de referencia]]</f>
        <v>0</v>
      </c>
      <c r="U127" s="254"/>
      <c r="V127" s="255">
        <f>+Reactivos_[[#This Row],[Cantidad LDF]]*Reactivos_[[#This Row],[Valor de referencia]]</f>
        <v>0</v>
      </c>
      <c r="W127" s="254"/>
      <c r="X127" s="255">
        <f>+Reactivos_[[#This Row],[Cantidad LDF&amp;MR]]*Reactivos_[[#This Row],[Valor de referencia]]</f>
        <v>0</v>
      </c>
      <c r="Y127" s="254"/>
      <c r="Z127" s="255">
        <f>+Reactivos_[[#This Row],[Cantidad RED LASE]]*Reactivos_[[#This Row],[Valor de referencia]]</f>
        <v>0</v>
      </c>
      <c r="AA127" s="254"/>
      <c r="AB127" s="255">
        <f>+Reactivos_[[#This Row],[Cantidad LANIA]]*Reactivos_[[#This Row],[Valor de referencia]]</f>
        <v>0</v>
      </c>
      <c r="AC127" s="254"/>
      <c r="AD127" s="255">
        <f>+Reactivos_[[#This Row],[Cantidad SPA]]*Reactivos_[[#This Row],[Valor de referencia]]</f>
        <v>0</v>
      </c>
      <c r="AE127" s="148" t="s">
        <v>76</v>
      </c>
      <c r="AF127" s="148" t="s">
        <v>77</v>
      </c>
    </row>
    <row r="128" spans="1:32" ht="45" customHeight="1" x14ac:dyDescent="0.25">
      <c r="A128" s="294" t="str">
        <f>IF(B128=Reactivos_[[#This Row],[Cantidad LANIP]],"LANIP",IF(B128=Reactivos_[[#This Row],[Cantidad 
LDV]],"LDV",IF(B128=Reactivos_[[#This Row],[Cantidad LNDV]],"LNDV",IF(B128=Reactivos_[[#This Row],[GGCA]],"GGCA",IF(B128=Reactivos_[[#This Row],[Cantidad LDF]],"LDF",IF(Reactivos_[[#This Row],[Cantidad LDF&amp;MR]],"LDF&amp;MR",IF(B128=Reactivos_[[#This Row],[Cantidad RED LASE]],"LASE",IF(B128=Reactivos_[[#This Row],[Cantidad LANIA]],"LANIA",IF(B128=Reactivos_[[#This Row],[Cantidad SPA]],"SPA"," ")))))))))</f>
        <v>LNDV</v>
      </c>
      <c r="B12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28" s="325">
        <v>126</v>
      </c>
      <c r="D128" s="326">
        <v>153</v>
      </c>
      <c r="E128" s="245" t="s">
        <v>419</v>
      </c>
      <c r="F128" s="244"/>
      <c r="G128" s="245"/>
      <c r="H128" s="346" t="s">
        <v>420</v>
      </c>
      <c r="I128" s="336" t="s">
        <v>421</v>
      </c>
      <c r="J12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28" s="160">
        <v>2724620</v>
      </c>
      <c r="L128" s="160">
        <f>+Reactivos_[[#This Row],[Cantidad]]*Reactivos_[[#This Row],[Valor de referencia]]</f>
        <v>2724620</v>
      </c>
      <c r="M128" s="254">
        <v>0</v>
      </c>
      <c r="N128" s="255">
        <f>+Reactivos_[[#This Row],[Valor de referencia]]*Reactivos_[[#This Row],[Cantidad LANIP]]</f>
        <v>0</v>
      </c>
      <c r="O128" s="256"/>
      <c r="P128" s="255">
        <f>+Reactivos_[[#This Row],[Cantidad 
LDV]]*Reactivos_[[#This Row],[Valor de referencia]]</f>
        <v>0</v>
      </c>
      <c r="Q128" s="257">
        <v>1</v>
      </c>
      <c r="R128" s="255">
        <f>+Reactivos_[[#This Row],[Cantidad LNDV]]*Reactivos_[[#This Row],[Valor de referencia]]</f>
        <v>2724620</v>
      </c>
      <c r="S128" s="148"/>
      <c r="T128" s="255">
        <f>+Reactivos_[[#This Row],[GGCA]]*Reactivos_[[#This Row],[Valor de referencia]]</f>
        <v>0</v>
      </c>
      <c r="U128" s="254"/>
      <c r="V128" s="255">
        <f>+Reactivos_[[#This Row],[Cantidad LDF]]*Reactivos_[[#This Row],[Valor de referencia]]</f>
        <v>0</v>
      </c>
      <c r="W128" s="254"/>
      <c r="X128" s="255">
        <f>+Reactivos_[[#This Row],[Cantidad LDF&amp;MR]]*Reactivos_[[#This Row],[Valor de referencia]]</f>
        <v>0</v>
      </c>
      <c r="Y128" s="254"/>
      <c r="Z128" s="255">
        <f>+Reactivos_[[#This Row],[Cantidad RED LASE]]*Reactivos_[[#This Row],[Valor de referencia]]</f>
        <v>0</v>
      </c>
      <c r="AA128" s="254"/>
      <c r="AB128" s="255">
        <f>+Reactivos_[[#This Row],[Cantidad LANIA]]*Reactivos_[[#This Row],[Valor de referencia]]</f>
        <v>0</v>
      </c>
      <c r="AC128" s="254"/>
      <c r="AD128" s="255">
        <f>+Reactivos_[[#This Row],[Cantidad SPA]]*Reactivos_[[#This Row],[Valor de referencia]]</f>
        <v>0</v>
      </c>
      <c r="AE128" s="148" t="s">
        <v>76</v>
      </c>
      <c r="AF128" s="148" t="s">
        <v>77</v>
      </c>
    </row>
    <row r="129" spans="1:32" ht="51" x14ac:dyDescent="0.25">
      <c r="A129" s="294" t="str">
        <f>IF(B129=Reactivos_[[#This Row],[Cantidad LANIP]],"LANIP",IF(B129=Reactivos_[[#This Row],[Cantidad 
LDV]],"LDV",IF(B129=Reactivos_[[#This Row],[Cantidad LNDV]],"LNDV",IF(B129=Reactivos_[[#This Row],[GGCA]],"GGCA",IF(B129=Reactivos_[[#This Row],[Cantidad LDF]],"LDF",IF(Reactivos_[[#This Row],[Cantidad LDF&amp;MR]],"LDF&amp;MR",IF(B129=Reactivos_[[#This Row],[Cantidad RED LASE]],"LASE",IF(B129=Reactivos_[[#This Row],[Cantidad LANIA]],"LANIA",IF(B129=Reactivos_[[#This Row],[Cantidad SPA]],"SPA"," ")))))))))</f>
        <v>LNDV</v>
      </c>
      <c r="B12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29" s="325">
        <v>127</v>
      </c>
      <c r="D129" s="326">
        <v>154</v>
      </c>
      <c r="E129" s="245" t="s">
        <v>422</v>
      </c>
      <c r="F129" s="244"/>
      <c r="G129" s="245"/>
      <c r="H129" s="346" t="s">
        <v>423</v>
      </c>
      <c r="I129" s="336" t="s">
        <v>421</v>
      </c>
      <c r="J12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29" s="160">
        <v>2724620</v>
      </c>
      <c r="L129" s="160">
        <f>+Reactivos_[[#This Row],[Cantidad]]*Reactivos_[[#This Row],[Valor de referencia]]</f>
        <v>2724620</v>
      </c>
      <c r="M129" s="254">
        <v>0</v>
      </c>
      <c r="N129" s="255">
        <f>+Reactivos_[[#This Row],[Valor de referencia]]*Reactivos_[[#This Row],[Cantidad LANIP]]</f>
        <v>0</v>
      </c>
      <c r="O129" s="256"/>
      <c r="P129" s="255">
        <f>+Reactivos_[[#This Row],[Cantidad 
LDV]]*Reactivos_[[#This Row],[Valor de referencia]]</f>
        <v>0</v>
      </c>
      <c r="Q129" s="257">
        <v>1</v>
      </c>
      <c r="R129" s="255">
        <f>+Reactivos_[[#This Row],[Cantidad LNDV]]*Reactivos_[[#This Row],[Valor de referencia]]</f>
        <v>2724620</v>
      </c>
      <c r="S129" s="148"/>
      <c r="T129" s="255">
        <f>+Reactivos_[[#This Row],[GGCA]]*Reactivos_[[#This Row],[Valor de referencia]]</f>
        <v>0</v>
      </c>
      <c r="U129" s="254"/>
      <c r="V129" s="255">
        <f>+Reactivos_[[#This Row],[Cantidad LDF]]*Reactivos_[[#This Row],[Valor de referencia]]</f>
        <v>0</v>
      </c>
      <c r="W129" s="254"/>
      <c r="X129" s="255">
        <f>+Reactivos_[[#This Row],[Cantidad LDF&amp;MR]]*Reactivos_[[#This Row],[Valor de referencia]]</f>
        <v>0</v>
      </c>
      <c r="Y129" s="254"/>
      <c r="Z129" s="255">
        <f>+Reactivos_[[#This Row],[Cantidad RED LASE]]*Reactivos_[[#This Row],[Valor de referencia]]</f>
        <v>0</v>
      </c>
      <c r="AA129" s="254"/>
      <c r="AB129" s="255">
        <f>+Reactivos_[[#This Row],[Cantidad LANIA]]*Reactivos_[[#This Row],[Valor de referencia]]</f>
        <v>0</v>
      </c>
      <c r="AC129" s="254"/>
      <c r="AD129" s="255">
        <f>+Reactivos_[[#This Row],[Cantidad SPA]]*Reactivos_[[#This Row],[Valor de referencia]]</f>
        <v>0</v>
      </c>
      <c r="AE129" s="148" t="s">
        <v>76</v>
      </c>
      <c r="AF129" s="148" t="s">
        <v>77</v>
      </c>
    </row>
    <row r="130" spans="1:32" ht="22.5" customHeight="1" x14ac:dyDescent="0.25">
      <c r="A130" s="294" t="str">
        <f>IF(B130=Reactivos_[[#This Row],[Cantidad LANIP]],"LANIP",IF(B130=Reactivos_[[#This Row],[Cantidad 
LDV]],"LDV",IF(B130=Reactivos_[[#This Row],[Cantidad LNDV]],"LNDV",IF(B130=Reactivos_[[#This Row],[GGCA]],"GGCA",IF(B130=Reactivos_[[#This Row],[Cantidad LDF]],"LDF",IF(Reactivos_[[#This Row],[Cantidad LDF&amp;MR]],"LDF&amp;MR",IF(B130=Reactivos_[[#This Row],[Cantidad RED LASE]],"LASE",IF(B130=Reactivos_[[#This Row],[Cantidad LANIA]],"LANIA",IF(B130=Reactivos_[[#This Row],[Cantidad SPA]],"SPA"," ")))))))))</f>
        <v>LNDV</v>
      </c>
      <c r="B13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30" s="325">
        <v>128</v>
      </c>
      <c r="D130" s="326">
        <v>155</v>
      </c>
      <c r="E130" s="245" t="s">
        <v>424</v>
      </c>
      <c r="F130" s="244"/>
      <c r="G130" s="245"/>
      <c r="H130" s="346" t="s">
        <v>425</v>
      </c>
      <c r="I130" s="336" t="s">
        <v>421</v>
      </c>
      <c r="J13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30" s="160">
        <v>5069680</v>
      </c>
      <c r="L130" s="160">
        <f>+Reactivos_[[#This Row],[Cantidad]]*Reactivos_[[#This Row],[Valor de referencia]]</f>
        <v>10139360</v>
      </c>
      <c r="M130" s="254">
        <v>0</v>
      </c>
      <c r="N130" s="255">
        <f>+Reactivos_[[#This Row],[Valor de referencia]]*Reactivos_[[#This Row],[Cantidad LANIP]]</f>
        <v>0</v>
      </c>
      <c r="O130" s="256"/>
      <c r="P130" s="255">
        <f>+Reactivos_[[#This Row],[Cantidad 
LDV]]*Reactivos_[[#This Row],[Valor de referencia]]</f>
        <v>0</v>
      </c>
      <c r="Q130" s="257">
        <v>2</v>
      </c>
      <c r="R130" s="255">
        <f>+Reactivos_[[#This Row],[Cantidad LNDV]]*Reactivos_[[#This Row],[Valor de referencia]]</f>
        <v>10139360</v>
      </c>
      <c r="S130" s="148"/>
      <c r="T130" s="255">
        <f>+Reactivos_[[#This Row],[GGCA]]*Reactivos_[[#This Row],[Valor de referencia]]</f>
        <v>0</v>
      </c>
      <c r="U130" s="254"/>
      <c r="V130" s="255">
        <f>+Reactivos_[[#This Row],[Cantidad LDF]]*Reactivos_[[#This Row],[Valor de referencia]]</f>
        <v>0</v>
      </c>
      <c r="W130" s="254"/>
      <c r="X130" s="255">
        <f>+Reactivos_[[#This Row],[Cantidad LDF&amp;MR]]*Reactivos_[[#This Row],[Valor de referencia]]</f>
        <v>0</v>
      </c>
      <c r="Y130" s="254"/>
      <c r="Z130" s="255">
        <f>+Reactivos_[[#This Row],[Cantidad RED LASE]]*Reactivos_[[#This Row],[Valor de referencia]]</f>
        <v>0</v>
      </c>
      <c r="AA130" s="254"/>
      <c r="AB130" s="255">
        <f>+Reactivos_[[#This Row],[Cantidad LANIA]]*Reactivos_[[#This Row],[Valor de referencia]]</f>
        <v>0</v>
      </c>
      <c r="AC130" s="254"/>
      <c r="AD130" s="255">
        <f>+Reactivos_[[#This Row],[Cantidad SPA]]*Reactivos_[[#This Row],[Valor de referencia]]</f>
        <v>0</v>
      </c>
      <c r="AE130" s="148" t="s">
        <v>76</v>
      </c>
      <c r="AF130" s="148" t="s">
        <v>77</v>
      </c>
    </row>
    <row r="131" spans="1:32" ht="51" x14ac:dyDescent="0.25">
      <c r="A131" s="294" t="str">
        <f>IF(B131=Reactivos_[[#This Row],[Cantidad LANIP]],"LANIP",IF(B131=Reactivos_[[#This Row],[Cantidad 
LDV]],"LDV",IF(B131=Reactivos_[[#This Row],[Cantidad LNDV]],"LNDV",IF(B131=Reactivos_[[#This Row],[GGCA]],"GGCA",IF(B131=Reactivos_[[#This Row],[Cantidad LDF]],"LDF",IF(Reactivos_[[#This Row],[Cantidad LDF&amp;MR]],"LDF&amp;MR",IF(B131=Reactivos_[[#This Row],[Cantidad RED LASE]],"LASE",IF(B131=Reactivos_[[#This Row],[Cantidad LANIA]],"LANIA",IF(B131=Reactivos_[[#This Row],[Cantidad SPA]],"SPA"," ")))))))))</f>
        <v>LNDV</v>
      </c>
      <c r="B13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31" s="325">
        <v>129</v>
      </c>
      <c r="D131" s="326">
        <v>156</v>
      </c>
      <c r="E131" s="327" t="s">
        <v>426</v>
      </c>
      <c r="F131" s="354"/>
      <c r="G131" s="245"/>
      <c r="H131" s="328" t="s">
        <v>427</v>
      </c>
      <c r="I131" s="329" t="s">
        <v>428</v>
      </c>
      <c r="J13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31" s="160">
        <v>5998671</v>
      </c>
      <c r="L131" s="160">
        <f>+Reactivos_[[#This Row],[Cantidad]]*Reactivos_[[#This Row],[Valor de referencia]]</f>
        <v>5998671</v>
      </c>
      <c r="M131" s="254">
        <v>0</v>
      </c>
      <c r="N131" s="255">
        <f>+Reactivos_[[#This Row],[Valor de referencia]]*Reactivos_[[#This Row],[Cantidad LANIP]]</f>
        <v>0</v>
      </c>
      <c r="O131" s="256"/>
      <c r="P131" s="255">
        <f>+Reactivos_[[#This Row],[Cantidad 
LDV]]*Reactivos_[[#This Row],[Valor de referencia]]</f>
        <v>0</v>
      </c>
      <c r="Q131" s="257">
        <v>1</v>
      </c>
      <c r="R131" s="255">
        <f>+Reactivos_[[#This Row],[Cantidad LNDV]]*Reactivos_[[#This Row],[Valor de referencia]]</f>
        <v>5998671</v>
      </c>
      <c r="S131" s="148"/>
      <c r="T131" s="255">
        <f>+Reactivos_[[#This Row],[GGCA]]*Reactivos_[[#This Row],[Valor de referencia]]</f>
        <v>0</v>
      </c>
      <c r="U131" s="254"/>
      <c r="V131" s="255">
        <f>+Reactivos_[[#This Row],[Cantidad LDF]]*Reactivos_[[#This Row],[Valor de referencia]]</f>
        <v>0</v>
      </c>
      <c r="W131" s="254"/>
      <c r="X131" s="255">
        <f>+Reactivos_[[#This Row],[Cantidad LDF&amp;MR]]*Reactivos_[[#This Row],[Valor de referencia]]</f>
        <v>0</v>
      </c>
      <c r="Y131" s="254"/>
      <c r="Z131" s="255">
        <f>+Reactivos_[[#This Row],[Cantidad RED LASE]]*Reactivos_[[#This Row],[Valor de referencia]]</f>
        <v>0</v>
      </c>
      <c r="AA131" s="254"/>
      <c r="AB131" s="255">
        <f>+Reactivos_[[#This Row],[Cantidad LANIA]]*Reactivos_[[#This Row],[Valor de referencia]]</f>
        <v>0</v>
      </c>
      <c r="AC131" s="254"/>
      <c r="AD131" s="255">
        <f>+Reactivos_[[#This Row],[Cantidad SPA]]*Reactivos_[[#This Row],[Valor de referencia]]</f>
        <v>0</v>
      </c>
      <c r="AE131" s="148" t="s">
        <v>76</v>
      </c>
      <c r="AF131" s="148" t="s">
        <v>77</v>
      </c>
    </row>
    <row r="132" spans="1:32" ht="47.25" customHeight="1" x14ac:dyDescent="0.25">
      <c r="A132" s="294" t="str">
        <f>IF(B132=Reactivos_[[#This Row],[Cantidad LANIP]],"LANIP",IF(B132=Reactivos_[[#This Row],[Cantidad 
LDV]],"LDV",IF(B132=Reactivos_[[#This Row],[Cantidad LNDV]],"LNDV",IF(B132=Reactivos_[[#This Row],[GGCA]],"GGCA",IF(B132=Reactivos_[[#This Row],[Cantidad LDF]],"LDF",IF(Reactivos_[[#This Row],[Cantidad LDF&amp;MR]],"LDF&amp;MR",IF(B132=Reactivos_[[#This Row],[Cantidad RED LASE]],"LASE",IF(B132=Reactivos_[[#This Row],[Cantidad LANIA]],"LANIA",IF(B132=Reactivos_[[#This Row],[Cantidad SPA]],"SPA"," ")))))))))</f>
        <v>LDV</v>
      </c>
      <c r="B13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59</v>
      </c>
      <c r="C132" s="325">
        <v>130</v>
      </c>
      <c r="D132" s="326">
        <v>157</v>
      </c>
      <c r="E132" s="327" t="s">
        <v>429</v>
      </c>
      <c r="F132" s="244"/>
      <c r="G132" s="327"/>
      <c r="H132" s="346" t="s">
        <v>430</v>
      </c>
      <c r="I132" s="334" t="s">
        <v>431</v>
      </c>
      <c r="J13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83</v>
      </c>
      <c r="K132" s="160">
        <v>5045417</v>
      </c>
      <c r="L132" s="160">
        <f>+Reactivos_[[#This Row],[Cantidad]]*Reactivos_[[#This Row],[Valor de referencia]]</f>
        <v>418769611</v>
      </c>
      <c r="M132" s="254">
        <v>2</v>
      </c>
      <c r="N132" s="255">
        <f>+Reactivos_[[#This Row],[Valor de referencia]]*Reactivos_[[#This Row],[Cantidad LANIP]]</f>
        <v>10090834</v>
      </c>
      <c r="O132" s="256">
        <v>59</v>
      </c>
      <c r="P132" s="255">
        <f>+Reactivos_[[#This Row],[Cantidad 
LDV]]*Reactivos_[[#This Row],[Valor de referencia]]</f>
        <v>297679603</v>
      </c>
      <c r="Q132" s="257">
        <v>20</v>
      </c>
      <c r="R132" s="255">
        <f>+Reactivos_[[#This Row],[Cantidad LNDV]]*Reactivos_[[#This Row],[Valor de referencia]]</f>
        <v>100908340</v>
      </c>
      <c r="S132" s="148"/>
      <c r="T132" s="255">
        <f>+Reactivos_[[#This Row],[GGCA]]*Reactivos_[[#This Row],[Valor de referencia]]</f>
        <v>0</v>
      </c>
      <c r="U132" s="254">
        <v>2</v>
      </c>
      <c r="V132" s="255">
        <f>+Reactivos_[[#This Row],[Cantidad LDF]]*Reactivos_[[#This Row],[Valor de referencia]]</f>
        <v>10090834</v>
      </c>
      <c r="W132" s="254"/>
      <c r="X132" s="255">
        <f>+Reactivos_[[#This Row],[Cantidad LDF&amp;MR]]*Reactivos_[[#This Row],[Valor de referencia]]</f>
        <v>0</v>
      </c>
      <c r="Y132" s="254"/>
      <c r="Z132" s="255">
        <f>+Reactivos_[[#This Row],[Cantidad RED LASE]]*Reactivos_[[#This Row],[Valor de referencia]]</f>
        <v>0</v>
      </c>
      <c r="AA132" s="254"/>
      <c r="AB132" s="255">
        <f>+Reactivos_[[#This Row],[Cantidad LANIA]]*Reactivos_[[#This Row],[Valor de referencia]]</f>
        <v>0</v>
      </c>
      <c r="AC132" s="254"/>
      <c r="AD132" s="255">
        <f>+Reactivos_[[#This Row],[Cantidad SPA]]*Reactivos_[[#This Row],[Valor de referencia]]</f>
        <v>0</v>
      </c>
      <c r="AE132" s="148" t="s">
        <v>76</v>
      </c>
      <c r="AF132" s="148" t="s">
        <v>77</v>
      </c>
    </row>
    <row r="133" spans="1:32" ht="54" customHeight="1" x14ac:dyDescent="0.25">
      <c r="A133" s="294" t="str">
        <f>IF(B133=Reactivos_[[#This Row],[Cantidad LANIP]],"LANIP",IF(B133=Reactivos_[[#This Row],[Cantidad 
LDV]],"LDV",IF(B133=Reactivos_[[#This Row],[Cantidad LNDV]],"LNDV",IF(B133=Reactivos_[[#This Row],[GGCA]],"GGCA",IF(B133=Reactivos_[[#This Row],[Cantidad LDF]],"LDF",IF(Reactivos_[[#This Row],[Cantidad LDF&amp;MR]],"LDF&amp;MR",IF(B133=Reactivos_[[#This Row],[Cantidad RED LASE]],"LASE",IF(B133=Reactivos_[[#This Row],[Cantidad LANIA]],"LANIA",IF(B133=Reactivos_[[#This Row],[Cantidad SPA]],"SPA"," ")))))))))</f>
        <v>LDV</v>
      </c>
      <c r="B13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33" s="325">
        <v>131</v>
      </c>
      <c r="D133" s="326">
        <v>158</v>
      </c>
      <c r="E133" s="245" t="s">
        <v>432</v>
      </c>
      <c r="F133" s="354"/>
      <c r="G133" s="245"/>
      <c r="H133" s="346" t="s">
        <v>433</v>
      </c>
      <c r="I133" s="336" t="s">
        <v>434</v>
      </c>
      <c r="J13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133" s="160">
        <v>5728541</v>
      </c>
      <c r="L133" s="160">
        <f>+Reactivos_[[#This Row],[Cantidad]]*Reactivos_[[#This Row],[Valor de referencia]]</f>
        <v>40099787</v>
      </c>
      <c r="M133" s="254">
        <v>0</v>
      </c>
      <c r="N133" s="255">
        <f>+Reactivos_[[#This Row],[Valor de referencia]]*Reactivos_[[#This Row],[Cantidad LANIP]]</f>
        <v>0</v>
      </c>
      <c r="O133" s="256">
        <v>5</v>
      </c>
      <c r="P133" s="255">
        <f>+Reactivos_[[#This Row],[Cantidad 
LDV]]*Reactivos_[[#This Row],[Valor de referencia]]</f>
        <v>28642705</v>
      </c>
      <c r="Q133" s="257">
        <v>1</v>
      </c>
      <c r="R133" s="255">
        <f>+Reactivos_[[#This Row],[Cantidad LNDV]]*Reactivos_[[#This Row],[Valor de referencia]]</f>
        <v>5728541</v>
      </c>
      <c r="S133" s="148"/>
      <c r="T133" s="255">
        <f>+Reactivos_[[#This Row],[GGCA]]*Reactivos_[[#This Row],[Valor de referencia]]</f>
        <v>0</v>
      </c>
      <c r="U133" s="254">
        <v>1</v>
      </c>
      <c r="V133" s="255">
        <f>+Reactivos_[[#This Row],[Cantidad LDF]]*Reactivos_[[#This Row],[Valor de referencia]]</f>
        <v>5728541</v>
      </c>
      <c r="W133" s="254"/>
      <c r="X133" s="255">
        <f>+Reactivos_[[#This Row],[Cantidad LDF&amp;MR]]*Reactivos_[[#This Row],[Valor de referencia]]</f>
        <v>0</v>
      </c>
      <c r="Y133" s="254"/>
      <c r="Z133" s="255">
        <f>+Reactivos_[[#This Row],[Cantidad RED LASE]]*Reactivos_[[#This Row],[Valor de referencia]]</f>
        <v>0</v>
      </c>
      <c r="AA133" s="254"/>
      <c r="AB133" s="255">
        <f>+Reactivos_[[#This Row],[Cantidad LANIA]]*Reactivos_[[#This Row],[Valor de referencia]]</f>
        <v>0</v>
      </c>
      <c r="AC133" s="254"/>
      <c r="AD133" s="255">
        <f>+Reactivos_[[#This Row],[Cantidad SPA]]*Reactivos_[[#This Row],[Valor de referencia]]</f>
        <v>0</v>
      </c>
      <c r="AE133" s="148" t="s">
        <v>76</v>
      </c>
      <c r="AF133" s="148" t="s">
        <v>77</v>
      </c>
    </row>
    <row r="134" spans="1:32" ht="42.75" customHeight="1" x14ac:dyDescent="0.25">
      <c r="A134" s="294" t="str">
        <f>IF(B134=Reactivos_[[#This Row],[Cantidad LANIP]],"LANIP",IF(B134=Reactivos_[[#This Row],[Cantidad 
LDV]],"LDV",IF(B134=Reactivos_[[#This Row],[Cantidad LNDV]],"LNDV",IF(B134=Reactivos_[[#This Row],[GGCA]],"GGCA",IF(B134=Reactivos_[[#This Row],[Cantidad LDF]],"LDF",IF(Reactivos_[[#This Row],[Cantidad LDF&amp;MR]],"LDF&amp;MR",IF(B134=Reactivos_[[#This Row],[Cantidad RED LASE]],"LASE",IF(B134=Reactivos_[[#This Row],[Cantidad LANIA]],"LANIA",IF(B134=Reactivos_[[#This Row],[Cantidad SPA]],"SPA"," ")))))))))</f>
        <v>LDV</v>
      </c>
      <c r="B13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34" s="325">
        <v>132</v>
      </c>
      <c r="D134" s="326">
        <v>159</v>
      </c>
      <c r="E134" s="327" t="s">
        <v>435</v>
      </c>
      <c r="F134" s="244"/>
      <c r="G134" s="245"/>
      <c r="H134" s="346" t="s">
        <v>436</v>
      </c>
      <c r="I134" s="336" t="s">
        <v>434</v>
      </c>
      <c r="J13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134" s="160">
        <v>7174927</v>
      </c>
      <c r="L134" s="160">
        <f>+Reactivos_[[#This Row],[Cantidad]]*Reactivos_[[#This Row],[Valor de referencia]]</f>
        <v>71749270</v>
      </c>
      <c r="M134" s="254">
        <v>0</v>
      </c>
      <c r="N134" s="255">
        <f>+Reactivos_[[#This Row],[Valor de referencia]]*Reactivos_[[#This Row],[Cantidad LANIP]]</f>
        <v>0</v>
      </c>
      <c r="O134" s="256">
        <v>5</v>
      </c>
      <c r="P134" s="255">
        <f>+Reactivos_[[#This Row],[Cantidad 
LDV]]*Reactivos_[[#This Row],[Valor de referencia]]</f>
        <v>35874635</v>
      </c>
      <c r="Q134" s="257">
        <v>3</v>
      </c>
      <c r="R134" s="255">
        <f>+Reactivos_[[#This Row],[Cantidad LNDV]]*Reactivos_[[#This Row],[Valor de referencia]]</f>
        <v>21524781</v>
      </c>
      <c r="S134" s="148"/>
      <c r="T134" s="255">
        <f>+Reactivos_[[#This Row],[GGCA]]*Reactivos_[[#This Row],[Valor de referencia]]</f>
        <v>0</v>
      </c>
      <c r="U134" s="254">
        <v>2</v>
      </c>
      <c r="V134" s="255">
        <f>+Reactivos_[[#This Row],[Cantidad LDF]]*Reactivos_[[#This Row],[Valor de referencia]]</f>
        <v>14349854</v>
      </c>
      <c r="W134" s="254"/>
      <c r="X134" s="255">
        <f>+Reactivos_[[#This Row],[Cantidad LDF&amp;MR]]*Reactivos_[[#This Row],[Valor de referencia]]</f>
        <v>0</v>
      </c>
      <c r="Y134" s="254"/>
      <c r="Z134" s="255">
        <f>+Reactivos_[[#This Row],[Cantidad RED LASE]]*Reactivos_[[#This Row],[Valor de referencia]]</f>
        <v>0</v>
      </c>
      <c r="AA134" s="254"/>
      <c r="AB134" s="255">
        <f>+Reactivos_[[#This Row],[Cantidad LANIA]]*Reactivos_[[#This Row],[Valor de referencia]]</f>
        <v>0</v>
      </c>
      <c r="AC134" s="254"/>
      <c r="AD134" s="255">
        <f>+Reactivos_[[#This Row],[Cantidad SPA]]*Reactivos_[[#This Row],[Valor de referencia]]</f>
        <v>0</v>
      </c>
      <c r="AE134" s="148" t="s">
        <v>76</v>
      </c>
      <c r="AF134" s="148" t="s">
        <v>77</v>
      </c>
    </row>
    <row r="135" spans="1:32" ht="22.5" customHeight="1" x14ac:dyDescent="0.25">
      <c r="A135" s="294" t="str">
        <f>IF(B135=Reactivos_[[#This Row],[Cantidad LANIP]],"LANIP",IF(B135=Reactivos_[[#This Row],[Cantidad 
LDV]],"LDV",IF(B135=Reactivos_[[#This Row],[Cantidad LNDV]],"LNDV",IF(B135=Reactivos_[[#This Row],[GGCA]],"GGCA",IF(B135=Reactivos_[[#This Row],[Cantidad LDF]],"LDF",IF(Reactivos_[[#This Row],[Cantidad LDF&amp;MR]],"LDF&amp;MR",IF(B135=Reactivos_[[#This Row],[Cantidad RED LASE]],"LASE",IF(B135=Reactivos_[[#This Row],[Cantidad LANIA]],"LANIA",IF(B135=Reactivos_[[#This Row],[Cantidad SPA]],"SPA"," ")))))))))</f>
        <v>LNDV</v>
      </c>
      <c r="B13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35" s="325">
        <v>133</v>
      </c>
      <c r="D135" s="326">
        <v>161</v>
      </c>
      <c r="E135" s="245" t="s">
        <v>437</v>
      </c>
      <c r="F135" s="354"/>
      <c r="G135" s="245"/>
      <c r="H135" s="335" t="s">
        <v>438</v>
      </c>
      <c r="I135" s="336" t="s">
        <v>439</v>
      </c>
      <c r="J13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35" s="160">
        <v>4497129</v>
      </c>
      <c r="L135" s="160">
        <f>+Reactivos_[[#This Row],[Cantidad]]*Reactivos_[[#This Row],[Valor de referencia]]</f>
        <v>4497129</v>
      </c>
      <c r="M135" s="254">
        <v>0</v>
      </c>
      <c r="N135" s="255">
        <f>+Reactivos_[[#This Row],[Valor de referencia]]*Reactivos_[[#This Row],[Cantidad LANIP]]</f>
        <v>0</v>
      </c>
      <c r="O135" s="256"/>
      <c r="P135" s="255">
        <f>+Reactivos_[[#This Row],[Cantidad 
LDV]]*Reactivos_[[#This Row],[Valor de referencia]]</f>
        <v>0</v>
      </c>
      <c r="Q135" s="257">
        <v>1</v>
      </c>
      <c r="R135" s="255">
        <f>+Reactivos_[[#This Row],[Cantidad LNDV]]*Reactivos_[[#This Row],[Valor de referencia]]</f>
        <v>4497129</v>
      </c>
      <c r="S135" s="148"/>
      <c r="T135" s="255">
        <f>+Reactivos_[[#This Row],[GGCA]]*Reactivos_[[#This Row],[Valor de referencia]]</f>
        <v>0</v>
      </c>
      <c r="U135" s="254"/>
      <c r="V135" s="255">
        <f>+Reactivos_[[#This Row],[Cantidad LDF]]*Reactivos_[[#This Row],[Valor de referencia]]</f>
        <v>0</v>
      </c>
      <c r="W135" s="254"/>
      <c r="X135" s="255">
        <f>+Reactivos_[[#This Row],[Cantidad LDF&amp;MR]]*Reactivos_[[#This Row],[Valor de referencia]]</f>
        <v>0</v>
      </c>
      <c r="Y135" s="254"/>
      <c r="Z135" s="255">
        <f>+Reactivos_[[#This Row],[Cantidad RED LASE]]*Reactivos_[[#This Row],[Valor de referencia]]</f>
        <v>0</v>
      </c>
      <c r="AA135" s="254"/>
      <c r="AB135" s="255">
        <f>+Reactivos_[[#This Row],[Cantidad LANIA]]*Reactivos_[[#This Row],[Valor de referencia]]</f>
        <v>0</v>
      </c>
      <c r="AC135" s="254"/>
      <c r="AD135" s="255">
        <f>+Reactivos_[[#This Row],[Cantidad SPA]]*Reactivos_[[#This Row],[Valor de referencia]]</f>
        <v>0</v>
      </c>
      <c r="AE135" s="148" t="s">
        <v>76</v>
      </c>
      <c r="AF135" s="148" t="s">
        <v>77</v>
      </c>
    </row>
    <row r="136" spans="1:32" ht="38.25" x14ac:dyDescent="0.25">
      <c r="A136" s="294" t="str">
        <f>IF(B136=Reactivos_[[#This Row],[Cantidad LANIP]],"LANIP",IF(B136=Reactivos_[[#This Row],[Cantidad 
LDV]],"LDV",IF(B136=Reactivos_[[#This Row],[Cantidad LNDV]],"LNDV",IF(B136=Reactivos_[[#This Row],[GGCA]],"GGCA",IF(B136=Reactivos_[[#This Row],[Cantidad LDF]],"LDF",IF(Reactivos_[[#This Row],[Cantidad LDF&amp;MR]],"LDF&amp;MR",IF(B136=Reactivos_[[#This Row],[Cantidad RED LASE]],"LASE",IF(B136=Reactivos_[[#This Row],[Cantidad LANIA]],"LANIA",IF(B136=Reactivos_[[#This Row],[Cantidad SPA]],"SPA"," ")))))))))</f>
        <v>LNDV</v>
      </c>
      <c r="B13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36" s="325">
        <v>134</v>
      </c>
      <c r="D136" s="326">
        <v>162</v>
      </c>
      <c r="E136" s="245" t="s">
        <v>440</v>
      </c>
      <c r="F136" s="354"/>
      <c r="G136" s="245"/>
      <c r="H136" s="335" t="s">
        <v>441</v>
      </c>
      <c r="I136" s="336" t="s">
        <v>434</v>
      </c>
      <c r="J13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36" s="160">
        <v>7598507</v>
      </c>
      <c r="L136" s="160">
        <f>+Reactivos_[[#This Row],[Cantidad]]*Reactivos_[[#This Row],[Valor de referencia]]</f>
        <v>7598507</v>
      </c>
      <c r="M136" s="254">
        <v>0</v>
      </c>
      <c r="N136" s="255">
        <f>+Reactivos_[[#This Row],[Valor de referencia]]*Reactivos_[[#This Row],[Cantidad LANIP]]</f>
        <v>0</v>
      </c>
      <c r="O136" s="256"/>
      <c r="P136" s="255">
        <f>+Reactivos_[[#This Row],[Cantidad 
LDV]]*Reactivos_[[#This Row],[Valor de referencia]]</f>
        <v>0</v>
      </c>
      <c r="Q136" s="257">
        <v>1</v>
      </c>
      <c r="R136" s="255">
        <f>+Reactivos_[[#This Row],[Cantidad LNDV]]*Reactivos_[[#This Row],[Valor de referencia]]</f>
        <v>7598507</v>
      </c>
      <c r="S136" s="148"/>
      <c r="T136" s="255">
        <f>+Reactivos_[[#This Row],[GGCA]]*Reactivos_[[#This Row],[Valor de referencia]]</f>
        <v>0</v>
      </c>
      <c r="U136" s="254"/>
      <c r="V136" s="255">
        <f>+Reactivos_[[#This Row],[Cantidad LDF]]*Reactivos_[[#This Row],[Valor de referencia]]</f>
        <v>0</v>
      </c>
      <c r="W136" s="254"/>
      <c r="X136" s="255">
        <f>+Reactivos_[[#This Row],[Cantidad LDF&amp;MR]]*Reactivos_[[#This Row],[Valor de referencia]]</f>
        <v>0</v>
      </c>
      <c r="Y136" s="254"/>
      <c r="Z136" s="255">
        <f>+Reactivos_[[#This Row],[Cantidad RED LASE]]*Reactivos_[[#This Row],[Valor de referencia]]</f>
        <v>0</v>
      </c>
      <c r="AA136" s="254"/>
      <c r="AB136" s="255">
        <f>+Reactivos_[[#This Row],[Cantidad LANIA]]*Reactivos_[[#This Row],[Valor de referencia]]</f>
        <v>0</v>
      </c>
      <c r="AC136" s="254"/>
      <c r="AD136" s="255">
        <f>+Reactivos_[[#This Row],[Cantidad SPA]]*Reactivos_[[#This Row],[Valor de referencia]]</f>
        <v>0</v>
      </c>
      <c r="AE136" s="148" t="s">
        <v>76</v>
      </c>
      <c r="AF136" s="148" t="s">
        <v>77</v>
      </c>
    </row>
    <row r="137" spans="1:32" ht="40.5" customHeight="1" x14ac:dyDescent="0.25">
      <c r="A137" s="294" t="str">
        <f>IF(B137=Reactivos_[[#This Row],[Cantidad LANIP]],"LANIP",IF(B137=Reactivos_[[#This Row],[Cantidad 
LDV]],"LDV",IF(B137=Reactivos_[[#This Row],[Cantidad LNDV]],"LNDV",IF(B137=Reactivos_[[#This Row],[GGCA]],"GGCA",IF(B137=Reactivos_[[#This Row],[Cantidad LDF]],"LDF",IF(Reactivos_[[#This Row],[Cantidad LDF&amp;MR]],"LDF&amp;MR",IF(B137=Reactivos_[[#This Row],[Cantidad RED LASE]],"LASE",IF(B137=Reactivos_[[#This Row],[Cantidad LANIA]],"LANIA",IF(B137=Reactivos_[[#This Row],[Cantidad SPA]],"SPA"," ")))))))))</f>
        <v>LDV</v>
      </c>
      <c r="B13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100</v>
      </c>
      <c r="C137" s="325">
        <v>135</v>
      </c>
      <c r="D137" s="326">
        <v>163</v>
      </c>
      <c r="E137" s="327" t="s">
        <v>442</v>
      </c>
      <c r="F137" s="244"/>
      <c r="G137" s="327"/>
      <c r="H137" s="346" t="s">
        <v>443</v>
      </c>
      <c r="I137" s="334" t="s">
        <v>444</v>
      </c>
      <c r="J13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200</v>
      </c>
      <c r="K137" s="160">
        <v>4648113</v>
      </c>
      <c r="L137" s="160">
        <f>+Reactivos_[[#This Row],[Cantidad]]*Reactivos_[[#This Row],[Valor de referencia]]</f>
        <v>929622600</v>
      </c>
      <c r="M137" s="254">
        <v>0</v>
      </c>
      <c r="N137" s="255">
        <f>+Reactivos_[[#This Row],[Valor de referencia]]*Reactivos_[[#This Row],[Cantidad LANIP]]</f>
        <v>0</v>
      </c>
      <c r="O137" s="256">
        <v>100</v>
      </c>
      <c r="P137" s="255">
        <f>+Reactivos_[[#This Row],[Cantidad 
LDV]]*Reactivos_[[#This Row],[Valor de referencia]]</f>
        <v>464811300</v>
      </c>
      <c r="Q137" s="257">
        <v>100</v>
      </c>
      <c r="R137" s="255">
        <f>+Reactivos_[[#This Row],[Cantidad LNDV]]*Reactivos_[[#This Row],[Valor de referencia]]</f>
        <v>464811300</v>
      </c>
      <c r="S137" s="148"/>
      <c r="T137" s="255">
        <f>+Reactivos_[[#This Row],[GGCA]]*Reactivos_[[#This Row],[Valor de referencia]]</f>
        <v>0</v>
      </c>
      <c r="U137" s="254"/>
      <c r="V137" s="255">
        <f>+Reactivos_[[#This Row],[Cantidad LDF]]*Reactivos_[[#This Row],[Valor de referencia]]</f>
        <v>0</v>
      </c>
      <c r="W137" s="254"/>
      <c r="X137" s="255">
        <f>+Reactivos_[[#This Row],[Cantidad LDF&amp;MR]]*Reactivos_[[#This Row],[Valor de referencia]]</f>
        <v>0</v>
      </c>
      <c r="Y137" s="254"/>
      <c r="Z137" s="255">
        <f>+Reactivos_[[#This Row],[Cantidad RED LASE]]*Reactivos_[[#This Row],[Valor de referencia]]</f>
        <v>0</v>
      </c>
      <c r="AA137" s="254"/>
      <c r="AB137" s="255">
        <f>+Reactivos_[[#This Row],[Cantidad LANIA]]*Reactivos_[[#This Row],[Valor de referencia]]</f>
        <v>0</v>
      </c>
      <c r="AC137" s="254"/>
      <c r="AD137" s="255">
        <f>+Reactivos_[[#This Row],[Cantidad SPA]]*Reactivos_[[#This Row],[Valor de referencia]]</f>
        <v>0</v>
      </c>
      <c r="AE137" s="148" t="s">
        <v>76</v>
      </c>
      <c r="AF137" s="148" t="s">
        <v>77</v>
      </c>
    </row>
    <row r="138" spans="1:32" ht="25.5" x14ac:dyDescent="0.25">
      <c r="A138" s="294" t="str">
        <f>IF(B138=Reactivos_[[#This Row],[Cantidad LANIP]],"LANIP",IF(B138=Reactivos_[[#This Row],[Cantidad 
LDV]],"LDV",IF(B138=Reactivos_[[#This Row],[Cantidad LNDV]],"LNDV",IF(B138=Reactivos_[[#This Row],[GGCA]],"GGCA",IF(B138=Reactivos_[[#This Row],[Cantidad LDF]],"LDF",IF(Reactivos_[[#This Row],[Cantidad LDF&amp;MR]],"LDF&amp;MR",IF(B138=Reactivos_[[#This Row],[Cantidad RED LASE]],"LASE",IF(B138=Reactivos_[[#This Row],[Cantidad LANIA]],"LANIA",IF(B138=Reactivos_[[#This Row],[Cantidad SPA]],"SPA"," ")))))))))</f>
        <v>LDV</v>
      </c>
      <c r="B13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138" s="325">
        <v>136</v>
      </c>
      <c r="D138" s="326">
        <v>164</v>
      </c>
      <c r="E138" s="327" t="s">
        <v>445</v>
      </c>
      <c r="F138" s="244"/>
      <c r="G138" s="327"/>
      <c r="H138" s="333" t="s">
        <v>446</v>
      </c>
      <c r="I138" s="334" t="s">
        <v>447</v>
      </c>
      <c r="J13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138" s="160">
        <v>614059</v>
      </c>
      <c r="L138" s="160">
        <f>+Reactivos_[[#This Row],[Cantidad]]*Reactivos_[[#This Row],[Valor de referencia]]</f>
        <v>1842177</v>
      </c>
      <c r="M138" s="254">
        <v>0</v>
      </c>
      <c r="N138" s="255">
        <f>+Reactivos_[[#This Row],[Valor de referencia]]*Reactivos_[[#This Row],[Cantidad LANIP]]</f>
        <v>0</v>
      </c>
      <c r="O138" s="256">
        <v>3</v>
      </c>
      <c r="P138" s="255">
        <f>+Reactivos_[[#This Row],[Cantidad 
LDV]]*Reactivos_[[#This Row],[Valor de referencia]]</f>
        <v>1842177</v>
      </c>
      <c r="Q138" s="257"/>
      <c r="R138" s="255">
        <f>+Reactivos_[[#This Row],[Cantidad LNDV]]*Reactivos_[[#This Row],[Valor de referencia]]</f>
        <v>0</v>
      </c>
      <c r="S138" s="148"/>
      <c r="T138" s="255">
        <f>+Reactivos_[[#This Row],[GGCA]]*Reactivos_[[#This Row],[Valor de referencia]]</f>
        <v>0</v>
      </c>
      <c r="U138" s="254"/>
      <c r="V138" s="255">
        <f>+Reactivos_[[#This Row],[Cantidad LDF]]*Reactivos_[[#This Row],[Valor de referencia]]</f>
        <v>0</v>
      </c>
      <c r="W138" s="254"/>
      <c r="X138" s="255">
        <f>+Reactivos_[[#This Row],[Cantidad LDF&amp;MR]]*Reactivos_[[#This Row],[Valor de referencia]]</f>
        <v>0</v>
      </c>
      <c r="Y138" s="254"/>
      <c r="Z138" s="255">
        <f>+Reactivos_[[#This Row],[Cantidad RED LASE]]*Reactivos_[[#This Row],[Valor de referencia]]</f>
        <v>0</v>
      </c>
      <c r="AA138" s="254"/>
      <c r="AB138" s="255">
        <f>+Reactivos_[[#This Row],[Cantidad LANIA]]*Reactivos_[[#This Row],[Valor de referencia]]</f>
        <v>0</v>
      </c>
      <c r="AC138" s="254"/>
      <c r="AD138" s="255">
        <f>+Reactivos_[[#This Row],[Cantidad SPA]]*Reactivos_[[#This Row],[Valor de referencia]]</f>
        <v>0</v>
      </c>
      <c r="AE138" s="148" t="s">
        <v>76</v>
      </c>
      <c r="AF138" s="310" t="s">
        <v>101</v>
      </c>
    </row>
    <row r="139" spans="1:32" ht="34.5" customHeight="1" x14ac:dyDescent="0.25">
      <c r="A139" s="294" t="str">
        <f>IF(B139=Reactivos_[[#This Row],[Cantidad LANIP]],"LANIP",IF(B139=Reactivos_[[#This Row],[Cantidad 
LDV]],"LDV",IF(B139=Reactivos_[[#This Row],[Cantidad LNDV]],"LNDV",IF(B139=Reactivos_[[#This Row],[GGCA]],"GGCA",IF(B139=Reactivos_[[#This Row],[Cantidad LDF]],"LDF",IF(Reactivos_[[#This Row],[Cantidad LDF&amp;MR]],"LDF&amp;MR",IF(B139=Reactivos_[[#This Row],[Cantidad RED LASE]],"LASE",IF(B139=Reactivos_[[#This Row],[Cantidad LANIA]],"LANIA",IF(B139=Reactivos_[[#This Row],[Cantidad SPA]],"SPA"," ")))))))))</f>
        <v>LDV</v>
      </c>
      <c r="B13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39" s="325">
        <v>137</v>
      </c>
      <c r="D139" s="326">
        <v>165</v>
      </c>
      <c r="E139" s="327" t="s">
        <v>448</v>
      </c>
      <c r="F139" s="244"/>
      <c r="G139" s="327"/>
      <c r="H139" s="333" t="s">
        <v>449</v>
      </c>
      <c r="I139" s="334" t="s">
        <v>447</v>
      </c>
      <c r="J13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39" s="160">
        <v>768033</v>
      </c>
      <c r="L139" s="160">
        <f>+Reactivos_[[#This Row],[Cantidad]]*Reactivos_[[#This Row],[Valor de referencia]]</f>
        <v>1536066</v>
      </c>
      <c r="M139" s="254">
        <v>0</v>
      </c>
      <c r="N139" s="255">
        <f>+Reactivos_[[#This Row],[Valor de referencia]]*Reactivos_[[#This Row],[Cantidad LANIP]]</f>
        <v>0</v>
      </c>
      <c r="O139" s="256">
        <v>2</v>
      </c>
      <c r="P139" s="255">
        <f>+Reactivos_[[#This Row],[Cantidad 
LDV]]*Reactivos_[[#This Row],[Valor de referencia]]</f>
        <v>1536066</v>
      </c>
      <c r="Q139" s="257"/>
      <c r="R139" s="255">
        <f>+Reactivos_[[#This Row],[Cantidad LNDV]]*Reactivos_[[#This Row],[Valor de referencia]]</f>
        <v>0</v>
      </c>
      <c r="S139" s="148"/>
      <c r="T139" s="255">
        <f>+Reactivos_[[#This Row],[GGCA]]*Reactivos_[[#This Row],[Valor de referencia]]</f>
        <v>0</v>
      </c>
      <c r="U139" s="254"/>
      <c r="V139" s="255">
        <f>+Reactivos_[[#This Row],[Cantidad LDF]]*Reactivos_[[#This Row],[Valor de referencia]]</f>
        <v>0</v>
      </c>
      <c r="W139" s="254"/>
      <c r="X139" s="255">
        <f>+Reactivos_[[#This Row],[Cantidad LDF&amp;MR]]*Reactivos_[[#This Row],[Valor de referencia]]</f>
        <v>0</v>
      </c>
      <c r="Y139" s="254"/>
      <c r="Z139" s="255">
        <f>+Reactivos_[[#This Row],[Cantidad RED LASE]]*Reactivos_[[#This Row],[Valor de referencia]]</f>
        <v>0</v>
      </c>
      <c r="AA139" s="254"/>
      <c r="AB139" s="255">
        <f>+Reactivos_[[#This Row],[Cantidad LANIA]]*Reactivos_[[#This Row],[Valor de referencia]]</f>
        <v>0</v>
      </c>
      <c r="AC139" s="254"/>
      <c r="AD139" s="255">
        <f>+Reactivos_[[#This Row],[Cantidad SPA]]*Reactivos_[[#This Row],[Valor de referencia]]</f>
        <v>0</v>
      </c>
      <c r="AE139" s="148" t="s">
        <v>76</v>
      </c>
      <c r="AF139" s="310" t="s">
        <v>101</v>
      </c>
    </row>
    <row r="140" spans="1:32" ht="38.25" x14ac:dyDescent="0.25">
      <c r="A140" s="294" t="str">
        <f>IF(B140=Reactivos_[[#This Row],[Cantidad LANIP]],"LANIP",IF(B140=Reactivos_[[#This Row],[Cantidad 
LDV]],"LDV",IF(B140=Reactivos_[[#This Row],[Cantidad LNDV]],"LNDV",IF(B140=Reactivos_[[#This Row],[GGCA]],"GGCA",IF(B140=Reactivos_[[#This Row],[Cantidad LDF]],"LDF",IF(Reactivos_[[#This Row],[Cantidad LDF&amp;MR]],"LDF&amp;MR",IF(B140=Reactivos_[[#This Row],[Cantidad RED LASE]],"LASE",IF(B140=Reactivos_[[#This Row],[Cantidad LANIA]],"LANIA",IF(B140=Reactivos_[[#This Row],[Cantidad SPA]],"SPA"," ")))))))))</f>
        <v>LANIA</v>
      </c>
      <c r="B14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40" s="325">
        <v>138</v>
      </c>
      <c r="D140" s="326">
        <v>166</v>
      </c>
      <c r="E140" s="331" t="s">
        <v>450</v>
      </c>
      <c r="F140" s="332"/>
      <c r="G140" s="331"/>
      <c r="H140" s="333" t="s">
        <v>451</v>
      </c>
      <c r="I140" s="334" t="s">
        <v>452</v>
      </c>
      <c r="J14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40" s="160">
        <v>2744611</v>
      </c>
      <c r="L140" s="160">
        <f>+Reactivos_[[#This Row],[Cantidad]]*Reactivos_[[#This Row],[Valor de referencia]]</f>
        <v>2744611</v>
      </c>
      <c r="M140" s="254">
        <v>0</v>
      </c>
      <c r="N140" s="255">
        <f>+Reactivos_[[#This Row],[Valor de referencia]]*Reactivos_[[#This Row],[Cantidad LANIP]]</f>
        <v>0</v>
      </c>
      <c r="O140" s="256"/>
      <c r="P140" s="255">
        <f>+Reactivos_[[#This Row],[Cantidad 
LDV]]*Reactivos_[[#This Row],[Valor de referencia]]</f>
        <v>0</v>
      </c>
      <c r="Q140" s="257"/>
      <c r="R140" s="255">
        <f>+Reactivos_[[#This Row],[Cantidad LNDV]]*Reactivos_[[#This Row],[Valor de referencia]]</f>
        <v>0</v>
      </c>
      <c r="S140" s="148"/>
      <c r="T140" s="255">
        <f>+Reactivos_[[#This Row],[GGCA]]*Reactivos_[[#This Row],[Valor de referencia]]</f>
        <v>0</v>
      </c>
      <c r="U140" s="254"/>
      <c r="V140" s="255">
        <f>+Reactivos_[[#This Row],[Cantidad LDF]]*Reactivos_[[#This Row],[Valor de referencia]]</f>
        <v>0</v>
      </c>
      <c r="W140" s="254"/>
      <c r="X140" s="255">
        <f>+Reactivos_[[#This Row],[Cantidad LDF&amp;MR]]*Reactivos_[[#This Row],[Valor de referencia]]</f>
        <v>0</v>
      </c>
      <c r="Y140" s="254"/>
      <c r="Z140" s="255">
        <f>+Reactivos_[[#This Row],[Cantidad RED LASE]]*Reactivos_[[#This Row],[Valor de referencia]]</f>
        <v>0</v>
      </c>
      <c r="AA140" s="254">
        <v>1</v>
      </c>
      <c r="AB140" s="255">
        <f>+Reactivos_[[#This Row],[Cantidad LANIA]]*Reactivos_[[#This Row],[Valor de referencia]]</f>
        <v>2744611</v>
      </c>
      <c r="AC140" s="254"/>
      <c r="AD140" s="255">
        <f>+Reactivos_[[#This Row],[Cantidad SPA]]*Reactivos_[[#This Row],[Valor de referencia]]</f>
        <v>0</v>
      </c>
      <c r="AE140" s="148" t="s">
        <v>76</v>
      </c>
      <c r="AF140" s="148" t="s">
        <v>77</v>
      </c>
    </row>
    <row r="141" spans="1:32" ht="18" customHeight="1" x14ac:dyDescent="0.25">
      <c r="A141" s="294" t="str">
        <f>IF(B141=Reactivos_[[#This Row],[Cantidad LANIP]],"LANIP",IF(B141=Reactivos_[[#This Row],[Cantidad 
LDV]],"LDV",IF(B141=Reactivos_[[#This Row],[Cantidad LNDV]],"LNDV",IF(B141=Reactivos_[[#This Row],[GGCA]],"GGCA",IF(B141=Reactivos_[[#This Row],[Cantidad LDF]],"LDF",IF(Reactivos_[[#This Row],[Cantidad LDF&amp;MR]],"LDF&amp;MR",IF(B141=Reactivos_[[#This Row],[Cantidad RED LASE]],"LASE",IF(B141=Reactivos_[[#This Row],[Cantidad LANIA]],"LANIA",IF(B141=Reactivos_[[#This Row],[Cantidad SPA]],"SPA"," ")))))))))</f>
        <v>LDF&amp;MR</v>
      </c>
      <c r="B14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C141" s="325">
        <v>139</v>
      </c>
      <c r="D141" s="326">
        <v>167</v>
      </c>
      <c r="E141" s="331" t="s">
        <v>453</v>
      </c>
      <c r="F141" s="332"/>
      <c r="G141" s="331"/>
      <c r="H141" s="346" t="s">
        <v>454</v>
      </c>
      <c r="I141" s="334" t="s">
        <v>455</v>
      </c>
      <c r="J14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141" s="160">
        <v>15371</v>
      </c>
      <c r="L141" s="160">
        <f>+Reactivos_[[#This Row],[Cantidad]]*Reactivos_[[#This Row],[Valor de referencia]]</f>
        <v>245936</v>
      </c>
      <c r="M141" s="254">
        <v>0</v>
      </c>
      <c r="N141" s="255">
        <f>+Reactivos_[[#This Row],[Valor de referencia]]*Reactivos_[[#This Row],[Cantidad LANIP]]</f>
        <v>0</v>
      </c>
      <c r="O141" s="256"/>
      <c r="P141" s="255">
        <f>+Reactivos_[[#This Row],[Cantidad 
LDV]]*Reactivos_[[#This Row],[Valor de referencia]]</f>
        <v>0</v>
      </c>
      <c r="Q141" s="257"/>
      <c r="R141" s="255">
        <f>+Reactivos_[[#This Row],[Cantidad LNDV]]*Reactivos_[[#This Row],[Valor de referencia]]</f>
        <v>0</v>
      </c>
      <c r="S141" s="148"/>
      <c r="T141" s="255">
        <f>+Reactivos_[[#This Row],[GGCA]]*Reactivos_[[#This Row],[Valor de referencia]]</f>
        <v>0</v>
      </c>
      <c r="U141" s="254"/>
      <c r="V141" s="255">
        <f>+Reactivos_[[#This Row],[Cantidad LDF]]*Reactivos_[[#This Row],[Valor de referencia]]</f>
        <v>0</v>
      </c>
      <c r="W141" s="254">
        <v>11</v>
      </c>
      <c r="X141" s="255">
        <f>+Reactivos_[[#This Row],[Cantidad LDF&amp;MR]]*Reactivos_[[#This Row],[Valor de referencia]]</f>
        <v>169081</v>
      </c>
      <c r="Y141" s="254"/>
      <c r="Z141" s="255">
        <f>+Reactivos_[[#This Row],[Cantidad RED LASE]]*Reactivos_[[#This Row],[Valor de referencia]]</f>
        <v>0</v>
      </c>
      <c r="AA141" s="254">
        <v>5</v>
      </c>
      <c r="AB141" s="255">
        <f>+Reactivos_[[#This Row],[Cantidad LANIA]]*Reactivos_[[#This Row],[Valor de referencia]]</f>
        <v>76855</v>
      </c>
      <c r="AC141" s="254"/>
      <c r="AD141" s="255">
        <f>+Reactivos_[[#This Row],[Cantidad SPA]]*Reactivos_[[#This Row],[Valor de referencia]]</f>
        <v>0</v>
      </c>
      <c r="AE141" s="148" t="s">
        <v>76</v>
      </c>
      <c r="AF141" s="148" t="s">
        <v>101</v>
      </c>
    </row>
    <row r="142" spans="1:32" ht="25.5" x14ac:dyDescent="0.25">
      <c r="A142" s="294" t="str">
        <f>IF(B142=Reactivos_[[#This Row],[Cantidad LANIP]],"LANIP",IF(B142=Reactivos_[[#This Row],[Cantidad 
LDV]],"LDV",IF(B142=Reactivos_[[#This Row],[Cantidad LNDV]],"LNDV",IF(B142=Reactivos_[[#This Row],[GGCA]],"GGCA",IF(B142=Reactivos_[[#This Row],[Cantidad LDF]],"LDF",IF(Reactivos_[[#This Row],[Cantidad LDF&amp;MR]],"LDF&amp;MR",IF(B142=Reactivos_[[#This Row],[Cantidad RED LASE]],"LASE",IF(B142=Reactivos_[[#This Row],[Cantidad LANIA]],"LANIA",IF(B142=Reactivos_[[#This Row],[Cantidad SPA]],"SPA"," ")))))))))</f>
        <v>LANIA</v>
      </c>
      <c r="B14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42" s="325">
        <v>140</v>
      </c>
      <c r="D142" s="326">
        <v>170</v>
      </c>
      <c r="E142" s="327" t="s">
        <v>456</v>
      </c>
      <c r="F142" s="244"/>
      <c r="G142" s="327"/>
      <c r="H142" s="349" t="s">
        <v>149</v>
      </c>
      <c r="I142" s="334" t="s">
        <v>334</v>
      </c>
      <c r="J14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142" s="160">
        <v>252435</v>
      </c>
      <c r="L142" s="160">
        <f>+Reactivos_[[#This Row],[Cantidad]]*Reactivos_[[#This Row],[Valor de referencia]]</f>
        <v>757305</v>
      </c>
      <c r="M142" s="254">
        <v>0</v>
      </c>
      <c r="N142" s="255">
        <f>+Reactivos_[[#This Row],[Valor de referencia]]*Reactivos_[[#This Row],[Cantidad LANIP]]</f>
        <v>0</v>
      </c>
      <c r="O142" s="256"/>
      <c r="P142" s="255">
        <f>+Reactivos_[[#This Row],[Cantidad 
LDV]]*Reactivos_[[#This Row],[Valor de referencia]]</f>
        <v>0</v>
      </c>
      <c r="Q142" s="257"/>
      <c r="R142" s="255">
        <f>+Reactivos_[[#This Row],[Cantidad LNDV]]*Reactivos_[[#This Row],[Valor de referencia]]</f>
        <v>0</v>
      </c>
      <c r="S142" s="148"/>
      <c r="T142" s="255">
        <f>+Reactivos_[[#This Row],[GGCA]]*Reactivos_[[#This Row],[Valor de referencia]]</f>
        <v>0</v>
      </c>
      <c r="U142" s="254">
        <v>1</v>
      </c>
      <c r="V142" s="255">
        <f>+Reactivos_[[#This Row],[Cantidad LDF]]*Reactivos_[[#This Row],[Valor de referencia]]</f>
        <v>252435</v>
      </c>
      <c r="W142" s="254"/>
      <c r="X142" s="255">
        <f>+Reactivos_[[#This Row],[Cantidad LDF&amp;MR]]*Reactivos_[[#This Row],[Valor de referencia]]</f>
        <v>0</v>
      </c>
      <c r="Y142" s="254"/>
      <c r="Z142" s="255">
        <f>+Reactivos_[[#This Row],[Cantidad RED LASE]]*Reactivos_[[#This Row],[Valor de referencia]]</f>
        <v>0</v>
      </c>
      <c r="AA142" s="254">
        <v>2</v>
      </c>
      <c r="AB142" s="255">
        <f>+Reactivos_[[#This Row],[Cantidad LANIA]]*Reactivos_[[#This Row],[Valor de referencia]]</f>
        <v>504870</v>
      </c>
      <c r="AC142" s="254"/>
      <c r="AD142" s="255">
        <f>+Reactivos_[[#This Row],[Cantidad SPA]]*Reactivos_[[#This Row],[Valor de referencia]]</f>
        <v>0</v>
      </c>
      <c r="AE142" s="148" t="s">
        <v>76</v>
      </c>
      <c r="AF142" s="148" t="s">
        <v>77</v>
      </c>
    </row>
    <row r="143" spans="1:32" ht="22.5" customHeight="1" x14ac:dyDescent="0.25">
      <c r="A143" s="294" t="str">
        <f>IF(B143=Reactivos_[[#This Row],[Cantidad LANIP]],"LANIP",IF(B143=Reactivos_[[#This Row],[Cantidad 
LDV]],"LDV",IF(B143=Reactivos_[[#This Row],[Cantidad LNDV]],"LNDV",IF(B143=Reactivos_[[#This Row],[GGCA]],"GGCA",IF(B143=Reactivos_[[#This Row],[Cantidad LDF]],"LDF",IF(Reactivos_[[#This Row],[Cantidad LDF&amp;MR]],"LDF&amp;MR",IF(B143=Reactivos_[[#This Row],[Cantidad RED LASE]],"LASE",IF(B143=Reactivos_[[#This Row],[Cantidad LANIA]],"LANIA",IF(B143=Reactivos_[[#This Row],[Cantidad SPA]],"SPA"," ")))))))))</f>
        <v>LDV</v>
      </c>
      <c r="B14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143" s="325">
        <v>141</v>
      </c>
      <c r="D143" s="326">
        <v>171</v>
      </c>
      <c r="E143" s="245" t="s">
        <v>457</v>
      </c>
      <c r="F143" s="244"/>
      <c r="G143" s="245"/>
      <c r="H143" s="346" t="s">
        <v>458</v>
      </c>
      <c r="I143" s="336" t="s">
        <v>107</v>
      </c>
      <c r="J14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17</v>
      </c>
      <c r="K143" s="160">
        <v>201308</v>
      </c>
      <c r="L143" s="160">
        <f>+Reactivos_[[#This Row],[Cantidad]]*Reactivos_[[#This Row],[Valor de referencia]]</f>
        <v>3422236</v>
      </c>
      <c r="M143" s="254">
        <v>1</v>
      </c>
      <c r="N143" s="255">
        <f>+Reactivos_[[#This Row],[Valor de referencia]]*Reactivos_[[#This Row],[Cantidad LANIP]]</f>
        <v>201308</v>
      </c>
      <c r="O143" s="256">
        <v>6</v>
      </c>
      <c r="P143" s="255">
        <f>+Reactivos_[[#This Row],[Cantidad 
LDV]]*Reactivos_[[#This Row],[Valor de referencia]]</f>
        <v>1207848</v>
      </c>
      <c r="Q143" s="257">
        <v>3</v>
      </c>
      <c r="R143" s="255">
        <f>+Reactivos_[[#This Row],[Cantidad LNDV]]*Reactivos_[[#This Row],[Valor de referencia]]</f>
        <v>603924</v>
      </c>
      <c r="S143" s="148"/>
      <c r="T143" s="255">
        <f>+Reactivos_[[#This Row],[GGCA]]*Reactivos_[[#This Row],[Valor de referencia]]</f>
        <v>0</v>
      </c>
      <c r="U143" s="254">
        <v>5</v>
      </c>
      <c r="V143" s="255">
        <f>+Reactivos_[[#This Row],[Cantidad LDF]]*Reactivos_[[#This Row],[Valor de referencia]]</f>
        <v>1006540</v>
      </c>
      <c r="W143" s="254">
        <v>2</v>
      </c>
      <c r="X143" s="255">
        <f>+Reactivos_[[#This Row],[Cantidad LDF&amp;MR]]*Reactivos_[[#This Row],[Valor de referencia]]</f>
        <v>402616</v>
      </c>
      <c r="Y143" s="254"/>
      <c r="Z143" s="255">
        <f>+Reactivos_[[#This Row],[Cantidad RED LASE]]*Reactivos_[[#This Row],[Valor de referencia]]</f>
        <v>0</v>
      </c>
      <c r="AA143" s="254"/>
      <c r="AB143" s="255">
        <f>+Reactivos_[[#This Row],[Cantidad LANIA]]*Reactivos_[[#This Row],[Valor de referencia]]</f>
        <v>0</v>
      </c>
      <c r="AC143" s="254"/>
      <c r="AD143" s="255">
        <f>+Reactivos_[[#This Row],[Cantidad SPA]]*Reactivos_[[#This Row],[Valor de referencia]]</f>
        <v>0</v>
      </c>
      <c r="AE143" s="148" t="s">
        <v>76</v>
      </c>
      <c r="AF143" s="148" t="s">
        <v>77</v>
      </c>
    </row>
    <row r="144" spans="1:32" ht="25.5" customHeight="1" x14ac:dyDescent="0.25">
      <c r="A144" s="294" t="str">
        <f>IF(B144=Reactivos_[[#This Row],[Cantidad LANIP]],"LANIP",IF(B144=Reactivos_[[#This Row],[Cantidad 
LDV]],"LDV",IF(B144=Reactivos_[[#This Row],[Cantidad LNDV]],"LNDV",IF(B144=Reactivos_[[#This Row],[GGCA]],"GGCA",IF(B144=Reactivos_[[#This Row],[Cantidad LDF]],"LDF",IF(Reactivos_[[#This Row],[Cantidad LDF&amp;MR]],"LDF&amp;MR",IF(B144=Reactivos_[[#This Row],[Cantidad RED LASE]],"LASE",IF(B144=Reactivos_[[#This Row],[Cantidad LANIA]],"LANIA",IF(B144=Reactivos_[[#This Row],[Cantidad SPA]],"SPA"," ")))))))))</f>
        <v>LDF</v>
      </c>
      <c r="B14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44" s="325">
        <v>142</v>
      </c>
      <c r="D144" s="326">
        <v>172</v>
      </c>
      <c r="E144" s="331" t="s">
        <v>459</v>
      </c>
      <c r="F144" s="355" t="s">
        <v>460</v>
      </c>
      <c r="G144" s="320" t="s">
        <v>461</v>
      </c>
      <c r="H144" s="349" t="s">
        <v>462</v>
      </c>
      <c r="I144" s="334" t="s">
        <v>463</v>
      </c>
      <c r="J14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144" s="160">
        <v>1148078</v>
      </c>
      <c r="L144" s="160">
        <f>+Reactivos_[[#This Row],[Cantidad]]*Reactivos_[[#This Row],[Valor de referencia]]</f>
        <v>3444234</v>
      </c>
      <c r="M144" s="254">
        <v>1</v>
      </c>
      <c r="N144" s="255">
        <f>+Reactivos_[[#This Row],[Valor de referencia]]*Reactivos_[[#This Row],[Cantidad LANIP]]</f>
        <v>1148078</v>
      </c>
      <c r="O144" s="256"/>
      <c r="P144" s="255">
        <f>+Reactivos_[[#This Row],[Cantidad 
LDV]]*Reactivos_[[#This Row],[Valor de referencia]]</f>
        <v>0</v>
      </c>
      <c r="Q144" s="257"/>
      <c r="R144" s="255">
        <f>+Reactivos_[[#This Row],[Cantidad LNDV]]*Reactivos_[[#This Row],[Valor de referencia]]</f>
        <v>0</v>
      </c>
      <c r="S144" s="148"/>
      <c r="T144" s="255">
        <f>+Reactivos_[[#This Row],[GGCA]]*Reactivos_[[#This Row],[Valor de referencia]]</f>
        <v>0</v>
      </c>
      <c r="U144" s="254">
        <v>2</v>
      </c>
      <c r="V144" s="255">
        <f>+Reactivos_[[#This Row],[Cantidad LDF]]*Reactivos_[[#This Row],[Valor de referencia]]</f>
        <v>2296156</v>
      </c>
      <c r="W144" s="254"/>
      <c r="X144" s="255">
        <f>+Reactivos_[[#This Row],[Cantidad LDF&amp;MR]]*Reactivos_[[#This Row],[Valor de referencia]]</f>
        <v>0</v>
      </c>
      <c r="Y144" s="254"/>
      <c r="Z144" s="255">
        <f>+Reactivos_[[#This Row],[Cantidad RED LASE]]*Reactivos_[[#This Row],[Valor de referencia]]</f>
        <v>0</v>
      </c>
      <c r="AA144" s="254"/>
      <c r="AB144" s="255">
        <f>+Reactivos_[[#This Row],[Cantidad LANIA]]*Reactivos_[[#This Row],[Valor de referencia]]</f>
        <v>0</v>
      </c>
      <c r="AC144" s="254"/>
      <c r="AD144" s="255">
        <f>+Reactivos_[[#This Row],[Cantidad SPA]]*Reactivos_[[#This Row],[Valor de referencia]]</f>
        <v>0</v>
      </c>
      <c r="AE144" s="148" t="s">
        <v>76</v>
      </c>
      <c r="AF144" s="148" t="s">
        <v>77</v>
      </c>
    </row>
    <row r="145" spans="1:32" ht="25.5" customHeight="1" x14ac:dyDescent="0.25">
      <c r="A145" s="294" t="str">
        <f>IF(B145=Reactivos_[[#This Row],[Cantidad LANIP]],"LANIP",IF(B145=Reactivos_[[#This Row],[Cantidad 
LDV]],"LDV",IF(B145=Reactivos_[[#This Row],[Cantidad LNDV]],"LNDV",IF(B145=Reactivos_[[#This Row],[GGCA]],"GGCA",IF(B145=Reactivos_[[#This Row],[Cantidad LDF]],"LDF",IF(Reactivos_[[#This Row],[Cantidad LDF&amp;MR]],"LDF&amp;MR",IF(B145=Reactivos_[[#This Row],[Cantidad RED LASE]],"LASE",IF(B145=Reactivos_[[#This Row],[Cantidad LANIA]],"LANIA",IF(B145=Reactivos_[[#This Row],[Cantidad SPA]],"SPA"," ")))))))))</f>
        <v>LDV</v>
      </c>
      <c r="B14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145" s="325">
        <v>143</v>
      </c>
      <c r="D145" s="326">
        <v>173</v>
      </c>
      <c r="E145" s="331" t="s">
        <v>464</v>
      </c>
      <c r="F145" s="332"/>
      <c r="G145" s="331"/>
      <c r="H145" s="346" t="s">
        <v>465</v>
      </c>
      <c r="I145" s="334" t="s">
        <v>175</v>
      </c>
      <c r="J14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45" s="160">
        <v>137324</v>
      </c>
      <c r="L145" s="160">
        <f>+Reactivos_[[#This Row],[Cantidad]]*Reactivos_[[#This Row],[Valor de referencia]]</f>
        <v>686620</v>
      </c>
      <c r="M145" s="254">
        <v>0</v>
      </c>
      <c r="N145" s="255">
        <f>+Reactivos_[[#This Row],[Valor de referencia]]*Reactivos_[[#This Row],[Cantidad LANIP]]</f>
        <v>0</v>
      </c>
      <c r="O145" s="256">
        <v>4</v>
      </c>
      <c r="P145" s="255">
        <f>+Reactivos_[[#This Row],[Cantidad 
LDV]]*Reactivos_[[#This Row],[Valor de referencia]]</f>
        <v>549296</v>
      </c>
      <c r="Q145" s="257">
        <v>1</v>
      </c>
      <c r="R145" s="255">
        <f>+Reactivos_[[#This Row],[Cantidad LNDV]]*Reactivos_[[#This Row],[Valor de referencia]]</f>
        <v>137324</v>
      </c>
      <c r="S145" s="148"/>
      <c r="T145" s="255">
        <f>+Reactivos_[[#This Row],[GGCA]]*Reactivos_[[#This Row],[Valor de referencia]]</f>
        <v>0</v>
      </c>
      <c r="U145" s="254"/>
      <c r="V145" s="255">
        <f>+Reactivos_[[#This Row],[Cantidad LDF]]*Reactivos_[[#This Row],[Valor de referencia]]</f>
        <v>0</v>
      </c>
      <c r="W145" s="254"/>
      <c r="X145" s="255">
        <f>+Reactivos_[[#This Row],[Cantidad LDF&amp;MR]]*Reactivos_[[#This Row],[Valor de referencia]]</f>
        <v>0</v>
      </c>
      <c r="Y145" s="254"/>
      <c r="Z145" s="255">
        <f>+Reactivos_[[#This Row],[Cantidad RED LASE]]*Reactivos_[[#This Row],[Valor de referencia]]</f>
        <v>0</v>
      </c>
      <c r="AA145" s="254"/>
      <c r="AB145" s="255">
        <f>+Reactivos_[[#This Row],[Cantidad LANIA]]*Reactivos_[[#This Row],[Valor de referencia]]</f>
        <v>0</v>
      </c>
      <c r="AC145" s="254"/>
      <c r="AD145" s="255">
        <f>+Reactivos_[[#This Row],[Cantidad SPA]]*Reactivos_[[#This Row],[Valor de referencia]]</f>
        <v>0</v>
      </c>
      <c r="AE145" s="148" t="s">
        <v>76</v>
      </c>
      <c r="AF145" s="148" t="s">
        <v>77</v>
      </c>
    </row>
    <row r="146" spans="1:32" ht="38.25" x14ac:dyDescent="0.25">
      <c r="A146" s="294" t="str">
        <f>IF(B146=Reactivos_[[#This Row],[Cantidad LANIP]],"LANIP",IF(B146=Reactivos_[[#This Row],[Cantidad 
LDV]],"LDV",IF(B146=Reactivos_[[#This Row],[Cantidad LNDV]],"LNDV",IF(B146=Reactivos_[[#This Row],[GGCA]],"GGCA",IF(B146=Reactivos_[[#This Row],[Cantidad LDF]],"LDF",IF(Reactivos_[[#This Row],[Cantidad LDF&amp;MR]],"LDF&amp;MR",IF(B146=Reactivos_[[#This Row],[Cantidad RED LASE]],"LASE",IF(B146=Reactivos_[[#This Row],[Cantidad LANIA]],"LANIA",IF(B146=Reactivos_[[#This Row],[Cantidad SPA]],"SPA"," ")))))))))</f>
        <v>LNDV</v>
      </c>
      <c r="B14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46" s="325">
        <v>144</v>
      </c>
      <c r="D146" s="326">
        <v>174</v>
      </c>
      <c r="E146" s="245" t="s">
        <v>466</v>
      </c>
      <c r="F146" s="244" t="s">
        <v>467</v>
      </c>
      <c r="G146" s="245" t="s">
        <v>468</v>
      </c>
      <c r="H146" s="349" t="s">
        <v>469</v>
      </c>
      <c r="I146" s="336" t="s">
        <v>356</v>
      </c>
      <c r="J14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46" s="160">
        <v>4347189</v>
      </c>
      <c r="L146" s="160">
        <f>+Reactivos_[[#This Row],[Cantidad]]*Reactivos_[[#This Row],[Valor de referencia]]</f>
        <v>4347189</v>
      </c>
      <c r="M146" s="254">
        <v>0</v>
      </c>
      <c r="N146" s="255">
        <f>+Reactivos_[[#This Row],[Valor de referencia]]*Reactivos_[[#This Row],[Cantidad LANIP]]</f>
        <v>0</v>
      </c>
      <c r="O146" s="256"/>
      <c r="P146" s="255">
        <f>+Reactivos_[[#This Row],[Cantidad 
LDV]]*Reactivos_[[#This Row],[Valor de referencia]]</f>
        <v>0</v>
      </c>
      <c r="Q146" s="257">
        <v>1</v>
      </c>
      <c r="R146" s="255">
        <f>+Reactivos_[[#This Row],[Cantidad LNDV]]*Reactivos_[[#This Row],[Valor de referencia]]</f>
        <v>4347189</v>
      </c>
      <c r="S146" s="148"/>
      <c r="T146" s="255">
        <f>+Reactivos_[[#This Row],[GGCA]]*Reactivos_[[#This Row],[Valor de referencia]]</f>
        <v>0</v>
      </c>
      <c r="U146" s="254"/>
      <c r="V146" s="255">
        <f>+Reactivos_[[#This Row],[Cantidad LDF]]*Reactivos_[[#This Row],[Valor de referencia]]</f>
        <v>0</v>
      </c>
      <c r="W146" s="254"/>
      <c r="X146" s="255">
        <f>+Reactivos_[[#This Row],[Cantidad LDF&amp;MR]]*Reactivos_[[#This Row],[Valor de referencia]]</f>
        <v>0</v>
      </c>
      <c r="Y146" s="254"/>
      <c r="Z146" s="255">
        <f>+Reactivos_[[#This Row],[Cantidad RED LASE]]*Reactivos_[[#This Row],[Valor de referencia]]</f>
        <v>0</v>
      </c>
      <c r="AA146" s="254"/>
      <c r="AB146" s="255">
        <f>+Reactivos_[[#This Row],[Cantidad LANIA]]*Reactivos_[[#This Row],[Valor de referencia]]</f>
        <v>0</v>
      </c>
      <c r="AC146" s="254"/>
      <c r="AD146" s="255">
        <f>+Reactivos_[[#This Row],[Cantidad SPA]]*Reactivos_[[#This Row],[Valor de referencia]]</f>
        <v>0</v>
      </c>
      <c r="AE146" s="148" t="s">
        <v>76</v>
      </c>
      <c r="AF146" s="148" t="s">
        <v>77</v>
      </c>
    </row>
    <row r="147" spans="1:32" ht="38.25" x14ac:dyDescent="0.25">
      <c r="A147" s="294" t="str">
        <f>IF(B147=Reactivos_[[#This Row],[Cantidad LANIP]],"LANIP",IF(B147=Reactivos_[[#This Row],[Cantidad 
LDV]],"LDV",IF(B147=Reactivos_[[#This Row],[Cantidad LNDV]],"LNDV",IF(B147=Reactivos_[[#This Row],[GGCA]],"GGCA",IF(B147=Reactivos_[[#This Row],[Cantidad LDF]],"LDF",IF(Reactivos_[[#This Row],[Cantidad LDF&amp;MR]],"LDF&amp;MR",IF(B147=Reactivos_[[#This Row],[Cantidad RED LASE]],"LASE",IF(B147=Reactivos_[[#This Row],[Cantidad LANIA]],"LANIA",IF(B147=Reactivos_[[#This Row],[Cantidad SPA]],"SPA"," ")))))))))</f>
        <v>LDF</v>
      </c>
      <c r="B14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47" s="325">
        <v>145</v>
      </c>
      <c r="D147" s="326">
        <v>176</v>
      </c>
      <c r="E147" s="245" t="s">
        <v>470</v>
      </c>
      <c r="F147" s="244" t="s">
        <v>471</v>
      </c>
      <c r="G147" s="245" t="s">
        <v>472</v>
      </c>
      <c r="H147" s="349" t="s">
        <v>473</v>
      </c>
      <c r="I147" s="336" t="s">
        <v>474</v>
      </c>
      <c r="J14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147" s="160">
        <v>1059635</v>
      </c>
      <c r="L147" s="160">
        <f>+Reactivos_[[#This Row],[Cantidad]]*Reactivos_[[#This Row],[Valor de referencia]]</f>
        <v>6357810</v>
      </c>
      <c r="M147" s="254">
        <v>0</v>
      </c>
      <c r="N147" s="255">
        <f>+Reactivos_[[#This Row],[Valor de referencia]]*Reactivos_[[#This Row],[Cantidad LANIP]]</f>
        <v>0</v>
      </c>
      <c r="O147" s="256"/>
      <c r="P147" s="255">
        <f>+Reactivos_[[#This Row],[Cantidad 
LDV]]*Reactivos_[[#This Row],[Valor de referencia]]</f>
        <v>0</v>
      </c>
      <c r="Q147" s="257">
        <v>1</v>
      </c>
      <c r="R147" s="255">
        <f>+Reactivos_[[#This Row],[Cantidad LNDV]]*Reactivos_[[#This Row],[Valor de referencia]]</f>
        <v>1059635</v>
      </c>
      <c r="S147" s="148"/>
      <c r="T147" s="255">
        <f>+Reactivos_[[#This Row],[GGCA]]*Reactivos_[[#This Row],[Valor de referencia]]</f>
        <v>0</v>
      </c>
      <c r="U147" s="254">
        <v>5</v>
      </c>
      <c r="V147" s="255">
        <f>+Reactivos_[[#This Row],[Cantidad LDF]]*Reactivos_[[#This Row],[Valor de referencia]]</f>
        <v>5298175</v>
      </c>
      <c r="W147" s="254"/>
      <c r="X147" s="255">
        <f>+Reactivos_[[#This Row],[Cantidad LDF&amp;MR]]*Reactivos_[[#This Row],[Valor de referencia]]</f>
        <v>0</v>
      </c>
      <c r="Y147" s="254"/>
      <c r="Z147" s="255">
        <f>+Reactivos_[[#This Row],[Cantidad RED LASE]]*Reactivos_[[#This Row],[Valor de referencia]]</f>
        <v>0</v>
      </c>
      <c r="AA147" s="254"/>
      <c r="AB147" s="255">
        <f>+Reactivos_[[#This Row],[Cantidad LANIA]]*Reactivos_[[#This Row],[Valor de referencia]]</f>
        <v>0</v>
      </c>
      <c r="AC147" s="254"/>
      <c r="AD147" s="255">
        <f>+Reactivos_[[#This Row],[Cantidad SPA]]*Reactivos_[[#This Row],[Valor de referencia]]</f>
        <v>0</v>
      </c>
      <c r="AE147" s="148" t="s">
        <v>76</v>
      </c>
      <c r="AF147" s="148" t="s">
        <v>77</v>
      </c>
    </row>
    <row r="148" spans="1:32" ht="18" customHeight="1" x14ac:dyDescent="0.25">
      <c r="A148" s="294" t="str">
        <f>IF(B148=Reactivos_[[#This Row],[Cantidad LANIP]],"LANIP",IF(B148=Reactivos_[[#This Row],[Cantidad 
LDV]],"LDV",IF(B148=Reactivos_[[#This Row],[Cantidad LNDV]],"LNDV",IF(B148=Reactivos_[[#This Row],[GGCA]],"GGCA",IF(B148=Reactivos_[[#This Row],[Cantidad LDF]],"LDF",IF(Reactivos_[[#This Row],[Cantidad LDF&amp;MR]],"LDF&amp;MR",IF(B148=Reactivos_[[#This Row],[Cantidad RED LASE]],"LASE",IF(B148=Reactivos_[[#This Row],[Cantidad LANIA]],"LANIA",IF(B148=Reactivos_[[#This Row],[Cantidad SPA]],"SPA"," ")))))))))</f>
        <v>LDF</v>
      </c>
      <c r="B14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148" s="325">
        <v>146</v>
      </c>
      <c r="D148" s="326">
        <v>177</v>
      </c>
      <c r="E148" s="331" t="s">
        <v>475</v>
      </c>
      <c r="F148" s="332"/>
      <c r="G148" s="331"/>
      <c r="H148" s="409" t="s">
        <v>476</v>
      </c>
      <c r="I148" s="334" t="s">
        <v>217</v>
      </c>
      <c r="J14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148" s="160">
        <v>528661</v>
      </c>
      <c r="L148" s="160">
        <f>+Reactivos_[[#This Row],[Cantidad]]*Reactivos_[[#This Row],[Valor de referencia]]</f>
        <v>3171966</v>
      </c>
      <c r="M148" s="254">
        <v>2</v>
      </c>
      <c r="N148" s="255">
        <f>+Reactivos_[[#This Row],[Valor de referencia]]*Reactivos_[[#This Row],[Cantidad LANIP]]</f>
        <v>1057322</v>
      </c>
      <c r="O148" s="256"/>
      <c r="P148" s="255">
        <f>+Reactivos_[[#This Row],[Cantidad 
LDV]]*Reactivos_[[#This Row],[Valor de referencia]]</f>
        <v>0</v>
      </c>
      <c r="Q148" s="257"/>
      <c r="R148" s="255">
        <f>+Reactivos_[[#This Row],[Cantidad LNDV]]*Reactivos_[[#This Row],[Valor de referencia]]</f>
        <v>0</v>
      </c>
      <c r="S148" s="148"/>
      <c r="T148" s="255">
        <f>+Reactivos_[[#This Row],[GGCA]]*Reactivos_[[#This Row],[Valor de referencia]]</f>
        <v>0</v>
      </c>
      <c r="U148" s="254">
        <v>3</v>
      </c>
      <c r="V148" s="255">
        <f>+Reactivos_[[#This Row],[Cantidad LDF]]*Reactivos_[[#This Row],[Valor de referencia]]</f>
        <v>1585983</v>
      </c>
      <c r="W148" s="254">
        <v>1</v>
      </c>
      <c r="X148" s="255">
        <f>+Reactivos_[[#This Row],[Cantidad LDF&amp;MR]]*Reactivos_[[#This Row],[Valor de referencia]]</f>
        <v>528661</v>
      </c>
      <c r="Y148" s="254"/>
      <c r="Z148" s="255">
        <f>+Reactivos_[[#This Row],[Cantidad RED LASE]]*Reactivos_[[#This Row],[Valor de referencia]]</f>
        <v>0</v>
      </c>
      <c r="AA148" s="254"/>
      <c r="AB148" s="255">
        <f>+Reactivos_[[#This Row],[Cantidad LANIA]]*Reactivos_[[#This Row],[Valor de referencia]]</f>
        <v>0</v>
      </c>
      <c r="AC148" s="254"/>
      <c r="AD148" s="255">
        <f>+Reactivos_[[#This Row],[Cantidad SPA]]*Reactivos_[[#This Row],[Valor de referencia]]</f>
        <v>0</v>
      </c>
      <c r="AE148" s="148" t="s">
        <v>76</v>
      </c>
      <c r="AF148" s="148" t="s">
        <v>77</v>
      </c>
    </row>
    <row r="149" spans="1:32" ht="102" x14ac:dyDescent="0.25">
      <c r="A149" s="294" t="str">
        <f>IF(B149=Reactivos_[[#This Row],[Cantidad LANIP]],"LANIP",IF(B149=Reactivos_[[#This Row],[Cantidad 
LDV]],"LDV",IF(B149=Reactivos_[[#This Row],[Cantidad LNDV]],"LNDV",IF(B149=Reactivos_[[#This Row],[GGCA]],"GGCA",IF(B149=Reactivos_[[#This Row],[Cantidad LDF]],"LDF",IF(Reactivos_[[#This Row],[Cantidad LDF&amp;MR]],"LDF&amp;MR",IF(B149=Reactivos_[[#This Row],[Cantidad RED LASE]],"LASE",IF(B149=Reactivos_[[#This Row],[Cantidad LANIA]],"LANIA",IF(B149=Reactivos_[[#This Row],[Cantidad SPA]],"SPA"," ")))))))))</f>
        <v>LDF</v>
      </c>
      <c r="B14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49" s="325">
        <v>147</v>
      </c>
      <c r="D149" s="326">
        <v>178</v>
      </c>
      <c r="E149" s="245" t="s">
        <v>477</v>
      </c>
      <c r="F149" s="244"/>
      <c r="G149" s="245"/>
      <c r="H149" s="409" t="s">
        <v>478</v>
      </c>
      <c r="I149" s="336" t="s">
        <v>107</v>
      </c>
      <c r="J14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49" s="160">
        <v>1026732</v>
      </c>
      <c r="L149" s="160">
        <f>+Reactivos_[[#This Row],[Cantidad]]*Reactivos_[[#This Row],[Valor de referencia]]</f>
        <v>5133660</v>
      </c>
      <c r="M149" s="254"/>
      <c r="N149" s="255">
        <f>+Reactivos_[[#This Row],[Valor de referencia]]*Reactivos_[[#This Row],[Cantidad LANIP]]</f>
        <v>0</v>
      </c>
      <c r="O149" s="256"/>
      <c r="P149" s="255">
        <f>+Reactivos_[[#This Row],[Cantidad 
LDV]]*Reactivos_[[#This Row],[Valor de referencia]]</f>
        <v>0</v>
      </c>
      <c r="Q149" s="257"/>
      <c r="R149" s="255">
        <f>+Reactivos_[[#This Row],[Cantidad LNDV]]*Reactivos_[[#This Row],[Valor de referencia]]</f>
        <v>0</v>
      </c>
      <c r="S149" s="148"/>
      <c r="T149" s="255">
        <f>+Reactivos_[[#This Row],[GGCA]]*Reactivos_[[#This Row],[Valor de referencia]]</f>
        <v>0</v>
      </c>
      <c r="U149" s="254">
        <v>5</v>
      </c>
      <c r="V149" s="255">
        <f>+Reactivos_[[#This Row],[Cantidad LDF]]*Reactivos_[[#This Row],[Valor de referencia]]</f>
        <v>5133660</v>
      </c>
      <c r="W149" s="254"/>
      <c r="X149" s="255">
        <f>+Reactivos_[[#This Row],[Cantidad LDF&amp;MR]]*Reactivos_[[#This Row],[Valor de referencia]]</f>
        <v>0</v>
      </c>
      <c r="Y149" s="254"/>
      <c r="Z149" s="255">
        <f>+Reactivos_[[#This Row],[Cantidad RED LASE]]*Reactivos_[[#This Row],[Valor de referencia]]</f>
        <v>0</v>
      </c>
      <c r="AA149" s="254"/>
      <c r="AB149" s="255">
        <f>+Reactivos_[[#This Row],[Cantidad LANIA]]*Reactivos_[[#This Row],[Valor de referencia]]</f>
        <v>0</v>
      </c>
      <c r="AC149" s="254"/>
      <c r="AD149" s="255">
        <f>+Reactivos_[[#This Row],[Cantidad SPA]]*Reactivos_[[#This Row],[Valor de referencia]]</f>
        <v>0</v>
      </c>
      <c r="AE149" s="148" t="s">
        <v>76</v>
      </c>
      <c r="AF149" s="148" t="s">
        <v>101</v>
      </c>
    </row>
    <row r="150" spans="1:32" ht="30" customHeight="1" x14ac:dyDescent="0.25">
      <c r="A150" s="294" t="str">
        <f>IF(B150=Reactivos_[[#This Row],[Cantidad LANIP]],"LANIP",IF(B150=Reactivos_[[#This Row],[Cantidad 
LDV]],"LDV",IF(B150=Reactivos_[[#This Row],[Cantidad LNDV]],"LNDV",IF(B150=Reactivos_[[#This Row],[GGCA]],"GGCA",IF(B150=Reactivos_[[#This Row],[Cantidad LDF]],"LDF",IF(Reactivos_[[#This Row],[Cantidad LDF&amp;MR]],"LDF&amp;MR",IF(B150=Reactivos_[[#This Row],[Cantidad RED LASE]],"LASE",IF(B150=Reactivos_[[#This Row],[Cantidad LANIA]],"LANIA",IF(B150=Reactivos_[[#This Row],[Cantidad SPA]],"SPA"," ")))))))))</f>
        <v>LNDV</v>
      </c>
      <c r="B15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50" s="325">
        <v>148</v>
      </c>
      <c r="D150" s="326">
        <v>179</v>
      </c>
      <c r="E150" s="245" t="s">
        <v>479</v>
      </c>
      <c r="F150" s="244"/>
      <c r="G150" s="245"/>
      <c r="H150" s="346" t="s">
        <v>480</v>
      </c>
      <c r="I150" s="336" t="s">
        <v>481</v>
      </c>
      <c r="J15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50" s="160">
        <v>1305138</v>
      </c>
      <c r="L150" s="160">
        <f>+Reactivos_[[#This Row],[Cantidad]]*Reactivos_[[#This Row],[Valor de referencia]]</f>
        <v>1305138</v>
      </c>
      <c r="M150" s="254">
        <v>0</v>
      </c>
      <c r="N150" s="255">
        <f>+Reactivos_[[#This Row],[Valor de referencia]]*Reactivos_[[#This Row],[Cantidad LANIP]]</f>
        <v>0</v>
      </c>
      <c r="O150" s="256"/>
      <c r="P150" s="255">
        <f>+Reactivos_[[#This Row],[Cantidad 
LDV]]*Reactivos_[[#This Row],[Valor de referencia]]</f>
        <v>0</v>
      </c>
      <c r="Q150" s="257">
        <v>1</v>
      </c>
      <c r="R150" s="255">
        <f>+Reactivos_[[#This Row],[Cantidad LNDV]]*Reactivos_[[#This Row],[Valor de referencia]]</f>
        <v>1305138</v>
      </c>
      <c r="S150" s="148"/>
      <c r="T150" s="255">
        <f>+Reactivos_[[#This Row],[GGCA]]*Reactivos_[[#This Row],[Valor de referencia]]</f>
        <v>0</v>
      </c>
      <c r="U150" s="254"/>
      <c r="V150" s="255">
        <f>+Reactivos_[[#This Row],[Cantidad LDF]]*Reactivos_[[#This Row],[Valor de referencia]]</f>
        <v>0</v>
      </c>
      <c r="W150" s="254"/>
      <c r="X150" s="255">
        <f>+Reactivos_[[#This Row],[Cantidad LDF&amp;MR]]*Reactivos_[[#This Row],[Valor de referencia]]</f>
        <v>0</v>
      </c>
      <c r="Y150" s="254"/>
      <c r="Z150" s="255">
        <f>+Reactivos_[[#This Row],[Cantidad RED LASE]]*Reactivos_[[#This Row],[Valor de referencia]]</f>
        <v>0</v>
      </c>
      <c r="AA150" s="254"/>
      <c r="AB150" s="255">
        <f>+Reactivos_[[#This Row],[Cantidad LANIA]]*Reactivos_[[#This Row],[Valor de referencia]]</f>
        <v>0</v>
      </c>
      <c r="AC150" s="254"/>
      <c r="AD150" s="255">
        <f>+Reactivos_[[#This Row],[Cantidad SPA]]*Reactivos_[[#This Row],[Valor de referencia]]</f>
        <v>0</v>
      </c>
      <c r="AE150" s="148" t="s">
        <v>76</v>
      </c>
      <c r="AF150" s="148" t="s">
        <v>77</v>
      </c>
    </row>
    <row r="151" spans="1:32" ht="33.75" customHeight="1" x14ac:dyDescent="0.25">
      <c r="A151" s="294" t="str">
        <f>IF(B151=Reactivos_[[#This Row],[Cantidad LANIP]],"LANIP",IF(B151=Reactivos_[[#This Row],[Cantidad 
LDV]],"LDV",IF(B151=Reactivos_[[#This Row],[Cantidad LNDV]],"LNDV",IF(B151=Reactivos_[[#This Row],[GGCA]],"GGCA",IF(B151=Reactivos_[[#This Row],[Cantidad LDF]],"LDF",IF(Reactivos_[[#This Row],[Cantidad LDF&amp;MR]],"LDF&amp;MR",IF(B151=Reactivos_[[#This Row],[Cantidad RED LASE]],"LASE",IF(B151=Reactivos_[[#This Row],[Cantidad LANIA]],"LANIA",IF(B151=Reactivos_[[#This Row],[Cantidad SPA]],"SPA"," ")))))))))</f>
        <v>LNDV</v>
      </c>
      <c r="B15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2500</v>
      </c>
      <c r="C151" s="325">
        <v>149</v>
      </c>
      <c r="D151" s="326">
        <v>180</v>
      </c>
      <c r="E151" s="331" t="s">
        <v>482</v>
      </c>
      <c r="F151" s="332"/>
      <c r="G151" s="331"/>
      <c r="H151" s="349" t="s">
        <v>483</v>
      </c>
      <c r="I151" s="334" t="s">
        <v>484</v>
      </c>
      <c r="J15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3100</v>
      </c>
      <c r="K151" s="160">
        <v>13685</v>
      </c>
      <c r="L151" s="160">
        <f>+Reactivos_[[#This Row],[Cantidad]]*Reactivos_[[#This Row],[Valor de referencia]]</f>
        <v>42423500</v>
      </c>
      <c r="M151" s="254">
        <v>0</v>
      </c>
      <c r="N151" s="255">
        <f>+Reactivos_[[#This Row],[Valor de referencia]]*Reactivos_[[#This Row],[Cantidad LANIP]]</f>
        <v>0</v>
      </c>
      <c r="O151" s="256">
        <v>600</v>
      </c>
      <c r="P151" s="255">
        <f>+Reactivos_[[#This Row],[Cantidad 
LDV]]*Reactivos_[[#This Row],[Valor de referencia]]</f>
        <v>8211000</v>
      </c>
      <c r="Q151" s="257">
        <v>2500</v>
      </c>
      <c r="R151" s="255">
        <f>+Reactivos_[[#This Row],[Cantidad LNDV]]*Reactivos_[[#This Row],[Valor de referencia]]</f>
        <v>34212500</v>
      </c>
      <c r="S151" s="148"/>
      <c r="T151" s="255">
        <f>+Reactivos_[[#This Row],[GGCA]]*Reactivos_[[#This Row],[Valor de referencia]]</f>
        <v>0</v>
      </c>
      <c r="U151" s="254"/>
      <c r="V151" s="255">
        <f>+Reactivos_[[#This Row],[Cantidad LDF]]*Reactivos_[[#This Row],[Valor de referencia]]</f>
        <v>0</v>
      </c>
      <c r="W151" s="254"/>
      <c r="X151" s="255">
        <f>+Reactivos_[[#This Row],[Cantidad LDF&amp;MR]]*Reactivos_[[#This Row],[Valor de referencia]]</f>
        <v>0</v>
      </c>
      <c r="Y151" s="254"/>
      <c r="Z151" s="255">
        <f>+Reactivos_[[#This Row],[Cantidad RED LASE]]*Reactivos_[[#This Row],[Valor de referencia]]</f>
        <v>0</v>
      </c>
      <c r="AA151" s="254"/>
      <c r="AB151" s="255">
        <f>+Reactivos_[[#This Row],[Cantidad LANIA]]*Reactivos_[[#This Row],[Valor de referencia]]</f>
        <v>0</v>
      </c>
      <c r="AC151" s="254"/>
      <c r="AD151" s="255">
        <f>+Reactivos_[[#This Row],[Cantidad SPA]]*Reactivos_[[#This Row],[Valor de referencia]]</f>
        <v>0</v>
      </c>
      <c r="AE151" s="148" t="s">
        <v>76</v>
      </c>
      <c r="AF151" s="148" t="s">
        <v>77</v>
      </c>
    </row>
    <row r="152" spans="1:32" ht="48.75" customHeight="1" x14ac:dyDescent="0.25">
      <c r="A152" s="294" t="str">
        <f>IF(B152=Reactivos_[[#This Row],[Cantidad LANIP]],"LANIP",IF(B152=Reactivos_[[#This Row],[Cantidad 
LDV]],"LDV",IF(B152=Reactivos_[[#This Row],[Cantidad LNDV]],"LNDV",IF(B152=Reactivos_[[#This Row],[GGCA]],"GGCA",IF(B152=Reactivos_[[#This Row],[Cantidad LDF]],"LDF",IF(Reactivos_[[#This Row],[Cantidad LDF&amp;MR]],"LDF&amp;MR",IF(B152=Reactivos_[[#This Row],[Cantidad RED LASE]],"LASE",IF(B152=Reactivos_[[#This Row],[Cantidad LANIA]],"LANIA",IF(B152=Reactivos_[[#This Row],[Cantidad SPA]],"SPA"," ")))))))))</f>
        <v>LANIP</v>
      </c>
      <c r="B15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152" s="325">
        <v>150</v>
      </c>
      <c r="D152" s="326">
        <v>187</v>
      </c>
      <c r="E152" s="331" t="s">
        <v>485</v>
      </c>
      <c r="F152" s="332">
        <v>106329</v>
      </c>
      <c r="G152" s="331" t="s">
        <v>486</v>
      </c>
      <c r="H152" s="346" t="s">
        <v>487</v>
      </c>
      <c r="I152" s="334" t="s">
        <v>488</v>
      </c>
      <c r="J15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K152" s="160">
        <v>246241</v>
      </c>
      <c r="L152" s="160">
        <f>+Reactivos_[[#This Row],[Cantidad]]*Reactivos_[[#This Row],[Valor de referencia]]</f>
        <v>1969928</v>
      </c>
      <c r="M152" s="254">
        <v>6</v>
      </c>
      <c r="N152" s="255">
        <f>+Reactivos_[[#This Row],[Valor de referencia]]*Reactivos_[[#This Row],[Cantidad LANIP]]</f>
        <v>1477446</v>
      </c>
      <c r="O152" s="256">
        <v>1</v>
      </c>
      <c r="P152" s="255">
        <f>+Reactivos_[[#This Row],[Cantidad 
LDV]]*Reactivos_[[#This Row],[Valor de referencia]]</f>
        <v>246241</v>
      </c>
      <c r="Q152" s="257">
        <v>1</v>
      </c>
      <c r="R152" s="255">
        <f>+Reactivos_[[#This Row],[Cantidad LNDV]]*Reactivos_[[#This Row],[Valor de referencia]]</f>
        <v>246241</v>
      </c>
      <c r="S152" s="148"/>
      <c r="T152" s="255">
        <f>+Reactivos_[[#This Row],[GGCA]]*Reactivos_[[#This Row],[Valor de referencia]]</f>
        <v>0</v>
      </c>
      <c r="U152" s="254"/>
      <c r="V152" s="255">
        <f>+Reactivos_[[#This Row],[Cantidad LDF]]*Reactivos_[[#This Row],[Valor de referencia]]</f>
        <v>0</v>
      </c>
      <c r="W152" s="254"/>
      <c r="X152" s="255">
        <f>+Reactivos_[[#This Row],[Cantidad LDF&amp;MR]]*Reactivos_[[#This Row],[Valor de referencia]]</f>
        <v>0</v>
      </c>
      <c r="Y152" s="254"/>
      <c r="Z152" s="255">
        <f>+Reactivos_[[#This Row],[Cantidad RED LASE]]*Reactivos_[[#This Row],[Valor de referencia]]</f>
        <v>0</v>
      </c>
      <c r="AA152" s="254"/>
      <c r="AB152" s="255">
        <f>+Reactivos_[[#This Row],[Cantidad LANIA]]*Reactivos_[[#This Row],[Valor de referencia]]</f>
        <v>0</v>
      </c>
      <c r="AC152" s="254"/>
      <c r="AD152" s="255">
        <f>+Reactivos_[[#This Row],[Cantidad SPA]]*Reactivos_[[#This Row],[Valor de referencia]]</f>
        <v>0</v>
      </c>
      <c r="AE152" s="148" t="s">
        <v>76</v>
      </c>
      <c r="AF152" s="148" t="s">
        <v>77</v>
      </c>
    </row>
    <row r="153" spans="1:32" ht="49.5" customHeight="1" x14ac:dyDescent="0.25">
      <c r="A153" s="294" t="str">
        <f>IF(B153=Reactivos_[[#This Row],[Cantidad LANIP]],"LANIP",IF(B153=Reactivos_[[#This Row],[Cantidad 
LDV]],"LDV",IF(B153=Reactivos_[[#This Row],[Cantidad LNDV]],"LNDV",IF(B153=Reactivos_[[#This Row],[GGCA]],"GGCA",IF(B153=Reactivos_[[#This Row],[Cantidad LDF]],"LDF",IF(Reactivos_[[#This Row],[Cantidad LDF&amp;MR]],"LDF&amp;MR",IF(B153=Reactivos_[[#This Row],[Cantidad RED LASE]],"LASE",IF(B153=Reactivos_[[#This Row],[Cantidad LANIA]],"LANIA",IF(B153=Reactivos_[[#This Row],[Cantidad SPA]],"SPA"," ")))))))))</f>
        <v>LNDV</v>
      </c>
      <c r="B15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53" s="325">
        <v>151</v>
      </c>
      <c r="D153" s="326">
        <v>188</v>
      </c>
      <c r="E153" s="245" t="s">
        <v>489</v>
      </c>
      <c r="F153" s="244" t="s">
        <v>490</v>
      </c>
      <c r="G153" s="245" t="s">
        <v>491</v>
      </c>
      <c r="H153" s="349" t="s">
        <v>492</v>
      </c>
      <c r="I153" s="336" t="s">
        <v>356</v>
      </c>
      <c r="J15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53" s="160">
        <v>1199044</v>
      </c>
      <c r="L153" s="160">
        <f>+Reactivos_[[#This Row],[Cantidad]]*Reactivos_[[#This Row],[Valor de referencia]]</f>
        <v>1199044</v>
      </c>
      <c r="M153" s="254">
        <v>0</v>
      </c>
      <c r="N153" s="255">
        <f>+Reactivos_[[#This Row],[Valor de referencia]]*Reactivos_[[#This Row],[Cantidad LANIP]]</f>
        <v>0</v>
      </c>
      <c r="O153" s="256"/>
      <c r="P153" s="255">
        <f>+Reactivos_[[#This Row],[Cantidad 
LDV]]*Reactivos_[[#This Row],[Valor de referencia]]</f>
        <v>0</v>
      </c>
      <c r="Q153" s="257">
        <v>1</v>
      </c>
      <c r="R153" s="255">
        <f>+Reactivos_[[#This Row],[Cantidad LNDV]]*Reactivos_[[#This Row],[Valor de referencia]]</f>
        <v>1199044</v>
      </c>
      <c r="S153" s="148"/>
      <c r="T153" s="255">
        <f>+Reactivos_[[#This Row],[GGCA]]*Reactivos_[[#This Row],[Valor de referencia]]</f>
        <v>0</v>
      </c>
      <c r="U153" s="254"/>
      <c r="V153" s="255">
        <f>+Reactivos_[[#This Row],[Cantidad LDF]]*Reactivos_[[#This Row],[Valor de referencia]]</f>
        <v>0</v>
      </c>
      <c r="W153" s="254"/>
      <c r="X153" s="255">
        <f>+Reactivos_[[#This Row],[Cantidad LDF&amp;MR]]*Reactivos_[[#This Row],[Valor de referencia]]</f>
        <v>0</v>
      </c>
      <c r="Y153" s="254"/>
      <c r="Z153" s="255">
        <f>+Reactivos_[[#This Row],[Cantidad RED LASE]]*Reactivos_[[#This Row],[Valor de referencia]]</f>
        <v>0</v>
      </c>
      <c r="AA153" s="254"/>
      <c r="AB153" s="255">
        <f>+Reactivos_[[#This Row],[Cantidad LANIA]]*Reactivos_[[#This Row],[Valor de referencia]]</f>
        <v>0</v>
      </c>
      <c r="AC153" s="254"/>
      <c r="AD153" s="255">
        <f>+Reactivos_[[#This Row],[Cantidad SPA]]*Reactivos_[[#This Row],[Valor de referencia]]</f>
        <v>0</v>
      </c>
      <c r="AE153" s="148" t="s">
        <v>76</v>
      </c>
      <c r="AF153" s="148" t="s">
        <v>77</v>
      </c>
    </row>
    <row r="154" spans="1:32" ht="22.5" customHeight="1" x14ac:dyDescent="0.25">
      <c r="A154" s="294" t="str">
        <f>IF(B154=Reactivos_[[#This Row],[Cantidad LANIP]],"LANIP",IF(B154=Reactivos_[[#This Row],[Cantidad 
LDV]],"LDV",IF(B154=Reactivos_[[#This Row],[Cantidad LNDV]],"LNDV",IF(B154=Reactivos_[[#This Row],[GGCA]],"GGCA",IF(B154=Reactivos_[[#This Row],[Cantidad LDF]],"LDF",IF(Reactivos_[[#This Row],[Cantidad LDF&amp;MR]],"LDF&amp;MR",IF(B154=Reactivos_[[#This Row],[Cantidad RED LASE]],"LASE",IF(B154=Reactivos_[[#This Row],[Cantidad LANIA]],"LANIA",IF(B154=Reactivos_[[#This Row],[Cantidad SPA]],"SPA"," ")))))))))</f>
        <v>LANIA</v>
      </c>
      <c r="B15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54" s="325">
        <v>152</v>
      </c>
      <c r="D154" s="326">
        <v>189</v>
      </c>
      <c r="E154" s="245" t="s">
        <v>493</v>
      </c>
      <c r="F154" s="244" t="s">
        <v>494</v>
      </c>
      <c r="G154" s="245"/>
      <c r="H154" s="346" t="s">
        <v>495</v>
      </c>
      <c r="I154" s="353" t="s">
        <v>496</v>
      </c>
      <c r="J15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54" s="160">
        <v>239964</v>
      </c>
      <c r="L154" s="160">
        <f>+Reactivos_[[#This Row],[Cantidad]]*Reactivos_[[#This Row],[Valor de referencia]]</f>
        <v>239964</v>
      </c>
      <c r="M154" s="254">
        <v>0</v>
      </c>
      <c r="N154" s="255">
        <f>+Reactivos_[[#This Row],[Valor de referencia]]*Reactivos_[[#This Row],[Cantidad LANIP]]</f>
        <v>0</v>
      </c>
      <c r="O154" s="256"/>
      <c r="P154" s="255">
        <f>+Reactivos_[[#This Row],[Cantidad 
LDV]]*Reactivos_[[#This Row],[Valor de referencia]]</f>
        <v>0</v>
      </c>
      <c r="Q154" s="257"/>
      <c r="R154" s="255">
        <f>+Reactivos_[[#This Row],[Cantidad LNDV]]*Reactivos_[[#This Row],[Valor de referencia]]</f>
        <v>0</v>
      </c>
      <c r="S154" s="148"/>
      <c r="T154" s="255">
        <f>+Reactivos_[[#This Row],[GGCA]]*Reactivos_[[#This Row],[Valor de referencia]]</f>
        <v>0</v>
      </c>
      <c r="U154" s="254"/>
      <c r="V154" s="255">
        <f>+Reactivos_[[#This Row],[Cantidad LDF]]*Reactivos_[[#This Row],[Valor de referencia]]</f>
        <v>0</v>
      </c>
      <c r="W154" s="254"/>
      <c r="X154" s="255">
        <f>+Reactivos_[[#This Row],[Cantidad LDF&amp;MR]]*Reactivos_[[#This Row],[Valor de referencia]]</f>
        <v>0</v>
      </c>
      <c r="Y154" s="254"/>
      <c r="Z154" s="255">
        <f>+Reactivos_[[#This Row],[Cantidad RED LASE]]*Reactivos_[[#This Row],[Valor de referencia]]</f>
        <v>0</v>
      </c>
      <c r="AA154" s="254">
        <v>1</v>
      </c>
      <c r="AB154" s="255">
        <f>+Reactivos_[[#This Row],[Cantidad LANIA]]*Reactivos_[[#This Row],[Valor de referencia]]</f>
        <v>239964</v>
      </c>
      <c r="AC154" s="254"/>
      <c r="AD154" s="255">
        <f>+Reactivos_[[#This Row],[Cantidad SPA]]*Reactivos_[[#This Row],[Valor de referencia]]</f>
        <v>0</v>
      </c>
      <c r="AE154" s="148" t="s">
        <v>76</v>
      </c>
      <c r="AF154" s="148" t="s">
        <v>77</v>
      </c>
    </row>
    <row r="155" spans="1:32" ht="25.5" x14ac:dyDescent="0.25">
      <c r="A155" s="294" t="str">
        <f>IF(B155=Reactivos_[[#This Row],[Cantidad LANIP]],"LANIP",IF(B155=Reactivos_[[#This Row],[Cantidad 
LDV]],"LDV",IF(B155=Reactivos_[[#This Row],[Cantidad LNDV]],"LNDV",IF(B155=Reactivos_[[#This Row],[GGCA]],"GGCA",IF(B155=Reactivos_[[#This Row],[Cantidad LDF]],"LDF",IF(Reactivos_[[#This Row],[Cantidad LDF&amp;MR]],"LDF&amp;MR",IF(B155=Reactivos_[[#This Row],[Cantidad RED LASE]],"LASE",IF(B155=Reactivos_[[#This Row],[Cantidad LANIA]],"LANIA",IF(B155=Reactivos_[[#This Row],[Cantidad SPA]],"SPA"," ")))))))))</f>
        <v>LNDV</v>
      </c>
      <c r="B15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55" s="325">
        <v>153</v>
      </c>
      <c r="D155" s="326">
        <v>190</v>
      </c>
      <c r="E155" s="331" t="s">
        <v>497</v>
      </c>
      <c r="F155" s="332"/>
      <c r="G155" s="331"/>
      <c r="H155" s="348" t="s">
        <v>498</v>
      </c>
      <c r="I155" s="334" t="s">
        <v>499</v>
      </c>
      <c r="J15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55" s="160">
        <v>12129348</v>
      </c>
      <c r="L155" s="160">
        <f>+Reactivos_[[#This Row],[Cantidad]]*Reactivos_[[#This Row],[Valor de referencia]]</f>
        <v>24258696</v>
      </c>
      <c r="M155" s="254">
        <v>0</v>
      </c>
      <c r="N155" s="255">
        <f>+Reactivos_[[#This Row],[Valor de referencia]]*Reactivos_[[#This Row],[Cantidad LANIP]]</f>
        <v>0</v>
      </c>
      <c r="O155" s="256"/>
      <c r="P155" s="255">
        <f>+Reactivos_[[#This Row],[Cantidad 
LDV]]*Reactivos_[[#This Row],[Valor de referencia]]</f>
        <v>0</v>
      </c>
      <c r="Q155" s="257">
        <v>2</v>
      </c>
      <c r="R155" s="255">
        <f>+Reactivos_[[#This Row],[Cantidad LNDV]]*Reactivos_[[#This Row],[Valor de referencia]]</f>
        <v>24258696</v>
      </c>
      <c r="S155" s="148"/>
      <c r="T155" s="255">
        <f>+Reactivos_[[#This Row],[GGCA]]*Reactivos_[[#This Row],[Valor de referencia]]</f>
        <v>0</v>
      </c>
      <c r="U155" s="254"/>
      <c r="V155" s="255">
        <f>+Reactivos_[[#This Row],[Cantidad LDF]]*Reactivos_[[#This Row],[Valor de referencia]]</f>
        <v>0</v>
      </c>
      <c r="W155" s="254"/>
      <c r="X155" s="255">
        <f>+Reactivos_[[#This Row],[Cantidad LDF&amp;MR]]*Reactivos_[[#This Row],[Valor de referencia]]</f>
        <v>0</v>
      </c>
      <c r="Y155" s="254"/>
      <c r="Z155" s="255">
        <f>+Reactivos_[[#This Row],[Cantidad RED LASE]]*Reactivos_[[#This Row],[Valor de referencia]]</f>
        <v>0</v>
      </c>
      <c r="AA155" s="254"/>
      <c r="AB155" s="255">
        <f>+Reactivos_[[#This Row],[Cantidad LANIA]]*Reactivos_[[#This Row],[Valor de referencia]]</f>
        <v>0</v>
      </c>
      <c r="AC155" s="254"/>
      <c r="AD155" s="255">
        <f>+Reactivos_[[#This Row],[Cantidad SPA]]*Reactivos_[[#This Row],[Valor de referencia]]</f>
        <v>0</v>
      </c>
      <c r="AE155" s="148" t="s">
        <v>76</v>
      </c>
      <c r="AF155" s="148" t="s">
        <v>77</v>
      </c>
    </row>
    <row r="156" spans="1:32" ht="38.25" x14ac:dyDescent="0.25">
      <c r="A156" s="294" t="str">
        <f>IF(B156=Reactivos_[[#This Row],[Cantidad LANIP]],"LANIP",IF(B156=Reactivos_[[#This Row],[Cantidad 
LDV]],"LDV",IF(B156=Reactivos_[[#This Row],[Cantidad LNDV]],"LNDV",IF(B156=Reactivos_[[#This Row],[GGCA]],"GGCA",IF(B156=Reactivos_[[#This Row],[Cantidad LDF]],"LDF",IF(Reactivos_[[#This Row],[Cantidad LDF&amp;MR]],"LDF&amp;MR",IF(B156=Reactivos_[[#This Row],[Cantidad RED LASE]],"LASE",IF(B156=Reactivos_[[#This Row],[Cantidad LANIA]],"LANIA",IF(B156=Reactivos_[[#This Row],[Cantidad SPA]],"SPA"," ")))))))))</f>
        <v>LANIA</v>
      </c>
      <c r="B15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C156" s="325">
        <v>154</v>
      </c>
      <c r="D156" s="326">
        <v>194</v>
      </c>
      <c r="E156" s="356" t="s">
        <v>500</v>
      </c>
      <c r="F156" s="357"/>
      <c r="G156" s="358"/>
      <c r="H156" s="348" t="s">
        <v>501</v>
      </c>
      <c r="I156" s="334" t="s">
        <v>502</v>
      </c>
      <c r="J15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14</v>
      </c>
      <c r="K156" s="160">
        <v>2178056</v>
      </c>
      <c r="L156" s="160">
        <f>+Reactivos_[[#This Row],[Cantidad]]*Reactivos_[[#This Row],[Valor de referencia]]</f>
        <v>30492784</v>
      </c>
      <c r="M156" s="254">
        <v>2</v>
      </c>
      <c r="N156" s="255">
        <f>+Reactivos_[[#This Row],[Valor de referencia]]*Reactivos_[[#This Row],[Cantidad LANIP]]</f>
        <v>4356112</v>
      </c>
      <c r="O156" s="256"/>
      <c r="P156" s="255">
        <f>+Reactivos_[[#This Row],[Cantidad 
LDV]]*Reactivos_[[#This Row],[Valor de referencia]]</f>
        <v>0</v>
      </c>
      <c r="Q156" s="257"/>
      <c r="R156" s="255">
        <f>+Reactivos_[[#This Row],[Cantidad LNDV]]*Reactivos_[[#This Row],[Valor de referencia]]</f>
        <v>0</v>
      </c>
      <c r="S156" s="148"/>
      <c r="T156" s="255">
        <f>+Reactivos_[[#This Row],[GGCA]]*Reactivos_[[#This Row],[Valor de referencia]]</f>
        <v>0</v>
      </c>
      <c r="U156" s="254"/>
      <c r="V156" s="255">
        <f>+Reactivos_[[#This Row],[Cantidad LDF]]*Reactivos_[[#This Row],[Valor de referencia]]</f>
        <v>0</v>
      </c>
      <c r="W156" s="254"/>
      <c r="X156" s="255">
        <f>+Reactivos_[[#This Row],[Cantidad LDF&amp;MR]]*Reactivos_[[#This Row],[Valor de referencia]]</f>
        <v>0</v>
      </c>
      <c r="Y156" s="254"/>
      <c r="Z156" s="255">
        <f>+Reactivos_[[#This Row],[Cantidad RED LASE]]*Reactivos_[[#This Row],[Valor de referencia]]</f>
        <v>0</v>
      </c>
      <c r="AA156" s="254">
        <v>12</v>
      </c>
      <c r="AB156" s="255">
        <f>+Reactivos_[[#This Row],[Cantidad LANIA]]*Reactivos_[[#This Row],[Valor de referencia]]</f>
        <v>26136672</v>
      </c>
      <c r="AC156" s="254"/>
      <c r="AD156" s="255">
        <f>+Reactivos_[[#This Row],[Cantidad SPA]]*Reactivos_[[#This Row],[Valor de referencia]]</f>
        <v>0</v>
      </c>
      <c r="AE156" s="148" t="s">
        <v>76</v>
      </c>
      <c r="AF156" s="148" t="s">
        <v>77</v>
      </c>
    </row>
    <row r="157" spans="1:32" ht="45" customHeight="1" x14ac:dyDescent="0.25">
      <c r="A157" s="294" t="str">
        <f>IF(B157=Reactivos_[[#This Row],[Cantidad LANIP]],"LANIP",IF(B157=Reactivos_[[#This Row],[Cantidad 
LDV]],"LDV",IF(B157=Reactivos_[[#This Row],[Cantidad LNDV]],"LNDV",IF(B157=Reactivos_[[#This Row],[GGCA]],"GGCA",IF(B157=Reactivos_[[#This Row],[Cantidad LDF]],"LDF",IF(Reactivos_[[#This Row],[Cantidad LDF&amp;MR]],"LDF&amp;MR",IF(B157=Reactivos_[[#This Row],[Cantidad RED LASE]],"LASE",IF(B157=Reactivos_[[#This Row],[Cantidad LANIA]],"LANIA",IF(B157=Reactivos_[[#This Row],[Cantidad SPA]],"SPA"," ")))))))))</f>
        <v>LANIA</v>
      </c>
      <c r="B15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C157" s="325">
        <v>155</v>
      </c>
      <c r="D157" s="326">
        <v>195</v>
      </c>
      <c r="E157" s="359" t="s">
        <v>503</v>
      </c>
      <c r="F157" s="244"/>
      <c r="G157" s="245"/>
      <c r="H157" s="346" t="s">
        <v>504</v>
      </c>
      <c r="I157" s="334" t="s">
        <v>502</v>
      </c>
      <c r="J15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157" s="160">
        <v>2586581</v>
      </c>
      <c r="L157" s="160">
        <f>+Reactivos_[[#This Row],[Cantidad]]*Reactivos_[[#This Row],[Valor de referencia]]</f>
        <v>41385296</v>
      </c>
      <c r="M157" s="254">
        <v>0</v>
      </c>
      <c r="N157" s="255">
        <f>+Reactivos_[[#This Row],[Valor de referencia]]*Reactivos_[[#This Row],[Cantidad LANIP]]</f>
        <v>0</v>
      </c>
      <c r="O157" s="256"/>
      <c r="P157" s="255">
        <f>+Reactivos_[[#This Row],[Cantidad 
LDV]]*Reactivos_[[#This Row],[Valor de referencia]]</f>
        <v>0</v>
      </c>
      <c r="Q157" s="257"/>
      <c r="R157" s="255">
        <f>+Reactivos_[[#This Row],[Cantidad LNDV]]*Reactivos_[[#This Row],[Valor de referencia]]</f>
        <v>0</v>
      </c>
      <c r="S157" s="148"/>
      <c r="T157" s="255">
        <f>+Reactivos_[[#This Row],[GGCA]]*Reactivos_[[#This Row],[Valor de referencia]]</f>
        <v>0</v>
      </c>
      <c r="U157" s="254"/>
      <c r="V157" s="255">
        <f>+Reactivos_[[#This Row],[Cantidad LDF]]*Reactivos_[[#This Row],[Valor de referencia]]</f>
        <v>0</v>
      </c>
      <c r="W157" s="254"/>
      <c r="X157" s="255">
        <f>+Reactivos_[[#This Row],[Cantidad LDF&amp;MR]]*Reactivos_[[#This Row],[Valor de referencia]]</f>
        <v>0</v>
      </c>
      <c r="Y157" s="254"/>
      <c r="Z157" s="255">
        <f>+Reactivos_[[#This Row],[Cantidad RED LASE]]*Reactivos_[[#This Row],[Valor de referencia]]</f>
        <v>0</v>
      </c>
      <c r="AA157" s="254">
        <v>16</v>
      </c>
      <c r="AB157" s="255">
        <f>+Reactivos_[[#This Row],[Cantidad LANIA]]*Reactivos_[[#This Row],[Valor de referencia]]</f>
        <v>41385296</v>
      </c>
      <c r="AC157" s="254"/>
      <c r="AD157" s="255">
        <f>+Reactivos_[[#This Row],[Cantidad SPA]]*Reactivos_[[#This Row],[Valor de referencia]]</f>
        <v>0</v>
      </c>
      <c r="AE157" s="148" t="s">
        <v>76</v>
      </c>
      <c r="AF157" s="148" t="s">
        <v>77</v>
      </c>
    </row>
    <row r="158" spans="1:32" x14ac:dyDescent="0.25">
      <c r="A158" s="294" t="str">
        <f>IF(B158=Reactivos_[[#This Row],[Cantidad LANIP]],"LANIP",IF(B158=Reactivos_[[#This Row],[Cantidad 
LDV]],"LDV",IF(B158=Reactivos_[[#This Row],[Cantidad LNDV]],"LNDV",IF(B158=Reactivos_[[#This Row],[GGCA]],"GGCA",IF(B158=Reactivos_[[#This Row],[Cantidad LDF]],"LDF",IF(Reactivos_[[#This Row],[Cantidad LDF&amp;MR]],"LDF&amp;MR",IF(B158=Reactivos_[[#This Row],[Cantidad RED LASE]],"LASE",IF(B158=Reactivos_[[#This Row],[Cantidad LANIA]],"LANIA",IF(B158=Reactivos_[[#This Row],[Cantidad SPA]],"SPA"," ")))))))))</f>
        <v>LANIA</v>
      </c>
      <c r="B15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58" s="325">
        <v>156</v>
      </c>
      <c r="D158" s="326">
        <v>196</v>
      </c>
      <c r="E158" s="245" t="s">
        <v>505</v>
      </c>
      <c r="F158" s="244" t="s">
        <v>506</v>
      </c>
      <c r="G158" s="245"/>
      <c r="H158" s="346" t="s">
        <v>507</v>
      </c>
      <c r="I158" s="336" t="s">
        <v>184</v>
      </c>
      <c r="J15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58" s="160">
        <v>1477316</v>
      </c>
      <c r="L158" s="160">
        <f>+Reactivos_[[#This Row],[Cantidad]]*Reactivos_[[#This Row],[Valor de referencia]]</f>
        <v>2954632</v>
      </c>
      <c r="M158" s="254">
        <v>0</v>
      </c>
      <c r="N158" s="255">
        <f>+Reactivos_[[#This Row],[Valor de referencia]]*Reactivos_[[#This Row],[Cantidad LANIP]]</f>
        <v>0</v>
      </c>
      <c r="O158" s="256"/>
      <c r="P158" s="255">
        <f>+Reactivos_[[#This Row],[Cantidad 
LDV]]*Reactivos_[[#This Row],[Valor de referencia]]</f>
        <v>0</v>
      </c>
      <c r="Q158" s="257"/>
      <c r="R158" s="255">
        <f>+Reactivos_[[#This Row],[Cantidad LNDV]]*Reactivos_[[#This Row],[Valor de referencia]]</f>
        <v>0</v>
      </c>
      <c r="S158" s="148"/>
      <c r="T158" s="255">
        <f>+Reactivos_[[#This Row],[GGCA]]*Reactivos_[[#This Row],[Valor de referencia]]</f>
        <v>0</v>
      </c>
      <c r="U158" s="254"/>
      <c r="V158" s="255">
        <f>+Reactivos_[[#This Row],[Cantidad LDF]]*Reactivos_[[#This Row],[Valor de referencia]]</f>
        <v>0</v>
      </c>
      <c r="W158" s="254"/>
      <c r="X158" s="255">
        <f>+Reactivos_[[#This Row],[Cantidad LDF&amp;MR]]*Reactivos_[[#This Row],[Valor de referencia]]</f>
        <v>0</v>
      </c>
      <c r="Y158" s="254"/>
      <c r="Z158" s="255">
        <f>+Reactivos_[[#This Row],[Cantidad RED LASE]]*Reactivos_[[#This Row],[Valor de referencia]]</f>
        <v>0</v>
      </c>
      <c r="AA158" s="254">
        <v>2</v>
      </c>
      <c r="AB158" s="255">
        <f>+Reactivos_[[#This Row],[Cantidad LANIA]]*Reactivos_[[#This Row],[Valor de referencia]]</f>
        <v>2954632</v>
      </c>
      <c r="AC158" s="254"/>
      <c r="AD158" s="255">
        <f>+Reactivos_[[#This Row],[Cantidad SPA]]*Reactivos_[[#This Row],[Valor de referencia]]</f>
        <v>0</v>
      </c>
      <c r="AE158" s="148" t="s">
        <v>76</v>
      </c>
      <c r="AF158" s="148" t="s">
        <v>77</v>
      </c>
    </row>
    <row r="159" spans="1:32" ht="25.5" x14ac:dyDescent="0.25">
      <c r="A159" s="294" t="str">
        <f>IF(B159=Reactivos_[[#This Row],[Cantidad LANIP]],"LANIP",IF(B159=Reactivos_[[#This Row],[Cantidad 
LDV]],"LDV",IF(B159=Reactivos_[[#This Row],[Cantidad LNDV]],"LNDV",IF(B159=Reactivos_[[#This Row],[GGCA]],"GGCA",IF(B159=Reactivos_[[#This Row],[Cantidad LDF]],"LDF",IF(Reactivos_[[#This Row],[Cantidad LDF&amp;MR]],"LDF&amp;MR",IF(B159=Reactivos_[[#This Row],[Cantidad RED LASE]],"LASE",IF(B159=Reactivos_[[#This Row],[Cantidad LANIA]],"LANIA",IF(B159=Reactivos_[[#This Row],[Cantidad SPA]],"SPA"," ")))))))))</f>
        <v>LDF&amp;MR</v>
      </c>
      <c r="B15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59" s="325">
        <v>157</v>
      </c>
      <c r="D159" s="326">
        <v>198</v>
      </c>
      <c r="E159" s="245" t="s">
        <v>508</v>
      </c>
      <c r="F159" s="244"/>
      <c r="G159" s="245"/>
      <c r="H159" s="346" t="s">
        <v>509</v>
      </c>
      <c r="I159" s="336" t="s">
        <v>510</v>
      </c>
      <c r="J15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59" s="160">
        <v>2274240</v>
      </c>
      <c r="L159" s="160">
        <f>+Reactivos_[[#This Row],[Cantidad]]*Reactivos_[[#This Row],[Valor de referencia]]</f>
        <v>4548480</v>
      </c>
      <c r="M159" s="254">
        <v>0</v>
      </c>
      <c r="N159" s="255">
        <f>+Reactivos_[[#This Row],[Valor de referencia]]*Reactivos_[[#This Row],[Cantidad LANIP]]</f>
        <v>0</v>
      </c>
      <c r="O159" s="256"/>
      <c r="P159" s="255">
        <f>+Reactivos_[[#This Row],[Cantidad 
LDV]]*Reactivos_[[#This Row],[Valor de referencia]]</f>
        <v>0</v>
      </c>
      <c r="Q159" s="257"/>
      <c r="R159" s="255">
        <f>+Reactivos_[[#This Row],[Cantidad LNDV]]*Reactivos_[[#This Row],[Valor de referencia]]</f>
        <v>0</v>
      </c>
      <c r="S159" s="148"/>
      <c r="T159" s="255">
        <f>+Reactivos_[[#This Row],[GGCA]]*Reactivos_[[#This Row],[Valor de referencia]]</f>
        <v>0</v>
      </c>
      <c r="U159" s="254"/>
      <c r="V159" s="255">
        <f>+Reactivos_[[#This Row],[Cantidad LDF]]*Reactivos_[[#This Row],[Valor de referencia]]</f>
        <v>0</v>
      </c>
      <c r="W159" s="254">
        <v>2</v>
      </c>
      <c r="X159" s="255">
        <f>+Reactivos_[[#This Row],[Cantidad LDF&amp;MR]]*Reactivos_[[#This Row],[Valor de referencia]]</f>
        <v>4548480</v>
      </c>
      <c r="Y159" s="254"/>
      <c r="Z159" s="255">
        <f>+Reactivos_[[#This Row],[Cantidad RED LASE]]*Reactivos_[[#This Row],[Valor de referencia]]</f>
        <v>0</v>
      </c>
      <c r="AA159" s="254"/>
      <c r="AB159" s="255">
        <f>+Reactivos_[[#This Row],[Cantidad LANIA]]*Reactivos_[[#This Row],[Valor de referencia]]</f>
        <v>0</v>
      </c>
      <c r="AC159" s="254"/>
      <c r="AD159" s="255">
        <f>+Reactivos_[[#This Row],[Cantidad SPA]]*Reactivos_[[#This Row],[Valor de referencia]]</f>
        <v>0</v>
      </c>
      <c r="AE159" s="148" t="s">
        <v>76</v>
      </c>
      <c r="AF159" s="148" t="s">
        <v>77</v>
      </c>
    </row>
    <row r="160" spans="1:32" ht="51" x14ac:dyDescent="0.25">
      <c r="A160" s="294" t="str">
        <f>IF(B160=Reactivos_[[#This Row],[Cantidad LANIP]],"LANIP",IF(B160=Reactivos_[[#This Row],[Cantidad 
LDV]],"LDV",IF(B160=Reactivos_[[#This Row],[Cantidad LNDV]],"LNDV",IF(B160=Reactivos_[[#This Row],[GGCA]],"GGCA",IF(B160=Reactivos_[[#This Row],[Cantidad LDF]],"LDF",IF(Reactivos_[[#This Row],[Cantidad LDF&amp;MR]],"LDF&amp;MR",IF(B160=Reactivos_[[#This Row],[Cantidad RED LASE]],"LASE",IF(B160=Reactivos_[[#This Row],[Cantidad LANIA]],"LANIA",IF(B160=Reactivos_[[#This Row],[Cantidad SPA]],"SPA"," ")))))))))</f>
        <v>LNDV</v>
      </c>
      <c r="B16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60" s="325">
        <v>158</v>
      </c>
      <c r="D160" s="326">
        <v>206</v>
      </c>
      <c r="E160" s="327" t="s">
        <v>511</v>
      </c>
      <c r="F160" s="244"/>
      <c r="G160" s="327"/>
      <c r="H160" s="328" t="s">
        <v>512</v>
      </c>
      <c r="I160" s="329" t="s">
        <v>513</v>
      </c>
      <c r="J16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160" s="160">
        <v>593513</v>
      </c>
      <c r="L160" s="160">
        <f>+Reactivos_[[#This Row],[Cantidad]]*Reactivos_[[#This Row],[Valor de referencia]]</f>
        <v>3561078</v>
      </c>
      <c r="M160" s="254">
        <v>0</v>
      </c>
      <c r="N160" s="255">
        <f>+Reactivos_[[#This Row],[Valor de referencia]]*Reactivos_[[#This Row],[Cantidad LANIP]]</f>
        <v>0</v>
      </c>
      <c r="O160" s="256">
        <v>1</v>
      </c>
      <c r="P160" s="255">
        <f>+Reactivos_[[#This Row],[Cantidad 
LDV]]*Reactivos_[[#This Row],[Valor de referencia]]</f>
        <v>593513</v>
      </c>
      <c r="Q160" s="257">
        <v>5</v>
      </c>
      <c r="R160" s="255">
        <f>+Reactivos_[[#This Row],[Cantidad LNDV]]*Reactivos_[[#This Row],[Valor de referencia]]</f>
        <v>2967565</v>
      </c>
      <c r="S160" s="148"/>
      <c r="T160" s="255">
        <f>+Reactivos_[[#This Row],[GGCA]]*Reactivos_[[#This Row],[Valor de referencia]]</f>
        <v>0</v>
      </c>
      <c r="U160" s="254"/>
      <c r="V160" s="255">
        <f>+Reactivos_[[#This Row],[Cantidad LDF]]*Reactivos_[[#This Row],[Valor de referencia]]</f>
        <v>0</v>
      </c>
      <c r="W160" s="254"/>
      <c r="X160" s="255">
        <f>+Reactivos_[[#This Row],[Cantidad LDF&amp;MR]]*Reactivos_[[#This Row],[Valor de referencia]]</f>
        <v>0</v>
      </c>
      <c r="Y160" s="254"/>
      <c r="Z160" s="255">
        <f>+Reactivos_[[#This Row],[Cantidad RED LASE]]*Reactivos_[[#This Row],[Valor de referencia]]</f>
        <v>0</v>
      </c>
      <c r="AA160" s="254"/>
      <c r="AB160" s="255">
        <f>+Reactivos_[[#This Row],[Cantidad LANIA]]*Reactivos_[[#This Row],[Valor de referencia]]</f>
        <v>0</v>
      </c>
      <c r="AC160" s="254"/>
      <c r="AD160" s="255">
        <f>+Reactivos_[[#This Row],[Cantidad SPA]]*Reactivos_[[#This Row],[Valor de referencia]]</f>
        <v>0</v>
      </c>
      <c r="AE160" s="148" t="s">
        <v>76</v>
      </c>
      <c r="AF160" s="148" t="s">
        <v>77</v>
      </c>
    </row>
    <row r="161" spans="1:32" ht="84.75" customHeight="1" x14ac:dyDescent="0.25">
      <c r="A161" s="294" t="str">
        <f>IF(B161=Reactivos_[[#This Row],[Cantidad LANIP]],"LANIP",IF(B161=Reactivos_[[#This Row],[Cantidad 
LDV]],"LDV",IF(B161=Reactivos_[[#This Row],[Cantidad LNDV]],"LNDV",IF(B161=Reactivos_[[#This Row],[GGCA]],"GGCA",IF(B161=Reactivos_[[#This Row],[Cantidad LDF]],"LDF",IF(Reactivos_[[#This Row],[Cantidad LDF&amp;MR]],"LDF&amp;MR",IF(B161=Reactivos_[[#This Row],[Cantidad RED LASE]],"LASE",IF(B161=Reactivos_[[#This Row],[Cantidad LANIA]],"LANIA",IF(B161=Reactivos_[[#This Row],[Cantidad SPA]],"SPA"," ")))))))))</f>
        <v>LDF</v>
      </c>
      <c r="B16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161" s="325">
        <v>159</v>
      </c>
      <c r="D161" s="326">
        <v>207</v>
      </c>
      <c r="E161" s="327" t="s">
        <v>514</v>
      </c>
      <c r="F161" s="244"/>
      <c r="G161" s="327"/>
      <c r="H161" s="330" t="s">
        <v>515</v>
      </c>
      <c r="I161" s="329" t="s">
        <v>516</v>
      </c>
      <c r="J16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161" s="160">
        <v>248847</v>
      </c>
      <c r="L161" s="160">
        <f>+Reactivos_[[#This Row],[Cantidad]]*Reactivos_[[#This Row],[Valor de referencia]]</f>
        <v>1741929</v>
      </c>
      <c r="M161" s="254">
        <v>2</v>
      </c>
      <c r="N161" s="255">
        <f>+Reactivos_[[#This Row],[Valor de referencia]]*Reactivos_[[#This Row],[Cantidad LANIP]]</f>
        <v>497694</v>
      </c>
      <c r="O161" s="256"/>
      <c r="P161" s="255">
        <f>+Reactivos_[[#This Row],[Cantidad 
LDV]]*Reactivos_[[#This Row],[Valor de referencia]]</f>
        <v>0</v>
      </c>
      <c r="Q161" s="257"/>
      <c r="R161" s="255">
        <f>+Reactivos_[[#This Row],[Cantidad LNDV]]*Reactivos_[[#This Row],[Valor de referencia]]</f>
        <v>0</v>
      </c>
      <c r="S161" s="148"/>
      <c r="T161" s="255">
        <f>+Reactivos_[[#This Row],[GGCA]]*Reactivos_[[#This Row],[Valor de referencia]]</f>
        <v>0</v>
      </c>
      <c r="U161" s="254">
        <v>4</v>
      </c>
      <c r="V161" s="255">
        <f>+Reactivos_[[#This Row],[Cantidad LDF]]*Reactivos_[[#This Row],[Valor de referencia]]</f>
        <v>995388</v>
      </c>
      <c r="W161" s="254"/>
      <c r="X161" s="255">
        <f>+Reactivos_[[#This Row],[Cantidad LDF&amp;MR]]*Reactivos_[[#This Row],[Valor de referencia]]</f>
        <v>0</v>
      </c>
      <c r="Y161" s="254"/>
      <c r="Z161" s="255">
        <f>+Reactivos_[[#This Row],[Cantidad RED LASE]]*Reactivos_[[#This Row],[Valor de referencia]]</f>
        <v>0</v>
      </c>
      <c r="AA161" s="254">
        <v>1</v>
      </c>
      <c r="AB161" s="255">
        <f>+Reactivos_[[#This Row],[Cantidad LANIA]]*Reactivos_[[#This Row],[Valor de referencia]]</f>
        <v>248847</v>
      </c>
      <c r="AC161" s="254"/>
      <c r="AD161" s="255">
        <f>+Reactivos_[[#This Row],[Cantidad SPA]]*Reactivos_[[#This Row],[Valor de referencia]]</f>
        <v>0</v>
      </c>
      <c r="AE161" s="148" t="s">
        <v>76</v>
      </c>
      <c r="AF161" s="148" t="s">
        <v>77</v>
      </c>
    </row>
    <row r="162" spans="1:32" ht="76.5" x14ac:dyDescent="0.25">
      <c r="A162" s="294" t="str">
        <f>IF(B162=Reactivos_[[#This Row],[Cantidad LANIP]],"LANIP",IF(B162=Reactivos_[[#This Row],[Cantidad 
LDV]],"LDV",IF(B162=Reactivos_[[#This Row],[Cantidad LNDV]],"LNDV",IF(B162=Reactivos_[[#This Row],[GGCA]],"GGCA",IF(B162=Reactivos_[[#This Row],[Cantidad LDF]],"LDF",IF(Reactivos_[[#This Row],[Cantidad LDF&amp;MR]],"LDF&amp;MR",IF(B162=Reactivos_[[#This Row],[Cantidad RED LASE]],"LASE",IF(B162=Reactivos_[[#This Row],[Cantidad LANIA]],"LANIA",IF(B162=Reactivos_[[#This Row],[Cantidad SPA]],"SPA"," ")))))))))</f>
        <v>LDF</v>
      </c>
      <c r="B16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62" s="325">
        <v>160</v>
      </c>
      <c r="D162" s="326">
        <v>208</v>
      </c>
      <c r="E162" s="345" t="s">
        <v>517</v>
      </c>
      <c r="F162" s="244"/>
      <c r="G162" s="327"/>
      <c r="H162" s="328" t="s">
        <v>518</v>
      </c>
      <c r="I162" s="329" t="s">
        <v>516</v>
      </c>
      <c r="J16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62" s="160">
        <v>466281</v>
      </c>
      <c r="L162" s="160">
        <f>+Reactivos_[[#This Row],[Cantidad]]*Reactivos_[[#This Row],[Valor de referencia]]</f>
        <v>932562</v>
      </c>
      <c r="M162" s="254">
        <v>0</v>
      </c>
      <c r="N162" s="255">
        <f>+Reactivos_[[#This Row],[Valor de referencia]]*Reactivos_[[#This Row],[Cantidad LANIP]]</f>
        <v>0</v>
      </c>
      <c r="O162" s="256"/>
      <c r="P162" s="255">
        <f>+Reactivos_[[#This Row],[Cantidad 
LDV]]*Reactivos_[[#This Row],[Valor de referencia]]</f>
        <v>0</v>
      </c>
      <c r="Q162" s="257"/>
      <c r="R162" s="255">
        <f>+Reactivos_[[#This Row],[Cantidad LNDV]]*Reactivos_[[#This Row],[Valor de referencia]]</f>
        <v>0</v>
      </c>
      <c r="S162" s="148"/>
      <c r="T162" s="255">
        <f>+Reactivos_[[#This Row],[GGCA]]*Reactivos_[[#This Row],[Valor de referencia]]</f>
        <v>0</v>
      </c>
      <c r="U162" s="254">
        <v>2</v>
      </c>
      <c r="V162" s="255">
        <f>+Reactivos_[[#This Row],[Cantidad LDF]]*Reactivos_[[#This Row],[Valor de referencia]]</f>
        <v>932562</v>
      </c>
      <c r="W162" s="254"/>
      <c r="X162" s="255">
        <f>+Reactivos_[[#This Row],[Cantidad LDF&amp;MR]]*Reactivos_[[#This Row],[Valor de referencia]]</f>
        <v>0</v>
      </c>
      <c r="Y162" s="254"/>
      <c r="Z162" s="255">
        <f>+Reactivos_[[#This Row],[Cantidad RED LASE]]*Reactivos_[[#This Row],[Valor de referencia]]</f>
        <v>0</v>
      </c>
      <c r="AA162" s="254"/>
      <c r="AB162" s="255">
        <f>+Reactivos_[[#This Row],[Cantidad LANIA]]*Reactivos_[[#This Row],[Valor de referencia]]</f>
        <v>0</v>
      </c>
      <c r="AC162" s="254"/>
      <c r="AD162" s="255">
        <f>+Reactivos_[[#This Row],[Cantidad SPA]]*Reactivos_[[#This Row],[Valor de referencia]]</f>
        <v>0</v>
      </c>
      <c r="AE162" s="148" t="s">
        <v>76</v>
      </c>
      <c r="AF162" s="148" t="s">
        <v>77</v>
      </c>
    </row>
    <row r="163" spans="1:32" ht="56.25" customHeight="1" x14ac:dyDescent="0.25">
      <c r="A163" s="294" t="str">
        <f>IF(B163=Reactivos_[[#This Row],[Cantidad LANIP]],"LANIP",IF(B163=Reactivos_[[#This Row],[Cantidad 
LDV]],"LDV",IF(B163=Reactivos_[[#This Row],[Cantidad LNDV]],"LNDV",IF(B163=Reactivos_[[#This Row],[GGCA]],"GGCA",IF(B163=Reactivos_[[#This Row],[Cantidad LDF]],"LDF",IF(Reactivos_[[#This Row],[Cantidad LDF&amp;MR]],"LDF&amp;MR",IF(B163=Reactivos_[[#This Row],[Cantidad RED LASE]],"LASE",IF(B163=Reactivos_[[#This Row],[Cantidad LANIA]],"LANIA",IF(B163=Reactivos_[[#This Row],[Cantidad SPA]],"SPA"," ")))))))))</f>
        <v>LDF</v>
      </c>
      <c r="B16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163" s="325">
        <v>161</v>
      </c>
      <c r="D163" s="326">
        <v>209</v>
      </c>
      <c r="E163" s="345" t="s">
        <v>519</v>
      </c>
      <c r="F163" s="244"/>
      <c r="G163" s="327"/>
      <c r="H163" s="328" t="s">
        <v>520</v>
      </c>
      <c r="I163" s="329" t="s">
        <v>516</v>
      </c>
      <c r="J16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9</v>
      </c>
      <c r="K163" s="160">
        <v>160905</v>
      </c>
      <c r="L163" s="160">
        <f>+Reactivos_[[#This Row],[Cantidad]]*Reactivos_[[#This Row],[Valor de referencia]]</f>
        <v>1448145</v>
      </c>
      <c r="M163" s="254">
        <v>2</v>
      </c>
      <c r="N163" s="255">
        <f>+Reactivos_[[#This Row],[Valor de referencia]]*Reactivos_[[#This Row],[Cantidad LANIP]]</f>
        <v>321810</v>
      </c>
      <c r="O163" s="256"/>
      <c r="P163" s="255">
        <f>+Reactivos_[[#This Row],[Cantidad 
LDV]]*Reactivos_[[#This Row],[Valor de referencia]]</f>
        <v>0</v>
      </c>
      <c r="Q163" s="257">
        <v>2</v>
      </c>
      <c r="R163" s="255">
        <f>+Reactivos_[[#This Row],[Cantidad LNDV]]*Reactivos_[[#This Row],[Valor de referencia]]</f>
        <v>321810</v>
      </c>
      <c r="S163" s="148"/>
      <c r="T163" s="255">
        <f>+Reactivos_[[#This Row],[GGCA]]*Reactivos_[[#This Row],[Valor de referencia]]</f>
        <v>0</v>
      </c>
      <c r="U163" s="254">
        <v>4</v>
      </c>
      <c r="V163" s="255">
        <f>+Reactivos_[[#This Row],[Cantidad LDF]]*Reactivos_[[#This Row],[Valor de referencia]]</f>
        <v>643620</v>
      </c>
      <c r="W163" s="254"/>
      <c r="X163" s="255">
        <f>+Reactivos_[[#This Row],[Cantidad LDF&amp;MR]]*Reactivos_[[#This Row],[Valor de referencia]]</f>
        <v>0</v>
      </c>
      <c r="Y163" s="254"/>
      <c r="Z163" s="255">
        <f>+Reactivos_[[#This Row],[Cantidad RED LASE]]*Reactivos_[[#This Row],[Valor de referencia]]</f>
        <v>0</v>
      </c>
      <c r="AA163" s="254">
        <v>1</v>
      </c>
      <c r="AB163" s="255">
        <f>+Reactivos_[[#This Row],[Cantidad LANIA]]*Reactivos_[[#This Row],[Valor de referencia]]</f>
        <v>160905</v>
      </c>
      <c r="AC163" s="254"/>
      <c r="AD163" s="255">
        <f>+Reactivos_[[#This Row],[Cantidad SPA]]*Reactivos_[[#This Row],[Valor de referencia]]</f>
        <v>0</v>
      </c>
      <c r="AE163" s="148" t="s">
        <v>76</v>
      </c>
      <c r="AF163" s="148" t="s">
        <v>77</v>
      </c>
    </row>
    <row r="164" spans="1:32" ht="51.75" customHeight="1" x14ac:dyDescent="0.25">
      <c r="A164" s="294" t="str">
        <f>IF(B164=Reactivos_[[#This Row],[Cantidad LANIP]],"LANIP",IF(B164=Reactivos_[[#This Row],[Cantidad 
LDV]],"LDV",IF(B164=Reactivos_[[#This Row],[Cantidad LNDV]],"LNDV",IF(B164=Reactivos_[[#This Row],[GGCA]],"GGCA",IF(B164=Reactivos_[[#This Row],[Cantidad LDF]],"LDF",IF(Reactivos_[[#This Row],[Cantidad LDF&amp;MR]],"LDF&amp;MR",IF(B164=Reactivos_[[#This Row],[Cantidad RED LASE]],"LASE",IF(B164=Reactivos_[[#This Row],[Cantidad LANIA]],"LANIA",IF(B164=Reactivos_[[#This Row],[Cantidad SPA]],"SPA"," ")))))))))</f>
        <v>LDF</v>
      </c>
      <c r="B16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164" s="325">
        <v>162</v>
      </c>
      <c r="D164" s="326">
        <v>210</v>
      </c>
      <c r="E164" s="345" t="s">
        <v>521</v>
      </c>
      <c r="F164" s="244"/>
      <c r="G164" s="327"/>
      <c r="H164" s="328" t="s">
        <v>522</v>
      </c>
      <c r="I164" s="329" t="s">
        <v>516</v>
      </c>
      <c r="J16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K164" s="160">
        <v>163166</v>
      </c>
      <c r="L164" s="160">
        <f>+Reactivos_[[#This Row],[Cantidad]]*Reactivos_[[#This Row],[Valor de referencia]]</f>
        <v>1305328</v>
      </c>
      <c r="M164" s="254">
        <v>1</v>
      </c>
      <c r="N164" s="255">
        <f>+Reactivos_[[#This Row],[Valor de referencia]]*Reactivos_[[#This Row],[Cantidad LANIP]]</f>
        <v>163166</v>
      </c>
      <c r="O164" s="256"/>
      <c r="P164" s="255">
        <f>+Reactivos_[[#This Row],[Cantidad 
LDV]]*Reactivos_[[#This Row],[Valor de referencia]]</f>
        <v>0</v>
      </c>
      <c r="Q164" s="257">
        <v>2</v>
      </c>
      <c r="R164" s="255">
        <f>+Reactivos_[[#This Row],[Cantidad LNDV]]*Reactivos_[[#This Row],[Valor de referencia]]</f>
        <v>326332</v>
      </c>
      <c r="S164" s="148"/>
      <c r="T164" s="255">
        <f>+Reactivos_[[#This Row],[GGCA]]*Reactivos_[[#This Row],[Valor de referencia]]</f>
        <v>0</v>
      </c>
      <c r="U164" s="254">
        <v>4</v>
      </c>
      <c r="V164" s="255">
        <f>+Reactivos_[[#This Row],[Cantidad LDF]]*Reactivos_[[#This Row],[Valor de referencia]]</f>
        <v>652664</v>
      </c>
      <c r="W164" s="254"/>
      <c r="X164" s="255">
        <f>+Reactivos_[[#This Row],[Cantidad LDF&amp;MR]]*Reactivos_[[#This Row],[Valor de referencia]]</f>
        <v>0</v>
      </c>
      <c r="Y164" s="254"/>
      <c r="Z164" s="255">
        <f>+Reactivos_[[#This Row],[Cantidad RED LASE]]*Reactivos_[[#This Row],[Valor de referencia]]</f>
        <v>0</v>
      </c>
      <c r="AA164" s="254">
        <v>1</v>
      </c>
      <c r="AB164" s="255">
        <f>+Reactivos_[[#This Row],[Cantidad LANIA]]*Reactivos_[[#This Row],[Valor de referencia]]</f>
        <v>163166</v>
      </c>
      <c r="AC164" s="254"/>
      <c r="AD164" s="255">
        <f>+Reactivos_[[#This Row],[Cantidad SPA]]*Reactivos_[[#This Row],[Valor de referencia]]</f>
        <v>0</v>
      </c>
      <c r="AE164" s="148" t="s">
        <v>76</v>
      </c>
      <c r="AF164" s="148" t="s">
        <v>77</v>
      </c>
    </row>
    <row r="165" spans="1:32" ht="51" x14ac:dyDescent="0.25">
      <c r="A165" s="294" t="str">
        <f>IF(B165=Reactivos_[[#This Row],[Cantidad LANIP]],"LANIP",IF(B165=Reactivos_[[#This Row],[Cantidad 
LDV]],"LDV",IF(B165=Reactivos_[[#This Row],[Cantidad LNDV]],"LNDV",IF(B165=Reactivos_[[#This Row],[GGCA]],"GGCA",IF(B165=Reactivos_[[#This Row],[Cantidad LDF]],"LDF",IF(Reactivos_[[#This Row],[Cantidad LDF&amp;MR]],"LDF&amp;MR",IF(B165=Reactivos_[[#This Row],[Cantidad RED LASE]],"LASE",IF(B165=Reactivos_[[#This Row],[Cantidad LANIA]],"LANIA",IF(B165=Reactivos_[[#This Row],[Cantidad SPA]],"SPA"," ")))))))))</f>
        <v>LDF</v>
      </c>
      <c r="B16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165" s="325">
        <v>163</v>
      </c>
      <c r="D165" s="326">
        <v>212</v>
      </c>
      <c r="E165" s="327" t="s">
        <v>523</v>
      </c>
      <c r="F165" s="244"/>
      <c r="G165" s="327"/>
      <c r="H165" s="328" t="s">
        <v>524</v>
      </c>
      <c r="I165" s="329" t="s">
        <v>525</v>
      </c>
      <c r="J16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165" s="160">
        <v>2056439</v>
      </c>
      <c r="L165" s="160">
        <f>+Reactivos_[[#This Row],[Cantidad]]*Reactivos_[[#This Row],[Valor de referencia]]</f>
        <v>20564390</v>
      </c>
      <c r="M165" s="254"/>
      <c r="N165" s="255">
        <f>+Reactivos_[[#This Row],[Valor de referencia]]*Reactivos_[[#This Row],[Cantidad LANIP]]</f>
        <v>0</v>
      </c>
      <c r="O165" s="256"/>
      <c r="P165" s="255">
        <f>+Reactivos_[[#This Row],[Cantidad 
LDV]]*Reactivos_[[#This Row],[Valor de referencia]]</f>
        <v>0</v>
      </c>
      <c r="Q165" s="257"/>
      <c r="R165" s="255">
        <f>+Reactivos_[[#This Row],[Cantidad LNDV]]*Reactivos_[[#This Row],[Valor de referencia]]</f>
        <v>0</v>
      </c>
      <c r="S165" s="148"/>
      <c r="T165" s="255">
        <f>+Reactivos_[[#This Row],[GGCA]]*Reactivos_[[#This Row],[Valor de referencia]]</f>
        <v>0</v>
      </c>
      <c r="U165" s="254">
        <v>10</v>
      </c>
      <c r="V165" s="255">
        <f>+Reactivos_[[#This Row],[Cantidad LDF]]*Reactivos_[[#This Row],[Valor de referencia]]</f>
        <v>20564390</v>
      </c>
      <c r="W165" s="254"/>
      <c r="X165" s="255">
        <f>+Reactivos_[[#This Row],[Cantidad LDF&amp;MR]]*Reactivos_[[#This Row],[Valor de referencia]]</f>
        <v>0</v>
      </c>
      <c r="Y165" s="254"/>
      <c r="Z165" s="255">
        <f>+Reactivos_[[#This Row],[Cantidad RED LASE]]*Reactivos_[[#This Row],[Valor de referencia]]</f>
        <v>0</v>
      </c>
      <c r="AA165" s="254"/>
      <c r="AB165" s="255">
        <f>+Reactivos_[[#This Row],[Cantidad LANIA]]*Reactivos_[[#This Row],[Valor de referencia]]</f>
        <v>0</v>
      </c>
      <c r="AC165" s="254"/>
      <c r="AD165" s="255">
        <f>+Reactivos_[[#This Row],[Cantidad SPA]]*Reactivos_[[#This Row],[Valor de referencia]]</f>
        <v>0</v>
      </c>
      <c r="AE165" s="148" t="s">
        <v>76</v>
      </c>
      <c r="AF165" s="148" t="s">
        <v>77</v>
      </c>
    </row>
    <row r="166" spans="1:32" ht="27" customHeight="1" x14ac:dyDescent="0.25">
      <c r="A166" s="294" t="str">
        <f>IF(B166=Reactivos_[[#This Row],[Cantidad LANIP]],"LANIP",IF(B166=Reactivos_[[#This Row],[Cantidad 
LDV]],"LDV",IF(B166=Reactivos_[[#This Row],[Cantidad LNDV]],"LNDV",IF(B166=Reactivos_[[#This Row],[GGCA]],"GGCA",IF(B166=Reactivos_[[#This Row],[Cantidad LDF]],"LDF",IF(Reactivos_[[#This Row],[Cantidad LDF&amp;MR]],"LDF&amp;MR",IF(B166=Reactivos_[[#This Row],[Cantidad RED LASE]],"LASE",IF(B166=Reactivos_[[#This Row],[Cantidad LANIA]],"LANIA",IF(B166=Reactivos_[[#This Row],[Cantidad SPA]],"SPA"," ")))))))))</f>
        <v>LANIP</v>
      </c>
      <c r="B16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66" s="325">
        <v>164</v>
      </c>
      <c r="D166" s="326">
        <v>213</v>
      </c>
      <c r="E166" s="245" t="s">
        <v>526</v>
      </c>
      <c r="F166" s="244" t="s">
        <v>527</v>
      </c>
      <c r="G166" s="245" t="s">
        <v>528</v>
      </c>
      <c r="H166" s="335"/>
      <c r="I166" s="336" t="s">
        <v>166</v>
      </c>
      <c r="J16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66" s="160">
        <v>3185511</v>
      </c>
      <c r="L166" s="160">
        <f>+Reactivos_[[#This Row],[Cantidad]]*Reactivos_[[#This Row],[Valor de referencia]]</f>
        <v>3185511</v>
      </c>
      <c r="M166" s="254">
        <v>1</v>
      </c>
      <c r="N166" s="255">
        <f>+Reactivos_[[#This Row],[Valor de referencia]]*Reactivos_[[#This Row],[Cantidad LANIP]]</f>
        <v>3185511</v>
      </c>
      <c r="O166" s="256"/>
      <c r="P166" s="255">
        <f>+Reactivos_[[#This Row],[Cantidad 
LDV]]*Reactivos_[[#This Row],[Valor de referencia]]</f>
        <v>0</v>
      </c>
      <c r="Q166" s="257"/>
      <c r="R166" s="255">
        <f>+Reactivos_[[#This Row],[Cantidad LNDV]]*Reactivos_[[#This Row],[Valor de referencia]]</f>
        <v>0</v>
      </c>
      <c r="S166" s="148"/>
      <c r="T166" s="255">
        <f>+Reactivos_[[#This Row],[GGCA]]*Reactivos_[[#This Row],[Valor de referencia]]</f>
        <v>0</v>
      </c>
      <c r="U166" s="254"/>
      <c r="V166" s="255">
        <f>+Reactivos_[[#This Row],[Cantidad LDF]]*Reactivos_[[#This Row],[Valor de referencia]]</f>
        <v>0</v>
      </c>
      <c r="W166" s="254"/>
      <c r="X166" s="255">
        <f>+Reactivos_[[#This Row],[Cantidad LDF&amp;MR]]*Reactivos_[[#This Row],[Valor de referencia]]</f>
        <v>0</v>
      </c>
      <c r="Y166" s="254"/>
      <c r="Z166" s="255">
        <f>+Reactivos_[[#This Row],[Cantidad RED LASE]]*Reactivos_[[#This Row],[Valor de referencia]]</f>
        <v>0</v>
      </c>
      <c r="AA166" s="254"/>
      <c r="AB166" s="255">
        <f>+Reactivos_[[#This Row],[Cantidad LANIA]]*Reactivos_[[#This Row],[Valor de referencia]]</f>
        <v>0</v>
      </c>
      <c r="AC166" s="254"/>
      <c r="AD166" s="255">
        <f>+Reactivos_[[#This Row],[Cantidad SPA]]*Reactivos_[[#This Row],[Valor de referencia]]</f>
        <v>0</v>
      </c>
      <c r="AE166" s="148" t="s">
        <v>76</v>
      </c>
      <c r="AF166" s="148" t="s">
        <v>77</v>
      </c>
    </row>
    <row r="167" spans="1:32" ht="33.75" customHeight="1" x14ac:dyDescent="0.25">
      <c r="A167" s="294" t="str">
        <f>IF(B167=Reactivos_[[#This Row],[Cantidad LANIP]],"LANIP",IF(B167=Reactivos_[[#This Row],[Cantidad 
LDV]],"LDV",IF(B167=Reactivos_[[#This Row],[Cantidad LNDV]],"LNDV",IF(B167=Reactivos_[[#This Row],[GGCA]],"GGCA",IF(B167=Reactivos_[[#This Row],[Cantidad LDF]],"LDF",IF(Reactivos_[[#This Row],[Cantidad LDF&amp;MR]],"LDF&amp;MR",IF(B167=Reactivos_[[#This Row],[Cantidad RED LASE]],"LASE",IF(B167=Reactivos_[[#This Row],[Cantidad LANIA]],"LANIA",IF(B167=Reactivos_[[#This Row],[Cantidad SPA]],"SPA"," ")))))))))</f>
        <v>LANIA</v>
      </c>
      <c r="B16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67" s="325">
        <v>165</v>
      </c>
      <c r="D167" s="326">
        <v>214</v>
      </c>
      <c r="E167" s="245" t="s">
        <v>529</v>
      </c>
      <c r="F167" s="244"/>
      <c r="G167" s="245"/>
      <c r="H167" s="330" t="s">
        <v>530</v>
      </c>
      <c r="I167" s="329" t="s">
        <v>531</v>
      </c>
      <c r="J16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167" s="160">
        <v>771120</v>
      </c>
      <c r="L167" s="160">
        <f>+Reactivos_[[#This Row],[Cantidad]]*Reactivos_[[#This Row],[Valor de referencia]]</f>
        <v>2313360</v>
      </c>
      <c r="M167" s="254">
        <v>0</v>
      </c>
      <c r="N167" s="255">
        <f>+Reactivos_[[#This Row],[Valor de referencia]]*Reactivos_[[#This Row],[Cantidad LANIP]]</f>
        <v>0</v>
      </c>
      <c r="O167" s="256"/>
      <c r="P167" s="255">
        <f>+Reactivos_[[#This Row],[Cantidad 
LDV]]*Reactivos_[[#This Row],[Valor de referencia]]</f>
        <v>0</v>
      </c>
      <c r="Q167" s="257">
        <v>1</v>
      </c>
      <c r="R167" s="255">
        <f>+Reactivos_[[#This Row],[Cantidad LNDV]]*Reactivos_[[#This Row],[Valor de referencia]]</f>
        <v>771120</v>
      </c>
      <c r="S167" s="148"/>
      <c r="T167" s="255">
        <f>+Reactivos_[[#This Row],[GGCA]]*Reactivos_[[#This Row],[Valor de referencia]]</f>
        <v>0</v>
      </c>
      <c r="U167" s="254"/>
      <c r="V167" s="255">
        <f>+Reactivos_[[#This Row],[Cantidad LDF]]*Reactivos_[[#This Row],[Valor de referencia]]</f>
        <v>0</v>
      </c>
      <c r="W167" s="254"/>
      <c r="X167" s="255">
        <f>+Reactivos_[[#This Row],[Cantidad LDF&amp;MR]]*Reactivos_[[#This Row],[Valor de referencia]]</f>
        <v>0</v>
      </c>
      <c r="Y167" s="254"/>
      <c r="Z167" s="255">
        <f>+Reactivos_[[#This Row],[Cantidad RED LASE]]*Reactivos_[[#This Row],[Valor de referencia]]</f>
        <v>0</v>
      </c>
      <c r="AA167" s="254">
        <v>2</v>
      </c>
      <c r="AB167" s="255">
        <f>+Reactivos_[[#This Row],[Cantidad LANIA]]*Reactivos_[[#This Row],[Valor de referencia]]</f>
        <v>1542240</v>
      </c>
      <c r="AC167" s="254"/>
      <c r="AD167" s="255">
        <f>+Reactivos_[[#This Row],[Cantidad SPA]]*Reactivos_[[#This Row],[Valor de referencia]]</f>
        <v>0</v>
      </c>
      <c r="AE167" s="148" t="s">
        <v>76</v>
      </c>
      <c r="AF167" s="148" t="s">
        <v>77</v>
      </c>
    </row>
    <row r="168" spans="1:32" ht="36.75" customHeight="1" x14ac:dyDescent="0.25">
      <c r="A168" s="294" t="str">
        <f>IF(B168=Reactivos_[[#This Row],[Cantidad LANIP]],"LANIP",IF(B168=Reactivos_[[#This Row],[Cantidad 
LDV]],"LDV",IF(B168=Reactivos_[[#This Row],[Cantidad LNDV]],"LNDV",IF(B168=Reactivos_[[#This Row],[GGCA]],"GGCA",IF(B168=Reactivos_[[#This Row],[Cantidad LDF]],"LDF",IF(Reactivos_[[#This Row],[Cantidad LDF&amp;MR]],"LDF&amp;MR",IF(B168=Reactivos_[[#This Row],[Cantidad RED LASE]],"LASE",IF(B168=Reactivos_[[#This Row],[Cantidad LANIA]],"LANIA",IF(B168=Reactivos_[[#This Row],[Cantidad SPA]],"SPA"," ")))))))))</f>
        <v>LANIP</v>
      </c>
      <c r="B16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68" s="325">
        <v>166</v>
      </c>
      <c r="D168" s="326">
        <v>215</v>
      </c>
      <c r="E168" s="245" t="s">
        <v>532</v>
      </c>
      <c r="F168" s="244"/>
      <c r="G168" s="245"/>
      <c r="H168" s="404" t="s">
        <v>533</v>
      </c>
      <c r="I168" s="336" t="s">
        <v>217</v>
      </c>
      <c r="J16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68" s="160">
        <v>1304413</v>
      </c>
      <c r="L168" s="160">
        <f>+Reactivos_[[#This Row],[Cantidad]]*Reactivos_[[#This Row],[Valor de referencia]]</f>
        <v>1304413</v>
      </c>
      <c r="M168" s="254">
        <v>1</v>
      </c>
      <c r="N168" s="255">
        <f>+Reactivos_[[#This Row],[Valor de referencia]]*Reactivos_[[#This Row],[Cantidad LANIP]]</f>
        <v>1304413</v>
      </c>
      <c r="O168" s="256"/>
      <c r="P168" s="255">
        <f>+Reactivos_[[#This Row],[Cantidad 
LDV]]*Reactivos_[[#This Row],[Valor de referencia]]</f>
        <v>0</v>
      </c>
      <c r="Q168" s="257"/>
      <c r="R168" s="255">
        <f>+Reactivos_[[#This Row],[Cantidad LNDV]]*Reactivos_[[#This Row],[Valor de referencia]]</f>
        <v>0</v>
      </c>
      <c r="S168" s="148"/>
      <c r="T168" s="255">
        <f>+Reactivos_[[#This Row],[GGCA]]*Reactivos_[[#This Row],[Valor de referencia]]</f>
        <v>0</v>
      </c>
      <c r="U168" s="254"/>
      <c r="V168" s="255">
        <f>+Reactivos_[[#This Row],[Cantidad LDF]]*Reactivos_[[#This Row],[Valor de referencia]]</f>
        <v>0</v>
      </c>
      <c r="W168" s="254"/>
      <c r="X168" s="255">
        <f>+Reactivos_[[#This Row],[Cantidad LDF&amp;MR]]*Reactivos_[[#This Row],[Valor de referencia]]</f>
        <v>0</v>
      </c>
      <c r="Y168" s="254"/>
      <c r="Z168" s="255">
        <f>+Reactivos_[[#This Row],[Cantidad RED LASE]]*Reactivos_[[#This Row],[Valor de referencia]]</f>
        <v>0</v>
      </c>
      <c r="AA168" s="254"/>
      <c r="AB168" s="255">
        <f>+Reactivos_[[#This Row],[Cantidad LANIA]]*Reactivos_[[#This Row],[Valor de referencia]]</f>
        <v>0</v>
      </c>
      <c r="AC168" s="254"/>
      <c r="AD168" s="255">
        <f>+Reactivos_[[#This Row],[Cantidad SPA]]*Reactivos_[[#This Row],[Valor de referencia]]</f>
        <v>0</v>
      </c>
      <c r="AE168" s="148" t="s">
        <v>76</v>
      </c>
      <c r="AF168" s="148" t="s">
        <v>77</v>
      </c>
    </row>
    <row r="169" spans="1:32" ht="25.5" customHeight="1" x14ac:dyDescent="0.25">
      <c r="A169" s="294" t="str">
        <f>IF(B169=Reactivos_[[#This Row],[Cantidad LANIP]],"LANIP",IF(B169=Reactivos_[[#This Row],[Cantidad 
LDV]],"LDV",IF(B169=Reactivos_[[#This Row],[Cantidad LNDV]],"LNDV",IF(B169=Reactivos_[[#This Row],[GGCA]],"GGCA",IF(B169=Reactivos_[[#This Row],[Cantidad LDF]],"LDF",IF(Reactivos_[[#This Row],[Cantidad LDF&amp;MR]],"LDF&amp;MR",IF(B169=Reactivos_[[#This Row],[Cantidad RED LASE]],"LASE",IF(B169=Reactivos_[[#This Row],[Cantidad LANIA]],"LANIA",IF(B169=Reactivos_[[#This Row],[Cantidad SPA]],"SPA"," ")))))))))</f>
        <v>LNDV</v>
      </c>
      <c r="B16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69" s="325">
        <v>167</v>
      </c>
      <c r="D169" s="326">
        <v>216</v>
      </c>
      <c r="E169" s="327" t="s">
        <v>534</v>
      </c>
      <c r="F169" s="244"/>
      <c r="G169" s="327"/>
      <c r="H169" s="360" t="s">
        <v>535</v>
      </c>
      <c r="I169" s="329" t="s">
        <v>217</v>
      </c>
      <c r="J16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69" s="160">
        <v>975324</v>
      </c>
      <c r="L169" s="160">
        <f>+Reactivos_[[#This Row],[Cantidad]]*Reactivos_[[#This Row],[Valor de referencia]]</f>
        <v>975324</v>
      </c>
      <c r="M169" s="254">
        <v>0</v>
      </c>
      <c r="N169" s="255">
        <f>+Reactivos_[[#This Row],[Valor de referencia]]*Reactivos_[[#This Row],[Cantidad LANIP]]</f>
        <v>0</v>
      </c>
      <c r="O169" s="256"/>
      <c r="P169" s="255">
        <f>+Reactivos_[[#This Row],[Cantidad 
LDV]]*Reactivos_[[#This Row],[Valor de referencia]]</f>
        <v>0</v>
      </c>
      <c r="Q169" s="257">
        <v>1</v>
      </c>
      <c r="R169" s="255">
        <f>+Reactivos_[[#This Row],[Cantidad LNDV]]*Reactivos_[[#This Row],[Valor de referencia]]</f>
        <v>975324</v>
      </c>
      <c r="S169" s="148"/>
      <c r="T169" s="255">
        <f>+Reactivos_[[#This Row],[GGCA]]*Reactivos_[[#This Row],[Valor de referencia]]</f>
        <v>0</v>
      </c>
      <c r="U169" s="254"/>
      <c r="V169" s="255">
        <f>+Reactivos_[[#This Row],[Cantidad LDF]]*Reactivos_[[#This Row],[Valor de referencia]]</f>
        <v>0</v>
      </c>
      <c r="W169" s="254"/>
      <c r="X169" s="255">
        <f>+Reactivos_[[#This Row],[Cantidad LDF&amp;MR]]*Reactivos_[[#This Row],[Valor de referencia]]</f>
        <v>0</v>
      </c>
      <c r="Y169" s="254"/>
      <c r="Z169" s="255">
        <f>+Reactivos_[[#This Row],[Cantidad RED LASE]]*Reactivos_[[#This Row],[Valor de referencia]]</f>
        <v>0</v>
      </c>
      <c r="AA169" s="254"/>
      <c r="AB169" s="255">
        <f>+Reactivos_[[#This Row],[Cantidad LANIA]]*Reactivos_[[#This Row],[Valor de referencia]]</f>
        <v>0</v>
      </c>
      <c r="AC169" s="254"/>
      <c r="AD169" s="255">
        <f>+Reactivos_[[#This Row],[Cantidad SPA]]*Reactivos_[[#This Row],[Valor de referencia]]</f>
        <v>0</v>
      </c>
      <c r="AE169" s="148" t="s">
        <v>76</v>
      </c>
      <c r="AF169" s="148" t="s">
        <v>77</v>
      </c>
    </row>
    <row r="170" spans="1:32" ht="33.75" customHeight="1" x14ac:dyDescent="0.25">
      <c r="A170" s="294" t="str">
        <f>IF(B170=Reactivos_[[#This Row],[Cantidad LANIP]],"LANIP",IF(B170=Reactivos_[[#This Row],[Cantidad 
LDV]],"LDV",IF(B170=Reactivos_[[#This Row],[Cantidad LNDV]],"LNDV",IF(B170=Reactivos_[[#This Row],[GGCA]],"GGCA",IF(B170=Reactivos_[[#This Row],[Cantidad LDF]],"LDF",IF(Reactivos_[[#This Row],[Cantidad LDF&amp;MR]],"LDF&amp;MR",IF(B170=Reactivos_[[#This Row],[Cantidad RED LASE]],"LASE",IF(B170=Reactivos_[[#This Row],[Cantidad LANIA]],"LANIA",IF(B170=Reactivos_[[#This Row],[Cantidad SPA]],"SPA"," ")))))))))</f>
        <v>LANIP</v>
      </c>
      <c r="B17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C170" s="325">
        <v>168</v>
      </c>
      <c r="D170" s="326">
        <v>217</v>
      </c>
      <c r="E170" s="245" t="s">
        <v>536</v>
      </c>
      <c r="F170" s="244"/>
      <c r="G170" s="245"/>
      <c r="H170" s="404" t="s">
        <v>533</v>
      </c>
      <c r="I170" s="336" t="s">
        <v>537</v>
      </c>
      <c r="J17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K170" s="160">
        <v>327845</v>
      </c>
      <c r="L170" s="160">
        <f>+Reactivos_[[#This Row],[Cantidad]]*Reactivos_[[#This Row],[Valor de referencia]]</f>
        <v>4917675</v>
      </c>
      <c r="M170" s="254">
        <v>15</v>
      </c>
      <c r="N170" s="255">
        <f>+Reactivos_[[#This Row],[Valor de referencia]]*Reactivos_[[#This Row],[Cantidad LANIP]]</f>
        <v>4917675</v>
      </c>
      <c r="O170" s="256"/>
      <c r="P170" s="255">
        <f>+Reactivos_[[#This Row],[Cantidad 
LDV]]*Reactivos_[[#This Row],[Valor de referencia]]</f>
        <v>0</v>
      </c>
      <c r="Q170" s="257"/>
      <c r="R170" s="255">
        <f>+Reactivos_[[#This Row],[Cantidad LNDV]]*Reactivos_[[#This Row],[Valor de referencia]]</f>
        <v>0</v>
      </c>
      <c r="S170" s="148"/>
      <c r="T170" s="255">
        <f>+Reactivos_[[#This Row],[GGCA]]*Reactivos_[[#This Row],[Valor de referencia]]</f>
        <v>0</v>
      </c>
      <c r="U170" s="254"/>
      <c r="V170" s="255">
        <f>+Reactivos_[[#This Row],[Cantidad LDF]]*Reactivos_[[#This Row],[Valor de referencia]]</f>
        <v>0</v>
      </c>
      <c r="W170" s="254"/>
      <c r="X170" s="255">
        <f>+Reactivos_[[#This Row],[Cantidad LDF&amp;MR]]*Reactivos_[[#This Row],[Valor de referencia]]</f>
        <v>0</v>
      </c>
      <c r="Y170" s="254"/>
      <c r="Z170" s="255">
        <f>+Reactivos_[[#This Row],[Cantidad RED LASE]]*Reactivos_[[#This Row],[Valor de referencia]]</f>
        <v>0</v>
      </c>
      <c r="AA170" s="254"/>
      <c r="AB170" s="255">
        <f>+Reactivos_[[#This Row],[Cantidad LANIA]]*Reactivos_[[#This Row],[Valor de referencia]]</f>
        <v>0</v>
      </c>
      <c r="AC170" s="254"/>
      <c r="AD170" s="255">
        <f>+Reactivos_[[#This Row],[Cantidad SPA]]*Reactivos_[[#This Row],[Valor de referencia]]</f>
        <v>0</v>
      </c>
      <c r="AE170" s="148" t="s">
        <v>76</v>
      </c>
      <c r="AF170" s="148" t="s">
        <v>77</v>
      </c>
    </row>
    <row r="171" spans="1:32" ht="41.25" customHeight="1" x14ac:dyDescent="0.25">
      <c r="A171" s="294" t="str">
        <f>IF(B171=Reactivos_[[#This Row],[Cantidad LANIP]],"LANIP",IF(B171=Reactivos_[[#This Row],[Cantidad 
LDV]],"LDV",IF(B171=Reactivos_[[#This Row],[Cantidad LNDV]],"LNDV",IF(B171=Reactivos_[[#This Row],[GGCA]],"GGCA",IF(B171=Reactivos_[[#This Row],[Cantidad LDF]],"LDF",IF(Reactivos_[[#This Row],[Cantidad LDF&amp;MR]],"LDF&amp;MR",IF(B171=Reactivos_[[#This Row],[Cantidad RED LASE]],"LASE",IF(B171=Reactivos_[[#This Row],[Cantidad LANIA]],"LANIA",IF(B171=Reactivos_[[#This Row],[Cantidad SPA]],"SPA"," ")))))))))</f>
        <v>LNDV</v>
      </c>
      <c r="B17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71" s="325">
        <v>169</v>
      </c>
      <c r="D171" s="326">
        <v>219</v>
      </c>
      <c r="E171" s="245" t="s">
        <v>538</v>
      </c>
      <c r="F171" s="244"/>
      <c r="G171" s="245"/>
      <c r="H171" s="349" t="s">
        <v>539</v>
      </c>
      <c r="I171" s="336" t="s">
        <v>268</v>
      </c>
      <c r="J17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71" s="160">
        <v>677110</v>
      </c>
      <c r="L171" s="160">
        <f>+Reactivos_[[#This Row],[Cantidad]]*Reactivos_[[#This Row],[Valor de referencia]]</f>
        <v>677110</v>
      </c>
      <c r="M171" s="254">
        <v>0</v>
      </c>
      <c r="N171" s="255">
        <f>+Reactivos_[[#This Row],[Valor de referencia]]*Reactivos_[[#This Row],[Cantidad LANIP]]</f>
        <v>0</v>
      </c>
      <c r="O171" s="256"/>
      <c r="P171" s="255">
        <f>+Reactivos_[[#This Row],[Cantidad 
LDV]]*Reactivos_[[#This Row],[Valor de referencia]]</f>
        <v>0</v>
      </c>
      <c r="Q171" s="257">
        <v>1</v>
      </c>
      <c r="R171" s="255">
        <f>+Reactivos_[[#This Row],[Cantidad LNDV]]*Reactivos_[[#This Row],[Valor de referencia]]</f>
        <v>677110</v>
      </c>
      <c r="S171" s="148"/>
      <c r="T171" s="255">
        <f>+Reactivos_[[#This Row],[GGCA]]*Reactivos_[[#This Row],[Valor de referencia]]</f>
        <v>0</v>
      </c>
      <c r="U171" s="254"/>
      <c r="V171" s="255">
        <f>+Reactivos_[[#This Row],[Cantidad LDF]]*Reactivos_[[#This Row],[Valor de referencia]]</f>
        <v>0</v>
      </c>
      <c r="W171" s="254"/>
      <c r="X171" s="255">
        <f>+Reactivos_[[#This Row],[Cantidad LDF&amp;MR]]*Reactivos_[[#This Row],[Valor de referencia]]</f>
        <v>0</v>
      </c>
      <c r="Y171" s="254"/>
      <c r="Z171" s="255">
        <f>+Reactivos_[[#This Row],[Cantidad RED LASE]]*Reactivos_[[#This Row],[Valor de referencia]]</f>
        <v>0</v>
      </c>
      <c r="AA171" s="254"/>
      <c r="AB171" s="255">
        <f>+Reactivos_[[#This Row],[Cantidad LANIA]]*Reactivos_[[#This Row],[Valor de referencia]]</f>
        <v>0</v>
      </c>
      <c r="AC171" s="254"/>
      <c r="AD171" s="255">
        <f>+Reactivos_[[#This Row],[Cantidad SPA]]*Reactivos_[[#This Row],[Valor de referencia]]</f>
        <v>0</v>
      </c>
      <c r="AE171" s="148" t="s">
        <v>76</v>
      </c>
      <c r="AF171" s="148" t="s">
        <v>77</v>
      </c>
    </row>
    <row r="172" spans="1:32" ht="25.5" x14ac:dyDescent="0.25">
      <c r="A172" s="294" t="str">
        <f>IF(B172=Reactivos_[[#This Row],[Cantidad LANIP]],"LANIP",IF(B172=Reactivos_[[#This Row],[Cantidad 
LDV]],"LDV",IF(B172=Reactivos_[[#This Row],[Cantidad LNDV]],"LNDV",IF(B172=Reactivos_[[#This Row],[GGCA]],"GGCA",IF(B172=Reactivos_[[#This Row],[Cantidad LDF]],"LDF",IF(Reactivos_[[#This Row],[Cantidad LDF&amp;MR]],"LDF&amp;MR",IF(B172=Reactivos_[[#This Row],[Cantidad RED LASE]],"LASE",IF(B172=Reactivos_[[#This Row],[Cantidad LANIA]],"LANIA",IF(B172=Reactivos_[[#This Row],[Cantidad SPA]],"SPA"," ")))))))))</f>
        <v>LANIA</v>
      </c>
      <c r="B17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72" s="325">
        <v>170</v>
      </c>
      <c r="D172" s="326">
        <v>220</v>
      </c>
      <c r="E172" s="327" t="s">
        <v>540</v>
      </c>
      <c r="F172" s="244"/>
      <c r="G172" s="327"/>
      <c r="H172" s="330" t="s">
        <v>541</v>
      </c>
      <c r="I172" s="329" t="s">
        <v>217</v>
      </c>
      <c r="J17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72" s="160">
        <v>711349</v>
      </c>
      <c r="L172" s="160">
        <f>+Reactivos_[[#This Row],[Cantidad]]*Reactivos_[[#This Row],[Valor de referencia]]</f>
        <v>711349</v>
      </c>
      <c r="M172" s="254">
        <v>0</v>
      </c>
      <c r="N172" s="255">
        <f>+Reactivos_[[#This Row],[Valor de referencia]]*Reactivos_[[#This Row],[Cantidad LANIP]]</f>
        <v>0</v>
      </c>
      <c r="O172" s="256"/>
      <c r="P172" s="255">
        <f>+Reactivos_[[#This Row],[Cantidad 
LDV]]*Reactivos_[[#This Row],[Valor de referencia]]</f>
        <v>0</v>
      </c>
      <c r="Q172" s="257"/>
      <c r="R172" s="255">
        <f>+Reactivos_[[#This Row],[Cantidad LNDV]]*Reactivos_[[#This Row],[Valor de referencia]]</f>
        <v>0</v>
      </c>
      <c r="S172" s="148"/>
      <c r="T172" s="255">
        <f>+Reactivos_[[#This Row],[GGCA]]*Reactivos_[[#This Row],[Valor de referencia]]</f>
        <v>0</v>
      </c>
      <c r="U172" s="254"/>
      <c r="V172" s="255">
        <f>+Reactivos_[[#This Row],[Cantidad LDF]]*Reactivos_[[#This Row],[Valor de referencia]]</f>
        <v>0</v>
      </c>
      <c r="W172" s="254"/>
      <c r="X172" s="255">
        <f>+Reactivos_[[#This Row],[Cantidad LDF&amp;MR]]*Reactivos_[[#This Row],[Valor de referencia]]</f>
        <v>0</v>
      </c>
      <c r="Y172" s="254"/>
      <c r="Z172" s="255">
        <f>+Reactivos_[[#This Row],[Cantidad RED LASE]]*Reactivos_[[#This Row],[Valor de referencia]]</f>
        <v>0</v>
      </c>
      <c r="AA172" s="254">
        <v>1</v>
      </c>
      <c r="AB172" s="255">
        <f>+Reactivos_[[#This Row],[Cantidad LANIA]]*Reactivos_[[#This Row],[Valor de referencia]]</f>
        <v>711349</v>
      </c>
      <c r="AC172" s="254"/>
      <c r="AD172" s="255">
        <f>+Reactivos_[[#This Row],[Cantidad SPA]]*Reactivos_[[#This Row],[Valor de referencia]]</f>
        <v>0</v>
      </c>
      <c r="AE172" s="148" t="s">
        <v>76</v>
      </c>
      <c r="AF172" s="148" t="s">
        <v>77</v>
      </c>
    </row>
    <row r="173" spans="1:32" ht="39.75" customHeight="1" x14ac:dyDescent="0.25">
      <c r="A173" s="294" t="str">
        <f>IF(B173=Reactivos_[[#This Row],[Cantidad LANIP]],"LANIP",IF(B173=Reactivos_[[#This Row],[Cantidad 
LDV]],"LDV",IF(B173=Reactivos_[[#This Row],[Cantidad LNDV]],"LNDV",IF(B173=Reactivos_[[#This Row],[GGCA]],"GGCA",IF(B173=Reactivos_[[#This Row],[Cantidad LDF]],"LDF",IF(Reactivos_[[#This Row],[Cantidad LDF&amp;MR]],"LDF&amp;MR",IF(B173=Reactivos_[[#This Row],[Cantidad RED LASE]],"LASE",IF(B173=Reactivos_[[#This Row],[Cantidad LANIA]],"LANIA",IF(B173=Reactivos_[[#This Row],[Cantidad SPA]],"SPA"," ")))))))))</f>
        <v>LANIP</v>
      </c>
      <c r="B17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173" s="325">
        <v>171</v>
      </c>
      <c r="D173" s="326">
        <v>221</v>
      </c>
      <c r="E173" s="327" t="s">
        <v>542</v>
      </c>
      <c r="F173" s="244"/>
      <c r="G173" s="327"/>
      <c r="H173" s="417" t="s">
        <v>543</v>
      </c>
      <c r="I173" s="329" t="s">
        <v>217</v>
      </c>
      <c r="J17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173" s="160">
        <v>595286</v>
      </c>
      <c r="L173" s="160">
        <f>+Reactivos_[[#This Row],[Cantidad]]*Reactivos_[[#This Row],[Valor de referencia]]</f>
        <v>3571716</v>
      </c>
      <c r="M173" s="254">
        <v>4</v>
      </c>
      <c r="N173" s="255">
        <f>+Reactivos_[[#This Row],[Valor de referencia]]*Reactivos_[[#This Row],[Cantidad LANIP]]</f>
        <v>2381144</v>
      </c>
      <c r="O173" s="256"/>
      <c r="P173" s="255">
        <f>+Reactivos_[[#This Row],[Cantidad 
LDV]]*Reactivos_[[#This Row],[Valor de referencia]]</f>
        <v>0</v>
      </c>
      <c r="Q173" s="257"/>
      <c r="R173" s="255">
        <f>+Reactivos_[[#This Row],[Cantidad LNDV]]*Reactivos_[[#This Row],[Valor de referencia]]</f>
        <v>0</v>
      </c>
      <c r="S173" s="148"/>
      <c r="T173" s="255">
        <f>+Reactivos_[[#This Row],[GGCA]]*Reactivos_[[#This Row],[Valor de referencia]]</f>
        <v>0</v>
      </c>
      <c r="U173" s="254"/>
      <c r="V173" s="255">
        <f>+Reactivos_[[#This Row],[Cantidad LDF]]*Reactivos_[[#This Row],[Valor de referencia]]</f>
        <v>0</v>
      </c>
      <c r="W173" s="254"/>
      <c r="X173" s="255">
        <f>+Reactivos_[[#This Row],[Cantidad LDF&amp;MR]]*Reactivos_[[#This Row],[Valor de referencia]]</f>
        <v>0</v>
      </c>
      <c r="Y173" s="254"/>
      <c r="Z173" s="255">
        <f>+Reactivos_[[#This Row],[Cantidad RED LASE]]*Reactivos_[[#This Row],[Valor de referencia]]</f>
        <v>0</v>
      </c>
      <c r="AA173" s="254">
        <v>2</v>
      </c>
      <c r="AB173" s="255">
        <f>+Reactivos_[[#This Row],[Cantidad LANIA]]*Reactivos_[[#This Row],[Valor de referencia]]</f>
        <v>1190572</v>
      </c>
      <c r="AC173" s="254"/>
      <c r="AD173" s="255">
        <f>+Reactivos_[[#This Row],[Cantidad SPA]]*Reactivos_[[#This Row],[Valor de referencia]]</f>
        <v>0</v>
      </c>
      <c r="AE173" s="148" t="s">
        <v>76</v>
      </c>
      <c r="AF173" s="148" t="s">
        <v>77</v>
      </c>
    </row>
    <row r="174" spans="1:32" ht="38.25" x14ac:dyDescent="0.25">
      <c r="A174" s="294" t="str">
        <f>IF(B174=Reactivos_[[#This Row],[Cantidad LANIP]],"LANIP",IF(B174=Reactivos_[[#This Row],[Cantidad 
LDV]],"LDV",IF(B174=Reactivos_[[#This Row],[Cantidad LNDV]],"LNDV",IF(B174=Reactivos_[[#This Row],[GGCA]],"GGCA",IF(B174=Reactivos_[[#This Row],[Cantidad LDF]],"LDF",IF(Reactivos_[[#This Row],[Cantidad LDF&amp;MR]],"LDF&amp;MR",IF(B174=Reactivos_[[#This Row],[Cantidad RED LASE]],"LASE",IF(B174=Reactivos_[[#This Row],[Cantidad LANIA]],"LANIA",IF(B174=Reactivos_[[#This Row],[Cantidad SPA]],"SPA"," ")))))))))</f>
        <v>LANIP</v>
      </c>
      <c r="B17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174" s="325">
        <v>172</v>
      </c>
      <c r="D174" s="326">
        <v>222</v>
      </c>
      <c r="E174" s="327" t="s">
        <v>544</v>
      </c>
      <c r="F174" s="244"/>
      <c r="G174" s="327"/>
      <c r="H174" s="333" t="s">
        <v>545</v>
      </c>
      <c r="I174" s="334" t="s">
        <v>546</v>
      </c>
      <c r="J17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174" s="160">
        <v>1196129</v>
      </c>
      <c r="L174" s="160">
        <f>+Reactivos_[[#This Row],[Cantidad]]*Reactivos_[[#This Row],[Valor de referencia]]</f>
        <v>7176774</v>
      </c>
      <c r="M174" s="254">
        <v>6</v>
      </c>
      <c r="N174" s="255">
        <f>+Reactivos_[[#This Row],[Valor de referencia]]*Reactivos_[[#This Row],[Cantidad LANIP]]</f>
        <v>7176774</v>
      </c>
      <c r="O174" s="256"/>
      <c r="P174" s="255">
        <f>+Reactivos_[[#This Row],[Cantidad 
LDV]]*Reactivos_[[#This Row],[Valor de referencia]]</f>
        <v>0</v>
      </c>
      <c r="Q174" s="257"/>
      <c r="R174" s="255">
        <f>+Reactivos_[[#This Row],[Cantidad LNDV]]*Reactivos_[[#This Row],[Valor de referencia]]</f>
        <v>0</v>
      </c>
      <c r="S174" s="148"/>
      <c r="T174" s="255">
        <f>+Reactivos_[[#This Row],[GGCA]]*Reactivos_[[#This Row],[Valor de referencia]]</f>
        <v>0</v>
      </c>
      <c r="U174" s="254"/>
      <c r="V174" s="255">
        <f>+Reactivos_[[#This Row],[Cantidad LDF]]*Reactivos_[[#This Row],[Valor de referencia]]</f>
        <v>0</v>
      </c>
      <c r="W174" s="254"/>
      <c r="X174" s="255">
        <f>+Reactivos_[[#This Row],[Cantidad LDF&amp;MR]]*Reactivos_[[#This Row],[Valor de referencia]]</f>
        <v>0</v>
      </c>
      <c r="Y174" s="254"/>
      <c r="Z174" s="255">
        <f>+Reactivos_[[#This Row],[Cantidad RED LASE]]*Reactivos_[[#This Row],[Valor de referencia]]</f>
        <v>0</v>
      </c>
      <c r="AA174" s="254"/>
      <c r="AB174" s="255">
        <f>+Reactivos_[[#This Row],[Cantidad LANIA]]*Reactivos_[[#This Row],[Valor de referencia]]</f>
        <v>0</v>
      </c>
      <c r="AC174" s="254"/>
      <c r="AD174" s="255">
        <f>+Reactivos_[[#This Row],[Cantidad SPA]]*Reactivos_[[#This Row],[Valor de referencia]]</f>
        <v>0</v>
      </c>
      <c r="AE174" s="148" t="s">
        <v>76</v>
      </c>
      <c r="AF174" s="148" t="s">
        <v>77</v>
      </c>
    </row>
    <row r="175" spans="1:32" ht="30" customHeight="1" x14ac:dyDescent="0.25">
      <c r="A175" s="294" t="str">
        <f>IF(B175=Reactivos_[[#This Row],[Cantidad LANIP]],"LANIP",IF(B175=Reactivos_[[#This Row],[Cantidad 
LDV]],"LDV",IF(B175=Reactivos_[[#This Row],[Cantidad LNDV]],"LNDV",IF(B175=Reactivos_[[#This Row],[GGCA]],"GGCA",IF(B175=Reactivos_[[#This Row],[Cantidad LDF]],"LDF",IF(Reactivos_[[#This Row],[Cantidad LDF&amp;MR]],"LDF&amp;MR",IF(B175=Reactivos_[[#This Row],[Cantidad RED LASE]],"LASE",IF(B175=Reactivos_[[#This Row],[Cantidad LANIA]],"LANIA",IF(B175=Reactivos_[[#This Row],[Cantidad SPA]],"SPA"," ")))))))))</f>
        <v>LNDV</v>
      </c>
      <c r="B17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175" s="325">
        <v>173</v>
      </c>
      <c r="D175" s="326">
        <v>224</v>
      </c>
      <c r="E175" s="331" t="s">
        <v>547</v>
      </c>
      <c r="F175" s="332"/>
      <c r="G175" s="331"/>
      <c r="H175" s="348" t="s">
        <v>548</v>
      </c>
      <c r="I175" s="334" t="s">
        <v>549</v>
      </c>
      <c r="J17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75" s="160">
        <v>574770</v>
      </c>
      <c r="L175" s="160">
        <f>+Reactivos_[[#This Row],[Cantidad]]*Reactivos_[[#This Row],[Valor de referencia]]</f>
        <v>2873850</v>
      </c>
      <c r="M175" s="254">
        <v>0</v>
      </c>
      <c r="N175" s="255">
        <f>+Reactivos_[[#This Row],[Valor de referencia]]*Reactivos_[[#This Row],[Cantidad LANIP]]</f>
        <v>0</v>
      </c>
      <c r="O175" s="256"/>
      <c r="P175" s="255">
        <f>+Reactivos_[[#This Row],[Cantidad 
LDV]]*Reactivos_[[#This Row],[Valor de referencia]]</f>
        <v>0</v>
      </c>
      <c r="Q175" s="257">
        <v>3</v>
      </c>
      <c r="R175" s="255">
        <f>+Reactivos_[[#This Row],[Cantidad LNDV]]*Reactivos_[[#This Row],[Valor de referencia]]</f>
        <v>1724310</v>
      </c>
      <c r="S175" s="148"/>
      <c r="T175" s="255">
        <f>+Reactivos_[[#This Row],[GGCA]]*Reactivos_[[#This Row],[Valor de referencia]]</f>
        <v>0</v>
      </c>
      <c r="U175" s="254">
        <v>1</v>
      </c>
      <c r="V175" s="255">
        <f>+Reactivos_[[#This Row],[Cantidad LDF]]*Reactivos_[[#This Row],[Valor de referencia]]</f>
        <v>574770</v>
      </c>
      <c r="W175" s="254"/>
      <c r="X175" s="255">
        <f>+Reactivos_[[#This Row],[Cantidad LDF&amp;MR]]*Reactivos_[[#This Row],[Valor de referencia]]</f>
        <v>0</v>
      </c>
      <c r="Y175" s="254"/>
      <c r="Z175" s="255">
        <f>+Reactivos_[[#This Row],[Cantidad RED LASE]]*Reactivos_[[#This Row],[Valor de referencia]]</f>
        <v>0</v>
      </c>
      <c r="AA175" s="254">
        <v>1</v>
      </c>
      <c r="AB175" s="255">
        <f>+Reactivos_[[#This Row],[Cantidad LANIA]]*Reactivos_[[#This Row],[Valor de referencia]]</f>
        <v>574770</v>
      </c>
      <c r="AC175" s="254"/>
      <c r="AD175" s="255">
        <f>+Reactivos_[[#This Row],[Cantidad SPA]]*Reactivos_[[#This Row],[Valor de referencia]]</f>
        <v>0</v>
      </c>
      <c r="AE175" s="148" t="s">
        <v>76</v>
      </c>
      <c r="AF175" s="148" t="s">
        <v>77</v>
      </c>
    </row>
    <row r="176" spans="1:32" ht="18" customHeight="1" x14ac:dyDescent="0.25">
      <c r="A176" s="294" t="str">
        <f>IF(B176=Reactivos_[[#This Row],[Cantidad LANIP]],"LANIP",IF(B176=Reactivos_[[#This Row],[Cantidad 
LDV]],"LDV",IF(B176=Reactivos_[[#This Row],[Cantidad LNDV]],"LNDV",IF(B176=Reactivos_[[#This Row],[GGCA]],"GGCA",IF(B176=Reactivos_[[#This Row],[Cantidad LDF]],"LDF",IF(Reactivos_[[#This Row],[Cantidad LDF&amp;MR]],"LDF&amp;MR",IF(B176=Reactivos_[[#This Row],[Cantidad RED LASE]],"LASE",IF(B176=Reactivos_[[#This Row],[Cantidad LANIA]],"LANIA",IF(B176=Reactivos_[[#This Row],[Cantidad SPA]],"SPA"," ")))))))))</f>
        <v>LDF</v>
      </c>
      <c r="B17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76" s="325">
        <v>174</v>
      </c>
      <c r="D176" s="326">
        <v>227</v>
      </c>
      <c r="E176" s="331" t="s">
        <v>550</v>
      </c>
      <c r="F176" s="332"/>
      <c r="G176" s="331"/>
      <c r="H176" s="348" t="s">
        <v>551</v>
      </c>
      <c r="I176" s="334" t="s">
        <v>552</v>
      </c>
      <c r="J17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76" s="160">
        <v>278608</v>
      </c>
      <c r="L176" s="160">
        <f>+Reactivos_[[#This Row],[Cantidad]]*Reactivos_[[#This Row],[Valor de referencia]]</f>
        <v>278608</v>
      </c>
      <c r="M176" s="254">
        <v>0</v>
      </c>
      <c r="N176" s="255">
        <f>+Reactivos_[[#This Row],[Valor de referencia]]*Reactivos_[[#This Row],[Cantidad LANIP]]</f>
        <v>0</v>
      </c>
      <c r="O176" s="256"/>
      <c r="P176" s="255">
        <f>+Reactivos_[[#This Row],[Cantidad 
LDV]]*Reactivos_[[#This Row],[Valor de referencia]]</f>
        <v>0</v>
      </c>
      <c r="Q176" s="257"/>
      <c r="R176" s="255">
        <f>+Reactivos_[[#This Row],[Cantidad LNDV]]*Reactivos_[[#This Row],[Valor de referencia]]</f>
        <v>0</v>
      </c>
      <c r="S176" s="148"/>
      <c r="T176" s="255">
        <f>+Reactivos_[[#This Row],[GGCA]]*Reactivos_[[#This Row],[Valor de referencia]]</f>
        <v>0</v>
      </c>
      <c r="U176" s="254">
        <v>1</v>
      </c>
      <c r="V176" s="255">
        <f>+Reactivos_[[#This Row],[Cantidad LDF]]*Reactivos_[[#This Row],[Valor de referencia]]</f>
        <v>278608</v>
      </c>
      <c r="W176" s="254"/>
      <c r="X176" s="255">
        <f>+Reactivos_[[#This Row],[Cantidad LDF&amp;MR]]*Reactivos_[[#This Row],[Valor de referencia]]</f>
        <v>0</v>
      </c>
      <c r="Y176" s="254"/>
      <c r="Z176" s="255">
        <f>+Reactivos_[[#This Row],[Cantidad RED LASE]]*Reactivos_[[#This Row],[Valor de referencia]]</f>
        <v>0</v>
      </c>
      <c r="AA176" s="254"/>
      <c r="AB176" s="255">
        <f>+Reactivos_[[#This Row],[Cantidad LANIA]]*Reactivos_[[#This Row],[Valor de referencia]]</f>
        <v>0</v>
      </c>
      <c r="AC176" s="254"/>
      <c r="AD176" s="255">
        <f>+Reactivos_[[#This Row],[Cantidad SPA]]*Reactivos_[[#This Row],[Valor de referencia]]</f>
        <v>0</v>
      </c>
      <c r="AE176" s="148" t="s">
        <v>76</v>
      </c>
      <c r="AF176" s="148" t="s">
        <v>77</v>
      </c>
    </row>
    <row r="177" spans="1:32" x14ac:dyDescent="0.25">
      <c r="A177" s="294" t="str">
        <f>IF(B177=Reactivos_[[#This Row],[Cantidad LANIP]],"LANIP",IF(B177=Reactivos_[[#This Row],[Cantidad 
LDV]],"LDV",IF(B177=Reactivos_[[#This Row],[Cantidad LNDV]],"LNDV",IF(B177=Reactivos_[[#This Row],[GGCA]],"GGCA",IF(B177=Reactivos_[[#This Row],[Cantidad LDF]],"LDF",IF(Reactivos_[[#This Row],[Cantidad LDF&amp;MR]],"LDF&amp;MR",IF(B177=Reactivos_[[#This Row],[Cantidad RED LASE]],"LASE",IF(B177=Reactivos_[[#This Row],[Cantidad LANIA]],"LANIA",IF(B177=Reactivos_[[#This Row],[Cantidad SPA]],"SPA"," ")))))))))</f>
        <v>LANIP</v>
      </c>
      <c r="B17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77" s="325">
        <v>175</v>
      </c>
      <c r="D177" s="326">
        <v>228</v>
      </c>
      <c r="E177" s="331" t="s">
        <v>553</v>
      </c>
      <c r="F177" s="332"/>
      <c r="G177" s="331"/>
      <c r="H177" s="348" t="s">
        <v>554</v>
      </c>
      <c r="I177" s="334" t="s">
        <v>175</v>
      </c>
      <c r="J17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77" s="160">
        <v>1108986</v>
      </c>
      <c r="L177" s="160">
        <f>+Reactivos_[[#This Row],[Cantidad]]*Reactivos_[[#This Row],[Valor de referencia]]</f>
        <v>2217972</v>
      </c>
      <c r="M177" s="254">
        <v>2</v>
      </c>
      <c r="N177" s="255">
        <f>+Reactivos_[[#This Row],[Valor de referencia]]*Reactivos_[[#This Row],[Cantidad LANIP]]</f>
        <v>2217972</v>
      </c>
      <c r="O177" s="256"/>
      <c r="P177" s="255">
        <f>+Reactivos_[[#This Row],[Cantidad 
LDV]]*Reactivos_[[#This Row],[Valor de referencia]]</f>
        <v>0</v>
      </c>
      <c r="Q177" s="257"/>
      <c r="R177" s="255">
        <f>+Reactivos_[[#This Row],[Cantidad LNDV]]*Reactivos_[[#This Row],[Valor de referencia]]</f>
        <v>0</v>
      </c>
      <c r="S177" s="148"/>
      <c r="T177" s="255">
        <f>+Reactivos_[[#This Row],[GGCA]]*Reactivos_[[#This Row],[Valor de referencia]]</f>
        <v>0</v>
      </c>
      <c r="U177" s="254"/>
      <c r="V177" s="255">
        <f>+Reactivos_[[#This Row],[Cantidad LDF]]*Reactivos_[[#This Row],[Valor de referencia]]</f>
        <v>0</v>
      </c>
      <c r="W177" s="254"/>
      <c r="X177" s="255">
        <f>+Reactivos_[[#This Row],[Cantidad LDF&amp;MR]]*Reactivos_[[#This Row],[Valor de referencia]]</f>
        <v>0</v>
      </c>
      <c r="Y177" s="254"/>
      <c r="Z177" s="255">
        <f>+Reactivos_[[#This Row],[Cantidad RED LASE]]*Reactivos_[[#This Row],[Valor de referencia]]</f>
        <v>0</v>
      </c>
      <c r="AA177" s="254"/>
      <c r="AB177" s="255">
        <f>+Reactivos_[[#This Row],[Cantidad LANIA]]*Reactivos_[[#This Row],[Valor de referencia]]</f>
        <v>0</v>
      </c>
      <c r="AC177" s="254"/>
      <c r="AD177" s="255">
        <f>+Reactivos_[[#This Row],[Cantidad SPA]]*Reactivos_[[#This Row],[Valor de referencia]]</f>
        <v>0</v>
      </c>
      <c r="AE177" s="148" t="s">
        <v>76</v>
      </c>
      <c r="AF177" s="148" t="s">
        <v>77</v>
      </c>
    </row>
    <row r="178" spans="1:32" ht="36" customHeight="1" x14ac:dyDescent="0.25">
      <c r="A178" s="294" t="str">
        <f>IF(B178=Reactivos_[[#This Row],[Cantidad LANIP]],"LANIP",IF(B178=Reactivos_[[#This Row],[Cantidad 
LDV]],"LDV",IF(B178=Reactivos_[[#This Row],[Cantidad LNDV]],"LNDV",IF(B178=Reactivos_[[#This Row],[GGCA]],"GGCA",IF(B178=Reactivos_[[#This Row],[Cantidad LDF]],"LDF",IF(Reactivos_[[#This Row],[Cantidad LDF&amp;MR]],"LDF&amp;MR",IF(B178=Reactivos_[[#This Row],[Cantidad RED LASE]],"LASE",IF(B178=Reactivos_[[#This Row],[Cantidad LANIA]],"LANIA",IF(B178=Reactivos_[[#This Row],[Cantidad SPA]],"SPA"," ")))))))))</f>
        <v>LDF</v>
      </c>
      <c r="B17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178" s="325">
        <v>176</v>
      </c>
      <c r="D178" s="326">
        <v>229</v>
      </c>
      <c r="E178" s="331" t="s">
        <v>555</v>
      </c>
      <c r="F178" s="332"/>
      <c r="G178" s="331"/>
      <c r="H178" s="342" t="s">
        <v>556</v>
      </c>
      <c r="I178" s="334" t="s">
        <v>557</v>
      </c>
      <c r="J17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178" s="160">
        <v>1223236</v>
      </c>
      <c r="L178" s="160">
        <f>+Reactivos_[[#This Row],[Cantidad]]*Reactivos_[[#This Row],[Valor de referencia]]</f>
        <v>7339416</v>
      </c>
      <c r="M178" s="254">
        <v>0</v>
      </c>
      <c r="N178" s="255">
        <f>+Reactivos_[[#This Row],[Valor de referencia]]*Reactivos_[[#This Row],[Cantidad LANIP]]</f>
        <v>0</v>
      </c>
      <c r="O178" s="256"/>
      <c r="P178" s="255">
        <f>+Reactivos_[[#This Row],[Cantidad 
LDV]]*Reactivos_[[#This Row],[Valor de referencia]]</f>
        <v>0</v>
      </c>
      <c r="Q178" s="257"/>
      <c r="R178" s="255">
        <f>+Reactivos_[[#This Row],[Cantidad LNDV]]*Reactivos_[[#This Row],[Valor de referencia]]</f>
        <v>0</v>
      </c>
      <c r="S178" s="148"/>
      <c r="T178" s="255">
        <f>+Reactivos_[[#This Row],[GGCA]]*Reactivos_[[#This Row],[Valor de referencia]]</f>
        <v>0</v>
      </c>
      <c r="U178" s="254">
        <v>4</v>
      </c>
      <c r="V178" s="255">
        <f>+Reactivos_[[#This Row],[Cantidad LDF]]*Reactivos_[[#This Row],[Valor de referencia]]</f>
        <v>4892944</v>
      </c>
      <c r="W178" s="254"/>
      <c r="X178" s="255">
        <f>+Reactivos_[[#This Row],[Cantidad LDF&amp;MR]]*Reactivos_[[#This Row],[Valor de referencia]]</f>
        <v>0</v>
      </c>
      <c r="Y178" s="254"/>
      <c r="Z178" s="255">
        <f>+Reactivos_[[#This Row],[Cantidad RED LASE]]*Reactivos_[[#This Row],[Valor de referencia]]</f>
        <v>0</v>
      </c>
      <c r="AA178" s="254">
        <v>2</v>
      </c>
      <c r="AB178" s="255">
        <f>+Reactivos_[[#This Row],[Cantidad LANIA]]*Reactivos_[[#This Row],[Valor de referencia]]</f>
        <v>2446472</v>
      </c>
      <c r="AC178" s="254"/>
      <c r="AD178" s="255">
        <f>+Reactivos_[[#This Row],[Cantidad SPA]]*Reactivos_[[#This Row],[Valor de referencia]]</f>
        <v>0</v>
      </c>
      <c r="AE178" s="148" t="s">
        <v>76</v>
      </c>
      <c r="AF178" s="148" t="s">
        <v>77</v>
      </c>
    </row>
    <row r="179" spans="1:32" ht="25.5" x14ac:dyDescent="0.25">
      <c r="A179" s="294" t="str">
        <f>IF(B179=Reactivos_[[#This Row],[Cantidad LANIP]],"LANIP",IF(B179=Reactivos_[[#This Row],[Cantidad 
LDV]],"LDV",IF(B179=Reactivos_[[#This Row],[Cantidad LNDV]],"LNDV",IF(B179=Reactivos_[[#This Row],[GGCA]],"GGCA",IF(B179=Reactivos_[[#This Row],[Cantidad LDF]],"LDF",IF(Reactivos_[[#This Row],[Cantidad LDF&amp;MR]],"LDF&amp;MR",IF(B179=Reactivos_[[#This Row],[Cantidad RED LASE]],"LASE",IF(B179=Reactivos_[[#This Row],[Cantidad LANIA]],"LANIA",IF(B179=Reactivos_[[#This Row],[Cantidad SPA]],"SPA"," ")))))))))</f>
        <v>LANIP</v>
      </c>
      <c r="B17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79" s="325">
        <v>177</v>
      </c>
      <c r="D179" s="326">
        <v>230</v>
      </c>
      <c r="E179" s="331" t="s">
        <v>558</v>
      </c>
      <c r="F179" s="332" t="s">
        <v>559</v>
      </c>
      <c r="G179" s="331" t="s">
        <v>560</v>
      </c>
      <c r="H179" s="348" t="s">
        <v>533</v>
      </c>
      <c r="I179" s="334" t="s">
        <v>120</v>
      </c>
      <c r="J17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79" s="160">
        <v>304771</v>
      </c>
      <c r="L179" s="160">
        <f>+Reactivos_[[#This Row],[Cantidad]]*Reactivos_[[#This Row],[Valor de referencia]]</f>
        <v>609542</v>
      </c>
      <c r="M179" s="254">
        <v>2</v>
      </c>
      <c r="N179" s="255">
        <f>+Reactivos_[[#This Row],[Valor de referencia]]*Reactivos_[[#This Row],[Cantidad LANIP]]</f>
        <v>609542</v>
      </c>
      <c r="O179" s="256"/>
      <c r="P179" s="255">
        <f>+Reactivos_[[#This Row],[Cantidad 
LDV]]*Reactivos_[[#This Row],[Valor de referencia]]</f>
        <v>0</v>
      </c>
      <c r="Q179" s="257"/>
      <c r="R179" s="255">
        <f>+Reactivos_[[#This Row],[Cantidad LNDV]]*Reactivos_[[#This Row],[Valor de referencia]]</f>
        <v>0</v>
      </c>
      <c r="S179" s="148"/>
      <c r="T179" s="255">
        <f>+Reactivos_[[#This Row],[GGCA]]*Reactivos_[[#This Row],[Valor de referencia]]</f>
        <v>0</v>
      </c>
      <c r="U179" s="254"/>
      <c r="V179" s="255">
        <f>+Reactivos_[[#This Row],[Cantidad LDF]]*Reactivos_[[#This Row],[Valor de referencia]]</f>
        <v>0</v>
      </c>
      <c r="W179" s="254"/>
      <c r="X179" s="255">
        <f>+Reactivos_[[#This Row],[Cantidad LDF&amp;MR]]*Reactivos_[[#This Row],[Valor de referencia]]</f>
        <v>0</v>
      </c>
      <c r="Y179" s="254"/>
      <c r="Z179" s="255">
        <f>+Reactivos_[[#This Row],[Cantidad RED LASE]]*Reactivos_[[#This Row],[Valor de referencia]]</f>
        <v>0</v>
      </c>
      <c r="AA179" s="254"/>
      <c r="AB179" s="255">
        <f>+Reactivos_[[#This Row],[Cantidad LANIA]]*Reactivos_[[#This Row],[Valor de referencia]]</f>
        <v>0</v>
      </c>
      <c r="AC179" s="254"/>
      <c r="AD179" s="255">
        <f>+Reactivos_[[#This Row],[Cantidad SPA]]*Reactivos_[[#This Row],[Valor de referencia]]</f>
        <v>0</v>
      </c>
      <c r="AE179" s="310" t="s">
        <v>76</v>
      </c>
      <c r="AF179" s="148" t="s">
        <v>77</v>
      </c>
    </row>
    <row r="180" spans="1:32" ht="38.25" x14ac:dyDescent="0.25">
      <c r="A180" s="294" t="str">
        <f>IF(B180=Reactivos_[[#This Row],[Cantidad LANIP]],"LANIP",IF(B180=Reactivos_[[#This Row],[Cantidad 
LDV]],"LDV",IF(B180=Reactivos_[[#This Row],[Cantidad LNDV]],"LNDV",IF(B180=Reactivos_[[#This Row],[GGCA]],"GGCA",IF(B180=Reactivos_[[#This Row],[Cantidad LDF]],"LDF",IF(Reactivos_[[#This Row],[Cantidad LDF&amp;MR]],"LDF&amp;MR",IF(B180=Reactivos_[[#This Row],[Cantidad RED LASE]],"LASE",IF(B180=Reactivos_[[#This Row],[Cantidad LANIA]],"LANIA",IF(B180=Reactivos_[[#This Row],[Cantidad SPA]],"SPA"," ")))))))))</f>
        <v>LDF</v>
      </c>
      <c r="B18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180" s="325">
        <v>178</v>
      </c>
      <c r="D180" s="326">
        <v>233</v>
      </c>
      <c r="E180" s="331" t="s">
        <v>561</v>
      </c>
      <c r="F180" s="332"/>
      <c r="G180" s="331"/>
      <c r="H180" s="342" t="s">
        <v>562</v>
      </c>
      <c r="I180" s="334" t="s">
        <v>120</v>
      </c>
      <c r="J18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180" s="160">
        <v>2441771</v>
      </c>
      <c r="L180" s="160">
        <f>+Reactivos_[[#This Row],[Cantidad]]*Reactivos_[[#This Row],[Valor de referencia]]</f>
        <v>12208855</v>
      </c>
      <c r="M180" s="254">
        <v>0</v>
      </c>
      <c r="N180" s="255">
        <f>+Reactivos_[[#This Row],[Valor de referencia]]*Reactivos_[[#This Row],[Cantidad LANIP]]</f>
        <v>0</v>
      </c>
      <c r="O180" s="256"/>
      <c r="P180" s="255">
        <f>+Reactivos_[[#This Row],[Cantidad 
LDV]]*Reactivos_[[#This Row],[Valor de referencia]]</f>
        <v>0</v>
      </c>
      <c r="Q180" s="257"/>
      <c r="R180" s="255">
        <f>+Reactivos_[[#This Row],[Cantidad LNDV]]*Reactivos_[[#This Row],[Valor de referencia]]</f>
        <v>0</v>
      </c>
      <c r="S180" s="148"/>
      <c r="T180" s="255">
        <f>+Reactivos_[[#This Row],[GGCA]]*Reactivos_[[#This Row],[Valor de referencia]]</f>
        <v>0</v>
      </c>
      <c r="U180" s="254">
        <v>5</v>
      </c>
      <c r="V180" s="255">
        <f>+Reactivos_[[#This Row],[Cantidad LDF]]*Reactivos_[[#This Row],[Valor de referencia]]</f>
        <v>12208855</v>
      </c>
      <c r="W180" s="254"/>
      <c r="X180" s="255">
        <f>+Reactivos_[[#This Row],[Cantidad LDF&amp;MR]]*Reactivos_[[#This Row],[Valor de referencia]]</f>
        <v>0</v>
      </c>
      <c r="Y180" s="254"/>
      <c r="Z180" s="255">
        <f>+Reactivos_[[#This Row],[Cantidad RED LASE]]*Reactivos_[[#This Row],[Valor de referencia]]</f>
        <v>0</v>
      </c>
      <c r="AA180" s="254"/>
      <c r="AB180" s="255">
        <f>+Reactivos_[[#This Row],[Cantidad LANIA]]*Reactivos_[[#This Row],[Valor de referencia]]</f>
        <v>0</v>
      </c>
      <c r="AC180" s="254"/>
      <c r="AD180" s="255">
        <f>+Reactivos_[[#This Row],[Cantidad SPA]]*Reactivos_[[#This Row],[Valor de referencia]]</f>
        <v>0</v>
      </c>
      <c r="AE180" s="148" t="s">
        <v>76</v>
      </c>
      <c r="AF180" s="148" t="s">
        <v>77</v>
      </c>
    </row>
    <row r="181" spans="1:32" ht="25.5" x14ac:dyDescent="0.25">
      <c r="A181" s="294" t="str">
        <f>IF(B181=Reactivos_[[#This Row],[Cantidad LANIP]],"LANIP",IF(B181=Reactivos_[[#This Row],[Cantidad 
LDV]],"LDV",IF(B181=Reactivos_[[#This Row],[Cantidad LNDV]],"LNDV",IF(B181=Reactivos_[[#This Row],[GGCA]],"GGCA",IF(B181=Reactivos_[[#This Row],[Cantidad LDF]],"LDF",IF(Reactivos_[[#This Row],[Cantidad LDF&amp;MR]],"LDF&amp;MR",IF(B181=Reactivos_[[#This Row],[Cantidad RED LASE]],"LASE",IF(B181=Reactivos_[[#This Row],[Cantidad LANIA]],"LANIA",IF(B181=Reactivos_[[#This Row],[Cantidad SPA]],"SPA"," ")))))))))</f>
        <v>LDF&amp;MR</v>
      </c>
      <c r="B18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81" s="325">
        <v>179</v>
      </c>
      <c r="D181" s="326">
        <v>234</v>
      </c>
      <c r="E181" s="331" t="s">
        <v>563</v>
      </c>
      <c r="F181" s="361" t="s">
        <v>564</v>
      </c>
      <c r="G181" s="331"/>
      <c r="H181" s="342" t="s">
        <v>565</v>
      </c>
      <c r="I181" s="334" t="s">
        <v>120</v>
      </c>
      <c r="J18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81" s="160">
        <v>868307</v>
      </c>
      <c r="L181" s="160">
        <f>+Reactivos_[[#This Row],[Cantidad]]*Reactivos_[[#This Row],[Valor de referencia]]</f>
        <v>1736614</v>
      </c>
      <c r="M181" s="254">
        <v>0</v>
      </c>
      <c r="N181" s="255">
        <f>+Reactivos_[[#This Row],[Valor de referencia]]*Reactivos_[[#This Row],[Cantidad LANIP]]</f>
        <v>0</v>
      </c>
      <c r="O181" s="256"/>
      <c r="P181" s="255">
        <f>+Reactivos_[[#This Row],[Cantidad 
LDV]]*Reactivos_[[#This Row],[Valor de referencia]]</f>
        <v>0</v>
      </c>
      <c r="Q181" s="257"/>
      <c r="R181" s="255">
        <f>+Reactivos_[[#This Row],[Cantidad LNDV]]*Reactivos_[[#This Row],[Valor de referencia]]</f>
        <v>0</v>
      </c>
      <c r="S181" s="148"/>
      <c r="T181" s="255">
        <f>+Reactivos_[[#This Row],[GGCA]]*Reactivos_[[#This Row],[Valor de referencia]]</f>
        <v>0</v>
      </c>
      <c r="U181" s="254"/>
      <c r="V181" s="255">
        <f>+Reactivos_[[#This Row],[Cantidad LDF]]*Reactivos_[[#This Row],[Valor de referencia]]</f>
        <v>0</v>
      </c>
      <c r="W181" s="254">
        <v>2</v>
      </c>
      <c r="X181" s="255">
        <f>+Reactivos_[[#This Row],[Cantidad LDF&amp;MR]]*Reactivos_[[#This Row],[Valor de referencia]]</f>
        <v>1736614</v>
      </c>
      <c r="Y181" s="254"/>
      <c r="Z181" s="255">
        <f>+Reactivos_[[#This Row],[Cantidad RED LASE]]*Reactivos_[[#This Row],[Valor de referencia]]</f>
        <v>0</v>
      </c>
      <c r="AA181" s="254"/>
      <c r="AB181" s="255">
        <f>+Reactivos_[[#This Row],[Cantidad LANIA]]*Reactivos_[[#This Row],[Valor de referencia]]</f>
        <v>0</v>
      </c>
      <c r="AC181" s="254"/>
      <c r="AD181" s="255">
        <f>+Reactivos_[[#This Row],[Cantidad SPA]]*Reactivos_[[#This Row],[Valor de referencia]]</f>
        <v>0</v>
      </c>
      <c r="AE181" s="148" t="s">
        <v>76</v>
      </c>
      <c r="AF181" s="148" t="s">
        <v>77</v>
      </c>
    </row>
    <row r="182" spans="1:32" ht="18" customHeight="1" x14ac:dyDescent="0.25">
      <c r="A182" s="294" t="str">
        <f>IF(B182=Reactivos_[[#This Row],[Cantidad LANIP]],"LANIP",IF(B182=Reactivos_[[#This Row],[Cantidad 
LDV]],"LDV",IF(B182=Reactivos_[[#This Row],[Cantidad LNDV]],"LNDV",IF(B182=Reactivos_[[#This Row],[GGCA]],"GGCA",IF(B182=Reactivos_[[#This Row],[Cantidad LDF]],"LDF",IF(Reactivos_[[#This Row],[Cantidad LDF&amp;MR]],"LDF&amp;MR",IF(B182=Reactivos_[[#This Row],[Cantidad RED LASE]],"LASE",IF(B182=Reactivos_[[#This Row],[Cantidad LANIA]],"LANIA",IF(B182=Reactivos_[[#This Row],[Cantidad SPA]],"SPA"," ")))))))))</f>
        <v>LANIP</v>
      </c>
      <c r="B18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182" s="325">
        <v>180</v>
      </c>
      <c r="D182" s="326">
        <v>235</v>
      </c>
      <c r="E182" s="327" t="s">
        <v>566</v>
      </c>
      <c r="F182" s="244"/>
      <c r="G182" s="327"/>
      <c r="H182" s="328" t="s">
        <v>567</v>
      </c>
      <c r="I182" s="329" t="s">
        <v>568</v>
      </c>
      <c r="J18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182" s="160">
        <v>18328975</v>
      </c>
      <c r="L182" s="160">
        <f>+Reactivos_[[#This Row],[Cantidad]]*Reactivos_[[#This Row],[Valor de referencia]]</f>
        <v>36657950</v>
      </c>
      <c r="M182" s="254">
        <v>2</v>
      </c>
      <c r="N182" s="255">
        <f>+Reactivos_[[#This Row],[Valor de referencia]]*Reactivos_[[#This Row],[Cantidad LANIP]]</f>
        <v>36657950</v>
      </c>
      <c r="O182" s="256"/>
      <c r="P182" s="255">
        <f>+Reactivos_[[#This Row],[Cantidad 
LDV]]*Reactivos_[[#This Row],[Valor de referencia]]</f>
        <v>0</v>
      </c>
      <c r="Q182" s="257"/>
      <c r="R182" s="255">
        <f>+Reactivos_[[#This Row],[Cantidad LNDV]]*Reactivos_[[#This Row],[Valor de referencia]]</f>
        <v>0</v>
      </c>
      <c r="S182" s="148"/>
      <c r="T182" s="255">
        <f>+Reactivos_[[#This Row],[GGCA]]*Reactivos_[[#This Row],[Valor de referencia]]</f>
        <v>0</v>
      </c>
      <c r="U182" s="254"/>
      <c r="V182" s="255">
        <f>+Reactivos_[[#This Row],[Cantidad LDF]]*Reactivos_[[#This Row],[Valor de referencia]]</f>
        <v>0</v>
      </c>
      <c r="W182" s="254"/>
      <c r="X182" s="255">
        <f>+Reactivos_[[#This Row],[Cantidad LDF&amp;MR]]*Reactivos_[[#This Row],[Valor de referencia]]</f>
        <v>0</v>
      </c>
      <c r="Y182" s="254"/>
      <c r="Z182" s="255">
        <f>+Reactivos_[[#This Row],[Cantidad RED LASE]]*Reactivos_[[#This Row],[Valor de referencia]]</f>
        <v>0</v>
      </c>
      <c r="AA182" s="254"/>
      <c r="AB182" s="255">
        <f>+Reactivos_[[#This Row],[Cantidad LANIA]]*Reactivos_[[#This Row],[Valor de referencia]]</f>
        <v>0</v>
      </c>
      <c r="AC182" s="254"/>
      <c r="AD182" s="255">
        <f>+Reactivos_[[#This Row],[Cantidad SPA]]*Reactivos_[[#This Row],[Valor de referencia]]</f>
        <v>0</v>
      </c>
      <c r="AE182" s="148" t="s">
        <v>76</v>
      </c>
      <c r="AF182" s="148" t="s">
        <v>77</v>
      </c>
    </row>
    <row r="183" spans="1:32" ht="25.5" x14ac:dyDescent="0.25">
      <c r="A183" s="294" t="str">
        <f>IF(B183=Reactivos_[[#This Row],[Cantidad LANIP]],"LANIP",IF(B183=Reactivos_[[#This Row],[Cantidad 
LDV]],"LDV",IF(B183=Reactivos_[[#This Row],[Cantidad LNDV]],"LNDV",IF(B183=Reactivos_[[#This Row],[GGCA]],"GGCA",IF(B183=Reactivos_[[#This Row],[Cantidad LDF]],"LDF",IF(Reactivos_[[#This Row],[Cantidad LDF&amp;MR]],"LDF&amp;MR",IF(B183=Reactivos_[[#This Row],[Cantidad RED LASE]],"LASE",IF(B183=Reactivos_[[#This Row],[Cantidad LANIA]],"LANIA",IF(B183=Reactivos_[[#This Row],[Cantidad SPA]],"SPA"," ")))))))))</f>
        <v>LNDV</v>
      </c>
      <c r="B18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83" s="325">
        <v>181</v>
      </c>
      <c r="D183" s="326">
        <v>236</v>
      </c>
      <c r="E183" s="245" t="s">
        <v>569</v>
      </c>
      <c r="F183" s="244"/>
      <c r="G183" s="245"/>
      <c r="H183" s="349" t="s">
        <v>570</v>
      </c>
      <c r="I183" s="353" t="s">
        <v>571</v>
      </c>
      <c r="J18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83" s="160">
        <v>7735000</v>
      </c>
      <c r="L183" s="160">
        <f>+Reactivos_[[#This Row],[Cantidad]]*Reactivos_[[#This Row],[Valor de referencia]]</f>
        <v>7735000</v>
      </c>
      <c r="M183" s="254">
        <v>0</v>
      </c>
      <c r="N183" s="255">
        <f>+Reactivos_[[#This Row],[Valor de referencia]]*Reactivos_[[#This Row],[Cantidad LANIP]]</f>
        <v>0</v>
      </c>
      <c r="O183" s="256"/>
      <c r="P183" s="255">
        <f>+Reactivos_[[#This Row],[Cantidad 
LDV]]*Reactivos_[[#This Row],[Valor de referencia]]</f>
        <v>0</v>
      </c>
      <c r="Q183" s="257">
        <v>1</v>
      </c>
      <c r="R183" s="255">
        <f>+Reactivos_[[#This Row],[Cantidad LNDV]]*Reactivos_[[#This Row],[Valor de referencia]]</f>
        <v>7735000</v>
      </c>
      <c r="S183" s="148"/>
      <c r="T183" s="255">
        <f>+Reactivos_[[#This Row],[GGCA]]*Reactivos_[[#This Row],[Valor de referencia]]</f>
        <v>0</v>
      </c>
      <c r="U183" s="254"/>
      <c r="V183" s="255">
        <f>+Reactivos_[[#This Row],[Cantidad LDF]]*Reactivos_[[#This Row],[Valor de referencia]]</f>
        <v>0</v>
      </c>
      <c r="W183" s="254"/>
      <c r="X183" s="255">
        <f>+Reactivos_[[#This Row],[Cantidad LDF&amp;MR]]*Reactivos_[[#This Row],[Valor de referencia]]</f>
        <v>0</v>
      </c>
      <c r="Y183" s="254"/>
      <c r="Z183" s="255">
        <f>+Reactivos_[[#This Row],[Cantidad RED LASE]]*Reactivos_[[#This Row],[Valor de referencia]]</f>
        <v>0</v>
      </c>
      <c r="AA183" s="254"/>
      <c r="AB183" s="255">
        <f>+Reactivos_[[#This Row],[Cantidad LANIA]]*Reactivos_[[#This Row],[Valor de referencia]]</f>
        <v>0</v>
      </c>
      <c r="AC183" s="254"/>
      <c r="AD183" s="255">
        <f>+Reactivos_[[#This Row],[Cantidad SPA]]*Reactivos_[[#This Row],[Valor de referencia]]</f>
        <v>0</v>
      </c>
      <c r="AE183" s="148" t="s">
        <v>76</v>
      </c>
      <c r="AF183" s="148" t="s">
        <v>77</v>
      </c>
    </row>
    <row r="184" spans="1:32" ht="38.25" x14ac:dyDescent="0.25">
      <c r="A184" s="294" t="str">
        <f>IF(B184=Reactivos_[[#This Row],[Cantidad LANIP]],"LANIP",IF(B184=Reactivos_[[#This Row],[Cantidad 
LDV]],"LDV",IF(B184=Reactivos_[[#This Row],[Cantidad LNDV]],"LNDV",IF(B184=Reactivos_[[#This Row],[GGCA]],"GGCA",IF(B184=Reactivos_[[#This Row],[Cantidad LDF]],"LDF",IF(Reactivos_[[#This Row],[Cantidad LDF&amp;MR]],"LDF&amp;MR",IF(B184=Reactivos_[[#This Row],[Cantidad RED LASE]],"LASE",IF(B184=Reactivos_[[#This Row],[Cantidad LANIA]],"LANIA",IF(B184=Reactivos_[[#This Row],[Cantidad SPA]],"SPA"," ")))))))))</f>
        <v>LANIA</v>
      </c>
      <c r="B18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84" s="325">
        <v>182</v>
      </c>
      <c r="D184" s="326">
        <v>238</v>
      </c>
      <c r="E184" s="345" t="s">
        <v>572</v>
      </c>
      <c r="F184" s="244"/>
      <c r="G184" s="327"/>
      <c r="H184" s="333" t="s">
        <v>573</v>
      </c>
      <c r="I184" s="352" t="s">
        <v>574</v>
      </c>
      <c r="J18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84" s="160">
        <v>6030705</v>
      </c>
      <c r="L184" s="160">
        <f>+Reactivos_[[#This Row],[Cantidad]]*Reactivos_[[#This Row],[Valor de referencia]]</f>
        <v>6030705</v>
      </c>
      <c r="M184" s="254">
        <v>0</v>
      </c>
      <c r="N184" s="255">
        <f>+Reactivos_[[#This Row],[Valor de referencia]]*Reactivos_[[#This Row],[Cantidad LANIP]]</f>
        <v>0</v>
      </c>
      <c r="O184" s="256"/>
      <c r="P184" s="255">
        <f>+Reactivos_[[#This Row],[Cantidad 
LDV]]*Reactivos_[[#This Row],[Valor de referencia]]</f>
        <v>0</v>
      </c>
      <c r="Q184" s="257"/>
      <c r="R184" s="255">
        <f>+Reactivos_[[#This Row],[Cantidad LNDV]]*Reactivos_[[#This Row],[Valor de referencia]]</f>
        <v>0</v>
      </c>
      <c r="S184" s="148"/>
      <c r="T184" s="255">
        <f>+Reactivos_[[#This Row],[GGCA]]*Reactivos_[[#This Row],[Valor de referencia]]</f>
        <v>0</v>
      </c>
      <c r="U184" s="254"/>
      <c r="V184" s="255">
        <f>+Reactivos_[[#This Row],[Cantidad LDF]]*Reactivos_[[#This Row],[Valor de referencia]]</f>
        <v>0</v>
      </c>
      <c r="W184" s="254"/>
      <c r="X184" s="255">
        <f>+Reactivos_[[#This Row],[Cantidad LDF&amp;MR]]*Reactivos_[[#This Row],[Valor de referencia]]</f>
        <v>0</v>
      </c>
      <c r="Y184" s="254"/>
      <c r="Z184" s="255">
        <f>+Reactivos_[[#This Row],[Cantidad RED LASE]]*Reactivos_[[#This Row],[Valor de referencia]]</f>
        <v>0</v>
      </c>
      <c r="AA184" s="254">
        <v>1</v>
      </c>
      <c r="AB184" s="255">
        <f>+Reactivos_[[#This Row],[Cantidad LANIA]]*Reactivos_[[#This Row],[Valor de referencia]]</f>
        <v>6030705</v>
      </c>
      <c r="AC184" s="254"/>
      <c r="AD184" s="255">
        <f>+Reactivos_[[#This Row],[Cantidad SPA]]*Reactivos_[[#This Row],[Valor de referencia]]</f>
        <v>0</v>
      </c>
      <c r="AE184" s="148" t="s">
        <v>76</v>
      </c>
      <c r="AF184" s="148" t="s">
        <v>77</v>
      </c>
    </row>
    <row r="185" spans="1:32" ht="33.75" customHeight="1" x14ac:dyDescent="0.25">
      <c r="A185" s="294" t="str">
        <f>IF(B185=Reactivos_[[#This Row],[Cantidad LANIP]],"LANIP",IF(B185=Reactivos_[[#This Row],[Cantidad 
LDV]],"LDV",IF(B185=Reactivos_[[#This Row],[Cantidad LNDV]],"LNDV",IF(B185=Reactivos_[[#This Row],[GGCA]],"GGCA",IF(B185=Reactivos_[[#This Row],[Cantidad LDF]],"LDF",IF(Reactivos_[[#This Row],[Cantidad LDF&amp;MR]],"LDF&amp;MR",IF(B185=Reactivos_[[#This Row],[Cantidad RED LASE]],"LASE",IF(B185=Reactivos_[[#This Row],[Cantidad LANIA]],"LANIA",IF(B185=Reactivos_[[#This Row],[Cantidad SPA]],"SPA"," ")))))))))</f>
        <v>LNDV</v>
      </c>
      <c r="B18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85" s="325">
        <v>183</v>
      </c>
      <c r="D185" s="326">
        <v>239</v>
      </c>
      <c r="E185" s="245" t="s">
        <v>575</v>
      </c>
      <c r="F185" s="244"/>
      <c r="G185" s="245"/>
      <c r="H185" s="349" t="s">
        <v>576</v>
      </c>
      <c r="I185" s="353" t="s">
        <v>571</v>
      </c>
      <c r="J18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85" s="160">
        <v>773500</v>
      </c>
      <c r="L185" s="160">
        <f>+Reactivos_[[#This Row],[Cantidad]]*Reactivos_[[#This Row],[Valor de referencia]]</f>
        <v>773500</v>
      </c>
      <c r="M185" s="254">
        <v>0</v>
      </c>
      <c r="N185" s="255">
        <f>+Reactivos_[[#This Row],[Valor de referencia]]*Reactivos_[[#This Row],[Cantidad LANIP]]</f>
        <v>0</v>
      </c>
      <c r="O185" s="256"/>
      <c r="P185" s="255">
        <f>+Reactivos_[[#This Row],[Cantidad 
LDV]]*Reactivos_[[#This Row],[Valor de referencia]]</f>
        <v>0</v>
      </c>
      <c r="Q185" s="257">
        <v>1</v>
      </c>
      <c r="R185" s="255">
        <f>+Reactivos_[[#This Row],[Cantidad LNDV]]*Reactivos_[[#This Row],[Valor de referencia]]</f>
        <v>773500</v>
      </c>
      <c r="S185" s="148"/>
      <c r="T185" s="255">
        <f>+Reactivos_[[#This Row],[GGCA]]*Reactivos_[[#This Row],[Valor de referencia]]</f>
        <v>0</v>
      </c>
      <c r="U185" s="254"/>
      <c r="V185" s="255">
        <f>+Reactivos_[[#This Row],[Cantidad LDF]]*Reactivos_[[#This Row],[Valor de referencia]]</f>
        <v>0</v>
      </c>
      <c r="W185" s="254"/>
      <c r="X185" s="255">
        <f>+Reactivos_[[#This Row],[Cantidad LDF&amp;MR]]*Reactivos_[[#This Row],[Valor de referencia]]</f>
        <v>0</v>
      </c>
      <c r="Y185" s="254"/>
      <c r="Z185" s="255">
        <f>+Reactivos_[[#This Row],[Cantidad RED LASE]]*Reactivos_[[#This Row],[Valor de referencia]]</f>
        <v>0</v>
      </c>
      <c r="AA185" s="254"/>
      <c r="AB185" s="255">
        <f>+Reactivos_[[#This Row],[Cantidad LANIA]]*Reactivos_[[#This Row],[Valor de referencia]]</f>
        <v>0</v>
      </c>
      <c r="AC185" s="254"/>
      <c r="AD185" s="255">
        <f>+Reactivos_[[#This Row],[Cantidad SPA]]*Reactivos_[[#This Row],[Valor de referencia]]</f>
        <v>0</v>
      </c>
      <c r="AE185" s="148" t="s">
        <v>76</v>
      </c>
      <c r="AF185" s="148" t="s">
        <v>77</v>
      </c>
    </row>
    <row r="186" spans="1:32" ht="38.25" x14ac:dyDescent="0.25">
      <c r="A186" s="294" t="str">
        <f>IF(B186=Reactivos_[[#This Row],[Cantidad LANIP]],"LANIP",IF(B186=Reactivos_[[#This Row],[Cantidad 
LDV]],"LDV",IF(B186=Reactivos_[[#This Row],[Cantidad LNDV]],"LNDV",IF(B186=Reactivos_[[#This Row],[GGCA]],"GGCA",IF(B186=Reactivos_[[#This Row],[Cantidad LDF]],"LDF",IF(Reactivos_[[#This Row],[Cantidad LDF&amp;MR]],"LDF&amp;MR",IF(B186=Reactivos_[[#This Row],[Cantidad RED LASE]],"LASE",IF(B186=Reactivos_[[#This Row],[Cantidad LANIA]],"LANIA",IF(B186=Reactivos_[[#This Row],[Cantidad SPA]],"SPA"," ")))))))))</f>
        <v>LANIA</v>
      </c>
      <c r="B18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86" s="325">
        <v>184</v>
      </c>
      <c r="D186" s="326">
        <v>240</v>
      </c>
      <c r="E186" s="327" t="s">
        <v>577</v>
      </c>
      <c r="F186" s="338"/>
      <c r="G186" s="339"/>
      <c r="H186" s="333" t="s">
        <v>573</v>
      </c>
      <c r="I186" s="352" t="s">
        <v>574</v>
      </c>
      <c r="J18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86" s="160">
        <v>6027816</v>
      </c>
      <c r="L186" s="160">
        <f>+Reactivos_[[#This Row],[Cantidad]]*Reactivos_[[#This Row],[Valor de referencia]]</f>
        <v>6027816</v>
      </c>
      <c r="M186" s="254">
        <v>0</v>
      </c>
      <c r="N186" s="255">
        <f>+Reactivos_[[#This Row],[Valor de referencia]]*Reactivos_[[#This Row],[Cantidad LANIP]]</f>
        <v>0</v>
      </c>
      <c r="O186" s="256"/>
      <c r="P186" s="255">
        <f>+Reactivos_[[#This Row],[Cantidad 
LDV]]*Reactivos_[[#This Row],[Valor de referencia]]</f>
        <v>0</v>
      </c>
      <c r="Q186" s="257"/>
      <c r="R186" s="255">
        <f>+Reactivos_[[#This Row],[Cantidad LNDV]]*Reactivos_[[#This Row],[Valor de referencia]]</f>
        <v>0</v>
      </c>
      <c r="S186" s="148"/>
      <c r="T186" s="255">
        <f>+Reactivos_[[#This Row],[GGCA]]*Reactivos_[[#This Row],[Valor de referencia]]</f>
        <v>0</v>
      </c>
      <c r="U186" s="254"/>
      <c r="V186" s="255">
        <f>+Reactivos_[[#This Row],[Cantidad LDF]]*Reactivos_[[#This Row],[Valor de referencia]]</f>
        <v>0</v>
      </c>
      <c r="W186" s="254"/>
      <c r="X186" s="255">
        <f>+Reactivos_[[#This Row],[Cantidad LDF&amp;MR]]*Reactivos_[[#This Row],[Valor de referencia]]</f>
        <v>0</v>
      </c>
      <c r="Y186" s="254"/>
      <c r="Z186" s="255">
        <f>+Reactivos_[[#This Row],[Cantidad RED LASE]]*Reactivos_[[#This Row],[Valor de referencia]]</f>
        <v>0</v>
      </c>
      <c r="AA186" s="254">
        <v>1</v>
      </c>
      <c r="AB186" s="255">
        <f>+Reactivos_[[#This Row],[Cantidad LANIA]]*Reactivos_[[#This Row],[Valor de referencia]]</f>
        <v>6027816</v>
      </c>
      <c r="AC186" s="254"/>
      <c r="AD186" s="255">
        <f>+Reactivos_[[#This Row],[Cantidad SPA]]*Reactivos_[[#This Row],[Valor de referencia]]</f>
        <v>0</v>
      </c>
      <c r="AE186" s="148" t="s">
        <v>76</v>
      </c>
      <c r="AF186" s="148" t="s">
        <v>77</v>
      </c>
    </row>
    <row r="187" spans="1:32" ht="45" customHeight="1" x14ac:dyDescent="0.25">
      <c r="A187" s="294" t="str">
        <f>IF(B187=Reactivos_[[#This Row],[Cantidad LANIP]],"LANIP",IF(B187=Reactivos_[[#This Row],[Cantidad 
LDV]],"LDV",IF(B187=Reactivos_[[#This Row],[Cantidad LNDV]],"LNDV",IF(B187=Reactivos_[[#This Row],[GGCA]],"GGCA",IF(B187=Reactivos_[[#This Row],[Cantidad LDF]],"LDF",IF(Reactivos_[[#This Row],[Cantidad LDF&amp;MR]],"LDF&amp;MR",IF(B187=Reactivos_[[#This Row],[Cantidad RED LASE]],"LASE",IF(B187=Reactivos_[[#This Row],[Cantidad LANIA]],"LANIA",IF(B187=Reactivos_[[#This Row],[Cantidad SPA]],"SPA"," ")))))))))</f>
        <v>LANIA</v>
      </c>
      <c r="B18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87" s="325">
        <v>185</v>
      </c>
      <c r="D187" s="326">
        <v>241</v>
      </c>
      <c r="E187" s="345" t="s">
        <v>578</v>
      </c>
      <c r="F187" s="244"/>
      <c r="G187" s="327"/>
      <c r="H187" s="333" t="s">
        <v>573</v>
      </c>
      <c r="I187" s="352" t="s">
        <v>574</v>
      </c>
      <c r="J18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87" s="160">
        <v>7841605</v>
      </c>
      <c r="L187" s="160">
        <f>+Reactivos_[[#This Row],[Cantidad]]*Reactivos_[[#This Row],[Valor de referencia]]</f>
        <v>7841605</v>
      </c>
      <c r="M187" s="254">
        <v>0</v>
      </c>
      <c r="N187" s="255">
        <f>+Reactivos_[[#This Row],[Valor de referencia]]*Reactivos_[[#This Row],[Cantidad LANIP]]</f>
        <v>0</v>
      </c>
      <c r="O187" s="256"/>
      <c r="P187" s="255">
        <f>+Reactivos_[[#This Row],[Cantidad 
LDV]]*Reactivos_[[#This Row],[Valor de referencia]]</f>
        <v>0</v>
      </c>
      <c r="Q187" s="257"/>
      <c r="R187" s="255">
        <f>+Reactivos_[[#This Row],[Cantidad LNDV]]*Reactivos_[[#This Row],[Valor de referencia]]</f>
        <v>0</v>
      </c>
      <c r="S187" s="148"/>
      <c r="T187" s="255">
        <f>+Reactivos_[[#This Row],[GGCA]]*Reactivos_[[#This Row],[Valor de referencia]]</f>
        <v>0</v>
      </c>
      <c r="U187" s="254"/>
      <c r="V187" s="255">
        <f>+Reactivos_[[#This Row],[Cantidad LDF]]*Reactivos_[[#This Row],[Valor de referencia]]</f>
        <v>0</v>
      </c>
      <c r="W187" s="254"/>
      <c r="X187" s="255">
        <f>+Reactivos_[[#This Row],[Cantidad LDF&amp;MR]]*Reactivos_[[#This Row],[Valor de referencia]]</f>
        <v>0</v>
      </c>
      <c r="Y187" s="254"/>
      <c r="Z187" s="255">
        <f>+Reactivos_[[#This Row],[Cantidad RED LASE]]*Reactivos_[[#This Row],[Valor de referencia]]</f>
        <v>0</v>
      </c>
      <c r="AA187" s="254">
        <v>1</v>
      </c>
      <c r="AB187" s="255">
        <f>+Reactivos_[[#This Row],[Cantidad LANIA]]*Reactivos_[[#This Row],[Valor de referencia]]</f>
        <v>7841605</v>
      </c>
      <c r="AC187" s="254"/>
      <c r="AD187" s="255">
        <f>+Reactivos_[[#This Row],[Cantidad SPA]]*Reactivos_[[#This Row],[Valor de referencia]]</f>
        <v>0</v>
      </c>
      <c r="AE187" s="148" t="s">
        <v>76</v>
      </c>
      <c r="AF187" s="148" t="s">
        <v>77</v>
      </c>
    </row>
    <row r="188" spans="1:32" ht="25.5" x14ac:dyDescent="0.25">
      <c r="A188" s="294" t="str">
        <f>IF(B188=Reactivos_[[#This Row],[Cantidad LANIP]],"LANIP",IF(B188=Reactivos_[[#This Row],[Cantidad 
LDV]],"LDV",IF(B188=Reactivos_[[#This Row],[Cantidad LNDV]],"LNDV",IF(B188=Reactivos_[[#This Row],[GGCA]],"GGCA",IF(B188=Reactivos_[[#This Row],[Cantidad LDF]],"LDF",IF(Reactivos_[[#This Row],[Cantidad LDF&amp;MR]],"LDF&amp;MR",IF(B188=Reactivos_[[#This Row],[Cantidad RED LASE]],"LASE",IF(B188=Reactivos_[[#This Row],[Cantidad LANIA]],"LANIA",IF(B188=Reactivos_[[#This Row],[Cantidad SPA]],"SPA"," ")))))))))</f>
        <v>LNDV</v>
      </c>
      <c r="B18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88" s="325">
        <v>186</v>
      </c>
      <c r="D188" s="326">
        <v>242</v>
      </c>
      <c r="E188" s="245" t="s">
        <v>579</v>
      </c>
      <c r="F188" s="244"/>
      <c r="G188" s="245"/>
      <c r="H188" s="349" t="s">
        <v>580</v>
      </c>
      <c r="I188" s="353" t="s">
        <v>571</v>
      </c>
      <c r="J18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88" s="160">
        <v>7140000</v>
      </c>
      <c r="L188" s="160">
        <f>+Reactivos_[[#This Row],[Cantidad]]*Reactivos_[[#This Row],[Valor de referencia]]</f>
        <v>7140000</v>
      </c>
      <c r="M188" s="254">
        <v>0</v>
      </c>
      <c r="N188" s="255">
        <f>+Reactivos_[[#This Row],[Valor de referencia]]*Reactivos_[[#This Row],[Cantidad LANIP]]</f>
        <v>0</v>
      </c>
      <c r="O188" s="256"/>
      <c r="P188" s="255">
        <f>+Reactivos_[[#This Row],[Cantidad 
LDV]]*Reactivos_[[#This Row],[Valor de referencia]]</f>
        <v>0</v>
      </c>
      <c r="Q188" s="257">
        <v>1</v>
      </c>
      <c r="R188" s="255">
        <f>+Reactivos_[[#This Row],[Cantidad LNDV]]*Reactivos_[[#This Row],[Valor de referencia]]</f>
        <v>7140000</v>
      </c>
      <c r="S188" s="148"/>
      <c r="T188" s="255">
        <f>+Reactivos_[[#This Row],[GGCA]]*Reactivos_[[#This Row],[Valor de referencia]]</f>
        <v>0</v>
      </c>
      <c r="U188" s="254"/>
      <c r="V188" s="255">
        <f>+Reactivos_[[#This Row],[Cantidad LDF]]*Reactivos_[[#This Row],[Valor de referencia]]</f>
        <v>0</v>
      </c>
      <c r="W188" s="254"/>
      <c r="X188" s="255">
        <f>+Reactivos_[[#This Row],[Cantidad LDF&amp;MR]]*Reactivos_[[#This Row],[Valor de referencia]]</f>
        <v>0</v>
      </c>
      <c r="Y188" s="254"/>
      <c r="Z188" s="255">
        <f>+Reactivos_[[#This Row],[Cantidad RED LASE]]*Reactivos_[[#This Row],[Valor de referencia]]</f>
        <v>0</v>
      </c>
      <c r="AA188" s="254"/>
      <c r="AB188" s="255">
        <f>+Reactivos_[[#This Row],[Cantidad LANIA]]*Reactivos_[[#This Row],[Valor de referencia]]</f>
        <v>0</v>
      </c>
      <c r="AC188" s="254"/>
      <c r="AD188" s="255">
        <f>+Reactivos_[[#This Row],[Cantidad SPA]]*Reactivos_[[#This Row],[Valor de referencia]]</f>
        <v>0</v>
      </c>
      <c r="AE188" s="148" t="s">
        <v>76</v>
      </c>
      <c r="AF188" s="148" t="s">
        <v>77</v>
      </c>
    </row>
    <row r="189" spans="1:32" ht="25.5" x14ac:dyDescent="0.25">
      <c r="A189" s="294" t="str">
        <f>IF(B189=Reactivos_[[#This Row],[Cantidad LANIP]],"LANIP",IF(B189=Reactivos_[[#This Row],[Cantidad 
LDV]],"LDV",IF(B189=Reactivos_[[#This Row],[Cantidad LNDV]],"LNDV",IF(B189=Reactivos_[[#This Row],[GGCA]],"GGCA",IF(B189=Reactivos_[[#This Row],[Cantidad LDF]],"LDF",IF(Reactivos_[[#This Row],[Cantidad LDF&amp;MR]],"LDF&amp;MR",IF(B189=Reactivos_[[#This Row],[Cantidad RED LASE]],"LASE",IF(B189=Reactivos_[[#This Row],[Cantidad LANIA]],"LANIA",IF(B189=Reactivos_[[#This Row],[Cantidad SPA]],"SPA"," ")))))))))</f>
        <v>LANIA</v>
      </c>
      <c r="B18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89" s="325">
        <v>187</v>
      </c>
      <c r="D189" s="326">
        <v>244</v>
      </c>
      <c r="E189" s="345" t="s">
        <v>581</v>
      </c>
      <c r="F189" s="338"/>
      <c r="G189" s="339"/>
      <c r="H189" s="328" t="s">
        <v>582</v>
      </c>
      <c r="I189" s="362" t="s">
        <v>583</v>
      </c>
      <c r="J18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89" s="160">
        <v>705848</v>
      </c>
      <c r="L189" s="160">
        <f>+Reactivos_[[#This Row],[Cantidad]]*Reactivos_[[#This Row],[Valor de referencia]]</f>
        <v>705848</v>
      </c>
      <c r="M189" s="254">
        <v>0</v>
      </c>
      <c r="N189" s="255">
        <f>+Reactivos_[[#This Row],[Valor de referencia]]*Reactivos_[[#This Row],[Cantidad LANIP]]</f>
        <v>0</v>
      </c>
      <c r="O189" s="256"/>
      <c r="P189" s="255">
        <f>+Reactivos_[[#This Row],[Cantidad 
LDV]]*Reactivos_[[#This Row],[Valor de referencia]]</f>
        <v>0</v>
      </c>
      <c r="Q189" s="257"/>
      <c r="R189" s="255">
        <f>+Reactivos_[[#This Row],[Cantidad LNDV]]*Reactivos_[[#This Row],[Valor de referencia]]</f>
        <v>0</v>
      </c>
      <c r="S189" s="148"/>
      <c r="T189" s="255">
        <f>+Reactivos_[[#This Row],[GGCA]]*Reactivos_[[#This Row],[Valor de referencia]]</f>
        <v>0</v>
      </c>
      <c r="U189" s="254"/>
      <c r="V189" s="255">
        <f>+Reactivos_[[#This Row],[Cantidad LDF]]*Reactivos_[[#This Row],[Valor de referencia]]</f>
        <v>0</v>
      </c>
      <c r="W189" s="254"/>
      <c r="X189" s="255">
        <f>+Reactivos_[[#This Row],[Cantidad LDF&amp;MR]]*Reactivos_[[#This Row],[Valor de referencia]]</f>
        <v>0</v>
      </c>
      <c r="Y189" s="254"/>
      <c r="Z189" s="255">
        <f>+Reactivos_[[#This Row],[Cantidad RED LASE]]*Reactivos_[[#This Row],[Valor de referencia]]</f>
        <v>0</v>
      </c>
      <c r="AA189" s="254">
        <v>1</v>
      </c>
      <c r="AB189" s="255">
        <f>+Reactivos_[[#This Row],[Cantidad LANIA]]*Reactivos_[[#This Row],[Valor de referencia]]</f>
        <v>705848</v>
      </c>
      <c r="AC189" s="254"/>
      <c r="AD189" s="255">
        <f>+Reactivos_[[#This Row],[Cantidad SPA]]*Reactivos_[[#This Row],[Valor de referencia]]</f>
        <v>0</v>
      </c>
      <c r="AE189" s="148" t="s">
        <v>76</v>
      </c>
      <c r="AF189" s="148" t="s">
        <v>77</v>
      </c>
    </row>
    <row r="190" spans="1:32" ht="25.5" x14ac:dyDescent="0.25">
      <c r="A190" s="294" t="str">
        <f>IF(B190=Reactivos_[[#This Row],[Cantidad LANIP]],"LANIP",IF(B190=Reactivos_[[#This Row],[Cantidad 
LDV]],"LDV",IF(B190=Reactivos_[[#This Row],[Cantidad LNDV]],"LNDV",IF(B190=Reactivos_[[#This Row],[GGCA]],"GGCA",IF(B190=Reactivos_[[#This Row],[Cantidad LDF]],"LDF",IF(Reactivos_[[#This Row],[Cantidad LDF&amp;MR]],"LDF&amp;MR",IF(B190=Reactivos_[[#This Row],[Cantidad RED LASE]],"LASE",IF(B190=Reactivos_[[#This Row],[Cantidad LANIA]],"LANIA",IF(B190=Reactivos_[[#This Row],[Cantidad SPA]],"SPA"," ")))))))))</f>
        <v>LANIP</v>
      </c>
      <c r="B19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0" s="325">
        <v>188</v>
      </c>
      <c r="D190" s="326">
        <v>246</v>
      </c>
      <c r="E190" s="327" t="s">
        <v>584</v>
      </c>
      <c r="F190" s="338"/>
      <c r="G190" s="339"/>
      <c r="H190" s="328" t="s">
        <v>585</v>
      </c>
      <c r="I190" s="418" t="s">
        <v>583</v>
      </c>
      <c r="J19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0" s="160">
        <v>795901</v>
      </c>
      <c r="L190" s="160">
        <f>+Reactivos_[[#This Row],[Cantidad]]*Reactivos_[[#This Row],[Valor de referencia]]</f>
        <v>795901</v>
      </c>
      <c r="M190" s="254">
        <v>1</v>
      </c>
      <c r="N190" s="255">
        <f>+Reactivos_[[#This Row],[Valor de referencia]]*Reactivos_[[#This Row],[Cantidad LANIP]]</f>
        <v>795901</v>
      </c>
      <c r="O190" s="256"/>
      <c r="P190" s="255">
        <f>+Reactivos_[[#This Row],[Cantidad 
LDV]]*Reactivos_[[#This Row],[Valor de referencia]]</f>
        <v>0</v>
      </c>
      <c r="Q190" s="257"/>
      <c r="R190" s="255">
        <f>+Reactivos_[[#This Row],[Cantidad LNDV]]*Reactivos_[[#This Row],[Valor de referencia]]</f>
        <v>0</v>
      </c>
      <c r="S190" s="148"/>
      <c r="T190" s="255">
        <f>+Reactivos_[[#This Row],[GGCA]]*Reactivos_[[#This Row],[Valor de referencia]]</f>
        <v>0</v>
      </c>
      <c r="U190" s="254"/>
      <c r="V190" s="255">
        <f>+Reactivos_[[#This Row],[Cantidad LDF]]*Reactivos_[[#This Row],[Valor de referencia]]</f>
        <v>0</v>
      </c>
      <c r="W190" s="254"/>
      <c r="X190" s="255">
        <f>+Reactivos_[[#This Row],[Cantidad LDF&amp;MR]]*Reactivos_[[#This Row],[Valor de referencia]]</f>
        <v>0</v>
      </c>
      <c r="Y190" s="254"/>
      <c r="Z190" s="255">
        <f>+Reactivos_[[#This Row],[Cantidad RED LASE]]*Reactivos_[[#This Row],[Valor de referencia]]</f>
        <v>0</v>
      </c>
      <c r="AA190" s="254"/>
      <c r="AB190" s="255">
        <f>+Reactivos_[[#This Row],[Cantidad LANIA]]*Reactivos_[[#This Row],[Valor de referencia]]</f>
        <v>0</v>
      </c>
      <c r="AC190" s="254"/>
      <c r="AD190" s="255">
        <f>+Reactivos_[[#This Row],[Cantidad SPA]]*Reactivos_[[#This Row],[Valor de referencia]]</f>
        <v>0</v>
      </c>
      <c r="AE190" s="148" t="s">
        <v>76</v>
      </c>
      <c r="AF190" s="148" t="s">
        <v>77</v>
      </c>
    </row>
    <row r="191" spans="1:32" ht="25.5" x14ac:dyDescent="0.25">
      <c r="A191" s="294" t="str">
        <f>IF(B191=Reactivos_[[#This Row],[Cantidad LANIP]],"LANIP",IF(B191=Reactivos_[[#This Row],[Cantidad 
LDV]],"LDV",IF(B191=Reactivos_[[#This Row],[Cantidad LNDV]],"LNDV",IF(B191=Reactivos_[[#This Row],[GGCA]],"GGCA",IF(B191=Reactivos_[[#This Row],[Cantidad LDF]],"LDF",IF(Reactivos_[[#This Row],[Cantidad LDF&amp;MR]],"LDF&amp;MR",IF(B191=Reactivos_[[#This Row],[Cantidad RED LASE]],"LASE",IF(B191=Reactivos_[[#This Row],[Cantidad LANIA]],"LANIA",IF(B191=Reactivos_[[#This Row],[Cantidad SPA]],"SPA"," ")))))))))</f>
        <v>LANIA</v>
      </c>
      <c r="B19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1" s="325">
        <v>189</v>
      </c>
      <c r="D191" s="326">
        <v>250</v>
      </c>
      <c r="E191" s="359" t="s">
        <v>586</v>
      </c>
      <c r="F191" s="244"/>
      <c r="G191" s="245"/>
      <c r="H191" s="346" t="s">
        <v>587</v>
      </c>
      <c r="I191" s="362" t="s">
        <v>583</v>
      </c>
      <c r="J19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1" s="160">
        <v>2380000</v>
      </c>
      <c r="L191" s="160">
        <f>+Reactivos_[[#This Row],[Cantidad]]*Reactivos_[[#This Row],[Valor de referencia]]</f>
        <v>2380000</v>
      </c>
      <c r="M191" s="254">
        <v>0</v>
      </c>
      <c r="N191" s="255">
        <f>+Reactivos_[[#This Row],[Valor de referencia]]*Reactivos_[[#This Row],[Cantidad LANIP]]</f>
        <v>0</v>
      </c>
      <c r="O191" s="256"/>
      <c r="P191" s="255">
        <f>+Reactivos_[[#This Row],[Cantidad 
LDV]]*Reactivos_[[#This Row],[Valor de referencia]]</f>
        <v>0</v>
      </c>
      <c r="Q191" s="257"/>
      <c r="R191" s="255">
        <f>+Reactivos_[[#This Row],[Cantidad LNDV]]*Reactivos_[[#This Row],[Valor de referencia]]</f>
        <v>0</v>
      </c>
      <c r="S191" s="148"/>
      <c r="T191" s="255">
        <f>+Reactivos_[[#This Row],[GGCA]]*Reactivos_[[#This Row],[Valor de referencia]]</f>
        <v>0</v>
      </c>
      <c r="U191" s="254"/>
      <c r="V191" s="255">
        <f>+Reactivos_[[#This Row],[Cantidad LDF]]*Reactivos_[[#This Row],[Valor de referencia]]</f>
        <v>0</v>
      </c>
      <c r="W191" s="254"/>
      <c r="X191" s="255">
        <f>+Reactivos_[[#This Row],[Cantidad LDF&amp;MR]]*Reactivos_[[#This Row],[Valor de referencia]]</f>
        <v>0</v>
      </c>
      <c r="Y191" s="254"/>
      <c r="Z191" s="255">
        <f>+Reactivos_[[#This Row],[Cantidad RED LASE]]*Reactivos_[[#This Row],[Valor de referencia]]</f>
        <v>0</v>
      </c>
      <c r="AA191" s="254">
        <v>1</v>
      </c>
      <c r="AB191" s="255">
        <f>+Reactivos_[[#This Row],[Cantidad LANIA]]*Reactivos_[[#This Row],[Valor de referencia]]</f>
        <v>2380000</v>
      </c>
      <c r="AC191" s="254"/>
      <c r="AD191" s="255">
        <f>+Reactivos_[[#This Row],[Cantidad SPA]]*Reactivos_[[#This Row],[Valor de referencia]]</f>
        <v>0</v>
      </c>
      <c r="AE191" s="148" t="s">
        <v>76</v>
      </c>
      <c r="AF191" s="148" t="s">
        <v>77</v>
      </c>
    </row>
    <row r="192" spans="1:32" ht="33.75" customHeight="1" x14ac:dyDescent="0.25">
      <c r="A192" s="294" t="str">
        <f>IF(B192=Reactivos_[[#This Row],[Cantidad LANIP]],"LANIP",IF(B192=Reactivos_[[#This Row],[Cantidad 
LDV]],"LDV",IF(B192=Reactivos_[[#This Row],[Cantidad LNDV]],"LNDV",IF(B192=Reactivos_[[#This Row],[GGCA]],"GGCA",IF(B192=Reactivos_[[#This Row],[Cantidad LDF]],"LDF",IF(Reactivos_[[#This Row],[Cantidad LDF&amp;MR]],"LDF&amp;MR",IF(B192=Reactivos_[[#This Row],[Cantidad RED LASE]],"LASE",IF(B192=Reactivos_[[#This Row],[Cantidad LANIA]],"LANIA",IF(B192=Reactivos_[[#This Row],[Cantidad SPA]],"SPA"," ")))))))))</f>
        <v>LANIA</v>
      </c>
      <c r="B19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2" s="325">
        <v>190</v>
      </c>
      <c r="D192" s="326">
        <v>251</v>
      </c>
      <c r="E192" s="359" t="s">
        <v>588</v>
      </c>
      <c r="F192" s="244"/>
      <c r="G192" s="245"/>
      <c r="H192" s="346" t="s">
        <v>587</v>
      </c>
      <c r="I192" s="362" t="s">
        <v>583</v>
      </c>
      <c r="J19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2" s="160">
        <v>2380000</v>
      </c>
      <c r="L192" s="160">
        <f>+Reactivos_[[#This Row],[Cantidad]]*Reactivos_[[#This Row],[Valor de referencia]]</f>
        <v>2380000</v>
      </c>
      <c r="M192" s="254">
        <v>0</v>
      </c>
      <c r="N192" s="255">
        <f>+Reactivos_[[#This Row],[Valor de referencia]]*Reactivos_[[#This Row],[Cantidad LANIP]]</f>
        <v>0</v>
      </c>
      <c r="O192" s="256"/>
      <c r="P192" s="255">
        <f>+Reactivos_[[#This Row],[Cantidad 
LDV]]*Reactivos_[[#This Row],[Valor de referencia]]</f>
        <v>0</v>
      </c>
      <c r="Q192" s="257"/>
      <c r="R192" s="255">
        <f>+Reactivos_[[#This Row],[Cantidad LNDV]]*Reactivos_[[#This Row],[Valor de referencia]]</f>
        <v>0</v>
      </c>
      <c r="S192" s="148"/>
      <c r="T192" s="255">
        <f>+Reactivos_[[#This Row],[GGCA]]*Reactivos_[[#This Row],[Valor de referencia]]</f>
        <v>0</v>
      </c>
      <c r="U192" s="254"/>
      <c r="V192" s="255">
        <f>+Reactivos_[[#This Row],[Cantidad LDF]]*Reactivos_[[#This Row],[Valor de referencia]]</f>
        <v>0</v>
      </c>
      <c r="W192" s="254"/>
      <c r="X192" s="255">
        <f>+Reactivos_[[#This Row],[Cantidad LDF&amp;MR]]*Reactivos_[[#This Row],[Valor de referencia]]</f>
        <v>0</v>
      </c>
      <c r="Y192" s="254"/>
      <c r="Z192" s="255">
        <f>+Reactivos_[[#This Row],[Cantidad RED LASE]]*Reactivos_[[#This Row],[Valor de referencia]]</f>
        <v>0</v>
      </c>
      <c r="AA192" s="254">
        <v>1</v>
      </c>
      <c r="AB192" s="255">
        <f>+Reactivos_[[#This Row],[Cantidad LANIA]]*Reactivos_[[#This Row],[Valor de referencia]]</f>
        <v>2380000</v>
      </c>
      <c r="AC192" s="254"/>
      <c r="AD192" s="255">
        <f>+Reactivos_[[#This Row],[Cantidad SPA]]*Reactivos_[[#This Row],[Valor de referencia]]</f>
        <v>0</v>
      </c>
      <c r="AE192" s="148" t="s">
        <v>76</v>
      </c>
      <c r="AF192" s="148" t="s">
        <v>77</v>
      </c>
    </row>
    <row r="193" spans="1:32" ht="25.5" x14ac:dyDescent="0.25">
      <c r="A193" s="294" t="str">
        <f>IF(B193=Reactivos_[[#This Row],[Cantidad LANIP]],"LANIP",IF(B193=Reactivos_[[#This Row],[Cantidad 
LDV]],"LDV",IF(B193=Reactivos_[[#This Row],[Cantidad LNDV]],"LNDV",IF(B193=Reactivos_[[#This Row],[GGCA]],"GGCA",IF(B193=Reactivos_[[#This Row],[Cantidad LDF]],"LDF",IF(Reactivos_[[#This Row],[Cantidad LDF&amp;MR]],"LDF&amp;MR",IF(B193=Reactivos_[[#This Row],[Cantidad RED LASE]],"LASE",IF(B193=Reactivos_[[#This Row],[Cantidad LANIA]],"LANIA",IF(B193=Reactivos_[[#This Row],[Cantidad SPA]],"SPA"," ")))))))))</f>
        <v>LANIA</v>
      </c>
      <c r="B19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3" s="325">
        <v>191</v>
      </c>
      <c r="D193" s="326">
        <v>252</v>
      </c>
      <c r="E193" s="359" t="s">
        <v>589</v>
      </c>
      <c r="F193" s="244"/>
      <c r="G193" s="245"/>
      <c r="H193" s="346" t="s">
        <v>587</v>
      </c>
      <c r="I193" s="362" t="s">
        <v>583</v>
      </c>
      <c r="J19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3" s="160">
        <v>2380000</v>
      </c>
      <c r="L193" s="160">
        <f>+Reactivos_[[#This Row],[Cantidad]]*Reactivos_[[#This Row],[Valor de referencia]]</f>
        <v>2380000</v>
      </c>
      <c r="M193" s="254">
        <v>0</v>
      </c>
      <c r="N193" s="255">
        <f>+Reactivos_[[#This Row],[Valor de referencia]]*Reactivos_[[#This Row],[Cantidad LANIP]]</f>
        <v>0</v>
      </c>
      <c r="O193" s="256"/>
      <c r="P193" s="255">
        <f>+Reactivos_[[#This Row],[Cantidad 
LDV]]*Reactivos_[[#This Row],[Valor de referencia]]</f>
        <v>0</v>
      </c>
      <c r="Q193" s="257"/>
      <c r="R193" s="255">
        <f>+Reactivos_[[#This Row],[Cantidad LNDV]]*Reactivos_[[#This Row],[Valor de referencia]]</f>
        <v>0</v>
      </c>
      <c r="S193" s="148"/>
      <c r="T193" s="255">
        <f>+Reactivos_[[#This Row],[GGCA]]*Reactivos_[[#This Row],[Valor de referencia]]</f>
        <v>0</v>
      </c>
      <c r="U193" s="254"/>
      <c r="V193" s="255">
        <f>+Reactivos_[[#This Row],[Cantidad LDF]]*Reactivos_[[#This Row],[Valor de referencia]]</f>
        <v>0</v>
      </c>
      <c r="W193" s="254"/>
      <c r="X193" s="255">
        <f>+Reactivos_[[#This Row],[Cantidad LDF&amp;MR]]*Reactivos_[[#This Row],[Valor de referencia]]</f>
        <v>0</v>
      </c>
      <c r="Y193" s="254"/>
      <c r="Z193" s="255">
        <f>+Reactivos_[[#This Row],[Cantidad RED LASE]]*Reactivos_[[#This Row],[Valor de referencia]]</f>
        <v>0</v>
      </c>
      <c r="AA193" s="254">
        <v>1</v>
      </c>
      <c r="AB193" s="255">
        <f>+Reactivos_[[#This Row],[Cantidad LANIA]]*Reactivos_[[#This Row],[Valor de referencia]]</f>
        <v>2380000</v>
      </c>
      <c r="AC193" s="254"/>
      <c r="AD193" s="255">
        <f>+Reactivos_[[#This Row],[Cantidad SPA]]*Reactivos_[[#This Row],[Valor de referencia]]</f>
        <v>0</v>
      </c>
      <c r="AE193" s="148" t="s">
        <v>76</v>
      </c>
      <c r="AF193" s="148" t="s">
        <v>77</v>
      </c>
    </row>
    <row r="194" spans="1:32" ht="33.75" customHeight="1" x14ac:dyDescent="0.25">
      <c r="A194" s="294" t="str">
        <f>IF(B194=Reactivos_[[#This Row],[Cantidad LANIP]],"LANIP",IF(B194=Reactivos_[[#This Row],[Cantidad 
LDV]],"LDV",IF(B194=Reactivos_[[#This Row],[Cantidad LNDV]],"LNDV",IF(B194=Reactivos_[[#This Row],[GGCA]],"GGCA",IF(B194=Reactivos_[[#This Row],[Cantidad LDF]],"LDF",IF(Reactivos_[[#This Row],[Cantidad LDF&amp;MR]],"LDF&amp;MR",IF(B194=Reactivos_[[#This Row],[Cantidad RED LASE]],"LASE",IF(B194=Reactivos_[[#This Row],[Cantidad LANIA]],"LANIA",IF(B194=Reactivos_[[#This Row],[Cantidad SPA]],"SPA"," ")))))))))</f>
        <v>LANIA</v>
      </c>
      <c r="B19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4" s="325">
        <v>192</v>
      </c>
      <c r="D194" s="326">
        <v>253</v>
      </c>
      <c r="E194" s="359" t="s">
        <v>590</v>
      </c>
      <c r="F194" s="244"/>
      <c r="G194" s="245"/>
      <c r="H194" s="346" t="s">
        <v>587</v>
      </c>
      <c r="I194" s="362" t="s">
        <v>583</v>
      </c>
      <c r="J19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4" s="160">
        <v>2380000</v>
      </c>
      <c r="L194" s="160">
        <f>+Reactivos_[[#This Row],[Cantidad]]*Reactivos_[[#This Row],[Valor de referencia]]</f>
        <v>2380000</v>
      </c>
      <c r="M194" s="254">
        <v>0</v>
      </c>
      <c r="N194" s="255">
        <f>+Reactivos_[[#This Row],[Valor de referencia]]*Reactivos_[[#This Row],[Cantidad LANIP]]</f>
        <v>0</v>
      </c>
      <c r="O194" s="256"/>
      <c r="P194" s="255">
        <f>+Reactivos_[[#This Row],[Cantidad 
LDV]]*Reactivos_[[#This Row],[Valor de referencia]]</f>
        <v>0</v>
      </c>
      <c r="Q194" s="257"/>
      <c r="R194" s="255">
        <f>+Reactivos_[[#This Row],[Cantidad LNDV]]*Reactivos_[[#This Row],[Valor de referencia]]</f>
        <v>0</v>
      </c>
      <c r="S194" s="148"/>
      <c r="T194" s="255">
        <f>+Reactivos_[[#This Row],[GGCA]]*Reactivos_[[#This Row],[Valor de referencia]]</f>
        <v>0</v>
      </c>
      <c r="U194" s="254"/>
      <c r="V194" s="255">
        <f>+Reactivos_[[#This Row],[Cantidad LDF]]*Reactivos_[[#This Row],[Valor de referencia]]</f>
        <v>0</v>
      </c>
      <c r="W194" s="254"/>
      <c r="X194" s="255">
        <f>+Reactivos_[[#This Row],[Cantidad LDF&amp;MR]]*Reactivos_[[#This Row],[Valor de referencia]]</f>
        <v>0</v>
      </c>
      <c r="Y194" s="254"/>
      <c r="Z194" s="255">
        <f>+Reactivos_[[#This Row],[Cantidad RED LASE]]*Reactivos_[[#This Row],[Valor de referencia]]</f>
        <v>0</v>
      </c>
      <c r="AA194" s="254">
        <v>1</v>
      </c>
      <c r="AB194" s="255">
        <f>+Reactivos_[[#This Row],[Cantidad LANIA]]*Reactivos_[[#This Row],[Valor de referencia]]</f>
        <v>2380000</v>
      </c>
      <c r="AC194" s="254"/>
      <c r="AD194" s="255">
        <f>+Reactivos_[[#This Row],[Cantidad SPA]]*Reactivos_[[#This Row],[Valor de referencia]]</f>
        <v>0</v>
      </c>
      <c r="AE194" s="148" t="s">
        <v>76</v>
      </c>
      <c r="AF194" s="148" t="s">
        <v>77</v>
      </c>
    </row>
    <row r="195" spans="1:32" ht="25.5" x14ac:dyDescent="0.25">
      <c r="A195" s="294" t="str">
        <f>IF(B195=Reactivos_[[#This Row],[Cantidad LANIP]],"LANIP",IF(B195=Reactivos_[[#This Row],[Cantidad 
LDV]],"LDV",IF(B195=Reactivos_[[#This Row],[Cantidad LNDV]],"LNDV",IF(B195=Reactivos_[[#This Row],[GGCA]],"GGCA",IF(B195=Reactivos_[[#This Row],[Cantidad LDF]],"LDF",IF(Reactivos_[[#This Row],[Cantidad LDF&amp;MR]],"LDF&amp;MR",IF(B195=Reactivos_[[#This Row],[Cantidad RED LASE]],"LASE",IF(B195=Reactivos_[[#This Row],[Cantidad LANIA]],"LANIA",IF(B195=Reactivos_[[#This Row],[Cantidad SPA]],"SPA"," ")))))))))</f>
        <v>LANIA</v>
      </c>
      <c r="B19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5" s="325">
        <v>193</v>
      </c>
      <c r="D195" s="326">
        <v>254</v>
      </c>
      <c r="E195" s="359" t="s">
        <v>591</v>
      </c>
      <c r="F195" s="244"/>
      <c r="G195" s="245"/>
      <c r="H195" s="346" t="s">
        <v>587</v>
      </c>
      <c r="I195" s="362" t="s">
        <v>583</v>
      </c>
      <c r="J19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5" s="160">
        <v>2380000</v>
      </c>
      <c r="L195" s="160">
        <f>+Reactivos_[[#This Row],[Cantidad]]*Reactivos_[[#This Row],[Valor de referencia]]</f>
        <v>2380000</v>
      </c>
      <c r="M195" s="254">
        <v>0</v>
      </c>
      <c r="N195" s="255">
        <f>+Reactivos_[[#This Row],[Valor de referencia]]*Reactivos_[[#This Row],[Cantidad LANIP]]</f>
        <v>0</v>
      </c>
      <c r="O195" s="256"/>
      <c r="P195" s="255">
        <f>+Reactivos_[[#This Row],[Cantidad 
LDV]]*Reactivos_[[#This Row],[Valor de referencia]]</f>
        <v>0</v>
      </c>
      <c r="Q195" s="257"/>
      <c r="R195" s="255">
        <f>+Reactivos_[[#This Row],[Cantidad LNDV]]*Reactivos_[[#This Row],[Valor de referencia]]</f>
        <v>0</v>
      </c>
      <c r="S195" s="148"/>
      <c r="T195" s="255">
        <f>+Reactivos_[[#This Row],[GGCA]]*Reactivos_[[#This Row],[Valor de referencia]]</f>
        <v>0</v>
      </c>
      <c r="U195" s="254"/>
      <c r="V195" s="255">
        <f>+Reactivos_[[#This Row],[Cantidad LDF]]*Reactivos_[[#This Row],[Valor de referencia]]</f>
        <v>0</v>
      </c>
      <c r="W195" s="254"/>
      <c r="X195" s="255">
        <f>+Reactivos_[[#This Row],[Cantidad LDF&amp;MR]]*Reactivos_[[#This Row],[Valor de referencia]]</f>
        <v>0</v>
      </c>
      <c r="Y195" s="254"/>
      <c r="Z195" s="255">
        <f>+Reactivos_[[#This Row],[Cantidad RED LASE]]*Reactivos_[[#This Row],[Valor de referencia]]</f>
        <v>0</v>
      </c>
      <c r="AA195" s="254">
        <v>1</v>
      </c>
      <c r="AB195" s="255">
        <f>+Reactivos_[[#This Row],[Cantidad LANIA]]*Reactivos_[[#This Row],[Valor de referencia]]</f>
        <v>2380000</v>
      </c>
      <c r="AC195" s="254"/>
      <c r="AD195" s="255">
        <f>+Reactivos_[[#This Row],[Cantidad SPA]]*Reactivos_[[#This Row],[Valor de referencia]]</f>
        <v>0</v>
      </c>
      <c r="AE195" s="148" t="s">
        <v>76</v>
      </c>
      <c r="AF195" s="148" t="s">
        <v>77</v>
      </c>
    </row>
    <row r="196" spans="1:32" ht="33.75" customHeight="1" x14ac:dyDescent="0.25">
      <c r="A196" s="294" t="str">
        <f>IF(B196=Reactivos_[[#This Row],[Cantidad LANIP]],"LANIP",IF(B196=Reactivos_[[#This Row],[Cantidad 
LDV]],"LDV",IF(B196=Reactivos_[[#This Row],[Cantidad LNDV]],"LNDV",IF(B196=Reactivos_[[#This Row],[GGCA]],"GGCA",IF(B196=Reactivos_[[#This Row],[Cantidad LDF]],"LDF",IF(Reactivos_[[#This Row],[Cantidad LDF&amp;MR]],"LDF&amp;MR",IF(B196=Reactivos_[[#This Row],[Cantidad RED LASE]],"LASE",IF(B196=Reactivos_[[#This Row],[Cantidad LANIA]],"LANIA",IF(B196=Reactivos_[[#This Row],[Cantidad SPA]],"SPA"," ")))))))))</f>
        <v>LANIA</v>
      </c>
      <c r="B19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6" s="325">
        <v>194</v>
      </c>
      <c r="D196" s="326">
        <v>255</v>
      </c>
      <c r="E196" s="359" t="s">
        <v>592</v>
      </c>
      <c r="F196" s="244"/>
      <c r="G196" s="245"/>
      <c r="H196" s="346" t="s">
        <v>587</v>
      </c>
      <c r="I196" s="362" t="s">
        <v>583</v>
      </c>
      <c r="J19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6" s="160">
        <v>2380000</v>
      </c>
      <c r="L196" s="160">
        <f>+Reactivos_[[#This Row],[Cantidad]]*Reactivos_[[#This Row],[Valor de referencia]]</f>
        <v>2380000</v>
      </c>
      <c r="M196" s="254">
        <v>0</v>
      </c>
      <c r="N196" s="255">
        <f>+Reactivos_[[#This Row],[Valor de referencia]]*Reactivos_[[#This Row],[Cantidad LANIP]]</f>
        <v>0</v>
      </c>
      <c r="O196" s="256"/>
      <c r="P196" s="255">
        <f>+Reactivos_[[#This Row],[Cantidad 
LDV]]*Reactivos_[[#This Row],[Valor de referencia]]</f>
        <v>0</v>
      </c>
      <c r="Q196" s="257"/>
      <c r="R196" s="255">
        <f>+Reactivos_[[#This Row],[Cantidad LNDV]]*Reactivos_[[#This Row],[Valor de referencia]]</f>
        <v>0</v>
      </c>
      <c r="S196" s="148"/>
      <c r="T196" s="255">
        <f>+Reactivos_[[#This Row],[GGCA]]*Reactivos_[[#This Row],[Valor de referencia]]</f>
        <v>0</v>
      </c>
      <c r="U196" s="254"/>
      <c r="V196" s="255">
        <f>+Reactivos_[[#This Row],[Cantidad LDF]]*Reactivos_[[#This Row],[Valor de referencia]]</f>
        <v>0</v>
      </c>
      <c r="W196" s="254"/>
      <c r="X196" s="255">
        <f>+Reactivos_[[#This Row],[Cantidad LDF&amp;MR]]*Reactivos_[[#This Row],[Valor de referencia]]</f>
        <v>0</v>
      </c>
      <c r="Y196" s="254"/>
      <c r="Z196" s="255">
        <f>+Reactivos_[[#This Row],[Cantidad RED LASE]]*Reactivos_[[#This Row],[Valor de referencia]]</f>
        <v>0</v>
      </c>
      <c r="AA196" s="254">
        <v>1</v>
      </c>
      <c r="AB196" s="255">
        <f>+Reactivos_[[#This Row],[Cantidad LANIA]]*Reactivos_[[#This Row],[Valor de referencia]]</f>
        <v>2380000</v>
      </c>
      <c r="AC196" s="254"/>
      <c r="AD196" s="255">
        <f>+Reactivos_[[#This Row],[Cantidad SPA]]*Reactivos_[[#This Row],[Valor de referencia]]</f>
        <v>0</v>
      </c>
      <c r="AE196" s="148" t="s">
        <v>76</v>
      </c>
      <c r="AF196" s="148" t="s">
        <v>77</v>
      </c>
    </row>
    <row r="197" spans="1:32" ht="25.5" x14ac:dyDescent="0.25">
      <c r="A197" s="294" t="str">
        <f>IF(B197=Reactivos_[[#This Row],[Cantidad LANIP]],"LANIP",IF(B197=Reactivos_[[#This Row],[Cantidad 
LDV]],"LDV",IF(B197=Reactivos_[[#This Row],[Cantidad LNDV]],"LNDV",IF(B197=Reactivos_[[#This Row],[GGCA]],"GGCA",IF(B197=Reactivos_[[#This Row],[Cantidad LDF]],"LDF",IF(Reactivos_[[#This Row],[Cantidad LDF&amp;MR]],"LDF&amp;MR",IF(B197=Reactivos_[[#This Row],[Cantidad RED LASE]],"LASE",IF(B197=Reactivos_[[#This Row],[Cantidad LANIA]],"LANIA",IF(B197=Reactivos_[[#This Row],[Cantidad SPA]],"SPA"," ")))))))))</f>
        <v>LANIA</v>
      </c>
      <c r="B19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7" s="325">
        <v>195</v>
      </c>
      <c r="D197" s="326">
        <v>256</v>
      </c>
      <c r="E197" s="359" t="s">
        <v>593</v>
      </c>
      <c r="F197" s="244"/>
      <c r="G197" s="245"/>
      <c r="H197" s="346" t="s">
        <v>587</v>
      </c>
      <c r="I197" s="362" t="s">
        <v>583</v>
      </c>
      <c r="J19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7" s="160">
        <v>2380000</v>
      </c>
      <c r="L197" s="160">
        <f>+Reactivos_[[#This Row],[Cantidad]]*Reactivos_[[#This Row],[Valor de referencia]]</f>
        <v>2380000</v>
      </c>
      <c r="M197" s="254">
        <v>0</v>
      </c>
      <c r="N197" s="255">
        <f>+Reactivos_[[#This Row],[Valor de referencia]]*Reactivos_[[#This Row],[Cantidad LANIP]]</f>
        <v>0</v>
      </c>
      <c r="O197" s="256"/>
      <c r="P197" s="255">
        <f>+Reactivos_[[#This Row],[Cantidad 
LDV]]*Reactivos_[[#This Row],[Valor de referencia]]</f>
        <v>0</v>
      </c>
      <c r="Q197" s="257"/>
      <c r="R197" s="255">
        <f>+Reactivos_[[#This Row],[Cantidad LNDV]]*Reactivos_[[#This Row],[Valor de referencia]]</f>
        <v>0</v>
      </c>
      <c r="S197" s="148"/>
      <c r="T197" s="255">
        <f>+Reactivos_[[#This Row],[GGCA]]*Reactivos_[[#This Row],[Valor de referencia]]</f>
        <v>0</v>
      </c>
      <c r="U197" s="254"/>
      <c r="V197" s="255">
        <f>+Reactivos_[[#This Row],[Cantidad LDF]]*Reactivos_[[#This Row],[Valor de referencia]]</f>
        <v>0</v>
      </c>
      <c r="W197" s="254"/>
      <c r="X197" s="255">
        <f>+Reactivos_[[#This Row],[Cantidad LDF&amp;MR]]*Reactivos_[[#This Row],[Valor de referencia]]</f>
        <v>0</v>
      </c>
      <c r="Y197" s="254"/>
      <c r="Z197" s="255">
        <f>+Reactivos_[[#This Row],[Cantidad RED LASE]]*Reactivos_[[#This Row],[Valor de referencia]]</f>
        <v>0</v>
      </c>
      <c r="AA197" s="254">
        <v>1</v>
      </c>
      <c r="AB197" s="255">
        <f>+Reactivos_[[#This Row],[Cantidad LANIA]]*Reactivos_[[#This Row],[Valor de referencia]]</f>
        <v>2380000</v>
      </c>
      <c r="AC197" s="254"/>
      <c r="AD197" s="255">
        <f>+Reactivos_[[#This Row],[Cantidad SPA]]*Reactivos_[[#This Row],[Valor de referencia]]</f>
        <v>0</v>
      </c>
      <c r="AE197" s="148" t="s">
        <v>76</v>
      </c>
      <c r="AF197" s="148" t="s">
        <v>77</v>
      </c>
    </row>
    <row r="198" spans="1:32" ht="52.5" customHeight="1" x14ac:dyDescent="0.25">
      <c r="A198" s="294" t="str">
        <f>IF(B198=Reactivos_[[#This Row],[Cantidad LANIP]],"LANIP",IF(B198=Reactivos_[[#This Row],[Cantidad 
LDV]],"LDV",IF(B198=Reactivos_[[#This Row],[Cantidad LNDV]],"LNDV",IF(B198=Reactivos_[[#This Row],[GGCA]],"GGCA",IF(B198=Reactivos_[[#This Row],[Cantidad LDF]],"LDF",IF(Reactivos_[[#This Row],[Cantidad LDF&amp;MR]],"LDF&amp;MR",IF(B198=Reactivos_[[#This Row],[Cantidad RED LASE]],"LASE",IF(B198=Reactivos_[[#This Row],[Cantidad LANIA]],"LANIA",IF(B198=Reactivos_[[#This Row],[Cantidad SPA]],"SPA"," ")))))))))</f>
        <v>LNDV</v>
      </c>
      <c r="B19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8" s="325">
        <v>196</v>
      </c>
      <c r="D198" s="326">
        <v>257</v>
      </c>
      <c r="E198" s="359" t="s">
        <v>594</v>
      </c>
      <c r="F198" s="244"/>
      <c r="G198" s="245"/>
      <c r="H198" s="349" t="s">
        <v>595</v>
      </c>
      <c r="I198" s="362" t="s">
        <v>596</v>
      </c>
      <c r="J19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8" s="160">
        <v>7735000</v>
      </c>
      <c r="L198" s="160">
        <f>+Reactivos_[[#This Row],[Cantidad]]*Reactivos_[[#This Row],[Valor de referencia]]</f>
        <v>7735000</v>
      </c>
      <c r="M198" s="254">
        <v>0</v>
      </c>
      <c r="N198" s="255">
        <f>+Reactivos_[[#This Row],[Valor de referencia]]*Reactivos_[[#This Row],[Cantidad LANIP]]</f>
        <v>0</v>
      </c>
      <c r="O198" s="256"/>
      <c r="P198" s="255">
        <f>+Reactivos_[[#This Row],[Cantidad 
LDV]]*Reactivos_[[#This Row],[Valor de referencia]]</f>
        <v>0</v>
      </c>
      <c r="Q198" s="257">
        <v>1</v>
      </c>
      <c r="R198" s="255">
        <f>+Reactivos_[[#This Row],[Cantidad LNDV]]*Reactivos_[[#This Row],[Valor de referencia]]</f>
        <v>7735000</v>
      </c>
      <c r="S198" s="148"/>
      <c r="T198" s="255">
        <f>+Reactivos_[[#This Row],[GGCA]]*Reactivos_[[#This Row],[Valor de referencia]]</f>
        <v>0</v>
      </c>
      <c r="U198" s="254"/>
      <c r="V198" s="255">
        <f>+Reactivos_[[#This Row],[Cantidad LDF]]*Reactivos_[[#This Row],[Valor de referencia]]</f>
        <v>0</v>
      </c>
      <c r="W198" s="254"/>
      <c r="X198" s="255">
        <f>+Reactivos_[[#This Row],[Cantidad LDF&amp;MR]]*Reactivos_[[#This Row],[Valor de referencia]]</f>
        <v>0</v>
      </c>
      <c r="Y198" s="254"/>
      <c r="Z198" s="255">
        <f>+Reactivos_[[#This Row],[Cantidad RED LASE]]*Reactivos_[[#This Row],[Valor de referencia]]</f>
        <v>0</v>
      </c>
      <c r="AA198" s="254"/>
      <c r="AB198" s="255">
        <f>+Reactivos_[[#This Row],[Cantidad LANIA]]*Reactivos_[[#This Row],[Valor de referencia]]</f>
        <v>0</v>
      </c>
      <c r="AC198" s="254"/>
      <c r="AD198" s="255">
        <f>+Reactivos_[[#This Row],[Cantidad SPA]]*Reactivos_[[#This Row],[Valor de referencia]]</f>
        <v>0</v>
      </c>
      <c r="AE198" s="148" t="s">
        <v>76</v>
      </c>
      <c r="AF198" s="148" t="s">
        <v>77</v>
      </c>
    </row>
    <row r="199" spans="1:32" ht="25.5" x14ac:dyDescent="0.25">
      <c r="A199" s="294" t="str">
        <f>IF(B199=Reactivos_[[#This Row],[Cantidad LANIP]],"LANIP",IF(B199=Reactivos_[[#This Row],[Cantidad 
LDV]],"LDV",IF(B199=Reactivos_[[#This Row],[Cantidad LNDV]],"LNDV",IF(B199=Reactivos_[[#This Row],[GGCA]],"GGCA",IF(B199=Reactivos_[[#This Row],[Cantidad LDF]],"LDF",IF(Reactivos_[[#This Row],[Cantidad LDF&amp;MR]],"LDF&amp;MR",IF(B199=Reactivos_[[#This Row],[Cantidad RED LASE]],"LASE",IF(B199=Reactivos_[[#This Row],[Cantidad LANIA]],"LANIA",IF(B199=Reactivos_[[#This Row],[Cantidad SPA]],"SPA"," ")))))))))</f>
        <v>LANIP</v>
      </c>
      <c r="B19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199" s="325">
        <v>197</v>
      </c>
      <c r="D199" s="326">
        <v>258</v>
      </c>
      <c r="E199" s="359" t="s">
        <v>597</v>
      </c>
      <c r="F199" s="244"/>
      <c r="G199" s="245"/>
      <c r="H199" s="349" t="s">
        <v>598</v>
      </c>
      <c r="I199" s="347" t="s">
        <v>599</v>
      </c>
      <c r="J19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199" s="160">
        <v>1129905</v>
      </c>
      <c r="L199" s="160">
        <f>+Reactivos_[[#This Row],[Cantidad]]*Reactivos_[[#This Row],[Valor de referencia]]</f>
        <v>1129905</v>
      </c>
      <c r="M199" s="254">
        <v>1</v>
      </c>
      <c r="N199" s="255">
        <f>+Reactivos_[[#This Row],[Valor de referencia]]*Reactivos_[[#This Row],[Cantidad LANIP]]</f>
        <v>1129905</v>
      </c>
      <c r="O199" s="256"/>
      <c r="P199" s="255">
        <f>+Reactivos_[[#This Row],[Cantidad 
LDV]]*Reactivos_[[#This Row],[Valor de referencia]]</f>
        <v>0</v>
      </c>
      <c r="Q199" s="257"/>
      <c r="R199" s="255">
        <f>+Reactivos_[[#This Row],[Cantidad LNDV]]*Reactivos_[[#This Row],[Valor de referencia]]</f>
        <v>0</v>
      </c>
      <c r="S199" s="148"/>
      <c r="T199" s="255">
        <f>+Reactivos_[[#This Row],[GGCA]]*Reactivos_[[#This Row],[Valor de referencia]]</f>
        <v>0</v>
      </c>
      <c r="U199" s="254"/>
      <c r="V199" s="255">
        <f>+Reactivos_[[#This Row],[Cantidad LDF]]*Reactivos_[[#This Row],[Valor de referencia]]</f>
        <v>0</v>
      </c>
      <c r="W199" s="254"/>
      <c r="X199" s="255">
        <f>+Reactivos_[[#This Row],[Cantidad LDF&amp;MR]]*Reactivos_[[#This Row],[Valor de referencia]]</f>
        <v>0</v>
      </c>
      <c r="Y199" s="254"/>
      <c r="Z199" s="255">
        <f>+Reactivos_[[#This Row],[Cantidad RED LASE]]*Reactivos_[[#This Row],[Valor de referencia]]</f>
        <v>0</v>
      </c>
      <c r="AA199" s="254"/>
      <c r="AB199" s="255">
        <f>+Reactivos_[[#This Row],[Cantidad LANIA]]*Reactivos_[[#This Row],[Valor de referencia]]</f>
        <v>0</v>
      </c>
      <c r="AC199" s="254"/>
      <c r="AD199" s="255">
        <f>+Reactivos_[[#This Row],[Cantidad SPA]]*Reactivos_[[#This Row],[Valor de referencia]]</f>
        <v>0</v>
      </c>
      <c r="AE199" s="148" t="s">
        <v>76</v>
      </c>
      <c r="AF199" s="148" t="s">
        <v>77</v>
      </c>
    </row>
    <row r="200" spans="1:32" ht="33.75" customHeight="1" x14ac:dyDescent="0.25">
      <c r="A200" s="294" t="str">
        <f>IF(B200=Reactivos_[[#This Row],[Cantidad LANIP]],"LANIP",IF(B200=Reactivos_[[#This Row],[Cantidad 
LDV]],"LDV",IF(B200=Reactivos_[[#This Row],[Cantidad LNDV]],"LNDV",IF(B200=Reactivos_[[#This Row],[GGCA]],"GGCA",IF(B200=Reactivos_[[#This Row],[Cantidad LDF]],"LDF",IF(Reactivos_[[#This Row],[Cantidad LDF&amp;MR]],"LDF&amp;MR",IF(B200=Reactivos_[[#This Row],[Cantidad RED LASE]],"LASE",IF(B200=Reactivos_[[#This Row],[Cantidad LANIA]],"LANIA",IF(B200=Reactivos_[[#This Row],[Cantidad SPA]],"SPA"," ")))))))))</f>
        <v>LNDV</v>
      </c>
      <c r="B20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200" s="325">
        <v>198</v>
      </c>
      <c r="D200" s="326">
        <v>259</v>
      </c>
      <c r="E200" s="331" t="s">
        <v>600</v>
      </c>
      <c r="F200" s="332"/>
      <c r="G200" s="331"/>
      <c r="H200" s="348" t="s">
        <v>601</v>
      </c>
      <c r="I200" s="334" t="s">
        <v>602</v>
      </c>
      <c r="J20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00" s="160">
        <v>509629</v>
      </c>
      <c r="L200" s="160">
        <f>+Reactivos_[[#This Row],[Cantidad]]*Reactivos_[[#This Row],[Valor de referencia]]</f>
        <v>1528887</v>
      </c>
      <c r="M200" s="254">
        <v>0</v>
      </c>
      <c r="N200" s="255">
        <f>+Reactivos_[[#This Row],[Valor de referencia]]*Reactivos_[[#This Row],[Cantidad LANIP]]</f>
        <v>0</v>
      </c>
      <c r="O200" s="256"/>
      <c r="P200" s="255">
        <f>+Reactivos_[[#This Row],[Cantidad 
LDV]]*Reactivos_[[#This Row],[Valor de referencia]]</f>
        <v>0</v>
      </c>
      <c r="Q200" s="257">
        <v>3</v>
      </c>
      <c r="R200" s="255">
        <f>+Reactivos_[[#This Row],[Cantidad LNDV]]*Reactivos_[[#This Row],[Valor de referencia]]</f>
        <v>1528887</v>
      </c>
      <c r="S200" s="148"/>
      <c r="T200" s="255">
        <f>+Reactivos_[[#This Row],[GGCA]]*Reactivos_[[#This Row],[Valor de referencia]]</f>
        <v>0</v>
      </c>
      <c r="U200" s="254"/>
      <c r="V200" s="255">
        <f>+Reactivos_[[#This Row],[Cantidad LDF]]*Reactivos_[[#This Row],[Valor de referencia]]</f>
        <v>0</v>
      </c>
      <c r="W200" s="254"/>
      <c r="X200" s="255">
        <f>+Reactivos_[[#This Row],[Cantidad LDF&amp;MR]]*Reactivos_[[#This Row],[Valor de referencia]]</f>
        <v>0</v>
      </c>
      <c r="Y200" s="254"/>
      <c r="Z200" s="255">
        <f>+Reactivos_[[#This Row],[Cantidad RED LASE]]*Reactivos_[[#This Row],[Valor de referencia]]</f>
        <v>0</v>
      </c>
      <c r="AA200" s="254"/>
      <c r="AB200" s="255">
        <f>+Reactivos_[[#This Row],[Cantidad LANIA]]*Reactivos_[[#This Row],[Valor de referencia]]</f>
        <v>0</v>
      </c>
      <c r="AC200" s="254"/>
      <c r="AD200" s="255">
        <f>+Reactivos_[[#This Row],[Cantidad SPA]]*Reactivos_[[#This Row],[Valor de referencia]]</f>
        <v>0</v>
      </c>
      <c r="AE200" s="148" t="s">
        <v>76</v>
      </c>
      <c r="AF200" s="148" t="s">
        <v>101</v>
      </c>
    </row>
    <row r="201" spans="1:32" ht="25.5" x14ac:dyDescent="0.25">
      <c r="A201" s="294" t="str">
        <f>IF(B201=Reactivos_[[#This Row],[Cantidad LANIP]],"LANIP",IF(B201=Reactivos_[[#This Row],[Cantidad 
LDV]],"LDV",IF(B201=Reactivos_[[#This Row],[Cantidad LNDV]],"LNDV",IF(B201=Reactivos_[[#This Row],[GGCA]],"GGCA",IF(B201=Reactivos_[[#This Row],[Cantidad LDF]],"LDF",IF(Reactivos_[[#This Row],[Cantidad LDF&amp;MR]],"LDF&amp;MR",IF(B201=Reactivos_[[#This Row],[Cantidad RED LASE]],"LASE",IF(B201=Reactivos_[[#This Row],[Cantidad LANIA]],"LANIA",IF(B201=Reactivos_[[#This Row],[Cantidad SPA]],"SPA"," ")))))))))</f>
        <v>LNDV</v>
      </c>
      <c r="B20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01" s="325">
        <v>199</v>
      </c>
      <c r="D201" s="326">
        <v>260</v>
      </c>
      <c r="E201" s="245" t="s">
        <v>603</v>
      </c>
      <c r="F201" s="244"/>
      <c r="G201" s="245"/>
      <c r="H201" s="349" t="s">
        <v>604</v>
      </c>
      <c r="I201" s="362" t="s">
        <v>596</v>
      </c>
      <c r="J20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01" s="160">
        <v>6617500</v>
      </c>
      <c r="L201" s="160">
        <f>+Reactivos_[[#This Row],[Cantidad]]*Reactivos_[[#This Row],[Valor de referencia]]</f>
        <v>6617500</v>
      </c>
      <c r="M201" s="254">
        <v>0</v>
      </c>
      <c r="N201" s="255">
        <f>+Reactivos_[[#This Row],[Valor de referencia]]*Reactivos_[[#This Row],[Cantidad LANIP]]</f>
        <v>0</v>
      </c>
      <c r="O201" s="256"/>
      <c r="P201" s="255">
        <f>+Reactivos_[[#This Row],[Cantidad 
LDV]]*Reactivos_[[#This Row],[Valor de referencia]]</f>
        <v>0</v>
      </c>
      <c r="Q201" s="257">
        <v>1</v>
      </c>
      <c r="R201" s="255">
        <f>+Reactivos_[[#This Row],[Cantidad LNDV]]*Reactivos_[[#This Row],[Valor de referencia]]</f>
        <v>6617500</v>
      </c>
      <c r="S201" s="148"/>
      <c r="T201" s="255">
        <f>+Reactivos_[[#This Row],[GGCA]]*Reactivos_[[#This Row],[Valor de referencia]]</f>
        <v>0</v>
      </c>
      <c r="U201" s="254"/>
      <c r="V201" s="255">
        <f>+Reactivos_[[#This Row],[Cantidad LDF]]*Reactivos_[[#This Row],[Valor de referencia]]</f>
        <v>0</v>
      </c>
      <c r="W201" s="254"/>
      <c r="X201" s="255">
        <f>+Reactivos_[[#This Row],[Cantidad LDF&amp;MR]]*Reactivos_[[#This Row],[Valor de referencia]]</f>
        <v>0</v>
      </c>
      <c r="Y201" s="254"/>
      <c r="Z201" s="255">
        <f>+Reactivos_[[#This Row],[Cantidad RED LASE]]*Reactivos_[[#This Row],[Valor de referencia]]</f>
        <v>0</v>
      </c>
      <c r="AA201" s="254"/>
      <c r="AB201" s="255">
        <f>+Reactivos_[[#This Row],[Cantidad LANIA]]*Reactivos_[[#This Row],[Valor de referencia]]</f>
        <v>0</v>
      </c>
      <c r="AC201" s="254"/>
      <c r="AD201" s="255">
        <f>+Reactivos_[[#This Row],[Cantidad SPA]]*Reactivos_[[#This Row],[Valor de referencia]]</f>
        <v>0</v>
      </c>
      <c r="AE201" s="148" t="s">
        <v>76</v>
      </c>
      <c r="AF201" s="148" t="s">
        <v>77</v>
      </c>
    </row>
    <row r="202" spans="1:32" ht="33.75" customHeight="1" x14ac:dyDescent="0.25">
      <c r="A202" s="294" t="str">
        <f>IF(B202=Reactivos_[[#This Row],[Cantidad LANIP]],"LANIP",IF(B202=Reactivos_[[#This Row],[Cantidad 
LDV]],"LDV",IF(B202=Reactivos_[[#This Row],[Cantidad LNDV]],"LNDV",IF(B202=Reactivos_[[#This Row],[GGCA]],"GGCA",IF(B202=Reactivos_[[#This Row],[Cantidad LDF]],"LDF",IF(Reactivos_[[#This Row],[Cantidad LDF&amp;MR]],"LDF&amp;MR",IF(B202=Reactivos_[[#This Row],[Cantidad RED LASE]],"LASE",IF(B202=Reactivos_[[#This Row],[Cantidad LANIA]],"LANIA",IF(B202=Reactivos_[[#This Row],[Cantidad SPA]],"SPA"," ")))))))))</f>
        <v>LNDV</v>
      </c>
      <c r="B20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02" s="325">
        <v>200</v>
      </c>
      <c r="D202" s="326">
        <v>261</v>
      </c>
      <c r="E202" s="245" t="s">
        <v>605</v>
      </c>
      <c r="F202" s="244"/>
      <c r="G202" s="245"/>
      <c r="H202" s="349" t="s">
        <v>606</v>
      </c>
      <c r="I202" s="353" t="s">
        <v>607</v>
      </c>
      <c r="J20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02" s="160">
        <v>6290250</v>
      </c>
      <c r="L202" s="160">
        <f>+Reactivos_[[#This Row],[Cantidad]]*Reactivos_[[#This Row],[Valor de referencia]]</f>
        <v>6290250</v>
      </c>
      <c r="M202" s="254">
        <v>0</v>
      </c>
      <c r="N202" s="255">
        <f>+Reactivos_[[#This Row],[Valor de referencia]]*Reactivos_[[#This Row],[Cantidad LANIP]]</f>
        <v>0</v>
      </c>
      <c r="O202" s="256"/>
      <c r="P202" s="255">
        <f>+Reactivos_[[#This Row],[Cantidad 
LDV]]*Reactivos_[[#This Row],[Valor de referencia]]</f>
        <v>0</v>
      </c>
      <c r="Q202" s="257">
        <v>1</v>
      </c>
      <c r="R202" s="255">
        <f>+Reactivos_[[#This Row],[Cantidad LNDV]]*Reactivos_[[#This Row],[Valor de referencia]]</f>
        <v>6290250</v>
      </c>
      <c r="S202" s="148"/>
      <c r="T202" s="255">
        <f>+Reactivos_[[#This Row],[GGCA]]*Reactivos_[[#This Row],[Valor de referencia]]</f>
        <v>0</v>
      </c>
      <c r="U202" s="254"/>
      <c r="V202" s="255">
        <f>+Reactivos_[[#This Row],[Cantidad LDF]]*Reactivos_[[#This Row],[Valor de referencia]]</f>
        <v>0</v>
      </c>
      <c r="W202" s="254"/>
      <c r="X202" s="255">
        <f>+Reactivos_[[#This Row],[Cantidad LDF&amp;MR]]*Reactivos_[[#This Row],[Valor de referencia]]</f>
        <v>0</v>
      </c>
      <c r="Y202" s="254"/>
      <c r="Z202" s="255">
        <f>+Reactivos_[[#This Row],[Cantidad RED LASE]]*Reactivos_[[#This Row],[Valor de referencia]]</f>
        <v>0</v>
      </c>
      <c r="AA202" s="254"/>
      <c r="AB202" s="255">
        <f>+Reactivos_[[#This Row],[Cantidad LANIA]]*Reactivos_[[#This Row],[Valor de referencia]]</f>
        <v>0</v>
      </c>
      <c r="AC202" s="254"/>
      <c r="AD202" s="255">
        <f>+Reactivos_[[#This Row],[Cantidad SPA]]*Reactivos_[[#This Row],[Valor de referencia]]</f>
        <v>0</v>
      </c>
      <c r="AE202" s="148" t="s">
        <v>76</v>
      </c>
      <c r="AF202" s="148" t="s">
        <v>77</v>
      </c>
    </row>
    <row r="203" spans="1:32" ht="25.5" x14ac:dyDescent="0.25">
      <c r="A203" s="294" t="str">
        <f>IF(B203=Reactivos_[[#This Row],[Cantidad LANIP]],"LANIP",IF(B203=Reactivos_[[#This Row],[Cantidad 
LDV]],"LDV",IF(B203=Reactivos_[[#This Row],[Cantidad LNDV]],"LNDV",IF(B203=Reactivos_[[#This Row],[GGCA]],"GGCA",IF(B203=Reactivos_[[#This Row],[Cantidad LDF]],"LDF",IF(Reactivos_[[#This Row],[Cantidad LDF&amp;MR]],"LDF&amp;MR",IF(B203=Reactivos_[[#This Row],[Cantidad RED LASE]],"LASE",IF(B203=Reactivos_[[#This Row],[Cantidad LANIA]],"LANIA",IF(B203=Reactivos_[[#This Row],[Cantidad SPA]],"SPA"," ")))))))))</f>
        <v>LNDV</v>
      </c>
      <c r="B20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03" s="325">
        <v>201</v>
      </c>
      <c r="D203" s="326">
        <v>262</v>
      </c>
      <c r="E203" s="245" t="s">
        <v>608</v>
      </c>
      <c r="F203" s="244"/>
      <c r="G203" s="245"/>
      <c r="H203" s="330" t="s">
        <v>609</v>
      </c>
      <c r="I203" s="353" t="s">
        <v>607</v>
      </c>
      <c r="J20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03" s="160">
        <v>5500000</v>
      </c>
      <c r="L203" s="160">
        <f>+Reactivos_[[#This Row],[Cantidad]]*Reactivos_[[#This Row],[Valor de referencia]]</f>
        <v>5500000</v>
      </c>
      <c r="M203" s="254">
        <v>0</v>
      </c>
      <c r="N203" s="255">
        <f>+Reactivos_[[#This Row],[Valor de referencia]]*Reactivos_[[#This Row],[Cantidad LANIP]]</f>
        <v>0</v>
      </c>
      <c r="O203" s="256"/>
      <c r="P203" s="255">
        <f>+Reactivos_[[#This Row],[Cantidad 
LDV]]*Reactivos_[[#This Row],[Valor de referencia]]</f>
        <v>0</v>
      </c>
      <c r="Q203" s="257">
        <v>1</v>
      </c>
      <c r="R203" s="255">
        <f>+Reactivos_[[#This Row],[Cantidad LNDV]]*Reactivos_[[#This Row],[Valor de referencia]]</f>
        <v>5500000</v>
      </c>
      <c r="S203" s="148"/>
      <c r="T203" s="255">
        <f>+Reactivos_[[#This Row],[GGCA]]*Reactivos_[[#This Row],[Valor de referencia]]</f>
        <v>0</v>
      </c>
      <c r="U203" s="254"/>
      <c r="V203" s="255">
        <f>+Reactivos_[[#This Row],[Cantidad LDF]]*Reactivos_[[#This Row],[Valor de referencia]]</f>
        <v>0</v>
      </c>
      <c r="W203" s="254"/>
      <c r="X203" s="255">
        <f>+Reactivos_[[#This Row],[Cantidad LDF&amp;MR]]*Reactivos_[[#This Row],[Valor de referencia]]</f>
        <v>0</v>
      </c>
      <c r="Y203" s="254"/>
      <c r="Z203" s="255">
        <f>+Reactivos_[[#This Row],[Cantidad RED LASE]]*Reactivos_[[#This Row],[Valor de referencia]]</f>
        <v>0</v>
      </c>
      <c r="AA203" s="254"/>
      <c r="AB203" s="255">
        <f>+Reactivos_[[#This Row],[Cantidad LANIA]]*Reactivos_[[#This Row],[Valor de referencia]]</f>
        <v>0</v>
      </c>
      <c r="AC203" s="254"/>
      <c r="AD203" s="255">
        <f>+Reactivos_[[#This Row],[Cantidad SPA]]*Reactivos_[[#This Row],[Valor de referencia]]</f>
        <v>0</v>
      </c>
      <c r="AE203" s="148" t="s">
        <v>76</v>
      </c>
      <c r="AF203" s="148" t="s">
        <v>77</v>
      </c>
    </row>
    <row r="204" spans="1:32" ht="22.5" customHeight="1" x14ac:dyDescent="0.25">
      <c r="A204" s="294" t="str">
        <f>IF(B204=Reactivos_[[#This Row],[Cantidad LANIP]],"LANIP",IF(B204=Reactivos_[[#This Row],[Cantidad 
LDV]],"LDV",IF(B204=Reactivos_[[#This Row],[Cantidad LNDV]],"LNDV",IF(B204=Reactivos_[[#This Row],[GGCA]],"GGCA",IF(B204=Reactivos_[[#This Row],[Cantidad LDF]],"LDF",IF(Reactivos_[[#This Row],[Cantidad LDF&amp;MR]],"LDF&amp;MR",IF(B204=Reactivos_[[#This Row],[Cantidad RED LASE]],"LASE",IF(B204=Reactivos_[[#This Row],[Cantidad LANIA]],"LANIA",IF(B204=Reactivos_[[#This Row],[Cantidad SPA]],"SPA"," ")))))))))</f>
        <v>LNDV</v>
      </c>
      <c r="B20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04" s="325">
        <v>202</v>
      </c>
      <c r="D204" s="326">
        <v>263</v>
      </c>
      <c r="E204" s="245" t="s">
        <v>610</v>
      </c>
      <c r="F204" s="244"/>
      <c r="G204" s="245"/>
      <c r="H204" s="349" t="s">
        <v>611</v>
      </c>
      <c r="I204" s="353" t="s">
        <v>571</v>
      </c>
      <c r="J20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04" s="160">
        <v>6617500</v>
      </c>
      <c r="L204" s="160">
        <f>+Reactivos_[[#This Row],[Cantidad]]*Reactivos_[[#This Row],[Valor de referencia]]</f>
        <v>6617500</v>
      </c>
      <c r="M204" s="254">
        <v>0</v>
      </c>
      <c r="N204" s="255">
        <f>+Reactivos_[[#This Row],[Valor de referencia]]*Reactivos_[[#This Row],[Cantidad LANIP]]</f>
        <v>0</v>
      </c>
      <c r="O204" s="256"/>
      <c r="P204" s="255">
        <f>+Reactivos_[[#This Row],[Cantidad 
LDV]]*Reactivos_[[#This Row],[Valor de referencia]]</f>
        <v>0</v>
      </c>
      <c r="Q204" s="257">
        <v>1</v>
      </c>
      <c r="R204" s="255">
        <f>+Reactivos_[[#This Row],[Cantidad LNDV]]*Reactivos_[[#This Row],[Valor de referencia]]</f>
        <v>6617500</v>
      </c>
      <c r="S204" s="148"/>
      <c r="T204" s="255">
        <f>+Reactivos_[[#This Row],[GGCA]]*Reactivos_[[#This Row],[Valor de referencia]]</f>
        <v>0</v>
      </c>
      <c r="U204" s="254"/>
      <c r="V204" s="255">
        <f>+Reactivos_[[#This Row],[Cantidad LDF]]*Reactivos_[[#This Row],[Valor de referencia]]</f>
        <v>0</v>
      </c>
      <c r="W204" s="254"/>
      <c r="X204" s="255">
        <f>+Reactivos_[[#This Row],[Cantidad LDF&amp;MR]]*Reactivos_[[#This Row],[Valor de referencia]]</f>
        <v>0</v>
      </c>
      <c r="Y204" s="254"/>
      <c r="Z204" s="255">
        <f>+Reactivos_[[#This Row],[Cantidad RED LASE]]*Reactivos_[[#This Row],[Valor de referencia]]</f>
        <v>0</v>
      </c>
      <c r="AA204" s="254"/>
      <c r="AB204" s="255">
        <f>+Reactivos_[[#This Row],[Cantidad LANIA]]*Reactivos_[[#This Row],[Valor de referencia]]</f>
        <v>0</v>
      </c>
      <c r="AC204" s="254"/>
      <c r="AD204" s="255">
        <f>+Reactivos_[[#This Row],[Cantidad SPA]]*Reactivos_[[#This Row],[Valor de referencia]]</f>
        <v>0</v>
      </c>
      <c r="AE204" s="148" t="s">
        <v>76</v>
      </c>
      <c r="AF204" s="148" t="s">
        <v>77</v>
      </c>
    </row>
    <row r="205" spans="1:32" ht="25.5" x14ac:dyDescent="0.25">
      <c r="A205" s="294" t="str">
        <f>IF(B205=Reactivos_[[#This Row],[Cantidad LANIP]],"LANIP",IF(B205=Reactivos_[[#This Row],[Cantidad 
LDV]],"LDV",IF(B205=Reactivos_[[#This Row],[Cantidad LNDV]],"LNDV",IF(B205=Reactivos_[[#This Row],[GGCA]],"GGCA",IF(B205=Reactivos_[[#This Row],[Cantidad LDF]],"LDF",IF(Reactivos_[[#This Row],[Cantidad LDF&amp;MR]],"LDF&amp;MR",IF(B205=Reactivos_[[#This Row],[Cantidad RED LASE]],"LASE",IF(B205=Reactivos_[[#This Row],[Cantidad LANIA]],"LANIA",IF(B205=Reactivos_[[#This Row],[Cantidad SPA]],"SPA"," ")))))))))</f>
        <v>LDF</v>
      </c>
      <c r="B20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05" s="325">
        <v>203</v>
      </c>
      <c r="D205" s="326">
        <v>264</v>
      </c>
      <c r="E205" s="343" t="s">
        <v>612</v>
      </c>
      <c r="F205" s="332"/>
      <c r="G205" s="331"/>
      <c r="H205" s="333" t="s">
        <v>613</v>
      </c>
      <c r="I205" s="334" t="s">
        <v>614</v>
      </c>
      <c r="J20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05" s="160">
        <v>8071146</v>
      </c>
      <c r="L205" s="160">
        <f>+Reactivos_[[#This Row],[Cantidad]]*Reactivos_[[#This Row],[Valor de referencia]]</f>
        <v>8071146</v>
      </c>
      <c r="M205" s="254">
        <v>0</v>
      </c>
      <c r="N205" s="255">
        <f>+Reactivos_[[#This Row],[Valor de referencia]]*Reactivos_[[#This Row],[Cantidad LANIP]]</f>
        <v>0</v>
      </c>
      <c r="O205" s="256"/>
      <c r="P205" s="255">
        <f>+Reactivos_[[#This Row],[Cantidad 
LDV]]*Reactivos_[[#This Row],[Valor de referencia]]</f>
        <v>0</v>
      </c>
      <c r="Q205" s="257"/>
      <c r="R205" s="255">
        <f>+Reactivos_[[#This Row],[Cantidad LNDV]]*Reactivos_[[#This Row],[Valor de referencia]]</f>
        <v>0</v>
      </c>
      <c r="S205" s="148"/>
      <c r="T205" s="255">
        <f>+Reactivos_[[#This Row],[GGCA]]*Reactivos_[[#This Row],[Valor de referencia]]</f>
        <v>0</v>
      </c>
      <c r="U205" s="254">
        <v>1</v>
      </c>
      <c r="V205" s="255">
        <f>+Reactivos_[[#This Row],[Cantidad LDF]]*Reactivos_[[#This Row],[Valor de referencia]]</f>
        <v>8071146</v>
      </c>
      <c r="W205" s="254"/>
      <c r="X205" s="255">
        <f>+Reactivos_[[#This Row],[Cantidad LDF&amp;MR]]*Reactivos_[[#This Row],[Valor de referencia]]</f>
        <v>0</v>
      </c>
      <c r="Y205" s="254"/>
      <c r="Z205" s="255">
        <f>+Reactivos_[[#This Row],[Cantidad RED LASE]]*Reactivos_[[#This Row],[Valor de referencia]]</f>
        <v>0</v>
      </c>
      <c r="AA205" s="254"/>
      <c r="AB205" s="255">
        <f>+Reactivos_[[#This Row],[Cantidad LANIA]]*Reactivos_[[#This Row],[Valor de referencia]]</f>
        <v>0</v>
      </c>
      <c r="AC205" s="254"/>
      <c r="AD205" s="255">
        <f>+Reactivos_[[#This Row],[Cantidad SPA]]*Reactivos_[[#This Row],[Valor de referencia]]</f>
        <v>0</v>
      </c>
      <c r="AE205" s="148" t="s">
        <v>76</v>
      </c>
      <c r="AF205" s="148" t="s">
        <v>77</v>
      </c>
    </row>
    <row r="206" spans="1:32" ht="78" customHeight="1" x14ac:dyDescent="0.25">
      <c r="A206" s="294" t="str">
        <f>IF(B206=Reactivos_[[#This Row],[Cantidad LANIP]],"LANIP",IF(B206=Reactivos_[[#This Row],[Cantidad 
LDV]],"LDV",IF(B206=Reactivos_[[#This Row],[Cantidad LNDV]],"LNDV",IF(B206=Reactivos_[[#This Row],[GGCA]],"GGCA",IF(B206=Reactivos_[[#This Row],[Cantidad LDF]],"LDF",IF(Reactivos_[[#This Row],[Cantidad LDF&amp;MR]],"LDF&amp;MR",IF(B206=Reactivos_[[#This Row],[Cantidad RED LASE]],"LASE",IF(B206=Reactivos_[[#This Row],[Cantidad LANIA]],"LANIA",IF(B206=Reactivos_[[#This Row],[Cantidad SPA]],"SPA"," ")))))))))</f>
        <v>LNDV</v>
      </c>
      <c r="B20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06" s="325">
        <v>204</v>
      </c>
      <c r="D206" s="326">
        <v>266</v>
      </c>
      <c r="E206" s="331" t="s">
        <v>615</v>
      </c>
      <c r="F206" s="332"/>
      <c r="G206" s="331"/>
      <c r="H206" s="348" t="s">
        <v>616</v>
      </c>
      <c r="I206" s="353" t="s">
        <v>571</v>
      </c>
      <c r="J20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06" s="160">
        <v>787979</v>
      </c>
      <c r="L206" s="160">
        <f>+Reactivos_[[#This Row],[Cantidad]]*Reactivos_[[#This Row],[Valor de referencia]]</f>
        <v>2363937</v>
      </c>
      <c r="M206" s="254">
        <v>0</v>
      </c>
      <c r="N206" s="255">
        <f>+Reactivos_[[#This Row],[Valor de referencia]]*Reactivos_[[#This Row],[Cantidad LANIP]]</f>
        <v>0</v>
      </c>
      <c r="O206" s="256"/>
      <c r="P206" s="255">
        <f>+Reactivos_[[#This Row],[Cantidad 
LDV]]*Reactivos_[[#This Row],[Valor de referencia]]</f>
        <v>0</v>
      </c>
      <c r="Q206" s="257">
        <v>2</v>
      </c>
      <c r="R206" s="255">
        <f>+Reactivos_[[#This Row],[Cantidad LNDV]]*Reactivos_[[#This Row],[Valor de referencia]]</f>
        <v>1575958</v>
      </c>
      <c r="S206" s="148"/>
      <c r="T206" s="255">
        <f>+Reactivos_[[#This Row],[GGCA]]*Reactivos_[[#This Row],[Valor de referencia]]</f>
        <v>0</v>
      </c>
      <c r="U206" s="254"/>
      <c r="V206" s="255">
        <f>+Reactivos_[[#This Row],[Cantidad LDF]]*Reactivos_[[#This Row],[Valor de referencia]]</f>
        <v>0</v>
      </c>
      <c r="W206" s="254"/>
      <c r="X206" s="255">
        <f>+Reactivos_[[#This Row],[Cantidad LDF&amp;MR]]*Reactivos_[[#This Row],[Valor de referencia]]</f>
        <v>0</v>
      </c>
      <c r="Y206" s="254"/>
      <c r="Z206" s="255">
        <f>+Reactivos_[[#This Row],[Cantidad RED LASE]]*Reactivos_[[#This Row],[Valor de referencia]]</f>
        <v>0</v>
      </c>
      <c r="AA206" s="254">
        <v>1</v>
      </c>
      <c r="AB206" s="255">
        <f>+Reactivos_[[#This Row],[Cantidad LANIA]]*Reactivos_[[#This Row],[Valor de referencia]]</f>
        <v>787979</v>
      </c>
      <c r="AC206" s="254"/>
      <c r="AD206" s="255">
        <f>+Reactivos_[[#This Row],[Cantidad SPA]]*Reactivos_[[#This Row],[Valor de referencia]]</f>
        <v>0</v>
      </c>
      <c r="AE206" s="148" t="s">
        <v>76</v>
      </c>
      <c r="AF206" s="148" t="s">
        <v>77</v>
      </c>
    </row>
    <row r="207" spans="1:32" ht="71.25" customHeight="1" x14ac:dyDescent="0.25">
      <c r="A207" s="294" t="str">
        <f>IF(B207=Reactivos_[[#This Row],[Cantidad LANIP]],"LANIP",IF(B207=Reactivos_[[#This Row],[Cantidad 
LDV]],"LDV",IF(B207=Reactivos_[[#This Row],[Cantidad LNDV]],"LNDV",IF(B207=Reactivos_[[#This Row],[GGCA]],"GGCA",IF(B207=Reactivos_[[#This Row],[Cantidad LDF]],"LDF",IF(Reactivos_[[#This Row],[Cantidad LDF&amp;MR]],"LDF&amp;MR",IF(B207=Reactivos_[[#This Row],[Cantidad RED LASE]],"LASE",IF(B207=Reactivos_[[#This Row],[Cantidad LANIA]],"LANIA",IF(B207=Reactivos_[[#This Row],[Cantidad SPA]],"SPA"," ")))))))))</f>
        <v>LANIA</v>
      </c>
      <c r="B20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07" s="325">
        <v>205</v>
      </c>
      <c r="D207" s="326">
        <v>267</v>
      </c>
      <c r="E207" s="359" t="s">
        <v>617</v>
      </c>
      <c r="F207" s="244"/>
      <c r="G207" s="245"/>
      <c r="H207" s="346" t="s">
        <v>587</v>
      </c>
      <c r="I207" s="347" t="s">
        <v>618</v>
      </c>
      <c r="J20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07" s="160">
        <v>575960</v>
      </c>
      <c r="L207" s="160">
        <f>+Reactivos_[[#This Row],[Cantidad]]*Reactivos_[[#This Row],[Valor de referencia]]</f>
        <v>575960</v>
      </c>
      <c r="M207" s="254">
        <v>0</v>
      </c>
      <c r="N207" s="255">
        <f>+Reactivos_[[#This Row],[Valor de referencia]]*Reactivos_[[#This Row],[Cantidad LANIP]]</f>
        <v>0</v>
      </c>
      <c r="O207" s="256"/>
      <c r="P207" s="255">
        <f>+Reactivos_[[#This Row],[Cantidad 
LDV]]*Reactivos_[[#This Row],[Valor de referencia]]</f>
        <v>0</v>
      </c>
      <c r="Q207" s="257"/>
      <c r="R207" s="255">
        <f>+Reactivos_[[#This Row],[Cantidad LNDV]]*Reactivos_[[#This Row],[Valor de referencia]]</f>
        <v>0</v>
      </c>
      <c r="S207" s="148"/>
      <c r="T207" s="255">
        <f>+Reactivos_[[#This Row],[GGCA]]*Reactivos_[[#This Row],[Valor de referencia]]</f>
        <v>0</v>
      </c>
      <c r="U207" s="254"/>
      <c r="V207" s="255">
        <f>+Reactivos_[[#This Row],[Cantidad LDF]]*Reactivos_[[#This Row],[Valor de referencia]]</f>
        <v>0</v>
      </c>
      <c r="W207" s="254"/>
      <c r="X207" s="255">
        <f>+Reactivos_[[#This Row],[Cantidad LDF&amp;MR]]*Reactivos_[[#This Row],[Valor de referencia]]</f>
        <v>0</v>
      </c>
      <c r="Y207" s="254"/>
      <c r="Z207" s="255">
        <f>+Reactivos_[[#This Row],[Cantidad RED LASE]]*Reactivos_[[#This Row],[Valor de referencia]]</f>
        <v>0</v>
      </c>
      <c r="AA207" s="254">
        <v>1</v>
      </c>
      <c r="AB207" s="255">
        <f>+Reactivos_[[#This Row],[Cantidad LANIA]]*Reactivos_[[#This Row],[Valor de referencia]]</f>
        <v>575960</v>
      </c>
      <c r="AC207" s="254"/>
      <c r="AD207" s="255">
        <f>+Reactivos_[[#This Row],[Cantidad SPA]]*Reactivos_[[#This Row],[Valor de referencia]]</f>
        <v>0</v>
      </c>
      <c r="AE207" s="148" t="s">
        <v>76</v>
      </c>
      <c r="AF207" s="148" t="s">
        <v>77</v>
      </c>
    </row>
    <row r="208" spans="1:32" ht="49.5" customHeight="1" x14ac:dyDescent="0.25">
      <c r="A208" s="294" t="str">
        <f>IF(B208=Reactivos_[[#This Row],[Cantidad LANIP]],"LANIP",IF(B208=Reactivos_[[#This Row],[Cantidad 
LDV]],"LDV",IF(B208=Reactivos_[[#This Row],[Cantidad LNDV]],"LNDV",IF(B208=Reactivos_[[#This Row],[GGCA]],"GGCA",IF(B208=Reactivos_[[#This Row],[Cantidad LDF]],"LDF",IF(Reactivos_[[#This Row],[Cantidad LDF&amp;MR]],"LDF&amp;MR",IF(B208=Reactivos_[[#This Row],[Cantidad RED LASE]],"LASE",IF(B208=Reactivos_[[#This Row],[Cantidad LANIA]],"LANIA",IF(B208=Reactivos_[[#This Row],[Cantidad SPA]],"SPA"," ")))))))))</f>
        <v>LNDV</v>
      </c>
      <c r="B20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08" s="325">
        <v>206</v>
      </c>
      <c r="D208" s="326">
        <v>268</v>
      </c>
      <c r="E208" s="343" t="s">
        <v>619</v>
      </c>
      <c r="F208" s="332"/>
      <c r="G208" s="331"/>
      <c r="H208" s="348" t="s">
        <v>620</v>
      </c>
      <c r="I208" s="353" t="s">
        <v>571</v>
      </c>
      <c r="J20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08" s="160">
        <v>1185439</v>
      </c>
      <c r="L208" s="160">
        <f>+Reactivos_[[#This Row],[Cantidad]]*Reactivos_[[#This Row],[Valor de referencia]]</f>
        <v>1185439</v>
      </c>
      <c r="M208" s="254">
        <v>0</v>
      </c>
      <c r="N208" s="255">
        <f>+Reactivos_[[#This Row],[Valor de referencia]]*Reactivos_[[#This Row],[Cantidad LANIP]]</f>
        <v>0</v>
      </c>
      <c r="O208" s="256"/>
      <c r="P208" s="255">
        <f>+Reactivos_[[#This Row],[Cantidad 
LDV]]*Reactivos_[[#This Row],[Valor de referencia]]</f>
        <v>0</v>
      </c>
      <c r="Q208" s="257">
        <v>1</v>
      </c>
      <c r="R208" s="255">
        <f>+Reactivos_[[#This Row],[Cantidad LNDV]]*Reactivos_[[#This Row],[Valor de referencia]]</f>
        <v>1185439</v>
      </c>
      <c r="S208" s="148"/>
      <c r="T208" s="255">
        <f>+Reactivos_[[#This Row],[GGCA]]*Reactivos_[[#This Row],[Valor de referencia]]</f>
        <v>0</v>
      </c>
      <c r="U208" s="254"/>
      <c r="V208" s="255">
        <f>+Reactivos_[[#This Row],[Cantidad LDF]]*Reactivos_[[#This Row],[Valor de referencia]]</f>
        <v>0</v>
      </c>
      <c r="W208" s="254"/>
      <c r="X208" s="255">
        <f>+Reactivos_[[#This Row],[Cantidad LDF&amp;MR]]*Reactivos_[[#This Row],[Valor de referencia]]</f>
        <v>0</v>
      </c>
      <c r="Y208" s="254"/>
      <c r="Z208" s="255">
        <f>+Reactivos_[[#This Row],[Cantidad RED LASE]]*Reactivos_[[#This Row],[Valor de referencia]]</f>
        <v>0</v>
      </c>
      <c r="AA208" s="254"/>
      <c r="AB208" s="255">
        <f>+Reactivos_[[#This Row],[Cantidad LANIA]]*Reactivos_[[#This Row],[Valor de referencia]]</f>
        <v>0</v>
      </c>
      <c r="AC208" s="254"/>
      <c r="AD208" s="255">
        <f>+Reactivos_[[#This Row],[Cantidad SPA]]*Reactivos_[[#This Row],[Valor de referencia]]</f>
        <v>0</v>
      </c>
      <c r="AE208" s="148" t="s">
        <v>76</v>
      </c>
      <c r="AF208" s="148" t="s">
        <v>77</v>
      </c>
    </row>
    <row r="209" spans="1:32" ht="31.5" customHeight="1" x14ac:dyDescent="0.25">
      <c r="A209" s="294" t="str">
        <f>IF(B209=Reactivos_[[#This Row],[Cantidad LANIP]],"LANIP",IF(B209=Reactivos_[[#This Row],[Cantidad 
LDV]],"LDV",IF(B209=Reactivos_[[#This Row],[Cantidad LNDV]],"LNDV",IF(B209=Reactivos_[[#This Row],[GGCA]],"GGCA",IF(B209=Reactivos_[[#This Row],[Cantidad LDF]],"LDF",IF(Reactivos_[[#This Row],[Cantidad LDF&amp;MR]],"LDF&amp;MR",IF(B209=Reactivos_[[#This Row],[Cantidad RED LASE]],"LASE",IF(B209=Reactivos_[[#This Row],[Cantidad LANIA]],"LANIA",IF(B209=Reactivos_[[#This Row],[Cantidad SPA]],"SPA"," ")))))))))</f>
        <v>LANIP</v>
      </c>
      <c r="B20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09" s="325">
        <v>207</v>
      </c>
      <c r="D209" s="326">
        <v>269</v>
      </c>
      <c r="E209" s="245" t="s">
        <v>621</v>
      </c>
      <c r="F209" s="244"/>
      <c r="G209" s="245"/>
      <c r="H209" s="335" t="s">
        <v>622</v>
      </c>
      <c r="I209" s="353" t="s">
        <v>571</v>
      </c>
      <c r="J20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09" s="160">
        <v>977387</v>
      </c>
      <c r="L209" s="160">
        <f>+Reactivos_[[#This Row],[Cantidad]]*Reactivos_[[#This Row],[Valor de referencia]]</f>
        <v>977387</v>
      </c>
      <c r="M209" s="254">
        <v>1</v>
      </c>
      <c r="N209" s="255">
        <f>+Reactivos_[[#This Row],[Valor de referencia]]*Reactivos_[[#This Row],[Cantidad LANIP]]</f>
        <v>977387</v>
      </c>
      <c r="O209" s="256"/>
      <c r="P209" s="255">
        <f>+Reactivos_[[#This Row],[Cantidad 
LDV]]*Reactivos_[[#This Row],[Valor de referencia]]</f>
        <v>0</v>
      </c>
      <c r="Q209" s="257"/>
      <c r="R209" s="255">
        <f>+Reactivos_[[#This Row],[Cantidad LNDV]]*Reactivos_[[#This Row],[Valor de referencia]]</f>
        <v>0</v>
      </c>
      <c r="S209" s="148"/>
      <c r="T209" s="255">
        <f>+Reactivos_[[#This Row],[GGCA]]*Reactivos_[[#This Row],[Valor de referencia]]</f>
        <v>0</v>
      </c>
      <c r="U209" s="254"/>
      <c r="V209" s="255">
        <f>+Reactivos_[[#This Row],[Cantidad LDF]]*Reactivos_[[#This Row],[Valor de referencia]]</f>
        <v>0</v>
      </c>
      <c r="W209" s="254"/>
      <c r="X209" s="255">
        <f>+Reactivos_[[#This Row],[Cantidad LDF&amp;MR]]*Reactivos_[[#This Row],[Valor de referencia]]</f>
        <v>0</v>
      </c>
      <c r="Y209" s="254"/>
      <c r="Z209" s="255">
        <f>+Reactivos_[[#This Row],[Cantidad RED LASE]]*Reactivos_[[#This Row],[Valor de referencia]]</f>
        <v>0</v>
      </c>
      <c r="AA209" s="254"/>
      <c r="AB209" s="255">
        <f>+Reactivos_[[#This Row],[Cantidad LANIA]]*Reactivos_[[#This Row],[Valor de referencia]]</f>
        <v>0</v>
      </c>
      <c r="AC209" s="254"/>
      <c r="AD209" s="255">
        <f>+Reactivos_[[#This Row],[Cantidad SPA]]*Reactivos_[[#This Row],[Valor de referencia]]</f>
        <v>0</v>
      </c>
      <c r="AE209" s="148" t="s">
        <v>76</v>
      </c>
      <c r="AF209" s="148" t="s">
        <v>77</v>
      </c>
    </row>
    <row r="210" spans="1:32" ht="25.5" x14ac:dyDescent="0.25">
      <c r="A210" s="294" t="str">
        <f>IF(B210=Reactivos_[[#This Row],[Cantidad LANIP]],"LANIP",IF(B210=Reactivos_[[#This Row],[Cantidad 
LDV]],"LDV",IF(B210=Reactivos_[[#This Row],[Cantidad LNDV]],"LNDV",IF(B210=Reactivos_[[#This Row],[GGCA]],"GGCA",IF(B210=Reactivos_[[#This Row],[Cantidad LDF]],"LDF",IF(Reactivos_[[#This Row],[Cantidad LDF&amp;MR]],"LDF&amp;MR",IF(B210=Reactivos_[[#This Row],[Cantidad RED LASE]],"LASE",IF(B210=Reactivos_[[#This Row],[Cantidad LANIA]],"LANIA",IF(B210=Reactivos_[[#This Row],[Cantidad SPA]],"SPA"," ")))))))))</f>
        <v>LANIP</v>
      </c>
      <c r="B21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10" s="325">
        <v>208</v>
      </c>
      <c r="D210" s="326">
        <v>270</v>
      </c>
      <c r="E210" s="245" t="s">
        <v>623</v>
      </c>
      <c r="F210" s="244"/>
      <c r="G210" s="245"/>
      <c r="H210" s="335" t="s">
        <v>624</v>
      </c>
      <c r="I210" s="353" t="s">
        <v>571</v>
      </c>
      <c r="J21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10" s="160">
        <v>844503</v>
      </c>
      <c r="L210" s="160">
        <f>+Reactivos_[[#This Row],[Cantidad]]*Reactivos_[[#This Row],[Valor de referencia]]</f>
        <v>844503</v>
      </c>
      <c r="M210" s="254">
        <v>1</v>
      </c>
      <c r="N210" s="255">
        <f>+Reactivos_[[#This Row],[Valor de referencia]]*Reactivos_[[#This Row],[Cantidad LANIP]]</f>
        <v>844503</v>
      </c>
      <c r="O210" s="256"/>
      <c r="P210" s="255">
        <f>+Reactivos_[[#This Row],[Cantidad 
LDV]]*Reactivos_[[#This Row],[Valor de referencia]]</f>
        <v>0</v>
      </c>
      <c r="Q210" s="257"/>
      <c r="R210" s="255">
        <f>+Reactivos_[[#This Row],[Cantidad LNDV]]*Reactivos_[[#This Row],[Valor de referencia]]</f>
        <v>0</v>
      </c>
      <c r="S210" s="148"/>
      <c r="T210" s="255">
        <f>+Reactivos_[[#This Row],[GGCA]]*Reactivos_[[#This Row],[Valor de referencia]]</f>
        <v>0</v>
      </c>
      <c r="U210" s="254"/>
      <c r="V210" s="255">
        <f>+Reactivos_[[#This Row],[Cantidad LDF]]*Reactivos_[[#This Row],[Valor de referencia]]</f>
        <v>0</v>
      </c>
      <c r="W210" s="254"/>
      <c r="X210" s="255">
        <f>+Reactivos_[[#This Row],[Cantidad LDF&amp;MR]]*Reactivos_[[#This Row],[Valor de referencia]]</f>
        <v>0</v>
      </c>
      <c r="Y210" s="254"/>
      <c r="Z210" s="255">
        <f>+Reactivos_[[#This Row],[Cantidad RED LASE]]*Reactivos_[[#This Row],[Valor de referencia]]</f>
        <v>0</v>
      </c>
      <c r="AA210" s="254"/>
      <c r="AB210" s="255">
        <f>+Reactivos_[[#This Row],[Cantidad LANIA]]*Reactivos_[[#This Row],[Valor de referencia]]</f>
        <v>0</v>
      </c>
      <c r="AC210" s="254"/>
      <c r="AD210" s="255">
        <f>+Reactivos_[[#This Row],[Cantidad SPA]]*Reactivos_[[#This Row],[Valor de referencia]]</f>
        <v>0</v>
      </c>
      <c r="AE210" s="148" t="s">
        <v>76</v>
      </c>
      <c r="AF210" s="148" t="s">
        <v>77</v>
      </c>
    </row>
    <row r="211" spans="1:32" ht="33.75" customHeight="1" x14ac:dyDescent="0.25">
      <c r="A211" s="294" t="str">
        <f>IF(B211=Reactivos_[[#This Row],[Cantidad LANIP]],"LANIP",IF(B211=Reactivos_[[#This Row],[Cantidad 
LDV]],"LDV",IF(B211=Reactivos_[[#This Row],[Cantidad LNDV]],"LNDV",IF(B211=Reactivos_[[#This Row],[GGCA]],"GGCA",IF(B211=Reactivos_[[#This Row],[Cantidad LDF]],"LDF",IF(Reactivos_[[#This Row],[Cantidad LDF&amp;MR]],"LDF&amp;MR",IF(B211=Reactivos_[[#This Row],[Cantidad RED LASE]],"LASE",IF(B211=Reactivos_[[#This Row],[Cantidad LANIA]],"LANIA",IF(B211=Reactivos_[[#This Row],[Cantidad SPA]],"SPA"," ")))))))))</f>
        <v>LNDV</v>
      </c>
      <c r="B21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11" s="325">
        <v>209</v>
      </c>
      <c r="D211" s="326">
        <v>271</v>
      </c>
      <c r="E211" s="359" t="s">
        <v>625</v>
      </c>
      <c r="F211" s="244"/>
      <c r="G211" s="245"/>
      <c r="H211" s="346" t="s">
        <v>626</v>
      </c>
      <c r="I211" s="353" t="s">
        <v>571</v>
      </c>
      <c r="J21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11" s="160">
        <v>4420850</v>
      </c>
      <c r="L211" s="160">
        <f>+Reactivos_[[#This Row],[Cantidad]]*Reactivos_[[#This Row],[Valor de referencia]]</f>
        <v>4420850</v>
      </c>
      <c r="M211" s="254">
        <v>0</v>
      </c>
      <c r="N211" s="255">
        <f>+Reactivos_[[#This Row],[Valor de referencia]]*Reactivos_[[#This Row],[Cantidad LANIP]]</f>
        <v>0</v>
      </c>
      <c r="O211" s="256"/>
      <c r="P211" s="255">
        <f>+Reactivos_[[#This Row],[Cantidad 
LDV]]*Reactivos_[[#This Row],[Valor de referencia]]</f>
        <v>0</v>
      </c>
      <c r="Q211" s="257">
        <v>1</v>
      </c>
      <c r="R211" s="255">
        <f>+Reactivos_[[#This Row],[Cantidad LNDV]]*Reactivos_[[#This Row],[Valor de referencia]]</f>
        <v>4420850</v>
      </c>
      <c r="S211" s="148"/>
      <c r="T211" s="255">
        <f>+Reactivos_[[#This Row],[GGCA]]*Reactivos_[[#This Row],[Valor de referencia]]</f>
        <v>0</v>
      </c>
      <c r="U211" s="254"/>
      <c r="V211" s="255">
        <f>+Reactivos_[[#This Row],[Cantidad LDF]]*Reactivos_[[#This Row],[Valor de referencia]]</f>
        <v>0</v>
      </c>
      <c r="W211" s="254"/>
      <c r="X211" s="255">
        <f>+Reactivos_[[#This Row],[Cantidad LDF&amp;MR]]*Reactivos_[[#This Row],[Valor de referencia]]</f>
        <v>0</v>
      </c>
      <c r="Y211" s="254"/>
      <c r="Z211" s="255">
        <f>+Reactivos_[[#This Row],[Cantidad RED LASE]]*Reactivos_[[#This Row],[Valor de referencia]]</f>
        <v>0</v>
      </c>
      <c r="AA211" s="254"/>
      <c r="AB211" s="255">
        <f>+Reactivos_[[#This Row],[Cantidad LANIA]]*Reactivos_[[#This Row],[Valor de referencia]]</f>
        <v>0</v>
      </c>
      <c r="AC211" s="254"/>
      <c r="AD211" s="255">
        <f>+Reactivos_[[#This Row],[Cantidad SPA]]*Reactivos_[[#This Row],[Valor de referencia]]</f>
        <v>0</v>
      </c>
      <c r="AE211" s="148" t="s">
        <v>76</v>
      </c>
      <c r="AF211" s="148" t="s">
        <v>77</v>
      </c>
    </row>
    <row r="212" spans="1:32" ht="25.5" x14ac:dyDescent="0.25">
      <c r="A212" s="294" t="str">
        <f>IF(B212=Reactivos_[[#This Row],[Cantidad LANIP]],"LANIP",IF(B212=Reactivos_[[#This Row],[Cantidad 
LDV]],"LDV",IF(B212=Reactivos_[[#This Row],[Cantidad LNDV]],"LNDV",IF(B212=Reactivos_[[#This Row],[GGCA]],"GGCA",IF(B212=Reactivos_[[#This Row],[Cantidad LDF]],"LDF",IF(Reactivos_[[#This Row],[Cantidad LDF&amp;MR]],"LDF&amp;MR",IF(B212=Reactivos_[[#This Row],[Cantidad RED LASE]],"LASE",IF(B212=Reactivos_[[#This Row],[Cantidad LANIA]],"LANIA",IF(B212=Reactivos_[[#This Row],[Cantidad SPA]],"SPA"," ")))))))))</f>
        <v>LNDV</v>
      </c>
      <c r="B21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12" s="325">
        <v>210</v>
      </c>
      <c r="D212" s="326">
        <v>272</v>
      </c>
      <c r="E212" s="331" t="s">
        <v>627</v>
      </c>
      <c r="F212" s="332"/>
      <c r="G212" s="331"/>
      <c r="H212" s="348" t="s">
        <v>628</v>
      </c>
      <c r="I212" s="334" t="s">
        <v>602</v>
      </c>
      <c r="J21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12" s="160">
        <v>512880</v>
      </c>
      <c r="L212" s="160">
        <f>+Reactivos_[[#This Row],[Cantidad]]*Reactivos_[[#This Row],[Valor de referencia]]</f>
        <v>1025760</v>
      </c>
      <c r="M212" s="254">
        <v>0</v>
      </c>
      <c r="N212" s="255">
        <f>+Reactivos_[[#This Row],[Valor de referencia]]*Reactivos_[[#This Row],[Cantidad LANIP]]</f>
        <v>0</v>
      </c>
      <c r="O212" s="256"/>
      <c r="P212" s="255">
        <f>+Reactivos_[[#This Row],[Cantidad 
LDV]]*Reactivos_[[#This Row],[Valor de referencia]]</f>
        <v>0</v>
      </c>
      <c r="Q212" s="257">
        <v>2</v>
      </c>
      <c r="R212" s="255">
        <f>+Reactivos_[[#This Row],[Cantidad LNDV]]*Reactivos_[[#This Row],[Valor de referencia]]</f>
        <v>1025760</v>
      </c>
      <c r="S212" s="148"/>
      <c r="T212" s="255">
        <f>+Reactivos_[[#This Row],[GGCA]]*Reactivos_[[#This Row],[Valor de referencia]]</f>
        <v>0</v>
      </c>
      <c r="U212" s="254"/>
      <c r="V212" s="255">
        <f>+Reactivos_[[#This Row],[Cantidad LDF]]*Reactivos_[[#This Row],[Valor de referencia]]</f>
        <v>0</v>
      </c>
      <c r="W212" s="254"/>
      <c r="X212" s="255">
        <f>+Reactivos_[[#This Row],[Cantidad LDF&amp;MR]]*Reactivos_[[#This Row],[Valor de referencia]]</f>
        <v>0</v>
      </c>
      <c r="Y212" s="254"/>
      <c r="Z212" s="255">
        <f>+Reactivos_[[#This Row],[Cantidad RED LASE]]*Reactivos_[[#This Row],[Valor de referencia]]</f>
        <v>0</v>
      </c>
      <c r="AA212" s="254"/>
      <c r="AB212" s="255">
        <f>+Reactivos_[[#This Row],[Cantidad LANIA]]*Reactivos_[[#This Row],[Valor de referencia]]</f>
        <v>0</v>
      </c>
      <c r="AC212" s="254"/>
      <c r="AD212" s="255">
        <f>+Reactivos_[[#This Row],[Cantidad SPA]]*Reactivos_[[#This Row],[Valor de referencia]]</f>
        <v>0</v>
      </c>
      <c r="AE212" s="148" t="s">
        <v>76</v>
      </c>
      <c r="AF212" s="148" t="s">
        <v>101</v>
      </c>
    </row>
    <row r="213" spans="1:32" ht="33.75" customHeight="1" x14ac:dyDescent="0.25">
      <c r="A213" s="294" t="str">
        <f>IF(B213=Reactivos_[[#This Row],[Cantidad LANIP]],"LANIP",IF(B213=Reactivos_[[#This Row],[Cantidad 
LDV]],"LDV",IF(B213=Reactivos_[[#This Row],[Cantidad LNDV]],"LNDV",IF(B213=Reactivos_[[#This Row],[GGCA]],"GGCA",IF(B213=Reactivos_[[#This Row],[Cantidad LDF]],"LDF",IF(Reactivos_[[#This Row],[Cantidad LDF&amp;MR]],"LDF&amp;MR",IF(B213=Reactivos_[[#This Row],[Cantidad RED LASE]],"LASE",IF(B213=Reactivos_[[#This Row],[Cantidad LANIA]],"LANIA",IF(B213=Reactivos_[[#This Row],[Cantidad SPA]],"SPA"," ")))))))))</f>
        <v>LNDV</v>
      </c>
      <c r="B21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13" s="325">
        <v>211</v>
      </c>
      <c r="D213" s="326">
        <v>273</v>
      </c>
      <c r="E213" s="331" t="s">
        <v>629</v>
      </c>
      <c r="F213" s="332"/>
      <c r="G213" s="331"/>
      <c r="H213" s="348" t="s">
        <v>630</v>
      </c>
      <c r="I213" s="334" t="s">
        <v>602</v>
      </c>
      <c r="J21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13" s="160">
        <v>512880</v>
      </c>
      <c r="L213" s="160">
        <f>+Reactivos_[[#This Row],[Cantidad]]*Reactivos_[[#This Row],[Valor de referencia]]</f>
        <v>1025760</v>
      </c>
      <c r="M213" s="254">
        <v>0</v>
      </c>
      <c r="N213" s="255">
        <f>+Reactivos_[[#This Row],[Valor de referencia]]*Reactivos_[[#This Row],[Cantidad LANIP]]</f>
        <v>0</v>
      </c>
      <c r="O213" s="256"/>
      <c r="P213" s="255">
        <f>+Reactivos_[[#This Row],[Cantidad 
LDV]]*Reactivos_[[#This Row],[Valor de referencia]]</f>
        <v>0</v>
      </c>
      <c r="Q213" s="257">
        <v>2</v>
      </c>
      <c r="R213" s="255">
        <f>+Reactivos_[[#This Row],[Cantidad LNDV]]*Reactivos_[[#This Row],[Valor de referencia]]</f>
        <v>1025760</v>
      </c>
      <c r="S213" s="148"/>
      <c r="T213" s="255">
        <f>+Reactivos_[[#This Row],[GGCA]]*Reactivos_[[#This Row],[Valor de referencia]]</f>
        <v>0</v>
      </c>
      <c r="U213" s="254"/>
      <c r="V213" s="255">
        <f>+Reactivos_[[#This Row],[Cantidad LDF]]*Reactivos_[[#This Row],[Valor de referencia]]</f>
        <v>0</v>
      </c>
      <c r="W213" s="254"/>
      <c r="X213" s="255">
        <f>+Reactivos_[[#This Row],[Cantidad LDF&amp;MR]]*Reactivos_[[#This Row],[Valor de referencia]]</f>
        <v>0</v>
      </c>
      <c r="Y213" s="254"/>
      <c r="Z213" s="255">
        <f>+Reactivos_[[#This Row],[Cantidad RED LASE]]*Reactivos_[[#This Row],[Valor de referencia]]</f>
        <v>0</v>
      </c>
      <c r="AA213" s="254"/>
      <c r="AB213" s="255">
        <f>+Reactivos_[[#This Row],[Cantidad LANIA]]*Reactivos_[[#This Row],[Valor de referencia]]</f>
        <v>0</v>
      </c>
      <c r="AC213" s="254"/>
      <c r="AD213" s="255">
        <f>+Reactivos_[[#This Row],[Cantidad SPA]]*Reactivos_[[#This Row],[Valor de referencia]]</f>
        <v>0</v>
      </c>
      <c r="AE213" s="148" t="s">
        <v>76</v>
      </c>
      <c r="AF213" s="148" t="s">
        <v>101</v>
      </c>
    </row>
    <row r="214" spans="1:32" ht="25.5" x14ac:dyDescent="0.25">
      <c r="A214" s="294" t="str">
        <f>IF(B214=Reactivos_[[#This Row],[Cantidad LANIP]],"LANIP",IF(B214=Reactivos_[[#This Row],[Cantidad 
LDV]],"LDV",IF(B214=Reactivos_[[#This Row],[Cantidad LNDV]],"LNDV",IF(B214=Reactivos_[[#This Row],[GGCA]],"GGCA",IF(B214=Reactivos_[[#This Row],[Cantidad LDF]],"LDF",IF(Reactivos_[[#This Row],[Cantidad LDF&amp;MR]],"LDF&amp;MR",IF(B214=Reactivos_[[#This Row],[Cantidad RED LASE]],"LASE",IF(B214=Reactivos_[[#This Row],[Cantidad LANIA]],"LANIA",IF(B214=Reactivos_[[#This Row],[Cantidad SPA]],"SPA"," ")))))))))</f>
        <v>LDF&amp;MR</v>
      </c>
      <c r="B21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14" s="325">
        <v>212</v>
      </c>
      <c r="D214" s="326">
        <v>274</v>
      </c>
      <c r="E214" s="331" t="s">
        <v>631</v>
      </c>
      <c r="F214" s="332"/>
      <c r="G214" s="331"/>
      <c r="H214" s="348" t="s">
        <v>632</v>
      </c>
      <c r="I214" s="334" t="s">
        <v>334</v>
      </c>
      <c r="J21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14" s="160">
        <v>686650</v>
      </c>
      <c r="L214" s="160">
        <f>+Reactivos_[[#This Row],[Cantidad]]*Reactivos_[[#This Row],[Valor de referencia]]</f>
        <v>1373300</v>
      </c>
      <c r="M214" s="254">
        <v>0</v>
      </c>
      <c r="N214" s="255">
        <f>+Reactivos_[[#This Row],[Valor de referencia]]*Reactivos_[[#This Row],[Cantidad LANIP]]</f>
        <v>0</v>
      </c>
      <c r="O214" s="256"/>
      <c r="P214" s="255">
        <f>+Reactivos_[[#This Row],[Cantidad 
LDV]]*Reactivos_[[#This Row],[Valor de referencia]]</f>
        <v>0</v>
      </c>
      <c r="Q214" s="257"/>
      <c r="R214" s="255">
        <f>+Reactivos_[[#This Row],[Cantidad LNDV]]*Reactivos_[[#This Row],[Valor de referencia]]</f>
        <v>0</v>
      </c>
      <c r="S214" s="148"/>
      <c r="T214" s="255">
        <f>+Reactivos_[[#This Row],[GGCA]]*Reactivos_[[#This Row],[Valor de referencia]]</f>
        <v>0</v>
      </c>
      <c r="U214" s="254"/>
      <c r="V214" s="255">
        <f>+Reactivos_[[#This Row],[Cantidad LDF]]*Reactivos_[[#This Row],[Valor de referencia]]</f>
        <v>0</v>
      </c>
      <c r="W214" s="254">
        <v>2</v>
      </c>
      <c r="X214" s="255">
        <f>+Reactivos_[[#This Row],[Cantidad LDF&amp;MR]]*Reactivos_[[#This Row],[Valor de referencia]]</f>
        <v>1373300</v>
      </c>
      <c r="Y214" s="254"/>
      <c r="Z214" s="255">
        <f>+Reactivos_[[#This Row],[Cantidad RED LASE]]*Reactivos_[[#This Row],[Valor de referencia]]</f>
        <v>0</v>
      </c>
      <c r="AA214" s="254"/>
      <c r="AB214" s="255">
        <f>+Reactivos_[[#This Row],[Cantidad LANIA]]*Reactivos_[[#This Row],[Valor de referencia]]</f>
        <v>0</v>
      </c>
      <c r="AC214" s="254"/>
      <c r="AD214" s="255">
        <f>+Reactivos_[[#This Row],[Cantidad SPA]]*Reactivos_[[#This Row],[Valor de referencia]]</f>
        <v>0</v>
      </c>
      <c r="AE214" s="148" t="s">
        <v>76</v>
      </c>
      <c r="AF214" s="148" t="s">
        <v>77</v>
      </c>
    </row>
    <row r="215" spans="1:32" ht="22.5" customHeight="1" x14ac:dyDescent="0.25">
      <c r="A215" s="294" t="str">
        <f>IF(B215=Reactivos_[[#This Row],[Cantidad LANIP]],"LANIP",IF(B215=Reactivos_[[#This Row],[Cantidad 
LDV]],"LDV",IF(B215=Reactivos_[[#This Row],[Cantidad LNDV]],"LNDV",IF(B215=Reactivos_[[#This Row],[GGCA]],"GGCA",IF(B215=Reactivos_[[#This Row],[Cantidad LDF]],"LDF",IF(Reactivos_[[#This Row],[Cantidad LDF&amp;MR]],"LDF&amp;MR",IF(B215=Reactivos_[[#This Row],[Cantidad RED LASE]],"LASE",IF(B215=Reactivos_[[#This Row],[Cantidad LANIA]],"LANIA",IF(B215=Reactivos_[[#This Row],[Cantidad SPA]],"SPA"," ")))))))))</f>
        <v>LDF&amp;MR</v>
      </c>
      <c r="B21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15" s="325">
        <v>213</v>
      </c>
      <c r="D215" s="326">
        <v>275</v>
      </c>
      <c r="E215" s="331" t="s">
        <v>633</v>
      </c>
      <c r="F215" s="332"/>
      <c r="G215" s="331"/>
      <c r="H215" s="348" t="s">
        <v>634</v>
      </c>
      <c r="I215" s="334" t="s">
        <v>334</v>
      </c>
      <c r="J21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15" s="160">
        <v>959700</v>
      </c>
      <c r="L215" s="160">
        <f>+Reactivos_[[#This Row],[Cantidad]]*Reactivos_[[#This Row],[Valor de referencia]]</f>
        <v>2879100</v>
      </c>
      <c r="M215" s="254">
        <v>0</v>
      </c>
      <c r="N215" s="255">
        <f>+Reactivos_[[#This Row],[Valor de referencia]]*Reactivos_[[#This Row],[Cantidad LANIP]]</f>
        <v>0</v>
      </c>
      <c r="O215" s="256"/>
      <c r="P215" s="255">
        <f>+Reactivos_[[#This Row],[Cantidad 
LDV]]*Reactivos_[[#This Row],[Valor de referencia]]</f>
        <v>0</v>
      </c>
      <c r="Q215" s="257"/>
      <c r="R215" s="255">
        <f>+Reactivos_[[#This Row],[Cantidad LNDV]]*Reactivos_[[#This Row],[Valor de referencia]]</f>
        <v>0</v>
      </c>
      <c r="S215" s="148"/>
      <c r="T215" s="255">
        <f>+Reactivos_[[#This Row],[GGCA]]*Reactivos_[[#This Row],[Valor de referencia]]</f>
        <v>0</v>
      </c>
      <c r="U215" s="254">
        <v>1</v>
      </c>
      <c r="V215" s="255">
        <f>+Reactivos_[[#This Row],[Cantidad LDF]]*Reactivos_[[#This Row],[Valor de referencia]]</f>
        <v>959700</v>
      </c>
      <c r="W215" s="254">
        <v>2</v>
      </c>
      <c r="X215" s="255">
        <f>+Reactivos_[[#This Row],[Cantidad LDF&amp;MR]]*Reactivos_[[#This Row],[Valor de referencia]]</f>
        <v>1919400</v>
      </c>
      <c r="Y215" s="254"/>
      <c r="Z215" s="255">
        <f>+Reactivos_[[#This Row],[Cantidad RED LASE]]*Reactivos_[[#This Row],[Valor de referencia]]</f>
        <v>0</v>
      </c>
      <c r="AA215" s="254"/>
      <c r="AB215" s="255">
        <f>+Reactivos_[[#This Row],[Cantidad LANIA]]*Reactivos_[[#This Row],[Valor de referencia]]</f>
        <v>0</v>
      </c>
      <c r="AC215" s="254"/>
      <c r="AD215" s="255">
        <f>+Reactivos_[[#This Row],[Cantidad SPA]]*Reactivos_[[#This Row],[Valor de referencia]]</f>
        <v>0</v>
      </c>
      <c r="AE215" s="148" t="s">
        <v>76</v>
      </c>
      <c r="AF215" s="148" t="s">
        <v>77</v>
      </c>
    </row>
    <row r="216" spans="1:32" ht="25.5" x14ac:dyDescent="0.25">
      <c r="A216" s="294" t="str">
        <f>IF(B216=Reactivos_[[#This Row],[Cantidad LANIP]],"LANIP",IF(B216=Reactivos_[[#This Row],[Cantidad 
LDV]],"LDV",IF(B216=Reactivos_[[#This Row],[Cantidad LNDV]],"LNDV",IF(B216=Reactivos_[[#This Row],[GGCA]],"GGCA",IF(B216=Reactivos_[[#This Row],[Cantidad LDF]],"LDF",IF(Reactivos_[[#This Row],[Cantidad LDF&amp;MR]],"LDF&amp;MR",IF(B216=Reactivos_[[#This Row],[Cantidad RED LASE]],"LASE",IF(B216=Reactivos_[[#This Row],[Cantidad LANIA]],"LANIA",IF(B216=Reactivos_[[#This Row],[Cantidad SPA]],"SPA"," ")))))))))</f>
        <v>LANIA</v>
      </c>
      <c r="B21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16" s="325">
        <v>214</v>
      </c>
      <c r="D216" s="326">
        <v>276</v>
      </c>
      <c r="E216" s="245" t="s">
        <v>635</v>
      </c>
      <c r="F216" s="244" t="s">
        <v>636</v>
      </c>
      <c r="G216" s="245"/>
      <c r="H216" s="346" t="s">
        <v>637</v>
      </c>
      <c r="I216" s="353" t="s">
        <v>638</v>
      </c>
      <c r="J21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16" s="160">
        <v>2280556</v>
      </c>
      <c r="L216" s="160">
        <f>+Reactivos_[[#This Row],[Cantidad]]*Reactivos_[[#This Row],[Valor de referencia]]</f>
        <v>2280556</v>
      </c>
      <c r="M216" s="254">
        <v>0</v>
      </c>
      <c r="N216" s="255">
        <f>+Reactivos_[[#This Row],[Valor de referencia]]*Reactivos_[[#This Row],[Cantidad LANIP]]</f>
        <v>0</v>
      </c>
      <c r="O216" s="256"/>
      <c r="P216" s="255">
        <f>+Reactivos_[[#This Row],[Cantidad 
LDV]]*Reactivos_[[#This Row],[Valor de referencia]]</f>
        <v>0</v>
      </c>
      <c r="Q216" s="257"/>
      <c r="R216" s="255">
        <f>+Reactivos_[[#This Row],[Cantidad LNDV]]*Reactivos_[[#This Row],[Valor de referencia]]</f>
        <v>0</v>
      </c>
      <c r="S216" s="148"/>
      <c r="T216" s="255">
        <f>+Reactivos_[[#This Row],[GGCA]]*Reactivos_[[#This Row],[Valor de referencia]]</f>
        <v>0</v>
      </c>
      <c r="U216" s="254"/>
      <c r="V216" s="255">
        <f>+Reactivos_[[#This Row],[Cantidad LDF]]*Reactivos_[[#This Row],[Valor de referencia]]</f>
        <v>0</v>
      </c>
      <c r="W216" s="254"/>
      <c r="X216" s="255">
        <f>+Reactivos_[[#This Row],[Cantidad LDF&amp;MR]]*Reactivos_[[#This Row],[Valor de referencia]]</f>
        <v>0</v>
      </c>
      <c r="Y216" s="254"/>
      <c r="Z216" s="255">
        <f>+Reactivos_[[#This Row],[Cantidad RED LASE]]*Reactivos_[[#This Row],[Valor de referencia]]</f>
        <v>0</v>
      </c>
      <c r="AA216" s="254">
        <v>1</v>
      </c>
      <c r="AB216" s="255">
        <f>+Reactivos_[[#This Row],[Cantidad LANIA]]*Reactivos_[[#This Row],[Valor de referencia]]</f>
        <v>2280556</v>
      </c>
      <c r="AC216" s="254"/>
      <c r="AD216" s="255">
        <f>+Reactivos_[[#This Row],[Cantidad SPA]]*Reactivos_[[#This Row],[Valor de referencia]]</f>
        <v>0</v>
      </c>
      <c r="AE216" s="148" t="s">
        <v>76</v>
      </c>
      <c r="AF216" s="148" t="s">
        <v>77</v>
      </c>
    </row>
    <row r="217" spans="1:32" ht="33.75" customHeight="1" x14ac:dyDescent="0.25">
      <c r="A217" s="294" t="str">
        <f>IF(B217=Reactivos_[[#This Row],[Cantidad LANIP]],"LANIP",IF(B217=Reactivos_[[#This Row],[Cantidad 
LDV]],"LDV",IF(B217=Reactivos_[[#This Row],[Cantidad LNDV]],"LNDV",IF(B217=Reactivos_[[#This Row],[GGCA]],"GGCA",IF(B217=Reactivos_[[#This Row],[Cantidad LDF]],"LDF",IF(Reactivos_[[#This Row],[Cantidad LDF&amp;MR]],"LDF&amp;MR",IF(B217=Reactivos_[[#This Row],[Cantidad RED LASE]],"LASE",IF(B217=Reactivos_[[#This Row],[Cantidad LANIA]],"LANIA",IF(B217=Reactivos_[[#This Row],[Cantidad SPA]],"SPA"," ")))))))))</f>
        <v>LANIP</v>
      </c>
      <c r="B21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217" s="325">
        <v>215</v>
      </c>
      <c r="D217" s="326">
        <v>277</v>
      </c>
      <c r="E217" s="331" t="s">
        <v>639</v>
      </c>
      <c r="F217" s="332" t="s">
        <v>640</v>
      </c>
      <c r="G217" s="331" t="s">
        <v>641</v>
      </c>
      <c r="H217" s="348" t="s">
        <v>642</v>
      </c>
      <c r="I217" s="334" t="s">
        <v>201</v>
      </c>
      <c r="J21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K217" s="160">
        <v>212335</v>
      </c>
      <c r="L217" s="160">
        <f>+Reactivos_[[#This Row],[Cantidad]]*Reactivos_[[#This Row],[Valor de referencia]]</f>
        <v>2548020</v>
      </c>
      <c r="M217" s="254">
        <v>10</v>
      </c>
      <c r="N217" s="255">
        <f>+Reactivos_[[#This Row],[Valor de referencia]]*Reactivos_[[#This Row],[Cantidad LANIP]]</f>
        <v>2123350</v>
      </c>
      <c r="O217" s="256"/>
      <c r="P217" s="255">
        <f>+Reactivos_[[#This Row],[Cantidad 
LDV]]*Reactivos_[[#This Row],[Valor de referencia]]</f>
        <v>0</v>
      </c>
      <c r="Q217" s="257">
        <v>1</v>
      </c>
      <c r="R217" s="255">
        <f>+Reactivos_[[#This Row],[Cantidad LNDV]]*Reactivos_[[#This Row],[Valor de referencia]]</f>
        <v>212335</v>
      </c>
      <c r="S217" s="148"/>
      <c r="T217" s="255">
        <f>+Reactivos_[[#This Row],[GGCA]]*Reactivos_[[#This Row],[Valor de referencia]]</f>
        <v>0</v>
      </c>
      <c r="U217" s="254">
        <v>1</v>
      </c>
      <c r="V217" s="255">
        <f>+Reactivos_[[#This Row],[Cantidad LDF]]*Reactivos_[[#This Row],[Valor de referencia]]</f>
        <v>212335</v>
      </c>
      <c r="W217" s="254"/>
      <c r="X217" s="255">
        <f>+Reactivos_[[#This Row],[Cantidad LDF&amp;MR]]*Reactivos_[[#This Row],[Valor de referencia]]</f>
        <v>0</v>
      </c>
      <c r="Y217" s="254"/>
      <c r="Z217" s="255">
        <f>+Reactivos_[[#This Row],[Cantidad RED LASE]]*Reactivos_[[#This Row],[Valor de referencia]]</f>
        <v>0</v>
      </c>
      <c r="AA217" s="254">
        <v>0</v>
      </c>
      <c r="AB217" s="255">
        <f>+Reactivos_[[#This Row],[Cantidad LANIA]]*Reactivos_[[#This Row],[Valor de referencia]]</f>
        <v>0</v>
      </c>
      <c r="AC217" s="254"/>
      <c r="AD217" s="255">
        <f>+Reactivos_[[#This Row],[Cantidad SPA]]*Reactivos_[[#This Row],[Valor de referencia]]</f>
        <v>0</v>
      </c>
      <c r="AE217" s="148" t="s">
        <v>76</v>
      </c>
      <c r="AF217" s="148" t="s">
        <v>77</v>
      </c>
    </row>
    <row r="218" spans="1:32" ht="25.5" x14ac:dyDescent="0.25">
      <c r="A218" s="294" t="str">
        <f>IF(B218=Reactivos_[[#This Row],[Cantidad LANIP]],"LANIP",IF(B218=Reactivos_[[#This Row],[Cantidad 
LDV]],"LDV",IF(B218=Reactivos_[[#This Row],[Cantidad LNDV]],"LNDV",IF(B218=Reactivos_[[#This Row],[GGCA]],"GGCA",IF(B218=Reactivos_[[#This Row],[Cantidad LDF]],"LDF",IF(Reactivos_[[#This Row],[Cantidad LDF&amp;MR]],"LDF&amp;MR",IF(B218=Reactivos_[[#This Row],[Cantidad RED LASE]],"LASE",IF(B218=Reactivos_[[#This Row],[Cantidad LANIA]],"LANIA",IF(B218=Reactivos_[[#This Row],[Cantidad SPA]],"SPA"," ")))))))))</f>
        <v>LANIA</v>
      </c>
      <c r="B21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C218" s="325">
        <v>216</v>
      </c>
      <c r="D218" s="326">
        <v>278</v>
      </c>
      <c r="E218" s="331" t="s">
        <v>643</v>
      </c>
      <c r="F218" s="332"/>
      <c r="G218" s="331"/>
      <c r="H218" s="342" t="s">
        <v>149</v>
      </c>
      <c r="I218" s="334" t="s">
        <v>644</v>
      </c>
      <c r="J21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19</v>
      </c>
      <c r="K218" s="160">
        <v>941290</v>
      </c>
      <c r="L218" s="160">
        <f>+Reactivos_[[#This Row],[Cantidad]]*Reactivos_[[#This Row],[Valor de referencia]]</f>
        <v>17884510</v>
      </c>
      <c r="M218" s="254">
        <v>8</v>
      </c>
      <c r="N218" s="255">
        <f>+Reactivos_[[#This Row],[Valor de referencia]]*Reactivos_[[#This Row],[Cantidad LANIP]]</f>
        <v>7530320</v>
      </c>
      <c r="O218" s="256"/>
      <c r="P218" s="255">
        <f>+Reactivos_[[#This Row],[Cantidad 
LDV]]*Reactivos_[[#This Row],[Valor de referencia]]</f>
        <v>0</v>
      </c>
      <c r="Q218" s="257"/>
      <c r="R218" s="255">
        <f>+Reactivos_[[#This Row],[Cantidad LNDV]]*Reactivos_[[#This Row],[Valor de referencia]]</f>
        <v>0</v>
      </c>
      <c r="S218" s="148"/>
      <c r="T218" s="255">
        <f>+Reactivos_[[#This Row],[GGCA]]*Reactivos_[[#This Row],[Valor de referencia]]</f>
        <v>0</v>
      </c>
      <c r="U218" s="254"/>
      <c r="V218" s="255">
        <f>+Reactivos_[[#This Row],[Cantidad LDF]]*Reactivos_[[#This Row],[Valor de referencia]]</f>
        <v>0</v>
      </c>
      <c r="W218" s="254"/>
      <c r="X218" s="255">
        <f>+Reactivos_[[#This Row],[Cantidad LDF&amp;MR]]*Reactivos_[[#This Row],[Valor de referencia]]</f>
        <v>0</v>
      </c>
      <c r="Y218" s="254"/>
      <c r="Z218" s="255">
        <f>+Reactivos_[[#This Row],[Cantidad RED LASE]]*Reactivos_[[#This Row],[Valor de referencia]]</f>
        <v>0</v>
      </c>
      <c r="AA218" s="254">
        <v>11</v>
      </c>
      <c r="AB218" s="255">
        <f>+Reactivos_[[#This Row],[Cantidad LANIA]]*Reactivos_[[#This Row],[Valor de referencia]]</f>
        <v>10354190</v>
      </c>
      <c r="AC218" s="254"/>
      <c r="AD218" s="255">
        <f>+Reactivos_[[#This Row],[Cantidad SPA]]*Reactivos_[[#This Row],[Valor de referencia]]</f>
        <v>0</v>
      </c>
      <c r="AE218" s="148" t="s">
        <v>76</v>
      </c>
      <c r="AF218" s="148" t="s">
        <v>77</v>
      </c>
    </row>
    <row r="219" spans="1:32" ht="33.75" customHeight="1" x14ac:dyDescent="0.25">
      <c r="A219" s="294" t="str">
        <f>IF(B219=Reactivos_[[#This Row],[Cantidad LANIP]],"LANIP",IF(B219=Reactivos_[[#This Row],[Cantidad 
LDV]],"LDV",IF(B219=Reactivos_[[#This Row],[Cantidad LNDV]],"LNDV",IF(B219=Reactivos_[[#This Row],[GGCA]],"GGCA",IF(B219=Reactivos_[[#This Row],[Cantidad LDF]],"LDF",IF(Reactivos_[[#This Row],[Cantidad LDF&amp;MR]],"LDF&amp;MR",IF(B219=Reactivos_[[#This Row],[Cantidad RED LASE]],"LASE",IF(B219=Reactivos_[[#This Row],[Cantidad LANIA]],"LANIA",IF(B219=Reactivos_[[#This Row],[Cantidad SPA]],"SPA"," ")))))))))</f>
        <v>LANIA</v>
      </c>
      <c r="B21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19" s="325">
        <v>217</v>
      </c>
      <c r="D219" s="326">
        <v>279</v>
      </c>
      <c r="E219" s="359" t="s">
        <v>645</v>
      </c>
      <c r="F219" s="244"/>
      <c r="G219" s="245"/>
      <c r="H219" s="346" t="s">
        <v>587</v>
      </c>
      <c r="I219" s="362" t="s">
        <v>646</v>
      </c>
      <c r="J21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19" s="160">
        <v>565250</v>
      </c>
      <c r="L219" s="160">
        <f>+Reactivos_[[#This Row],[Cantidad]]*Reactivos_[[#This Row],[Valor de referencia]]</f>
        <v>565250</v>
      </c>
      <c r="M219" s="254">
        <v>0</v>
      </c>
      <c r="N219" s="255">
        <f>+Reactivos_[[#This Row],[Valor de referencia]]*Reactivos_[[#This Row],[Cantidad LANIP]]</f>
        <v>0</v>
      </c>
      <c r="O219" s="256"/>
      <c r="P219" s="255">
        <f>+Reactivos_[[#This Row],[Cantidad 
LDV]]*Reactivos_[[#This Row],[Valor de referencia]]</f>
        <v>0</v>
      </c>
      <c r="Q219" s="257"/>
      <c r="R219" s="255">
        <f>+Reactivos_[[#This Row],[Cantidad LNDV]]*Reactivos_[[#This Row],[Valor de referencia]]</f>
        <v>0</v>
      </c>
      <c r="S219" s="148"/>
      <c r="T219" s="255">
        <f>+Reactivos_[[#This Row],[GGCA]]*Reactivos_[[#This Row],[Valor de referencia]]</f>
        <v>0</v>
      </c>
      <c r="U219" s="254"/>
      <c r="V219" s="255">
        <f>+Reactivos_[[#This Row],[Cantidad LDF]]*Reactivos_[[#This Row],[Valor de referencia]]</f>
        <v>0</v>
      </c>
      <c r="W219" s="254"/>
      <c r="X219" s="255">
        <f>+Reactivos_[[#This Row],[Cantidad LDF&amp;MR]]*Reactivos_[[#This Row],[Valor de referencia]]</f>
        <v>0</v>
      </c>
      <c r="Y219" s="254"/>
      <c r="Z219" s="255">
        <f>+Reactivos_[[#This Row],[Cantidad RED LASE]]*Reactivos_[[#This Row],[Valor de referencia]]</f>
        <v>0</v>
      </c>
      <c r="AA219" s="254">
        <v>1</v>
      </c>
      <c r="AB219" s="255">
        <f>+Reactivos_[[#This Row],[Cantidad LANIA]]*Reactivos_[[#This Row],[Valor de referencia]]</f>
        <v>565250</v>
      </c>
      <c r="AC219" s="254"/>
      <c r="AD219" s="255">
        <f>+Reactivos_[[#This Row],[Cantidad SPA]]*Reactivos_[[#This Row],[Valor de referencia]]</f>
        <v>0</v>
      </c>
      <c r="AE219" s="148" t="s">
        <v>76</v>
      </c>
      <c r="AF219" s="148" t="s">
        <v>77</v>
      </c>
    </row>
    <row r="220" spans="1:32" ht="25.5" x14ac:dyDescent="0.25">
      <c r="A220" s="294" t="str">
        <f>IF(B220=Reactivos_[[#This Row],[Cantidad LANIP]],"LANIP",IF(B220=Reactivos_[[#This Row],[Cantidad 
LDV]],"LDV",IF(B220=Reactivos_[[#This Row],[Cantidad LNDV]],"LNDV",IF(B220=Reactivos_[[#This Row],[GGCA]],"GGCA",IF(B220=Reactivos_[[#This Row],[Cantidad LDF]],"LDF",IF(Reactivos_[[#This Row],[Cantidad LDF&amp;MR]],"LDF&amp;MR",IF(B220=Reactivos_[[#This Row],[Cantidad RED LASE]],"LASE",IF(B220=Reactivos_[[#This Row],[Cantidad LANIA]],"LANIA",IF(B220=Reactivos_[[#This Row],[Cantidad SPA]],"SPA"," ")))))))))</f>
        <v>LDF</v>
      </c>
      <c r="B22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220" s="325">
        <v>218</v>
      </c>
      <c r="D220" s="326">
        <v>280</v>
      </c>
      <c r="E220" s="331" t="s">
        <v>647</v>
      </c>
      <c r="F220" s="361" t="s">
        <v>648</v>
      </c>
      <c r="G220" s="331"/>
      <c r="H220" s="342" t="s">
        <v>649</v>
      </c>
      <c r="I220" s="334" t="s">
        <v>650</v>
      </c>
      <c r="J22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220" s="160">
        <v>539734</v>
      </c>
      <c r="L220" s="160">
        <f>+Reactivos_[[#This Row],[Cantidad]]*Reactivos_[[#This Row],[Valor de referencia]]</f>
        <v>5397340</v>
      </c>
      <c r="M220" s="254">
        <v>0</v>
      </c>
      <c r="N220" s="255">
        <f>+Reactivos_[[#This Row],[Valor de referencia]]*Reactivos_[[#This Row],[Cantidad LANIP]]</f>
        <v>0</v>
      </c>
      <c r="O220" s="256"/>
      <c r="P220" s="255">
        <f>+Reactivos_[[#This Row],[Cantidad 
LDV]]*Reactivos_[[#This Row],[Valor de referencia]]</f>
        <v>0</v>
      </c>
      <c r="Q220" s="257"/>
      <c r="R220" s="255">
        <f>+Reactivos_[[#This Row],[Cantidad LNDV]]*Reactivos_[[#This Row],[Valor de referencia]]</f>
        <v>0</v>
      </c>
      <c r="S220" s="148"/>
      <c r="T220" s="255">
        <f>+Reactivos_[[#This Row],[GGCA]]*Reactivos_[[#This Row],[Valor de referencia]]</f>
        <v>0</v>
      </c>
      <c r="U220" s="254">
        <v>7</v>
      </c>
      <c r="V220" s="255">
        <f>+Reactivos_[[#This Row],[Cantidad LDF]]*Reactivos_[[#This Row],[Valor de referencia]]</f>
        <v>3778138</v>
      </c>
      <c r="W220" s="254">
        <v>2</v>
      </c>
      <c r="X220" s="255">
        <f>+Reactivos_[[#This Row],[Cantidad LDF&amp;MR]]*Reactivos_[[#This Row],[Valor de referencia]]</f>
        <v>1079468</v>
      </c>
      <c r="Y220" s="254"/>
      <c r="Z220" s="255">
        <f>+Reactivos_[[#This Row],[Cantidad RED LASE]]*Reactivos_[[#This Row],[Valor de referencia]]</f>
        <v>0</v>
      </c>
      <c r="AA220" s="254">
        <v>1</v>
      </c>
      <c r="AB220" s="255">
        <f>+Reactivos_[[#This Row],[Cantidad LANIA]]*Reactivos_[[#This Row],[Valor de referencia]]</f>
        <v>539734</v>
      </c>
      <c r="AC220" s="254"/>
      <c r="AD220" s="255">
        <f>+Reactivos_[[#This Row],[Cantidad SPA]]*Reactivos_[[#This Row],[Valor de referencia]]</f>
        <v>0</v>
      </c>
      <c r="AE220" s="148" t="s">
        <v>76</v>
      </c>
      <c r="AF220" s="148" t="s">
        <v>77</v>
      </c>
    </row>
    <row r="221" spans="1:32" ht="30.75" customHeight="1" x14ac:dyDescent="0.25">
      <c r="A221" s="294" t="str">
        <f>IF(B221=Reactivos_[[#This Row],[Cantidad LANIP]],"LANIP",IF(B221=Reactivos_[[#This Row],[Cantidad 
LDV]],"LDV",IF(B221=Reactivos_[[#This Row],[Cantidad LNDV]],"LNDV",IF(B221=Reactivos_[[#This Row],[GGCA]],"GGCA",IF(B221=Reactivos_[[#This Row],[Cantidad LDF]],"LDF",IF(Reactivos_[[#This Row],[Cantidad LDF&amp;MR]],"LDF&amp;MR",IF(B221=Reactivos_[[#This Row],[Cantidad RED LASE]],"LASE",IF(B221=Reactivos_[[#This Row],[Cantidad LANIA]],"LANIA",IF(B221=Reactivos_[[#This Row],[Cantidad SPA]],"SPA"," ")))))))))</f>
        <v>LANIP</v>
      </c>
      <c r="B22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21" s="325">
        <v>219</v>
      </c>
      <c r="D221" s="326">
        <v>281</v>
      </c>
      <c r="E221" s="245" t="s">
        <v>651</v>
      </c>
      <c r="F221" s="244">
        <v>1304222</v>
      </c>
      <c r="G221" s="245" t="s">
        <v>652</v>
      </c>
      <c r="H221" s="346" t="s">
        <v>653</v>
      </c>
      <c r="I221" s="336" t="s">
        <v>654</v>
      </c>
      <c r="J22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21" s="160">
        <v>1657154</v>
      </c>
      <c r="L221" s="160">
        <f>+Reactivos_[[#This Row],[Cantidad]]*Reactivos_[[#This Row],[Valor de referencia]]</f>
        <v>1657154</v>
      </c>
      <c r="M221" s="254">
        <v>1</v>
      </c>
      <c r="N221" s="255">
        <f>+Reactivos_[[#This Row],[Valor de referencia]]*Reactivos_[[#This Row],[Cantidad LANIP]]</f>
        <v>1657154</v>
      </c>
      <c r="O221" s="256"/>
      <c r="P221" s="255">
        <f>+Reactivos_[[#This Row],[Cantidad 
LDV]]*Reactivos_[[#This Row],[Valor de referencia]]</f>
        <v>0</v>
      </c>
      <c r="Q221" s="257"/>
      <c r="R221" s="255">
        <f>+Reactivos_[[#This Row],[Cantidad LNDV]]*Reactivos_[[#This Row],[Valor de referencia]]</f>
        <v>0</v>
      </c>
      <c r="S221" s="148"/>
      <c r="T221" s="255">
        <f>+Reactivos_[[#This Row],[GGCA]]*Reactivos_[[#This Row],[Valor de referencia]]</f>
        <v>0</v>
      </c>
      <c r="U221" s="254"/>
      <c r="V221" s="255">
        <f>+Reactivos_[[#This Row],[Cantidad LDF]]*Reactivos_[[#This Row],[Valor de referencia]]</f>
        <v>0</v>
      </c>
      <c r="W221" s="254"/>
      <c r="X221" s="255">
        <f>+Reactivos_[[#This Row],[Cantidad LDF&amp;MR]]*Reactivos_[[#This Row],[Valor de referencia]]</f>
        <v>0</v>
      </c>
      <c r="Y221" s="254"/>
      <c r="Z221" s="255">
        <f>+Reactivos_[[#This Row],[Cantidad RED LASE]]*Reactivos_[[#This Row],[Valor de referencia]]</f>
        <v>0</v>
      </c>
      <c r="AA221" s="254"/>
      <c r="AB221" s="255">
        <f>+Reactivos_[[#This Row],[Cantidad LANIA]]*Reactivos_[[#This Row],[Valor de referencia]]</f>
        <v>0</v>
      </c>
      <c r="AC221" s="254"/>
      <c r="AD221" s="255">
        <f>+Reactivos_[[#This Row],[Cantidad SPA]]*Reactivos_[[#This Row],[Valor de referencia]]</f>
        <v>0</v>
      </c>
      <c r="AE221" s="148" t="s">
        <v>76</v>
      </c>
      <c r="AF221" s="148" t="s">
        <v>77</v>
      </c>
    </row>
    <row r="222" spans="1:32" ht="42.75" customHeight="1" x14ac:dyDescent="0.25">
      <c r="A222" s="294" t="str">
        <f>IF(B222=Reactivos_[[#This Row],[Cantidad LANIP]],"LANIP",IF(B222=Reactivos_[[#This Row],[Cantidad 
LDV]],"LDV",IF(B222=Reactivos_[[#This Row],[Cantidad LNDV]],"LNDV",IF(B222=Reactivos_[[#This Row],[GGCA]],"GGCA",IF(B222=Reactivos_[[#This Row],[Cantidad LDF]],"LDF",IF(Reactivos_[[#This Row],[Cantidad LDF&amp;MR]],"LDF&amp;MR",IF(B222=Reactivos_[[#This Row],[Cantidad RED LASE]],"LASE",IF(B222=Reactivos_[[#This Row],[Cantidad LANIA]],"LANIA",IF(B222=Reactivos_[[#This Row],[Cantidad SPA]],"SPA"," ")))))))))</f>
        <v>LDF</v>
      </c>
      <c r="B22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222" s="325">
        <v>220</v>
      </c>
      <c r="D222" s="326">
        <v>282</v>
      </c>
      <c r="E222" s="331" t="s">
        <v>655</v>
      </c>
      <c r="F222" s="332"/>
      <c r="G222" s="331"/>
      <c r="H222" s="342" t="s">
        <v>656</v>
      </c>
      <c r="I222" s="334" t="s">
        <v>301</v>
      </c>
      <c r="J22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22</v>
      </c>
      <c r="K222" s="160">
        <v>886211</v>
      </c>
      <c r="L222" s="160">
        <f>+Reactivos_[[#This Row],[Cantidad]]*Reactivos_[[#This Row],[Valor de referencia]]</f>
        <v>19496642</v>
      </c>
      <c r="M222" s="254">
        <v>5</v>
      </c>
      <c r="N222" s="255">
        <f>+Reactivos_[[#This Row],[Valor de referencia]]*Reactivos_[[#This Row],[Cantidad LANIP]]</f>
        <v>4431055</v>
      </c>
      <c r="O222" s="256"/>
      <c r="P222" s="255">
        <f>+Reactivos_[[#This Row],[Cantidad 
LDV]]*Reactivos_[[#This Row],[Valor de referencia]]</f>
        <v>0</v>
      </c>
      <c r="Q222" s="257">
        <v>6</v>
      </c>
      <c r="R222" s="255">
        <f>+Reactivos_[[#This Row],[Cantidad LNDV]]*Reactivos_[[#This Row],[Valor de referencia]]</f>
        <v>5317266</v>
      </c>
      <c r="S222" s="148"/>
      <c r="T222" s="255">
        <f>+Reactivos_[[#This Row],[GGCA]]*Reactivos_[[#This Row],[Valor de referencia]]</f>
        <v>0</v>
      </c>
      <c r="U222" s="254">
        <v>10</v>
      </c>
      <c r="V222" s="255">
        <f>+Reactivos_[[#This Row],[Cantidad LDF]]*Reactivos_[[#This Row],[Valor de referencia]]</f>
        <v>8862110</v>
      </c>
      <c r="W222" s="254">
        <v>1</v>
      </c>
      <c r="X222" s="255">
        <f>+Reactivos_[[#This Row],[Cantidad LDF&amp;MR]]*Reactivos_[[#This Row],[Valor de referencia]]</f>
        <v>886211</v>
      </c>
      <c r="Y222" s="254"/>
      <c r="Z222" s="255">
        <f>+Reactivos_[[#This Row],[Cantidad RED LASE]]*Reactivos_[[#This Row],[Valor de referencia]]</f>
        <v>0</v>
      </c>
      <c r="AA222" s="254"/>
      <c r="AB222" s="255">
        <f>+Reactivos_[[#This Row],[Cantidad LANIA]]*Reactivos_[[#This Row],[Valor de referencia]]</f>
        <v>0</v>
      </c>
      <c r="AC222" s="254"/>
      <c r="AD222" s="255">
        <f>+Reactivos_[[#This Row],[Cantidad SPA]]*Reactivos_[[#This Row],[Valor de referencia]]</f>
        <v>0</v>
      </c>
      <c r="AE222" s="148" t="s">
        <v>77</v>
      </c>
      <c r="AF222" s="148" t="s">
        <v>77</v>
      </c>
    </row>
    <row r="223" spans="1:32" ht="41.25" customHeight="1" x14ac:dyDescent="0.25">
      <c r="A223" s="294" t="str">
        <f>IF(B223=Reactivos_[[#This Row],[Cantidad LANIP]],"LANIP",IF(B223=Reactivos_[[#This Row],[Cantidad 
LDV]],"LDV",IF(B223=Reactivos_[[#This Row],[Cantidad LNDV]],"LNDV",IF(B223=Reactivos_[[#This Row],[GGCA]],"GGCA",IF(B223=Reactivos_[[#This Row],[Cantidad LDF]],"LDF",IF(Reactivos_[[#This Row],[Cantidad LDF&amp;MR]],"LDF&amp;MR",IF(B223=Reactivos_[[#This Row],[Cantidad RED LASE]],"LASE",IF(B223=Reactivos_[[#This Row],[Cantidad LANIA]],"LANIA",IF(B223=Reactivos_[[#This Row],[Cantidad SPA]],"SPA"," ")))))))))</f>
        <v>LNDV</v>
      </c>
      <c r="B22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23" s="325">
        <v>221</v>
      </c>
      <c r="D223" s="326">
        <v>283</v>
      </c>
      <c r="E223" s="331" t="s">
        <v>657</v>
      </c>
      <c r="F223" s="318" t="s">
        <v>658</v>
      </c>
      <c r="G223" s="317" t="s">
        <v>659</v>
      </c>
      <c r="H223" s="342" t="s">
        <v>660</v>
      </c>
      <c r="I223" s="352" t="s">
        <v>661</v>
      </c>
      <c r="J22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223" s="160">
        <v>672639</v>
      </c>
      <c r="L223" s="160">
        <f>+Reactivos_[[#This Row],[Cantidad]]*Reactivos_[[#This Row],[Valor de referencia]]</f>
        <v>2690556</v>
      </c>
      <c r="M223" s="254">
        <v>0</v>
      </c>
      <c r="N223" s="255">
        <f>+Reactivos_[[#This Row],[Valor de referencia]]*Reactivos_[[#This Row],[Cantidad LANIP]]</f>
        <v>0</v>
      </c>
      <c r="O223" s="256">
        <v>1</v>
      </c>
      <c r="P223" s="255">
        <f>+Reactivos_[[#This Row],[Cantidad 
LDV]]*Reactivos_[[#This Row],[Valor de referencia]]</f>
        <v>672639</v>
      </c>
      <c r="Q223" s="257">
        <v>2</v>
      </c>
      <c r="R223" s="255">
        <f>+Reactivos_[[#This Row],[Cantidad LNDV]]*Reactivos_[[#This Row],[Valor de referencia]]</f>
        <v>1345278</v>
      </c>
      <c r="S223" s="148"/>
      <c r="T223" s="255">
        <f>+Reactivos_[[#This Row],[GGCA]]*Reactivos_[[#This Row],[Valor de referencia]]</f>
        <v>0</v>
      </c>
      <c r="U223" s="254">
        <v>1</v>
      </c>
      <c r="V223" s="255">
        <f>+Reactivos_[[#This Row],[Cantidad LDF]]*Reactivos_[[#This Row],[Valor de referencia]]</f>
        <v>672639</v>
      </c>
      <c r="W223" s="254"/>
      <c r="X223" s="255">
        <f>+Reactivos_[[#This Row],[Cantidad LDF&amp;MR]]*Reactivos_[[#This Row],[Valor de referencia]]</f>
        <v>0</v>
      </c>
      <c r="Y223" s="254"/>
      <c r="Z223" s="255">
        <f>+Reactivos_[[#This Row],[Cantidad RED LASE]]*Reactivos_[[#This Row],[Valor de referencia]]</f>
        <v>0</v>
      </c>
      <c r="AA223" s="254"/>
      <c r="AB223" s="255">
        <f>+Reactivos_[[#This Row],[Cantidad LANIA]]*Reactivos_[[#This Row],[Valor de referencia]]</f>
        <v>0</v>
      </c>
      <c r="AC223" s="254"/>
      <c r="AD223" s="255">
        <f>+Reactivos_[[#This Row],[Cantidad SPA]]*Reactivos_[[#This Row],[Valor de referencia]]</f>
        <v>0</v>
      </c>
      <c r="AE223" s="148" t="s">
        <v>77</v>
      </c>
      <c r="AF223" s="148" t="s">
        <v>77</v>
      </c>
    </row>
    <row r="224" spans="1:32" ht="38.25" customHeight="1" x14ac:dyDescent="0.25">
      <c r="A224" s="294" t="str">
        <f>IF(B224=Reactivos_[[#This Row],[Cantidad LANIP]],"LANIP",IF(B224=Reactivos_[[#This Row],[Cantidad 
LDV]],"LDV",IF(B224=Reactivos_[[#This Row],[Cantidad LNDV]],"LNDV",IF(B224=Reactivos_[[#This Row],[GGCA]],"GGCA",IF(B224=Reactivos_[[#This Row],[Cantidad LDF]],"LDF",IF(Reactivos_[[#This Row],[Cantidad LDF&amp;MR]],"LDF&amp;MR",IF(B224=Reactivos_[[#This Row],[Cantidad RED LASE]],"LASE",IF(B224=Reactivos_[[#This Row],[Cantidad LANIA]],"LANIA",IF(B224=Reactivos_[[#This Row],[Cantidad SPA]],"SPA"," ")))))))))</f>
        <v>LANIP</v>
      </c>
      <c r="B22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24" s="325">
        <v>222</v>
      </c>
      <c r="D224" s="326">
        <v>284</v>
      </c>
      <c r="E224" s="327" t="s">
        <v>662</v>
      </c>
      <c r="F224" s="244"/>
      <c r="G224" s="327"/>
      <c r="H224" s="328" t="s">
        <v>663</v>
      </c>
      <c r="I224" s="329" t="s">
        <v>664</v>
      </c>
      <c r="J22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24" s="160">
        <v>8710979</v>
      </c>
      <c r="L224" s="160">
        <f>+Reactivos_[[#This Row],[Cantidad]]*Reactivos_[[#This Row],[Valor de referencia]]</f>
        <v>26132937</v>
      </c>
      <c r="M224" s="254">
        <v>2</v>
      </c>
      <c r="N224" s="255">
        <f>+Reactivos_[[#This Row],[Valor de referencia]]*Reactivos_[[#This Row],[Cantidad LANIP]]</f>
        <v>17421958</v>
      </c>
      <c r="O224" s="256"/>
      <c r="P224" s="255">
        <f>+Reactivos_[[#This Row],[Cantidad 
LDV]]*Reactivos_[[#This Row],[Valor de referencia]]</f>
        <v>0</v>
      </c>
      <c r="Q224" s="257"/>
      <c r="R224" s="255">
        <f>+Reactivos_[[#This Row],[Cantidad LNDV]]*Reactivos_[[#This Row],[Valor de referencia]]</f>
        <v>0</v>
      </c>
      <c r="S224" s="148"/>
      <c r="T224" s="255">
        <f>+Reactivos_[[#This Row],[GGCA]]*Reactivos_[[#This Row],[Valor de referencia]]</f>
        <v>0</v>
      </c>
      <c r="U224" s="254"/>
      <c r="V224" s="255">
        <f>+Reactivos_[[#This Row],[Cantidad LDF]]*Reactivos_[[#This Row],[Valor de referencia]]</f>
        <v>0</v>
      </c>
      <c r="W224" s="254"/>
      <c r="X224" s="255">
        <f>+Reactivos_[[#This Row],[Cantidad LDF&amp;MR]]*Reactivos_[[#This Row],[Valor de referencia]]</f>
        <v>0</v>
      </c>
      <c r="Y224" s="254"/>
      <c r="Z224" s="255">
        <f>+Reactivos_[[#This Row],[Cantidad RED LASE]]*Reactivos_[[#This Row],[Valor de referencia]]</f>
        <v>0</v>
      </c>
      <c r="AA224" s="254">
        <v>1</v>
      </c>
      <c r="AB224" s="255">
        <f>+Reactivos_[[#This Row],[Cantidad LANIA]]*Reactivos_[[#This Row],[Valor de referencia]]</f>
        <v>8710979</v>
      </c>
      <c r="AC224" s="254"/>
      <c r="AD224" s="255">
        <f>+Reactivos_[[#This Row],[Cantidad SPA]]*Reactivos_[[#This Row],[Valor de referencia]]</f>
        <v>0</v>
      </c>
      <c r="AE224" s="148" t="s">
        <v>76</v>
      </c>
      <c r="AF224" s="148" t="s">
        <v>77</v>
      </c>
    </row>
    <row r="225" spans="1:32" ht="22.5" customHeight="1" x14ac:dyDescent="0.25">
      <c r="A225" s="294" t="str">
        <f>IF(B225=Reactivos_[[#This Row],[Cantidad LANIP]],"LANIP",IF(B225=Reactivos_[[#This Row],[Cantidad 
LDV]],"LDV",IF(B225=Reactivos_[[#This Row],[Cantidad LNDV]],"LNDV",IF(B225=Reactivos_[[#This Row],[GGCA]],"GGCA",IF(B225=Reactivos_[[#This Row],[Cantidad LDF]],"LDF",IF(Reactivos_[[#This Row],[Cantidad LDF&amp;MR]],"LDF&amp;MR",IF(B225=Reactivos_[[#This Row],[Cantidad RED LASE]],"LASE",IF(B225=Reactivos_[[#This Row],[Cantidad LANIA]],"LANIA",IF(B225=Reactivos_[[#This Row],[Cantidad SPA]],"SPA"," ")))))))))</f>
        <v>LDF&amp;MR</v>
      </c>
      <c r="B22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225" s="325">
        <v>223</v>
      </c>
      <c r="D225" s="326">
        <v>285</v>
      </c>
      <c r="E225" s="327" t="s">
        <v>665</v>
      </c>
      <c r="F225" s="244"/>
      <c r="G225" s="327"/>
      <c r="H225" s="348" t="s">
        <v>666</v>
      </c>
      <c r="I225" s="329" t="s">
        <v>162</v>
      </c>
      <c r="J22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225" s="160">
        <v>2343041</v>
      </c>
      <c r="L225" s="160">
        <f>+Reactivos_[[#This Row],[Cantidad]]*Reactivos_[[#This Row],[Valor de referencia]]</f>
        <v>30459533</v>
      </c>
      <c r="M225" s="254">
        <v>0</v>
      </c>
      <c r="N225" s="255">
        <f>+Reactivos_[[#This Row],[Valor de referencia]]*Reactivos_[[#This Row],[Cantidad LANIP]]</f>
        <v>0</v>
      </c>
      <c r="O225" s="256"/>
      <c r="P225" s="255">
        <f>+Reactivos_[[#This Row],[Cantidad 
LDV]]*Reactivos_[[#This Row],[Valor de referencia]]</f>
        <v>0</v>
      </c>
      <c r="Q225" s="257"/>
      <c r="R225" s="255">
        <f>+Reactivos_[[#This Row],[Cantidad LNDV]]*Reactivos_[[#This Row],[Valor de referencia]]</f>
        <v>0</v>
      </c>
      <c r="S225" s="148"/>
      <c r="T225" s="255">
        <f>+Reactivos_[[#This Row],[GGCA]]*Reactivos_[[#This Row],[Valor de referencia]]</f>
        <v>0</v>
      </c>
      <c r="U225" s="254">
        <v>5</v>
      </c>
      <c r="V225" s="255">
        <f>+Reactivos_[[#This Row],[Cantidad LDF]]*Reactivos_[[#This Row],[Valor de referencia]]</f>
        <v>11715205</v>
      </c>
      <c r="W225" s="258">
        <v>2</v>
      </c>
      <c r="X225" s="255">
        <f>+Reactivos_[[#This Row],[Cantidad LDF&amp;MR]]*Reactivos_[[#This Row],[Valor de referencia]]</f>
        <v>4686082</v>
      </c>
      <c r="Y225" s="254">
        <v>6</v>
      </c>
      <c r="Z225" s="255">
        <f>+Reactivos_[[#This Row],[Cantidad RED LASE]]*Reactivos_[[#This Row],[Valor de referencia]]</f>
        <v>14058246</v>
      </c>
      <c r="AA225" s="254"/>
      <c r="AB225" s="255">
        <f>+Reactivos_[[#This Row],[Cantidad LANIA]]*Reactivos_[[#This Row],[Valor de referencia]]</f>
        <v>0</v>
      </c>
      <c r="AC225" s="254"/>
      <c r="AD225" s="255">
        <f>+Reactivos_[[#This Row],[Cantidad SPA]]*Reactivos_[[#This Row],[Valor de referencia]]</f>
        <v>0</v>
      </c>
      <c r="AE225" s="148" t="s">
        <v>76</v>
      </c>
      <c r="AF225" s="148" t="s">
        <v>77</v>
      </c>
    </row>
    <row r="226" spans="1:32" ht="38.25" x14ac:dyDescent="0.25">
      <c r="A226" s="294" t="str">
        <f>IF(B226=Reactivos_[[#This Row],[Cantidad LANIP]],"LANIP",IF(B226=Reactivos_[[#This Row],[Cantidad 
LDV]],"LDV",IF(B226=Reactivos_[[#This Row],[Cantidad LNDV]],"LNDV",IF(B226=Reactivos_[[#This Row],[GGCA]],"GGCA",IF(B226=Reactivos_[[#This Row],[Cantidad LDF]],"LDF",IF(Reactivos_[[#This Row],[Cantidad LDF&amp;MR]],"LDF&amp;MR",IF(B226=Reactivos_[[#This Row],[Cantidad RED LASE]],"LASE",IF(B226=Reactivos_[[#This Row],[Cantidad LANIA]],"LANIA",IF(B226=Reactivos_[[#This Row],[Cantidad SPA]],"SPA"," ")))))))))</f>
        <v>LANIP</v>
      </c>
      <c r="B22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26" s="325">
        <v>224</v>
      </c>
      <c r="D226" s="326">
        <v>288</v>
      </c>
      <c r="E226" s="331" t="s">
        <v>667</v>
      </c>
      <c r="F226" s="332"/>
      <c r="G226" s="331"/>
      <c r="H226" s="348" t="s">
        <v>668</v>
      </c>
      <c r="I226" s="334" t="s">
        <v>669</v>
      </c>
      <c r="J22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26" s="160">
        <v>238000</v>
      </c>
      <c r="L226" s="160">
        <f>+Reactivos_[[#This Row],[Cantidad]]*Reactivos_[[#This Row],[Valor de referencia]]</f>
        <v>476000</v>
      </c>
      <c r="M226" s="254">
        <v>2</v>
      </c>
      <c r="N226" s="255">
        <f>+Reactivos_[[#This Row],[Valor de referencia]]*Reactivos_[[#This Row],[Cantidad LANIP]]</f>
        <v>476000</v>
      </c>
      <c r="O226" s="256"/>
      <c r="P226" s="255">
        <f>+Reactivos_[[#This Row],[Cantidad 
LDV]]*Reactivos_[[#This Row],[Valor de referencia]]</f>
        <v>0</v>
      </c>
      <c r="Q226" s="257"/>
      <c r="R226" s="255">
        <f>+Reactivos_[[#This Row],[Cantidad LNDV]]*Reactivos_[[#This Row],[Valor de referencia]]</f>
        <v>0</v>
      </c>
      <c r="S226" s="148"/>
      <c r="T226" s="255">
        <f>+Reactivos_[[#This Row],[GGCA]]*Reactivos_[[#This Row],[Valor de referencia]]</f>
        <v>0</v>
      </c>
      <c r="U226" s="254"/>
      <c r="V226" s="255">
        <f>+Reactivos_[[#This Row],[Cantidad LDF]]*Reactivos_[[#This Row],[Valor de referencia]]</f>
        <v>0</v>
      </c>
      <c r="W226" s="254"/>
      <c r="X226" s="255">
        <f>+Reactivos_[[#This Row],[Cantidad LDF&amp;MR]]*Reactivos_[[#This Row],[Valor de referencia]]</f>
        <v>0</v>
      </c>
      <c r="Y226" s="254"/>
      <c r="Z226" s="255">
        <f>+Reactivos_[[#This Row],[Cantidad RED LASE]]*Reactivos_[[#This Row],[Valor de referencia]]</f>
        <v>0</v>
      </c>
      <c r="AA226" s="254"/>
      <c r="AB226" s="255">
        <f>+Reactivos_[[#This Row],[Cantidad LANIA]]*Reactivos_[[#This Row],[Valor de referencia]]</f>
        <v>0</v>
      </c>
      <c r="AC226" s="254"/>
      <c r="AD226" s="255">
        <f>+Reactivos_[[#This Row],[Cantidad SPA]]*Reactivos_[[#This Row],[Valor de referencia]]</f>
        <v>0</v>
      </c>
      <c r="AE226" s="310" t="s">
        <v>76</v>
      </c>
      <c r="AF226" s="148" t="s">
        <v>77</v>
      </c>
    </row>
    <row r="227" spans="1:32" ht="22.5" customHeight="1" x14ac:dyDescent="0.25">
      <c r="A227" s="294" t="str">
        <f>IF(B227=Reactivos_[[#This Row],[Cantidad LANIP]],"LANIP",IF(B227=Reactivos_[[#This Row],[Cantidad 
LDV]],"LDV",IF(B227=Reactivos_[[#This Row],[Cantidad LNDV]],"LNDV",IF(B227=Reactivos_[[#This Row],[GGCA]],"GGCA",IF(B227=Reactivos_[[#This Row],[Cantidad LDF]],"LDF",IF(Reactivos_[[#This Row],[Cantidad LDF&amp;MR]],"LDF&amp;MR",IF(B227=Reactivos_[[#This Row],[Cantidad RED LASE]],"LASE",IF(B227=Reactivos_[[#This Row],[Cantidad LANIA]],"LANIA",IF(B227=Reactivos_[[#This Row],[Cantidad SPA]],"SPA"," ")))))))))</f>
        <v>LANIA</v>
      </c>
      <c r="B22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227" s="325">
        <v>225</v>
      </c>
      <c r="D227" s="326">
        <v>289</v>
      </c>
      <c r="E227" s="245" t="s">
        <v>670</v>
      </c>
      <c r="F227" s="244" t="s">
        <v>671</v>
      </c>
      <c r="G227" s="245"/>
      <c r="H227" s="346" t="s">
        <v>672</v>
      </c>
      <c r="I227" s="336" t="s">
        <v>162</v>
      </c>
      <c r="J22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227" s="160">
        <v>2617911</v>
      </c>
      <c r="L227" s="160">
        <f>+Reactivos_[[#This Row],[Cantidad]]*Reactivos_[[#This Row],[Valor de referencia]]</f>
        <v>13089555</v>
      </c>
      <c r="M227" s="254">
        <v>0</v>
      </c>
      <c r="N227" s="255">
        <f>+Reactivos_[[#This Row],[Valor de referencia]]*Reactivos_[[#This Row],[Cantidad LANIP]]</f>
        <v>0</v>
      </c>
      <c r="O227" s="256"/>
      <c r="P227" s="255">
        <f>+Reactivos_[[#This Row],[Cantidad 
LDV]]*Reactivos_[[#This Row],[Valor de referencia]]</f>
        <v>0</v>
      </c>
      <c r="Q227" s="257"/>
      <c r="R227" s="255">
        <f>+Reactivos_[[#This Row],[Cantidad LNDV]]*Reactivos_[[#This Row],[Valor de referencia]]</f>
        <v>0</v>
      </c>
      <c r="S227" s="148"/>
      <c r="T227" s="255">
        <f>+Reactivos_[[#This Row],[GGCA]]*Reactivos_[[#This Row],[Valor de referencia]]</f>
        <v>0</v>
      </c>
      <c r="U227" s="254"/>
      <c r="V227" s="255">
        <f>+Reactivos_[[#This Row],[Cantidad LDF]]*Reactivos_[[#This Row],[Valor de referencia]]</f>
        <v>0</v>
      </c>
      <c r="W227" s="254"/>
      <c r="X227" s="255">
        <f>+Reactivos_[[#This Row],[Cantidad LDF&amp;MR]]*Reactivos_[[#This Row],[Valor de referencia]]</f>
        <v>0</v>
      </c>
      <c r="Y227" s="254"/>
      <c r="Z227" s="255">
        <f>+Reactivos_[[#This Row],[Cantidad RED LASE]]*Reactivos_[[#This Row],[Valor de referencia]]</f>
        <v>0</v>
      </c>
      <c r="AA227" s="254">
        <v>5</v>
      </c>
      <c r="AB227" s="255">
        <f>+Reactivos_[[#This Row],[Cantidad LANIA]]*Reactivos_[[#This Row],[Valor de referencia]]</f>
        <v>13089555</v>
      </c>
      <c r="AC227" s="254"/>
      <c r="AD227" s="255">
        <f>+Reactivos_[[#This Row],[Cantidad SPA]]*Reactivos_[[#This Row],[Valor de referencia]]</f>
        <v>0</v>
      </c>
      <c r="AE227" s="148" t="s">
        <v>76</v>
      </c>
      <c r="AF227" s="148" t="s">
        <v>77</v>
      </c>
    </row>
    <row r="228" spans="1:32" ht="25.5" x14ac:dyDescent="0.25">
      <c r="A228" s="294" t="str">
        <f>IF(B228=Reactivos_[[#This Row],[Cantidad LANIP]],"LANIP",IF(B228=Reactivos_[[#This Row],[Cantidad 
LDV]],"LDV",IF(B228=Reactivos_[[#This Row],[Cantidad LNDV]],"LNDV",IF(B228=Reactivos_[[#This Row],[GGCA]],"GGCA",IF(B228=Reactivos_[[#This Row],[Cantidad LDF]],"LDF",IF(Reactivos_[[#This Row],[Cantidad LDF&amp;MR]],"LDF&amp;MR",IF(B228=Reactivos_[[#This Row],[Cantidad RED LASE]],"LASE",IF(B228=Reactivos_[[#This Row],[Cantidad LANIA]],"LANIA",IF(B228=Reactivos_[[#This Row],[Cantidad SPA]],"SPA"," ")))))))))</f>
        <v>LANIA</v>
      </c>
      <c r="B22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28" s="325">
        <v>226</v>
      </c>
      <c r="D228" s="326">
        <v>290</v>
      </c>
      <c r="E228" s="245" t="s">
        <v>673</v>
      </c>
      <c r="F228" s="244" t="s">
        <v>674</v>
      </c>
      <c r="G228" s="245"/>
      <c r="H228" s="349" t="s">
        <v>675</v>
      </c>
      <c r="I228" s="334" t="s">
        <v>676</v>
      </c>
      <c r="J22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28" s="160">
        <v>1023995</v>
      </c>
      <c r="L228" s="160">
        <f>+Reactivos_[[#This Row],[Cantidad]]*Reactivos_[[#This Row],[Valor de referencia]]</f>
        <v>1023995</v>
      </c>
      <c r="M228" s="254">
        <v>0</v>
      </c>
      <c r="N228" s="255">
        <f>+Reactivos_[[#This Row],[Valor de referencia]]*Reactivos_[[#This Row],[Cantidad LANIP]]</f>
        <v>0</v>
      </c>
      <c r="O228" s="256"/>
      <c r="P228" s="255">
        <f>+Reactivos_[[#This Row],[Cantidad 
LDV]]*Reactivos_[[#This Row],[Valor de referencia]]</f>
        <v>0</v>
      </c>
      <c r="Q228" s="257"/>
      <c r="R228" s="255">
        <f>+Reactivos_[[#This Row],[Cantidad LNDV]]*Reactivos_[[#This Row],[Valor de referencia]]</f>
        <v>0</v>
      </c>
      <c r="S228" s="148"/>
      <c r="T228" s="255">
        <f>+Reactivos_[[#This Row],[GGCA]]*Reactivos_[[#This Row],[Valor de referencia]]</f>
        <v>0</v>
      </c>
      <c r="U228" s="254"/>
      <c r="V228" s="255">
        <f>+Reactivos_[[#This Row],[Cantidad LDF]]*Reactivos_[[#This Row],[Valor de referencia]]</f>
        <v>0</v>
      </c>
      <c r="W228" s="254"/>
      <c r="X228" s="255">
        <f>+Reactivos_[[#This Row],[Cantidad LDF&amp;MR]]*Reactivos_[[#This Row],[Valor de referencia]]</f>
        <v>0</v>
      </c>
      <c r="Y228" s="254"/>
      <c r="Z228" s="255">
        <f>+Reactivos_[[#This Row],[Cantidad RED LASE]]*Reactivos_[[#This Row],[Valor de referencia]]</f>
        <v>0</v>
      </c>
      <c r="AA228" s="254">
        <v>1</v>
      </c>
      <c r="AB228" s="255">
        <f>+Reactivos_[[#This Row],[Cantidad LANIA]]*Reactivos_[[#This Row],[Valor de referencia]]</f>
        <v>1023995</v>
      </c>
      <c r="AC228" s="254"/>
      <c r="AD228" s="255">
        <f>+Reactivos_[[#This Row],[Cantidad SPA]]*Reactivos_[[#This Row],[Valor de referencia]]</f>
        <v>0</v>
      </c>
      <c r="AE228" s="148" t="s">
        <v>76</v>
      </c>
      <c r="AF228" s="148" t="s">
        <v>77</v>
      </c>
    </row>
    <row r="229" spans="1:32" ht="30.75" customHeight="1" x14ac:dyDescent="0.25">
      <c r="A229" s="294" t="str">
        <f>IF(B229=Reactivos_[[#This Row],[Cantidad LANIP]],"LANIP",IF(B229=Reactivos_[[#This Row],[Cantidad 
LDV]],"LDV",IF(B229=Reactivos_[[#This Row],[Cantidad LNDV]],"LNDV",IF(B229=Reactivos_[[#This Row],[GGCA]],"GGCA",IF(B229=Reactivos_[[#This Row],[Cantidad LDF]],"LDF",IF(Reactivos_[[#This Row],[Cantidad LDF&amp;MR]],"LDF&amp;MR",IF(B229=Reactivos_[[#This Row],[Cantidad RED LASE]],"LASE",IF(B229=Reactivos_[[#This Row],[Cantidad LANIA]],"LANIA",IF(B229=Reactivos_[[#This Row],[Cantidad SPA]],"SPA"," ")))))))))</f>
        <v>LDF</v>
      </c>
      <c r="B22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29" s="325">
        <v>227</v>
      </c>
      <c r="D229" s="326">
        <v>291</v>
      </c>
      <c r="E229" s="331" t="s">
        <v>677</v>
      </c>
      <c r="F229" s="332"/>
      <c r="G229" s="331"/>
      <c r="H229" s="333" t="s">
        <v>183</v>
      </c>
      <c r="I229" s="334" t="s">
        <v>678</v>
      </c>
      <c r="J22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29" s="160">
        <v>1820813</v>
      </c>
      <c r="L229" s="160">
        <f>+Reactivos_[[#This Row],[Cantidad]]*Reactivos_[[#This Row],[Valor de referencia]]</f>
        <v>3641626</v>
      </c>
      <c r="M229" s="254">
        <v>0</v>
      </c>
      <c r="N229" s="255">
        <f>+Reactivos_[[#This Row],[Valor de referencia]]*Reactivos_[[#This Row],[Cantidad LANIP]]</f>
        <v>0</v>
      </c>
      <c r="O229" s="256"/>
      <c r="P229" s="255">
        <f>+Reactivos_[[#This Row],[Cantidad 
LDV]]*Reactivos_[[#This Row],[Valor de referencia]]</f>
        <v>0</v>
      </c>
      <c r="Q229" s="257"/>
      <c r="R229" s="255">
        <f>+Reactivos_[[#This Row],[Cantidad LNDV]]*Reactivos_[[#This Row],[Valor de referencia]]</f>
        <v>0</v>
      </c>
      <c r="S229" s="148"/>
      <c r="T229" s="255">
        <f>+Reactivos_[[#This Row],[GGCA]]*Reactivos_[[#This Row],[Valor de referencia]]</f>
        <v>0</v>
      </c>
      <c r="U229" s="254">
        <v>2</v>
      </c>
      <c r="V229" s="255">
        <f>+Reactivos_[[#This Row],[Cantidad LDF]]*Reactivos_[[#This Row],[Valor de referencia]]</f>
        <v>3641626</v>
      </c>
      <c r="W229" s="254"/>
      <c r="X229" s="255">
        <f>+Reactivos_[[#This Row],[Cantidad LDF&amp;MR]]*Reactivos_[[#This Row],[Valor de referencia]]</f>
        <v>0</v>
      </c>
      <c r="Y229" s="254"/>
      <c r="Z229" s="255">
        <f>+Reactivos_[[#This Row],[Cantidad RED LASE]]*Reactivos_[[#This Row],[Valor de referencia]]</f>
        <v>0</v>
      </c>
      <c r="AA229" s="254"/>
      <c r="AB229" s="255">
        <f>+Reactivos_[[#This Row],[Cantidad LANIA]]*Reactivos_[[#This Row],[Valor de referencia]]</f>
        <v>0</v>
      </c>
      <c r="AC229" s="254"/>
      <c r="AD229" s="255">
        <f>+Reactivos_[[#This Row],[Cantidad SPA]]*Reactivos_[[#This Row],[Valor de referencia]]</f>
        <v>0</v>
      </c>
      <c r="AE229" s="148" t="s">
        <v>76</v>
      </c>
      <c r="AF229" s="148" t="s">
        <v>77</v>
      </c>
    </row>
    <row r="230" spans="1:32" ht="25.5" x14ac:dyDescent="0.25">
      <c r="A230" s="294" t="str">
        <f>IF(B230=Reactivos_[[#This Row],[Cantidad LANIP]],"LANIP",IF(B230=Reactivos_[[#This Row],[Cantidad 
LDV]],"LDV",IF(B230=Reactivos_[[#This Row],[Cantidad LNDV]],"LNDV",IF(B230=Reactivos_[[#This Row],[GGCA]],"GGCA",IF(B230=Reactivos_[[#This Row],[Cantidad LDF]],"LDF",IF(Reactivos_[[#This Row],[Cantidad LDF&amp;MR]],"LDF&amp;MR",IF(B230=Reactivos_[[#This Row],[Cantidad RED LASE]],"LASE",IF(B230=Reactivos_[[#This Row],[Cantidad LANIA]],"LANIA",IF(B230=Reactivos_[[#This Row],[Cantidad SPA]],"SPA"," ")))))))))</f>
        <v>LANIP</v>
      </c>
      <c r="B23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30" s="325">
        <v>228</v>
      </c>
      <c r="D230" s="326">
        <v>293</v>
      </c>
      <c r="E230" s="245" t="s">
        <v>679</v>
      </c>
      <c r="F230" s="332" t="s">
        <v>680</v>
      </c>
      <c r="G230" s="245" t="s">
        <v>681</v>
      </c>
      <c r="H230" s="360" t="s">
        <v>682</v>
      </c>
      <c r="I230" s="336" t="s">
        <v>217</v>
      </c>
      <c r="J23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30" s="160">
        <v>578866</v>
      </c>
      <c r="L230" s="160">
        <f>+Reactivos_[[#This Row],[Cantidad]]*Reactivos_[[#This Row],[Valor de referencia]]</f>
        <v>1736598</v>
      </c>
      <c r="M230" s="254">
        <v>2</v>
      </c>
      <c r="N230" s="255">
        <f>+Reactivos_[[#This Row],[Valor de referencia]]*Reactivos_[[#This Row],[Cantidad LANIP]]</f>
        <v>1157732</v>
      </c>
      <c r="O230" s="256"/>
      <c r="P230" s="255">
        <f>+Reactivos_[[#This Row],[Cantidad 
LDV]]*Reactivos_[[#This Row],[Valor de referencia]]</f>
        <v>0</v>
      </c>
      <c r="Q230" s="257">
        <v>1</v>
      </c>
      <c r="R230" s="255">
        <f>+Reactivos_[[#This Row],[Cantidad LNDV]]*Reactivos_[[#This Row],[Valor de referencia]]</f>
        <v>578866</v>
      </c>
      <c r="S230" s="148"/>
      <c r="T230" s="255">
        <f>+Reactivos_[[#This Row],[GGCA]]*Reactivos_[[#This Row],[Valor de referencia]]</f>
        <v>0</v>
      </c>
      <c r="U230" s="254"/>
      <c r="V230" s="255">
        <f>+Reactivos_[[#This Row],[Cantidad LDF]]*Reactivos_[[#This Row],[Valor de referencia]]</f>
        <v>0</v>
      </c>
      <c r="W230" s="254"/>
      <c r="X230" s="255">
        <f>+Reactivos_[[#This Row],[Cantidad LDF&amp;MR]]*Reactivos_[[#This Row],[Valor de referencia]]</f>
        <v>0</v>
      </c>
      <c r="Y230" s="254"/>
      <c r="Z230" s="255">
        <f>+Reactivos_[[#This Row],[Cantidad RED LASE]]*Reactivos_[[#This Row],[Valor de referencia]]</f>
        <v>0</v>
      </c>
      <c r="AA230" s="254"/>
      <c r="AB230" s="255">
        <f>+Reactivos_[[#This Row],[Cantidad LANIA]]*Reactivos_[[#This Row],[Valor de referencia]]</f>
        <v>0</v>
      </c>
      <c r="AC230" s="254"/>
      <c r="AD230" s="255">
        <f>+Reactivos_[[#This Row],[Cantidad SPA]]*Reactivos_[[#This Row],[Valor de referencia]]</f>
        <v>0</v>
      </c>
      <c r="AE230" s="148" t="s">
        <v>76</v>
      </c>
      <c r="AF230" s="148" t="s">
        <v>77</v>
      </c>
    </row>
    <row r="231" spans="1:32" ht="51" x14ac:dyDescent="0.25">
      <c r="A231" s="294" t="str">
        <f>IF(B231=Reactivos_[[#This Row],[Cantidad LANIP]],"LANIP",IF(B231=Reactivos_[[#This Row],[Cantidad 
LDV]],"LDV",IF(B231=Reactivos_[[#This Row],[Cantidad LNDV]],"LNDV",IF(B231=Reactivos_[[#This Row],[GGCA]],"GGCA",IF(B231=Reactivos_[[#This Row],[Cantidad LDF]],"LDF",IF(Reactivos_[[#This Row],[Cantidad LDF&amp;MR]],"LDF&amp;MR",IF(B231=Reactivos_[[#This Row],[Cantidad RED LASE]],"LASE",IF(B231=Reactivos_[[#This Row],[Cantidad LANIA]],"LANIA",IF(B231=Reactivos_[[#This Row],[Cantidad SPA]],"SPA"," ")))))))))</f>
        <v>LDV</v>
      </c>
      <c r="B23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C231" s="325">
        <v>229</v>
      </c>
      <c r="D231" s="326">
        <v>294</v>
      </c>
      <c r="E231" s="331" t="s">
        <v>683</v>
      </c>
      <c r="F231" s="332" t="s">
        <v>680</v>
      </c>
      <c r="G231" s="331" t="s">
        <v>681</v>
      </c>
      <c r="H231" s="348" t="s">
        <v>684</v>
      </c>
      <c r="I231" s="329" t="s">
        <v>685</v>
      </c>
      <c r="J23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25</v>
      </c>
      <c r="K231" s="160">
        <v>177143</v>
      </c>
      <c r="L231" s="160">
        <f>+Reactivos_[[#This Row],[Cantidad]]*Reactivos_[[#This Row],[Valor de referencia]]</f>
        <v>4428575</v>
      </c>
      <c r="M231" s="254">
        <v>4</v>
      </c>
      <c r="N231" s="255">
        <f>+Reactivos_[[#This Row],[Valor de referencia]]*Reactivos_[[#This Row],[Cantidad LANIP]]</f>
        <v>708572</v>
      </c>
      <c r="O231" s="256">
        <v>15</v>
      </c>
      <c r="P231" s="255">
        <f>+Reactivos_[[#This Row],[Cantidad 
LDV]]*Reactivos_[[#This Row],[Valor de referencia]]</f>
        <v>2657145</v>
      </c>
      <c r="Q231" s="257">
        <v>5</v>
      </c>
      <c r="R231" s="255">
        <f>+Reactivos_[[#This Row],[Cantidad LNDV]]*Reactivos_[[#This Row],[Valor de referencia]]</f>
        <v>885715</v>
      </c>
      <c r="S231" s="148"/>
      <c r="T231" s="255">
        <f>+Reactivos_[[#This Row],[GGCA]]*Reactivos_[[#This Row],[Valor de referencia]]</f>
        <v>0</v>
      </c>
      <c r="U231" s="254"/>
      <c r="V231" s="255">
        <f>+Reactivos_[[#This Row],[Cantidad LDF]]*Reactivos_[[#This Row],[Valor de referencia]]</f>
        <v>0</v>
      </c>
      <c r="W231" s="254"/>
      <c r="X231" s="255">
        <f>+Reactivos_[[#This Row],[Cantidad LDF&amp;MR]]*Reactivos_[[#This Row],[Valor de referencia]]</f>
        <v>0</v>
      </c>
      <c r="Y231" s="254"/>
      <c r="Z231" s="255">
        <f>+Reactivos_[[#This Row],[Cantidad RED LASE]]*Reactivos_[[#This Row],[Valor de referencia]]</f>
        <v>0</v>
      </c>
      <c r="AA231" s="254">
        <v>1</v>
      </c>
      <c r="AB231" s="255">
        <f>+Reactivos_[[#This Row],[Cantidad LANIA]]*Reactivos_[[#This Row],[Valor de referencia]]</f>
        <v>177143</v>
      </c>
      <c r="AC231" s="254"/>
      <c r="AD231" s="255">
        <f>+Reactivos_[[#This Row],[Cantidad SPA]]*Reactivos_[[#This Row],[Valor de referencia]]</f>
        <v>0</v>
      </c>
      <c r="AE231" s="148" t="s">
        <v>76</v>
      </c>
      <c r="AF231" s="148" t="s">
        <v>77</v>
      </c>
    </row>
    <row r="232" spans="1:32" x14ac:dyDescent="0.25">
      <c r="A232" s="294" t="str">
        <f>IF(B232=Reactivos_[[#This Row],[Cantidad LANIP]],"LANIP",IF(B232=Reactivos_[[#This Row],[Cantidad 
LDV]],"LDV",IF(B232=Reactivos_[[#This Row],[Cantidad LNDV]],"LNDV",IF(B232=Reactivos_[[#This Row],[GGCA]],"GGCA",IF(B232=Reactivos_[[#This Row],[Cantidad LDF]],"LDF",IF(Reactivos_[[#This Row],[Cantidad LDF&amp;MR]],"LDF&amp;MR",IF(B232=Reactivos_[[#This Row],[Cantidad RED LASE]],"LASE",IF(B232=Reactivos_[[#This Row],[Cantidad LANIA]],"LANIA",IF(B232=Reactivos_[[#This Row],[Cantidad SPA]],"SPA"," ")))))))))</f>
        <v>LDF</v>
      </c>
      <c r="B23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232" s="325">
        <v>230</v>
      </c>
      <c r="D232" s="326">
        <v>295</v>
      </c>
      <c r="E232" s="331" t="s">
        <v>686</v>
      </c>
      <c r="F232" s="318" t="s">
        <v>687</v>
      </c>
      <c r="G232" s="317" t="s">
        <v>688</v>
      </c>
      <c r="H232" s="348" t="s">
        <v>689</v>
      </c>
      <c r="I232" s="341" t="s">
        <v>557</v>
      </c>
      <c r="J23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17</v>
      </c>
      <c r="K232" s="160">
        <v>1219982</v>
      </c>
      <c r="L232" s="160">
        <f>+Reactivos_[[#This Row],[Cantidad]]*Reactivos_[[#This Row],[Valor de referencia]]</f>
        <v>20739694</v>
      </c>
      <c r="M232" s="254">
        <v>5</v>
      </c>
      <c r="N232" s="255">
        <f>+Reactivos_[[#This Row],[Valor de referencia]]*Reactivos_[[#This Row],[Cantidad LANIP]]</f>
        <v>6099910</v>
      </c>
      <c r="O232" s="256"/>
      <c r="P232" s="255">
        <f>+Reactivos_[[#This Row],[Cantidad 
LDV]]*Reactivos_[[#This Row],[Valor de referencia]]</f>
        <v>0</v>
      </c>
      <c r="Q232" s="257">
        <v>1</v>
      </c>
      <c r="R232" s="255">
        <f>+Reactivos_[[#This Row],[Cantidad LNDV]]*Reactivos_[[#This Row],[Valor de referencia]]</f>
        <v>1219982</v>
      </c>
      <c r="S232" s="148"/>
      <c r="T232" s="255">
        <f>+Reactivos_[[#This Row],[GGCA]]*Reactivos_[[#This Row],[Valor de referencia]]</f>
        <v>0</v>
      </c>
      <c r="U232" s="254">
        <v>7</v>
      </c>
      <c r="V232" s="255">
        <f>+Reactivos_[[#This Row],[Cantidad LDF]]*Reactivos_[[#This Row],[Valor de referencia]]</f>
        <v>8539874</v>
      </c>
      <c r="W232" s="254"/>
      <c r="X232" s="255">
        <f>+Reactivos_[[#This Row],[Cantidad LDF&amp;MR]]*Reactivos_[[#This Row],[Valor de referencia]]</f>
        <v>0</v>
      </c>
      <c r="Y232" s="254"/>
      <c r="Z232" s="255">
        <f>+Reactivos_[[#This Row],[Cantidad RED LASE]]*Reactivos_[[#This Row],[Valor de referencia]]</f>
        <v>0</v>
      </c>
      <c r="AA232" s="254">
        <v>4</v>
      </c>
      <c r="AB232" s="255">
        <f>+Reactivos_[[#This Row],[Cantidad LANIA]]*Reactivos_[[#This Row],[Valor de referencia]]</f>
        <v>4879928</v>
      </c>
      <c r="AC232" s="254"/>
      <c r="AD232" s="255">
        <f>+Reactivos_[[#This Row],[Cantidad SPA]]*Reactivos_[[#This Row],[Valor de referencia]]</f>
        <v>0</v>
      </c>
      <c r="AE232" s="148" t="s">
        <v>76</v>
      </c>
      <c r="AF232" s="148" t="s">
        <v>77</v>
      </c>
    </row>
    <row r="233" spans="1:32" ht="60.75" customHeight="1" x14ac:dyDescent="0.25">
      <c r="A233" s="294" t="str">
        <f>IF(B233=Reactivos_[[#This Row],[Cantidad LANIP]],"LANIP",IF(B233=Reactivos_[[#This Row],[Cantidad 
LDV]],"LDV",IF(B233=Reactivos_[[#This Row],[Cantidad LNDV]],"LNDV",IF(B233=Reactivos_[[#This Row],[GGCA]],"GGCA",IF(B233=Reactivos_[[#This Row],[Cantidad LDF]],"LDF",IF(Reactivos_[[#This Row],[Cantidad LDF&amp;MR]],"LDF&amp;MR",IF(B233=Reactivos_[[#This Row],[Cantidad RED LASE]],"LASE",IF(B233=Reactivos_[[#This Row],[Cantidad LANIA]],"LANIA",IF(B233=Reactivos_[[#This Row],[Cantidad SPA]],"SPA"," ")))))))))</f>
        <v>LANIA</v>
      </c>
      <c r="B23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33" s="325">
        <v>231</v>
      </c>
      <c r="D233" s="326">
        <v>296</v>
      </c>
      <c r="E233" s="359" t="s">
        <v>690</v>
      </c>
      <c r="F233" s="244"/>
      <c r="G233" s="245"/>
      <c r="H233" s="346" t="s">
        <v>587</v>
      </c>
      <c r="I233" s="362" t="s">
        <v>618</v>
      </c>
      <c r="J23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33" s="160">
        <v>565250</v>
      </c>
      <c r="L233" s="160">
        <f>+Reactivos_[[#This Row],[Cantidad]]*Reactivos_[[#This Row],[Valor de referencia]]</f>
        <v>565250</v>
      </c>
      <c r="M233" s="254">
        <v>0</v>
      </c>
      <c r="N233" s="255">
        <f>+Reactivos_[[#This Row],[Valor de referencia]]*Reactivos_[[#This Row],[Cantidad LANIP]]</f>
        <v>0</v>
      </c>
      <c r="O233" s="256"/>
      <c r="P233" s="255">
        <f>+Reactivos_[[#This Row],[Cantidad 
LDV]]*Reactivos_[[#This Row],[Valor de referencia]]</f>
        <v>0</v>
      </c>
      <c r="Q233" s="257"/>
      <c r="R233" s="255">
        <f>+Reactivos_[[#This Row],[Cantidad LNDV]]*Reactivos_[[#This Row],[Valor de referencia]]</f>
        <v>0</v>
      </c>
      <c r="S233" s="148"/>
      <c r="T233" s="255">
        <f>+Reactivos_[[#This Row],[GGCA]]*Reactivos_[[#This Row],[Valor de referencia]]</f>
        <v>0</v>
      </c>
      <c r="U233" s="254"/>
      <c r="V233" s="255">
        <f>+Reactivos_[[#This Row],[Cantidad LDF]]*Reactivos_[[#This Row],[Valor de referencia]]</f>
        <v>0</v>
      </c>
      <c r="W233" s="254"/>
      <c r="X233" s="255">
        <f>+Reactivos_[[#This Row],[Cantidad LDF&amp;MR]]*Reactivos_[[#This Row],[Valor de referencia]]</f>
        <v>0</v>
      </c>
      <c r="Y233" s="254"/>
      <c r="Z233" s="255">
        <f>+Reactivos_[[#This Row],[Cantidad RED LASE]]*Reactivos_[[#This Row],[Valor de referencia]]</f>
        <v>0</v>
      </c>
      <c r="AA233" s="254">
        <v>1</v>
      </c>
      <c r="AB233" s="255">
        <f>+Reactivos_[[#This Row],[Cantidad LANIA]]*Reactivos_[[#This Row],[Valor de referencia]]</f>
        <v>565250</v>
      </c>
      <c r="AC233" s="254"/>
      <c r="AD233" s="255">
        <f>+Reactivos_[[#This Row],[Cantidad SPA]]*Reactivos_[[#This Row],[Valor de referencia]]</f>
        <v>0</v>
      </c>
      <c r="AE233" s="148" t="s">
        <v>76</v>
      </c>
      <c r="AF233" s="148" t="s">
        <v>77</v>
      </c>
    </row>
    <row r="234" spans="1:32" ht="22.5" customHeight="1" x14ac:dyDescent="0.25">
      <c r="A234" s="294" t="str">
        <f>IF(B234=Reactivos_[[#This Row],[Cantidad LANIP]],"LANIP",IF(B234=Reactivos_[[#This Row],[Cantidad 
LDV]],"LDV",IF(B234=Reactivos_[[#This Row],[Cantidad LNDV]],"LNDV",IF(B234=Reactivos_[[#This Row],[GGCA]],"GGCA",IF(B234=Reactivos_[[#This Row],[Cantidad LDF]],"LDF",IF(Reactivos_[[#This Row],[Cantidad LDF&amp;MR]],"LDF&amp;MR",IF(B234=Reactivos_[[#This Row],[Cantidad RED LASE]],"LASE",IF(B234=Reactivos_[[#This Row],[Cantidad LANIA]],"LANIA",IF(B234=Reactivos_[[#This Row],[Cantidad SPA]],"SPA"," ")))))))))</f>
        <v>LDV</v>
      </c>
      <c r="B23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234" s="325">
        <v>232</v>
      </c>
      <c r="D234" s="326">
        <v>297</v>
      </c>
      <c r="E234" s="331" t="s">
        <v>691</v>
      </c>
      <c r="F234" s="332"/>
      <c r="G234" s="331"/>
      <c r="H234" s="348" t="s">
        <v>692</v>
      </c>
      <c r="I234" s="329" t="s">
        <v>693</v>
      </c>
      <c r="J23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234" s="160">
        <v>943360</v>
      </c>
      <c r="L234" s="160">
        <f>+Reactivos_[[#This Row],[Cantidad]]*Reactivos_[[#This Row],[Valor de referencia]]</f>
        <v>6603520</v>
      </c>
      <c r="M234" s="254">
        <v>0</v>
      </c>
      <c r="N234" s="255">
        <f>+Reactivos_[[#This Row],[Valor de referencia]]*Reactivos_[[#This Row],[Cantidad LANIP]]</f>
        <v>0</v>
      </c>
      <c r="O234" s="256">
        <v>5</v>
      </c>
      <c r="P234" s="255">
        <f>+Reactivos_[[#This Row],[Cantidad 
LDV]]*Reactivos_[[#This Row],[Valor de referencia]]</f>
        <v>4716800</v>
      </c>
      <c r="Q234" s="257">
        <v>2</v>
      </c>
      <c r="R234" s="255">
        <f>+Reactivos_[[#This Row],[Cantidad LNDV]]*Reactivos_[[#This Row],[Valor de referencia]]</f>
        <v>1886720</v>
      </c>
      <c r="S234" s="148"/>
      <c r="T234" s="255">
        <f>+Reactivos_[[#This Row],[GGCA]]*Reactivos_[[#This Row],[Valor de referencia]]</f>
        <v>0</v>
      </c>
      <c r="U234" s="254"/>
      <c r="V234" s="255">
        <f>+Reactivos_[[#This Row],[Cantidad LDF]]*Reactivos_[[#This Row],[Valor de referencia]]</f>
        <v>0</v>
      </c>
      <c r="W234" s="254"/>
      <c r="X234" s="255">
        <f>+Reactivos_[[#This Row],[Cantidad LDF&amp;MR]]*Reactivos_[[#This Row],[Valor de referencia]]</f>
        <v>0</v>
      </c>
      <c r="Y234" s="254"/>
      <c r="Z234" s="255">
        <f>+Reactivos_[[#This Row],[Cantidad RED LASE]]*Reactivos_[[#This Row],[Valor de referencia]]</f>
        <v>0</v>
      </c>
      <c r="AA234" s="254"/>
      <c r="AB234" s="255">
        <f>+Reactivos_[[#This Row],[Cantidad LANIA]]*Reactivos_[[#This Row],[Valor de referencia]]</f>
        <v>0</v>
      </c>
      <c r="AC234" s="254"/>
      <c r="AD234" s="255">
        <f>+Reactivos_[[#This Row],[Cantidad SPA]]*Reactivos_[[#This Row],[Valor de referencia]]</f>
        <v>0</v>
      </c>
      <c r="AE234" s="148" t="s">
        <v>76</v>
      </c>
      <c r="AF234" s="148" t="s">
        <v>77</v>
      </c>
    </row>
    <row r="235" spans="1:32" ht="38.25" x14ac:dyDescent="0.25">
      <c r="A235" s="294" t="str">
        <f>IF(B235=Reactivos_[[#This Row],[Cantidad LANIP]],"LANIP",IF(B235=Reactivos_[[#This Row],[Cantidad 
LDV]],"LDV",IF(B235=Reactivos_[[#This Row],[Cantidad LNDV]],"LNDV",IF(B235=Reactivos_[[#This Row],[GGCA]],"GGCA",IF(B235=Reactivos_[[#This Row],[Cantidad LDF]],"LDF",IF(Reactivos_[[#This Row],[Cantidad LDF&amp;MR]],"LDF&amp;MR",IF(B235=Reactivos_[[#This Row],[Cantidad RED LASE]],"LASE",IF(B235=Reactivos_[[#This Row],[Cantidad LANIA]],"LANIA",IF(B235=Reactivos_[[#This Row],[Cantidad SPA]],"SPA"," ")))))))))</f>
        <v>LNDV</v>
      </c>
      <c r="B23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35" s="325">
        <v>233</v>
      </c>
      <c r="D235" s="326">
        <v>298</v>
      </c>
      <c r="E235" s="331" t="s">
        <v>694</v>
      </c>
      <c r="F235" s="332"/>
      <c r="G235" s="331"/>
      <c r="H235" s="348" t="s">
        <v>695</v>
      </c>
      <c r="I235" s="334" t="s">
        <v>175</v>
      </c>
      <c r="J23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35" s="160">
        <v>201283</v>
      </c>
      <c r="L235" s="160">
        <f>+Reactivos_[[#This Row],[Cantidad]]*Reactivos_[[#This Row],[Valor de referencia]]</f>
        <v>201283</v>
      </c>
      <c r="M235" s="254">
        <v>0</v>
      </c>
      <c r="N235" s="255">
        <f>+Reactivos_[[#This Row],[Valor de referencia]]*Reactivos_[[#This Row],[Cantidad LANIP]]</f>
        <v>0</v>
      </c>
      <c r="O235" s="256">
        <v>0</v>
      </c>
      <c r="P235" s="255">
        <f>+Reactivos_[[#This Row],[Cantidad 
LDV]]*Reactivos_[[#This Row],[Valor de referencia]]</f>
        <v>0</v>
      </c>
      <c r="Q235" s="257">
        <v>1</v>
      </c>
      <c r="R235" s="255">
        <f>+Reactivos_[[#This Row],[Cantidad LNDV]]*Reactivos_[[#This Row],[Valor de referencia]]</f>
        <v>201283</v>
      </c>
      <c r="S235" s="148"/>
      <c r="T235" s="255">
        <f>+Reactivos_[[#This Row],[GGCA]]*Reactivos_[[#This Row],[Valor de referencia]]</f>
        <v>0</v>
      </c>
      <c r="U235" s="254"/>
      <c r="V235" s="255">
        <f>+Reactivos_[[#This Row],[Cantidad LDF]]*Reactivos_[[#This Row],[Valor de referencia]]</f>
        <v>0</v>
      </c>
      <c r="W235" s="254"/>
      <c r="X235" s="255">
        <f>+Reactivos_[[#This Row],[Cantidad LDF&amp;MR]]*Reactivos_[[#This Row],[Valor de referencia]]</f>
        <v>0</v>
      </c>
      <c r="Y235" s="254"/>
      <c r="Z235" s="255">
        <f>+Reactivos_[[#This Row],[Cantidad RED LASE]]*Reactivos_[[#This Row],[Valor de referencia]]</f>
        <v>0</v>
      </c>
      <c r="AA235" s="254"/>
      <c r="AB235" s="255">
        <f>+Reactivos_[[#This Row],[Cantidad LANIA]]*Reactivos_[[#This Row],[Valor de referencia]]</f>
        <v>0</v>
      </c>
      <c r="AC235" s="254"/>
      <c r="AD235" s="255">
        <f>+Reactivos_[[#This Row],[Cantidad SPA]]*Reactivos_[[#This Row],[Valor de referencia]]</f>
        <v>0</v>
      </c>
      <c r="AE235" s="148" t="s">
        <v>76</v>
      </c>
      <c r="AF235" s="148" t="s">
        <v>77</v>
      </c>
    </row>
    <row r="236" spans="1:32" ht="38.25" x14ac:dyDescent="0.25">
      <c r="A236" s="294" t="str">
        <f>IF(B236=Reactivos_[[#This Row],[Cantidad LANIP]],"LANIP",IF(B236=Reactivos_[[#This Row],[Cantidad 
LDV]],"LDV",IF(B236=Reactivos_[[#This Row],[Cantidad LNDV]],"LNDV",IF(B236=Reactivos_[[#This Row],[GGCA]],"GGCA",IF(B236=Reactivos_[[#This Row],[Cantidad LDF]],"LDF",IF(Reactivos_[[#This Row],[Cantidad LDF&amp;MR]],"LDF&amp;MR",IF(B236=Reactivos_[[#This Row],[Cantidad RED LASE]],"LASE",IF(B236=Reactivos_[[#This Row],[Cantidad LANIA]],"LANIA",IF(B236=Reactivos_[[#This Row],[Cantidad SPA]],"SPA"," ")))))))))</f>
        <v>LDV</v>
      </c>
      <c r="B23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36" s="325">
        <v>234</v>
      </c>
      <c r="D236" s="326">
        <v>300</v>
      </c>
      <c r="E236" s="331" t="s">
        <v>696</v>
      </c>
      <c r="F236" s="332"/>
      <c r="G236" s="331"/>
      <c r="H236" s="342" t="s">
        <v>697</v>
      </c>
      <c r="I236" s="334" t="s">
        <v>175</v>
      </c>
      <c r="J23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236" s="160">
        <v>120244</v>
      </c>
      <c r="L236" s="160">
        <f>+Reactivos_[[#This Row],[Cantidad]]*Reactivos_[[#This Row],[Valor de referencia]]</f>
        <v>480976</v>
      </c>
      <c r="M236" s="254">
        <v>0</v>
      </c>
      <c r="N236" s="255">
        <f>+Reactivos_[[#This Row],[Valor de referencia]]*Reactivos_[[#This Row],[Cantidad LANIP]]</f>
        <v>0</v>
      </c>
      <c r="O236" s="256">
        <v>2</v>
      </c>
      <c r="P236" s="255">
        <f>+Reactivos_[[#This Row],[Cantidad 
LDV]]*Reactivos_[[#This Row],[Valor de referencia]]</f>
        <v>240488</v>
      </c>
      <c r="Q236" s="257">
        <v>2</v>
      </c>
      <c r="R236" s="255">
        <f>+Reactivos_[[#This Row],[Cantidad LNDV]]*Reactivos_[[#This Row],[Valor de referencia]]</f>
        <v>240488</v>
      </c>
      <c r="S236" s="148"/>
      <c r="T236" s="255">
        <f>+Reactivos_[[#This Row],[GGCA]]*Reactivos_[[#This Row],[Valor de referencia]]</f>
        <v>0</v>
      </c>
      <c r="U236" s="254"/>
      <c r="V236" s="255">
        <f>+Reactivos_[[#This Row],[Cantidad LDF]]*Reactivos_[[#This Row],[Valor de referencia]]</f>
        <v>0</v>
      </c>
      <c r="W236" s="254"/>
      <c r="X236" s="255">
        <f>+Reactivos_[[#This Row],[Cantidad LDF&amp;MR]]*Reactivos_[[#This Row],[Valor de referencia]]</f>
        <v>0</v>
      </c>
      <c r="Y236" s="254"/>
      <c r="Z236" s="255">
        <f>+Reactivos_[[#This Row],[Cantidad RED LASE]]*Reactivos_[[#This Row],[Valor de referencia]]</f>
        <v>0</v>
      </c>
      <c r="AA236" s="254"/>
      <c r="AB236" s="255">
        <f>+Reactivos_[[#This Row],[Cantidad LANIA]]*Reactivos_[[#This Row],[Valor de referencia]]</f>
        <v>0</v>
      </c>
      <c r="AC236" s="254"/>
      <c r="AD236" s="255">
        <f>+Reactivos_[[#This Row],[Cantidad SPA]]*Reactivos_[[#This Row],[Valor de referencia]]</f>
        <v>0</v>
      </c>
      <c r="AE236" s="148" t="s">
        <v>76</v>
      </c>
      <c r="AF236" s="148" t="s">
        <v>77</v>
      </c>
    </row>
    <row r="237" spans="1:32" ht="23.25" customHeight="1" x14ac:dyDescent="0.25">
      <c r="A237" s="294" t="str">
        <f>IF(B237=Reactivos_[[#This Row],[Cantidad LANIP]],"LANIP",IF(B237=Reactivos_[[#This Row],[Cantidad 
LDV]],"LDV",IF(B237=Reactivos_[[#This Row],[Cantidad LNDV]],"LNDV",IF(B237=Reactivos_[[#This Row],[GGCA]],"GGCA",IF(B237=Reactivos_[[#This Row],[Cantidad LDF]],"LDF",IF(Reactivos_[[#This Row],[Cantidad LDF&amp;MR]],"LDF&amp;MR",IF(B237=Reactivos_[[#This Row],[Cantidad RED LASE]],"LASE",IF(B237=Reactivos_[[#This Row],[Cantidad LANIA]],"LANIA",IF(B237=Reactivos_[[#This Row],[Cantidad SPA]],"SPA"," ")))))))))</f>
        <v>LANIP</v>
      </c>
      <c r="B23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237" s="325">
        <v>235</v>
      </c>
      <c r="D237" s="326">
        <v>302</v>
      </c>
      <c r="E237" s="331" t="s">
        <v>698</v>
      </c>
      <c r="F237" s="332"/>
      <c r="G237" s="331"/>
      <c r="H237" s="328" t="s">
        <v>699</v>
      </c>
      <c r="I237" s="334" t="s">
        <v>700</v>
      </c>
      <c r="J23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K237" s="160">
        <v>1287713</v>
      </c>
      <c r="L237" s="160">
        <f>+Reactivos_[[#This Row],[Cantidad]]*Reactivos_[[#This Row],[Valor de referencia]]</f>
        <v>14164843</v>
      </c>
      <c r="M237" s="254">
        <v>8</v>
      </c>
      <c r="N237" s="255">
        <f>+Reactivos_[[#This Row],[Valor de referencia]]*Reactivos_[[#This Row],[Cantidad LANIP]]</f>
        <v>10301704</v>
      </c>
      <c r="O237" s="256"/>
      <c r="P237" s="255">
        <f>+Reactivos_[[#This Row],[Cantidad 
LDV]]*Reactivos_[[#This Row],[Valor de referencia]]</f>
        <v>0</v>
      </c>
      <c r="Q237" s="257">
        <v>3</v>
      </c>
      <c r="R237" s="255">
        <f>+Reactivos_[[#This Row],[Cantidad LNDV]]*Reactivos_[[#This Row],[Valor de referencia]]</f>
        <v>3863139</v>
      </c>
      <c r="S237" s="148"/>
      <c r="T237" s="255">
        <f>+Reactivos_[[#This Row],[GGCA]]*Reactivos_[[#This Row],[Valor de referencia]]</f>
        <v>0</v>
      </c>
      <c r="U237" s="254"/>
      <c r="V237" s="255">
        <f>+Reactivos_[[#This Row],[Cantidad LDF]]*Reactivos_[[#This Row],[Valor de referencia]]</f>
        <v>0</v>
      </c>
      <c r="W237" s="254"/>
      <c r="X237" s="255">
        <f>+Reactivos_[[#This Row],[Cantidad LDF&amp;MR]]*Reactivos_[[#This Row],[Valor de referencia]]</f>
        <v>0</v>
      </c>
      <c r="Y237" s="254"/>
      <c r="Z237" s="255">
        <f>+Reactivos_[[#This Row],[Cantidad RED LASE]]*Reactivos_[[#This Row],[Valor de referencia]]</f>
        <v>0</v>
      </c>
      <c r="AA237" s="254"/>
      <c r="AB237" s="255">
        <f>+Reactivos_[[#This Row],[Cantidad LANIA]]*Reactivos_[[#This Row],[Valor de referencia]]</f>
        <v>0</v>
      </c>
      <c r="AC237" s="254"/>
      <c r="AD237" s="255">
        <f>+Reactivos_[[#This Row],[Cantidad SPA]]*Reactivos_[[#This Row],[Valor de referencia]]</f>
        <v>0</v>
      </c>
      <c r="AE237" s="148" t="s">
        <v>76</v>
      </c>
      <c r="AF237" s="148" t="s">
        <v>77</v>
      </c>
    </row>
    <row r="238" spans="1:32" ht="22.5" customHeight="1" x14ac:dyDescent="0.25">
      <c r="A238" s="294" t="str">
        <f>IF(B238=Reactivos_[[#This Row],[Cantidad LANIP]],"LANIP",IF(B238=Reactivos_[[#This Row],[Cantidad 
LDV]],"LDV",IF(B238=Reactivos_[[#This Row],[Cantidad LNDV]],"LNDV",IF(B238=Reactivos_[[#This Row],[GGCA]],"GGCA",IF(B238=Reactivos_[[#This Row],[Cantidad LDF]],"LDF",IF(Reactivos_[[#This Row],[Cantidad LDF&amp;MR]],"LDF&amp;MR",IF(B238=Reactivos_[[#This Row],[Cantidad RED LASE]],"LASE",IF(B238=Reactivos_[[#This Row],[Cantidad LANIA]],"LANIA",IF(B238=Reactivos_[[#This Row],[Cantidad SPA]],"SPA"," ")))))))))</f>
        <v>LNDV</v>
      </c>
      <c r="B23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38" s="325">
        <v>236</v>
      </c>
      <c r="D238" s="326">
        <v>303</v>
      </c>
      <c r="E238" s="327" t="s">
        <v>701</v>
      </c>
      <c r="F238" s="338"/>
      <c r="G238" s="339"/>
      <c r="H238" s="328" t="s">
        <v>702</v>
      </c>
      <c r="I238" s="329" t="s">
        <v>703</v>
      </c>
      <c r="J23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38" s="160">
        <v>1378100</v>
      </c>
      <c r="L238" s="160">
        <f>+Reactivos_[[#This Row],[Cantidad]]*Reactivos_[[#This Row],[Valor de referencia]]</f>
        <v>1378100</v>
      </c>
      <c r="M238" s="254"/>
      <c r="N238" s="255">
        <f>+Reactivos_[[#This Row],[Valor de referencia]]*Reactivos_[[#This Row],[Cantidad LANIP]]</f>
        <v>0</v>
      </c>
      <c r="O238" s="256"/>
      <c r="P238" s="255">
        <f>+Reactivos_[[#This Row],[Cantidad 
LDV]]*Reactivos_[[#This Row],[Valor de referencia]]</f>
        <v>0</v>
      </c>
      <c r="Q238" s="257">
        <v>1</v>
      </c>
      <c r="R238" s="255">
        <f>+Reactivos_[[#This Row],[Cantidad LNDV]]*Reactivos_[[#This Row],[Valor de referencia]]</f>
        <v>1378100</v>
      </c>
      <c r="S238" s="148"/>
      <c r="T238" s="255">
        <f>+Reactivos_[[#This Row],[GGCA]]*Reactivos_[[#This Row],[Valor de referencia]]</f>
        <v>0</v>
      </c>
      <c r="U238" s="254"/>
      <c r="V238" s="255">
        <f>+Reactivos_[[#This Row],[Cantidad LDF]]*Reactivos_[[#This Row],[Valor de referencia]]</f>
        <v>0</v>
      </c>
      <c r="W238" s="254"/>
      <c r="X238" s="255">
        <f>+Reactivos_[[#This Row],[Cantidad LDF&amp;MR]]*Reactivos_[[#This Row],[Valor de referencia]]</f>
        <v>0</v>
      </c>
      <c r="Y238" s="254"/>
      <c r="Z238" s="255">
        <f>+Reactivos_[[#This Row],[Cantidad RED LASE]]*Reactivos_[[#This Row],[Valor de referencia]]</f>
        <v>0</v>
      </c>
      <c r="AA238" s="254"/>
      <c r="AB238" s="255">
        <f>+Reactivos_[[#This Row],[Cantidad LANIA]]*Reactivos_[[#This Row],[Valor de referencia]]</f>
        <v>0</v>
      </c>
      <c r="AC238" s="254"/>
      <c r="AD238" s="255">
        <f>+Reactivos_[[#This Row],[Cantidad SPA]]*Reactivos_[[#This Row],[Valor de referencia]]</f>
        <v>0</v>
      </c>
      <c r="AE238" s="148" t="s">
        <v>76</v>
      </c>
      <c r="AF238" s="148" t="s">
        <v>77</v>
      </c>
    </row>
    <row r="239" spans="1:32" ht="25.5" x14ac:dyDescent="0.25">
      <c r="A239" s="294" t="str">
        <f>IF(B239=Reactivos_[[#This Row],[Cantidad LANIP]],"LANIP",IF(B239=Reactivos_[[#This Row],[Cantidad 
LDV]],"LDV",IF(B239=Reactivos_[[#This Row],[Cantidad LNDV]],"LNDV",IF(B239=Reactivos_[[#This Row],[GGCA]],"GGCA",IF(B239=Reactivos_[[#This Row],[Cantidad LDF]],"LDF",IF(Reactivos_[[#This Row],[Cantidad LDF&amp;MR]],"LDF&amp;MR",IF(B239=Reactivos_[[#This Row],[Cantidad RED LASE]],"LASE",IF(B239=Reactivos_[[#This Row],[Cantidad LANIA]],"LANIA",IF(B239=Reactivos_[[#This Row],[Cantidad SPA]],"SPA"," ")))))))))</f>
        <v>LDF</v>
      </c>
      <c r="B23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239" s="325">
        <v>237</v>
      </c>
      <c r="D239" s="326">
        <v>308</v>
      </c>
      <c r="E239" s="331" t="s">
        <v>704</v>
      </c>
      <c r="F239" s="332"/>
      <c r="G239" s="331"/>
      <c r="H239" s="348" t="s">
        <v>705</v>
      </c>
      <c r="I239" s="334" t="s">
        <v>201</v>
      </c>
      <c r="J23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239" s="160">
        <v>424519</v>
      </c>
      <c r="L239" s="160">
        <f>+Reactivos_[[#This Row],[Cantidad]]*Reactivos_[[#This Row],[Valor de referencia]]</f>
        <v>2547114</v>
      </c>
      <c r="M239" s="254">
        <v>1</v>
      </c>
      <c r="N239" s="255">
        <f>+Reactivos_[[#This Row],[Valor de referencia]]*Reactivos_[[#This Row],[Cantidad LANIP]]</f>
        <v>424519</v>
      </c>
      <c r="O239" s="256"/>
      <c r="P239" s="255">
        <f>+Reactivos_[[#This Row],[Cantidad 
LDV]]*Reactivos_[[#This Row],[Valor de referencia]]</f>
        <v>0</v>
      </c>
      <c r="Q239" s="257">
        <v>1</v>
      </c>
      <c r="R239" s="255">
        <f>+Reactivos_[[#This Row],[Cantidad LNDV]]*Reactivos_[[#This Row],[Valor de referencia]]</f>
        <v>424519</v>
      </c>
      <c r="S239" s="148"/>
      <c r="T239" s="255">
        <f>+Reactivos_[[#This Row],[GGCA]]*Reactivos_[[#This Row],[Valor de referencia]]</f>
        <v>0</v>
      </c>
      <c r="U239" s="254">
        <v>4</v>
      </c>
      <c r="V239" s="255">
        <f>+Reactivos_[[#This Row],[Cantidad LDF]]*Reactivos_[[#This Row],[Valor de referencia]]</f>
        <v>1698076</v>
      </c>
      <c r="W239" s="254"/>
      <c r="X239" s="255">
        <f>+Reactivos_[[#This Row],[Cantidad LDF&amp;MR]]*Reactivos_[[#This Row],[Valor de referencia]]</f>
        <v>0</v>
      </c>
      <c r="Y239" s="254"/>
      <c r="Z239" s="255">
        <f>+Reactivos_[[#This Row],[Cantidad RED LASE]]*Reactivos_[[#This Row],[Valor de referencia]]</f>
        <v>0</v>
      </c>
      <c r="AA239" s="254"/>
      <c r="AB239" s="255">
        <f>+Reactivos_[[#This Row],[Cantidad LANIA]]*Reactivos_[[#This Row],[Valor de referencia]]</f>
        <v>0</v>
      </c>
      <c r="AC239" s="254"/>
      <c r="AD239" s="255">
        <f>+Reactivos_[[#This Row],[Cantidad SPA]]*Reactivos_[[#This Row],[Valor de referencia]]</f>
        <v>0</v>
      </c>
      <c r="AE239" s="148" t="s">
        <v>76</v>
      </c>
      <c r="AF239" s="148" t="s">
        <v>77</v>
      </c>
    </row>
    <row r="240" spans="1:32" ht="33.75" customHeight="1" x14ac:dyDescent="0.25">
      <c r="A240" s="294" t="str">
        <f>IF(B240=Reactivos_[[#This Row],[Cantidad LANIP]],"LANIP",IF(B240=Reactivos_[[#This Row],[Cantidad 
LDV]],"LDV",IF(B240=Reactivos_[[#This Row],[Cantidad LNDV]],"LNDV",IF(B240=Reactivos_[[#This Row],[GGCA]],"GGCA",IF(B240=Reactivos_[[#This Row],[Cantidad LDF]],"LDF",IF(Reactivos_[[#This Row],[Cantidad LDF&amp;MR]],"LDF&amp;MR",IF(B240=Reactivos_[[#This Row],[Cantidad RED LASE]],"LASE",IF(B240=Reactivos_[[#This Row],[Cantidad LANIA]],"LANIA",IF(B240=Reactivos_[[#This Row],[Cantidad SPA]],"SPA"," ")))))))))</f>
        <v>LNDV</v>
      </c>
      <c r="B24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40" s="325">
        <v>238</v>
      </c>
      <c r="D240" s="326">
        <v>309</v>
      </c>
      <c r="E240" s="245" t="s">
        <v>706</v>
      </c>
      <c r="F240" s="244" t="s">
        <v>707</v>
      </c>
      <c r="G240" s="245"/>
      <c r="H240" s="346" t="s">
        <v>708</v>
      </c>
      <c r="I240" s="336" t="s">
        <v>481</v>
      </c>
      <c r="J24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40" s="160">
        <v>2073099</v>
      </c>
      <c r="L240" s="160">
        <f>+Reactivos_[[#This Row],[Cantidad]]*Reactivos_[[#This Row],[Valor de referencia]]</f>
        <v>2073099</v>
      </c>
      <c r="M240" s="254">
        <v>0</v>
      </c>
      <c r="N240" s="255">
        <f>+Reactivos_[[#This Row],[Valor de referencia]]*Reactivos_[[#This Row],[Cantidad LANIP]]</f>
        <v>0</v>
      </c>
      <c r="O240" s="256"/>
      <c r="P240" s="255">
        <f>+Reactivos_[[#This Row],[Cantidad 
LDV]]*Reactivos_[[#This Row],[Valor de referencia]]</f>
        <v>0</v>
      </c>
      <c r="Q240" s="257">
        <v>1</v>
      </c>
      <c r="R240" s="255">
        <f>+Reactivos_[[#This Row],[Cantidad LNDV]]*Reactivos_[[#This Row],[Valor de referencia]]</f>
        <v>2073099</v>
      </c>
      <c r="S240" s="148"/>
      <c r="T240" s="255">
        <f>+Reactivos_[[#This Row],[GGCA]]*Reactivos_[[#This Row],[Valor de referencia]]</f>
        <v>0</v>
      </c>
      <c r="U240" s="254"/>
      <c r="V240" s="255">
        <f>+Reactivos_[[#This Row],[Cantidad LDF]]*Reactivos_[[#This Row],[Valor de referencia]]</f>
        <v>0</v>
      </c>
      <c r="W240" s="254"/>
      <c r="X240" s="255">
        <f>+Reactivos_[[#This Row],[Cantidad LDF&amp;MR]]*Reactivos_[[#This Row],[Valor de referencia]]</f>
        <v>0</v>
      </c>
      <c r="Y240" s="254"/>
      <c r="Z240" s="255">
        <f>+Reactivos_[[#This Row],[Cantidad RED LASE]]*Reactivos_[[#This Row],[Valor de referencia]]</f>
        <v>0</v>
      </c>
      <c r="AA240" s="254"/>
      <c r="AB240" s="255">
        <f>+Reactivos_[[#This Row],[Cantidad LANIA]]*Reactivos_[[#This Row],[Valor de referencia]]</f>
        <v>0</v>
      </c>
      <c r="AC240" s="254"/>
      <c r="AD240" s="255">
        <f>+Reactivos_[[#This Row],[Cantidad SPA]]*Reactivos_[[#This Row],[Valor de referencia]]</f>
        <v>0</v>
      </c>
      <c r="AE240" s="148" t="s">
        <v>76</v>
      </c>
      <c r="AF240" s="148" t="s">
        <v>77</v>
      </c>
    </row>
    <row r="241" spans="1:32" ht="38.25" x14ac:dyDescent="0.25">
      <c r="A241" s="294" t="str">
        <f>IF(B241=Reactivos_[[#This Row],[Cantidad LANIP]],"LANIP",IF(B241=Reactivos_[[#This Row],[Cantidad 
LDV]],"LDV",IF(B241=Reactivos_[[#This Row],[Cantidad LNDV]],"LNDV",IF(B241=Reactivos_[[#This Row],[GGCA]],"GGCA",IF(B241=Reactivos_[[#This Row],[Cantidad LDF]],"LDF",IF(Reactivos_[[#This Row],[Cantidad LDF&amp;MR]],"LDF&amp;MR",IF(B241=Reactivos_[[#This Row],[Cantidad RED LASE]],"LASE",IF(B241=Reactivos_[[#This Row],[Cantidad LANIA]],"LANIA",IF(B241=Reactivos_[[#This Row],[Cantidad SPA]],"SPA"," ")))))))))</f>
        <v>LDF</v>
      </c>
      <c r="B24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9</v>
      </c>
      <c r="C241" s="325">
        <v>239</v>
      </c>
      <c r="D241" s="326">
        <v>310</v>
      </c>
      <c r="E241" s="327" t="s">
        <v>709</v>
      </c>
      <c r="F241" s="244"/>
      <c r="G241" s="327"/>
      <c r="H241" s="342" t="s">
        <v>710</v>
      </c>
      <c r="I241" s="329" t="s">
        <v>184</v>
      </c>
      <c r="J24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14</v>
      </c>
      <c r="K241" s="160">
        <v>880767</v>
      </c>
      <c r="L241" s="160">
        <f>+Reactivos_[[#This Row],[Cantidad]]*Reactivos_[[#This Row],[Valor de referencia]]</f>
        <v>12330738</v>
      </c>
      <c r="M241" s="254">
        <v>0</v>
      </c>
      <c r="N241" s="255">
        <f>+Reactivos_[[#This Row],[Valor de referencia]]*Reactivos_[[#This Row],[Cantidad LANIP]]</f>
        <v>0</v>
      </c>
      <c r="O241" s="256"/>
      <c r="P241" s="255">
        <f>+Reactivos_[[#This Row],[Cantidad 
LDV]]*Reactivos_[[#This Row],[Valor de referencia]]</f>
        <v>0</v>
      </c>
      <c r="Q241" s="257"/>
      <c r="R241" s="255">
        <f>+Reactivos_[[#This Row],[Cantidad LNDV]]*Reactivos_[[#This Row],[Valor de referencia]]</f>
        <v>0</v>
      </c>
      <c r="S241" s="148"/>
      <c r="T241" s="255">
        <f>+Reactivos_[[#This Row],[GGCA]]*Reactivos_[[#This Row],[Valor de referencia]]</f>
        <v>0</v>
      </c>
      <c r="U241" s="254">
        <v>9</v>
      </c>
      <c r="V241" s="255">
        <f>+Reactivos_[[#This Row],[Cantidad LDF]]*Reactivos_[[#This Row],[Valor de referencia]]</f>
        <v>7926903</v>
      </c>
      <c r="W241" s="254">
        <v>5</v>
      </c>
      <c r="X241" s="255">
        <f>+Reactivos_[[#This Row],[Cantidad LDF&amp;MR]]*Reactivos_[[#This Row],[Valor de referencia]]</f>
        <v>4403835</v>
      </c>
      <c r="Y241" s="254"/>
      <c r="Z241" s="255">
        <f>+Reactivos_[[#This Row],[Cantidad RED LASE]]*Reactivos_[[#This Row],[Valor de referencia]]</f>
        <v>0</v>
      </c>
      <c r="AA241" s="254"/>
      <c r="AB241" s="255">
        <f>+Reactivos_[[#This Row],[Cantidad LANIA]]*Reactivos_[[#This Row],[Valor de referencia]]</f>
        <v>0</v>
      </c>
      <c r="AC241" s="254"/>
      <c r="AD241" s="255">
        <f>+Reactivos_[[#This Row],[Cantidad SPA]]*Reactivos_[[#This Row],[Valor de referencia]]</f>
        <v>0</v>
      </c>
      <c r="AE241" s="148" t="s">
        <v>76</v>
      </c>
      <c r="AF241" s="148" t="s">
        <v>77</v>
      </c>
    </row>
    <row r="242" spans="1:32" ht="33.75" customHeight="1" x14ac:dyDescent="0.25">
      <c r="A242" s="294" t="str">
        <f>IF(B242=Reactivos_[[#This Row],[Cantidad LANIP]],"LANIP",IF(B242=Reactivos_[[#This Row],[Cantidad 
LDV]],"LDV",IF(B242=Reactivos_[[#This Row],[Cantidad LNDV]],"LNDV",IF(B242=Reactivos_[[#This Row],[GGCA]],"GGCA",IF(B242=Reactivos_[[#This Row],[Cantidad LDF]],"LDF",IF(Reactivos_[[#This Row],[Cantidad LDF&amp;MR]],"LDF&amp;MR",IF(B242=Reactivos_[[#This Row],[Cantidad RED LASE]],"LASE",IF(B242=Reactivos_[[#This Row],[Cantidad LANIA]],"LANIA",IF(B242=Reactivos_[[#This Row],[Cantidad SPA]],"SPA"," ")))))))))</f>
        <v>LNDV</v>
      </c>
      <c r="B24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42" s="325">
        <v>240</v>
      </c>
      <c r="D242" s="326">
        <v>311</v>
      </c>
      <c r="E242" s="245" t="s">
        <v>711</v>
      </c>
      <c r="F242" s="244" t="s">
        <v>712</v>
      </c>
      <c r="G242" s="245"/>
      <c r="H242" s="346" t="s">
        <v>713</v>
      </c>
      <c r="I242" s="416" t="s">
        <v>714</v>
      </c>
      <c r="J24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42" s="160">
        <v>1462608</v>
      </c>
      <c r="L242" s="160">
        <f>+Reactivos_[[#This Row],[Cantidad]]*Reactivos_[[#This Row],[Valor de referencia]]</f>
        <v>1462608</v>
      </c>
      <c r="M242" s="254">
        <v>0</v>
      </c>
      <c r="N242" s="255">
        <f>+Reactivos_[[#This Row],[Valor de referencia]]*Reactivos_[[#This Row],[Cantidad LANIP]]</f>
        <v>0</v>
      </c>
      <c r="O242" s="256"/>
      <c r="P242" s="255">
        <f>+Reactivos_[[#This Row],[Cantidad 
LDV]]*Reactivos_[[#This Row],[Valor de referencia]]</f>
        <v>0</v>
      </c>
      <c r="Q242" s="257">
        <v>1</v>
      </c>
      <c r="R242" s="255">
        <f>+Reactivos_[[#This Row],[Cantidad LNDV]]*Reactivos_[[#This Row],[Valor de referencia]]</f>
        <v>1462608</v>
      </c>
      <c r="S242" s="148"/>
      <c r="T242" s="255">
        <f>+Reactivos_[[#This Row],[GGCA]]*Reactivos_[[#This Row],[Valor de referencia]]</f>
        <v>0</v>
      </c>
      <c r="U242" s="254"/>
      <c r="V242" s="255">
        <f>+Reactivos_[[#This Row],[Cantidad LDF]]*Reactivos_[[#This Row],[Valor de referencia]]</f>
        <v>0</v>
      </c>
      <c r="W242" s="254"/>
      <c r="X242" s="255">
        <f>+Reactivos_[[#This Row],[Cantidad LDF&amp;MR]]*Reactivos_[[#This Row],[Valor de referencia]]</f>
        <v>0</v>
      </c>
      <c r="Y242" s="254"/>
      <c r="Z242" s="255">
        <f>+Reactivos_[[#This Row],[Cantidad RED LASE]]*Reactivos_[[#This Row],[Valor de referencia]]</f>
        <v>0</v>
      </c>
      <c r="AA242" s="254"/>
      <c r="AB242" s="255">
        <f>+Reactivos_[[#This Row],[Cantidad LANIA]]*Reactivos_[[#This Row],[Valor de referencia]]</f>
        <v>0</v>
      </c>
      <c r="AC242" s="254"/>
      <c r="AD242" s="255">
        <f>+Reactivos_[[#This Row],[Cantidad SPA]]*Reactivos_[[#This Row],[Valor de referencia]]</f>
        <v>0</v>
      </c>
      <c r="AE242" s="148" t="s">
        <v>76</v>
      </c>
      <c r="AF242" s="148" t="s">
        <v>77</v>
      </c>
    </row>
    <row r="243" spans="1:32" ht="38.25" x14ac:dyDescent="0.25">
      <c r="A243" s="294" t="str">
        <f>IF(B243=Reactivos_[[#This Row],[Cantidad LANIP]],"LANIP",IF(B243=Reactivos_[[#This Row],[Cantidad 
LDV]],"LDV",IF(B243=Reactivos_[[#This Row],[Cantidad LNDV]],"LNDV",IF(B243=Reactivos_[[#This Row],[GGCA]],"GGCA",IF(B243=Reactivos_[[#This Row],[Cantidad LDF]],"LDF",IF(Reactivos_[[#This Row],[Cantidad LDF&amp;MR]],"LDF&amp;MR",IF(B243=Reactivos_[[#This Row],[Cantidad RED LASE]],"LASE",IF(B243=Reactivos_[[#This Row],[Cantidad LANIA]],"LANIA",IF(B243=Reactivos_[[#This Row],[Cantidad SPA]],"SPA"," ")))))))))</f>
        <v>LANIA</v>
      </c>
      <c r="B24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43" s="325">
        <v>241</v>
      </c>
      <c r="D243" s="326">
        <v>312</v>
      </c>
      <c r="E243" s="245" t="s">
        <v>715</v>
      </c>
      <c r="F243" s="244" t="s">
        <v>716</v>
      </c>
      <c r="G243" s="245"/>
      <c r="H243" s="335" t="s">
        <v>141</v>
      </c>
      <c r="I243" s="353" t="s">
        <v>717</v>
      </c>
      <c r="J24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43" s="160">
        <v>359261</v>
      </c>
      <c r="L243" s="160">
        <f>+Reactivos_[[#This Row],[Cantidad]]*Reactivos_[[#This Row],[Valor de referencia]]</f>
        <v>359261</v>
      </c>
      <c r="M243" s="254">
        <v>0</v>
      </c>
      <c r="N243" s="255">
        <f>+Reactivos_[[#This Row],[Valor de referencia]]*Reactivos_[[#This Row],[Cantidad LANIP]]</f>
        <v>0</v>
      </c>
      <c r="O243" s="256"/>
      <c r="P243" s="255">
        <f>+Reactivos_[[#This Row],[Cantidad 
LDV]]*Reactivos_[[#This Row],[Valor de referencia]]</f>
        <v>0</v>
      </c>
      <c r="Q243" s="257"/>
      <c r="R243" s="255">
        <f>+Reactivos_[[#This Row],[Cantidad LNDV]]*Reactivos_[[#This Row],[Valor de referencia]]</f>
        <v>0</v>
      </c>
      <c r="S243" s="148"/>
      <c r="T243" s="255">
        <f>+Reactivos_[[#This Row],[GGCA]]*Reactivos_[[#This Row],[Valor de referencia]]</f>
        <v>0</v>
      </c>
      <c r="U243" s="254"/>
      <c r="V243" s="255">
        <f>+Reactivos_[[#This Row],[Cantidad LDF]]*Reactivos_[[#This Row],[Valor de referencia]]</f>
        <v>0</v>
      </c>
      <c r="W243" s="254"/>
      <c r="X243" s="255">
        <f>+Reactivos_[[#This Row],[Cantidad LDF&amp;MR]]*Reactivos_[[#This Row],[Valor de referencia]]</f>
        <v>0</v>
      </c>
      <c r="Y243" s="254"/>
      <c r="Z243" s="255">
        <f>+Reactivos_[[#This Row],[Cantidad RED LASE]]*Reactivos_[[#This Row],[Valor de referencia]]</f>
        <v>0</v>
      </c>
      <c r="AA243" s="254">
        <v>1</v>
      </c>
      <c r="AB243" s="255">
        <f>+Reactivos_[[#This Row],[Cantidad LANIA]]*Reactivos_[[#This Row],[Valor de referencia]]</f>
        <v>359261</v>
      </c>
      <c r="AC243" s="254"/>
      <c r="AD243" s="255">
        <f>+Reactivos_[[#This Row],[Cantidad SPA]]*Reactivos_[[#This Row],[Valor de referencia]]</f>
        <v>0</v>
      </c>
      <c r="AE243" s="148" t="s">
        <v>76</v>
      </c>
      <c r="AF243" s="148" t="s">
        <v>77</v>
      </c>
    </row>
    <row r="244" spans="1:32" ht="61.5" customHeight="1" x14ac:dyDescent="0.25">
      <c r="A244" s="294" t="str">
        <f>IF(B244=Reactivos_[[#This Row],[Cantidad LANIP]],"LANIP",IF(B244=Reactivos_[[#This Row],[Cantidad 
LDV]],"LDV",IF(B244=Reactivos_[[#This Row],[Cantidad LNDV]],"LNDV",IF(B244=Reactivos_[[#This Row],[GGCA]],"GGCA",IF(B244=Reactivos_[[#This Row],[Cantidad LDF]],"LDF",IF(Reactivos_[[#This Row],[Cantidad LDF&amp;MR]],"LDF&amp;MR",IF(B244=Reactivos_[[#This Row],[Cantidad RED LASE]],"LASE",IF(B244=Reactivos_[[#This Row],[Cantidad LANIA]],"LANIA",IF(B244=Reactivos_[[#This Row],[Cantidad SPA]],"SPA"," ")))))))))</f>
        <v>LNDV</v>
      </c>
      <c r="B24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244" s="325">
        <v>242</v>
      </c>
      <c r="D244" s="326">
        <v>313</v>
      </c>
      <c r="E244" s="327" t="s">
        <v>718</v>
      </c>
      <c r="F244" s="338"/>
      <c r="G244" s="339"/>
      <c r="H244" s="328" t="s">
        <v>719</v>
      </c>
      <c r="I244" s="340" t="s">
        <v>720</v>
      </c>
      <c r="J24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244" s="160">
        <v>2216763</v>
      </c>
      <c r="L244" s="160">
        <f>+Reactivos_[[#This Row],[Cantidad]]*Reactivos_[[#This Row],[Valor de referencia]]</f>
        <v>8867052</v>
      </c>
      <c r="M244" s="254">
        <v>0</v>
      </c>
      <c r="N244" s="255">
        <f>+Reactivos_[[#This Row],[Valor de referencia]]*Reactivos_[[#This Row],[Cantidad LANIP]]</f>
        <v>0</v>
      </c>
      <c r="O244" s="256"/>
      <c r="P244" s="255">
        <f>+Reactivos_[[#This Row],[Cantidad 
LDV]]*Reactivos_[[#This Row],[Valor de referencia]]</f>
        <v>0</v>
      </c>
      <c r="Q244" s="257">
        <v>4</v>
      </c>
      <c r="R244" s="255">
        <f>+Reactivos_[[#This Row],[Cantidad LNDV]]*Reactivos_[[#This Row],[Valor de referencia]]</f>
        <v>8867052</v>
      </c>
      <c r="S244" s="148"/>
      <c r="T244" s="255">
        <f>+Reactivos_[[#This Row],[GGCA]]*Reactivos_[[#This Row],[Valor de referencia]]</f>
        <v>0</v>
      </c>
      <c r="U244" s="254"/>
      <c r="V244" s="255">
        <f>+Reactivos_[[#This Row],[Cantidad LDF]]*Reactivos_[[#This Row],[Valor de referencia]]</f>
        <v>0</v>
      </c>
      <c r="W244" s="254"/>
      <c r="X244" s="255">
        <f>+Reactivos_[[#This Row],[Cantidad LDF&amp;MR]]*Reactivos_[[#This Row],[Valor de referencia]]</f>
        <v>0</v>
      </c>
      <c r="Y244" s="254"/>
      <c r="Z244" s="255">
        <f>+Reactivos_[[#This Row],[Cantidad RED LASE]]*Reactivos_[[#This Row],[Valor de referencia]]</f>
        <v>0</v>
      </c>
      <c r="AA244" s="254"/>
      <c r="AB244" s="255">
        <f>+Reactivos_[[#This Row],[Cantidad LANIA]]*Reactivos_[[#This Row],[Valor de referencia]]</f>
        <v>0</v>
      </c>
      <c r="AC244" s="254"/>
      <c r="AD244" s="255">
        <f>+Reactivos_[[#This Row],[Cantidad SPA]]*Reactivos_[[#This Row],[Valor de referencia]]</f>
        <v>0</v>
      </c>
      <c r="AE244" s="148" t="s">
        <v>76</v>
      </c>
      <c r="AF244" s="148" t="s">
        <v>77</v>
      </c>
    </row>
    <row r="245" spans="1:32" ht="51" x14ac:dyDescent="0.25">
      <c r="A245" s="294" t="str">
        <f>IF(B245=Reactivos_[[#This Row],[Cantidad LANIP]],"LANIP",IF(B245=Reactivos_[[#This Row],[Cantidad 
LDV]],"LDV",IF(B245=Reactivos_[[#This Row],[Cantidad LNDV]],"LNDV",IF(B245=Reactivos_[[#This Row],[GGCA]],"GGCA",IF(B245=Reactivos_[[#This Row],[Cantidad LDF]],"LDF",IF(Reactivos_[[#This Row],[Cantidad LDF&amp;MR]],"LDF&amp;MR",IF(B245=Reactivos_[[#This Row],[Cantidad RED LASE]],"LASE",IF(B245=Reactivos_[[#This Row],[Cantidad LANIA]],"LANIA",IF(B245=Reactivos_[[#This Row],[Cantidad SPA]],"SPA"," ")))))))))</f>
        <v>LANIP</v>
      </c>
      <c r="B24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245" s="325">
        <v>243</v>
      </c>
      <c r="D245" s="326">
        <v>314</v>
      </c>
      <c r="E245" s="327" t="s">
        <v>721</v>
      </c>
      <c r="F245" s="244"/>
      <c r="G245" s="327"/>
      <c r="H245" s="328" t="s">
        <v>722</v>
      </c>
      <c r="I245" s="329" t="s">
        <v>723</v>
      </c>
      <c r="J24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245" s="160">
        <v>1512839</v>
      </c>
      <c r="L245" s="160">
        <f>+Reactivos_[[#This Row],[Cantidad]]*Reactivos_[[#This Row],[Valor de referencia]]</f>
        <v>7564195</v>
      </c>
      <c r="M245" s="254">
        <v>5</v>
      </c>
      <c r="N245" s="255">
        <f>+Reactivos_[[#This Row],[Valor de referencia]]*Reactivos_[[#This Row],[Cantidad LANIP]]</f>
        <v>7564195</v>
      </c>
      <c r="O245" s="256"/>
      <c r="P245" s="255">
        <f>+Reactivos_[[#This Row],[Cantidad 
LDV]]*Reactivos_[[#This Row],[Valor de referencia]]</f>
        <v>0</v>
      </c>
      <c r="Q245" s="257"/>
      <c r="R245" s="255">
        <f>+Reactivos_[[#This Row],[Cantidad LNDV]]*Reactivos_[[#This Row],[Valor de referencia]]</f>
        <v>0</v>
      </c>
      <c r="S245" s="148"/>
      <c r="T245" s="255">
        <f>+Reactivos_[[#This Row],[GGCA]]*Reactivos_[[#This Row],[Valor de referencia]]</f>
        <v>0</v>
      </c>
      <c r="U245" s="254"/>
      <c r="V245" s="255">
        <f>+Reactivos_[[#This Row],[Cantidad LDF]]*Reactivos_[[#This Row],[Valor de referencia]]</f>
        <v>0</v>
      </c>
      <c r="W245" s="254"/>
      <c r="X245" s="255">
        <f>+Reactivos_[[#This Row],[Cantidad LDF&amp;MR]]*Reactivos_[[#This Row],[Valor de referencia]]</f>
        <v>0</v>
      </c>
      <c r="Y245" s="254"/>
      <c r="Z245" s="255">
        <f>+Reactivos_[[#This Row],[Cantidad RED LASE]]*Reactivos_[[#This Row],[Valor de referencia]]</f>
        <v>0</v>
      </c>
      <c r="AA245" s="254"/>
      <c r="AB245" s="255">
        <f>+Reactivos_[[#This Row],[Cantidad LANIA]]*Reactivos_[[#This Row],[Valor de referencia]]</f>
        <v>0</v>
      </c>
      <c r="AC245" s="254"/>
      <c r="AD245" s="255">
        <f>+Reactivos_[[#This Row],[Cantidad SPA]]*Reactivos_[[#This Row],[Valor de referencia]]</f>
        <v>0</v>
      </c>
      <c r="AE245" s="148" t="s">
        <v>76</v>
      </c>
      <c r="AF245" s="148" t="s">
        <v>77</v>
      </c>
    </row>
    <row r="246" spans="1:32" ht="22.5" customHeight="1" x14ac:dyDescent="0.25">
      <c r="A246" s="294" t="str">
        <f>IF(B246=Reactivos_[[#This Row],[Cantidad LANIP]],"LANIP",IF(B246=Reactivos_[[#This Row],[Cantidad 
LDV]],"LDV",IF(B246=Reactivos_[[#This Row],[Cantidad LNDV]],"LNDV",IF(B246=Reactivos_[[#This Row],[GGCA]],"GGCA",IF(B246=Reactivos_[[#This Row],[Cantidad LDF]],"LDF",IF(Reactivos_[[#This Row],[Cantidad LDF&amp;MR]],"LDF&amp;MR",IF(B246=Reactivos_[[#This Row],[Cantidad RED LASE]],"LASE",IF(B246=Reactivos_[[#This Row],[Cantidad LANIA]],"LANIA",IF(B246=Reactivos_[[#This Row],[Cantidad SPA]],"SPA"," ")))))))))</f>
        <v>LNDV</v>
      </c>
      <c r="B24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46" s="325">
        <v>244</v>
      </c>
      <c r="D246" s="326">
        <v>315</v>
      </c>
      <c r="E246" s="327" t="s">
        <v>724</v>
      </c>
      <c r="F246" s="244"/>
      <c r="G246" s="245"/>
      <c r="H246" s="335" t="s">
        <v>725</v>
      </c>
      <c r="I246" s="336" t="s">
        <v>107</v>
      </c>
      <c r="J24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46" s="160">
        <v>3879400</v>
      </c>
      <c r="L246" s="160">
        <f>+Reactivos_[[#This Row],[Cantidad]]*Reactivos_[[#This Row],[Valor de referencia]]</f>
        <v>3879400</v>
      </c>
      <c r="M246" s="254">
        <v>0</v>
      </c>
      <c r="N246" s="255">
        <f>+Reactivos_[[#This Row],[Valor de referencia]]*Reactivos_[[#This Row],[Cantidad LANIP]]</f>
        <v>0</v>
      </c>
      <c r="O246" s="256"/>
      <c r="P246" s="255">
        <f>+Reactivos_[[#This Row],[Cantidad 
LDV]]*Reactivos_[[#This Row],[Valor de referencia]]</f>
        <v>0</v>
      </c>
      <c r="Q246" s="257">
        <v>1</v>
      </c>
      <c r="R246" s="255">
        <f>+Reactivos_[[#This Row],[Cantidad LNDV]]*Reactivos_[[#This Row],[Valor de referencia]]</f>
        <v>3879400</v>
      </c>
      <c r="S246" s="148"/>
      <c r="T246" s="255">
        <f>+Reactivos_[[#This Row],[GGCA]]*Reactivos_[[#This Row],[Valor de referencia]]</f>
        <v>0</v>
      </c>
      <c r="U246" s="254"/>
      <c r="V246" s="255">
        <f>+Reactivos_[[#This Row],[Cantidad LDF]]*Reactivos_[[#This Row],[Valor de referencia]]</f>
        <v>0</v>
      </c>
      <c r="W246" s="254"/>
      <c r="X246" s="255">
        <f>+Reactivos_[[#This Row],[Cantidad LDF&amp;MR]]*Reactivos_[[#This Row],[Valor de referencia]]</f>
        <v>0</v>
      </c>
      <c r="Y246" s="254"/>
      <c r="Z246" s="255">
        <f>+Reactivos_[[#This Row],[Cantidad RED LASE]]*Reactivos_[[#This Row],[Valor de referencia]]</f>
        <v>0</v>
      </c>
      <c r="AA246" s="254"/>
      <c r="AB246" s="255">
        <f>+Reactivos_[[#This Row],[Cantidad LANIA]]*Reactivos_[[#This Row],[Valor de referencia]]</f>
        <v>0</v>
      </c>
      <c r="AC246" s="254"/>
      <c r="AD246" s="255">
        <f>+Reactivos_[[#This Row],[Cantidad SPA]]*Reactivos_[[#This Row],[Valor de referencia]]</f>
        <v>0</v>
      </c>
      <c r="AE246" s="148" t="s">
        <v>76</v>
      </c>
      <c r="AF246" s="148" t="s">
        <v>77</v>
      </c>
    </row>
    <row r="247" spans="1:32" ht="38.25" x14ac:dyDescent="0.25">
      <c r="A247" s="294" t="str">
        <f>IF(B247=Reactivos_[[#This Row],[Cantidad LANIP]],"LANIP",IF(B247=Reactivos_[[#This Row],[Cantidad 
LDV]],"LDV",IF(B247=Reactivos_[[#This Row],[Cantidad LNDV]],"LNDV",IF(B247=Reactivos_[[#This Row],[GGCA]],"GGCA",IF(B247=Reactivos_[[#This Row],[Cantidad LDF]],"LDF",IF(Reactivos_[[#This Row],[Cantidad LDF&amp;MR]],"LDF&amp;MR",IF(B247=Reactivos_[[#This Row],[Cantidad RED LASE]],"LASE",IF(B247=Reactivos_[[#This Row],[Cantidad LANIA]],"LANIA",IF(B247=Reactivos_[[#This Row],[Cantidad SPA]],"SPA"," ")))))))))</f>
        <v>LDF</v>
      </c>
      <c r="B24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47" s="325">
        <v>245</v>
      </c>
      <c r="D247" s="326">
        <v>316</v>
      </c>
      <c r="E247" s="327" t="s">
        <v>726</v>
      </c>
      <c r="F247" s="244"/>
      <c r="G247" s="327"/>
      <c r="H247" s="342" t="s">
        <v>727</v>
      </c>
      <c r="I247" s="329" t="s">
        <v>184</v>
      </c>
      <c r="J24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47" s="160">
        <v>1535690</v>
      </c>
      <c r="L247" s="160">
        <f>+Reactivos_[[#This Row],[Cantidad]]*Reactivos_[[#This Row],[Valor de referencia]]</f>
        <v>1535690</v>
      </c>
      <c r="M247" s="254">
        <v>0</v>
      </c>
      <c r="N247" s="255">
        <f>+Reactivos_[[#This Row],[Valor de referencia]]*Reactivos_[[#This Row],[Cantidad LANIP]]</f>
        <v>0</v>
      </c>
      <c r="O247" s="256"/>
      <c r="P247" s="255">
        <f>+Reactivos_[[#This Row],[Cantidad 
LDV]]*Reactivos_[[#This Row],[Valor de referencia]]</f>
        <v>0</v>
      </c>
      <c r="Q247" s="257"/>
      <c r="R247" s="255">
        <f>+Reactivos_[[#This Row],[Cantidad LNDV]]*Reactivos_[[#This Row],[Valor de referencia]]</f>
        <v>0</v>
      </c>
      <c r="S247" s="148"/>
      <c r="T247" s="255">
        <f>+Reactivos_[[#This Row],[GGCA]]*Reactivos_[[#This Row],[Valor de referencia]]</f>
        <v>0</v>
      </c>
      <c r="U247" s="254">
        <v>1</v>
      </c>
      <c r="V247" s="255">
        <f>+Reactivos_[[#This Row],[Cantidad LDF]]*Reactivos_[[#This Row],[Valor de referencia]]</f>
        <v>1535690</v>
      </c>
      <c r="W247" s="254"/>
      <c r="X247" s="255">
        <f>+Reactivos_[[#This Row],[Cantidad LDF&amp;MR]]*Reactivos_[[#This Row],[Valor de referencia]]</f>
        <v>0</v>
      </c>
      <c r="Y247" s="254"/>
      <c r="Z247" s="255">
        <f>+Reactivos_[[#This Row],[Cantidad RED LASE]]*Reactivos_[[#This Row],[Valor de referencia]]</f>
        <v>0</v>
      </c>
      <c r="AA247" s="254"/>
      <c r="AB247" s="255">
        <f>+Reactivos_[[#This Row],[Cantidad LANIA]]*Reactivos_[[#This Row],[Valor de referencia]]</f>
        <v>0</v>
      </c>
      <c r="AC247" s="254"/>
      <c r="AD247" s="255">
        <f>+Reactivos_[[#This Row],[Cantidad SPA]]*Reactivos_[[#This Row],[Valor de referencia]]</f>
        <v>0</v>
      </c>
      <c r="AE247" s="148" t="s">
        <v>76</v>
      </c>
      <c r="AF247" s="148" t="s">
        <v>77</v>
      </c>
    </row>
    <row r="248" spans="1:32" ht="25.5" x14ac:dyDescent="0.25">
      <c r="A248" s="294" t="str">
        <f>IF(B248=Reactivos_[[#This Row],[Cantidad LANIP]],"LANIP",IF(B248=Reactivos_[[#This Row],[Cantidad 
LDV]],"LDV",IF(B248=Reactivos_[[#This Row],[Cantidad LNDV]],"LNDV",IF(B248=Reactivos_[[#This Row],[GGCA]],"GGCA",IF(B248=Reactivos_[[#This Row],[Cantidad LDF]],"LDF",IF(Reactivos_[[#This Row],[Cantidad LDF&amp;MR]],"LDF&amp;MR",IF(B248=Reactivos_[[#This Row],[Cantidad RED LASE]],"LASE",IF(B248=Reactivos_[[#This Row],[Cantidad LANIA]],"LANIA",IF(B248=Reactivos_[[#This Row],[Cantidad SPA]],"SPA"," ")))))))))</f>
        <v>LANIP</v>
      </c>
      <c r="B24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48" s="325">
        <v>246</v>
      </c>
      <c r="D248" s="326">
        <v>318</v>
      </c>
      <c r="E248" s="327" t="s">
        <v>728</v>
      </c>
      <c r="F248" s="244"/>
      <c r="G248" s="327"/>
      <c r="H248" s="333" t="s">
        <v>183</v>
      </c>
      <c r="I248" s="334" t="s">
        <v>729</v>
      </c>
      <c r="J24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48" s="160">
        <v>109292</v>
      </c>
      <c r="L248" s="160">
        <f>+Reactivos_[[#This Row],[Cantidad]]*Reactivos_[[#This Row],[Valor de referencia]]</f>
        <v>327876</v>
      </c>
      <c r="M248" s="254">
        <v>2</v>
      </c>
      <c r="N248" s="255">
        <f>+Reactivos_[[#This Row],[Valor de referencia]]*Reactivos_[[#This Row],[Cantidad LANIP]]</f>
        <v>218584</v>
      </c>
      <c r="O248" s="256"/>
      <c r="P248" s="255">
        <f>+Reactivos_[[#This Row],[Cantidad 
LDV]]*Reactivos_[[#This Row],[Valor de referencia]]</f>
        <v>0</v>
      </c>
      <c r="Q248" s="257"/>
      <c r="R248" s="255">
        <f>+Reactivos_[[#This Row],[Cantidad LNDV]]*Reactivos_[[#This Row],[Valor de referencia]]</f>
        <v>0</v>
      </c>
      <c r="S248" s="148"/>
      <c r="T248" s="255">
        <f>+Reactivos_[[#This Row],[GGCA]]*Reactivos_[[#This Row],[Valor de referencia]]</f>
        <v>0</v>
      </c>
      <c r="U248" s="254">
        <v>1</v>
      </c>
      <c r="V248" s="255">
        <f>+Reactivos_[[#This Row],[Cantidad LDF]]*Reactivos_[[#This Row],[Valor de referencia]]</f>
        <v>109292</v>
      </c>
      <c r="W248" s="254"/>
      <c r="X248" s="255">
        <f>+Reactivos_[[#This Row],[Cantidad LDF&amp;MR]]*Reactivos_[[#This Row],[Valor de referencia]]</f>
        <v>0</v>
      </c>
      <c r="Y248" s="254"/>
      <c r="Z248" s="255">
        <f>+Reactivos_[[#This Row],[Cantidad RED LASE]]*Reactivos_[[#This Row],[Valor de referencia]]</f>
        <v>0</v>
      </c>
      <c r="AA248" s="254"/>
      <c r="AB248" s="255">
        <f>+Reactivos_[[#This Row],[Cantidad LANIA]]*Reactivos_[[#This Row],[Valor de referencia]]</f>
        <v>0</v>
      </c>
      <c r="AC248" s="254"/>
      <c r="AD248" s="255">
        <f>+Reactivos_[[#This Row],[Cantidad SPA]]*Reactivos_[[#This Row],[Valor de referencia]]</f>
        <v>0</v>
      </c>
      <c r="AE248" s="148" t="s">
        <v>76</v>
      </c>
      <c r="AF248" s="148" t="s">
        <v>101</v>
      </c>
    </row>
    <row r="249" spans="1:32" ht="28.5" customHeight="1" x14ac:dyDescent="0.25">
      <c r="A249" s="294" t="str">
        <f>IF(B249=Reactivos_[[#This Row],[Cantidad LANIP]],"LANIP",IF(B249=Reactivos_[[#This Row],[Cantidad 
LDV]],"LDV",IF(B249=Reactivos_[[#This Row],[Cantidad LNDV]],"LNDV",IF(B249=Reactivos_[[#This Row],[GGCA]],"GGCA",IF(B249=Reactivos_[[#This Row],[Cantidad LDF]],"LDF",IF(Reactivos_[[#This Row],[Cantidad LDF&amp;MR]],"LDF&amp;MR",IF(B249=Reactivos_[[#This Row],[Cantidad RED LASE]],"LASE",IF(B249=Reactivos_[[#This Row],[Cantidad LANIA]],"LANIA",IF(B249=Reactivos_[[#This Row],[Cantidad SPA]],"SPA"," ")))))))))</f>
        <v>LDV</v>
      </c>
      <c r="B24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50</v>
      </c>
      <c r="C249" s="325">
        <v>247</v>
      </c>
      <c r="D249" s="326">
        <v>320</v>
      </c>
      <c r="E249" s="327" t="s">
        <v>730</v>
      </c>
      <c r="F249" s="244"/>
      <c r="G249" s="327"/>
      <c r="H249" s="328" t="s">
        <v>731</v>
      </c>
      <c r="I249" s="329" t="s">
        <v>732</v>
      </c>
      <c r="J24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80</v>
      </c>
      <c r="K249" s="160">
        <v>101536</v>
      </c>
      <c r="L249" s="160">
        <f>+Reactivos_[[#This Row],[Cantidad]]*Reactivos_[[#This Row],[Valor de referencia]]</f>
        <v>8122880</v>
      </c>
      <c r="M249" s="254">
        <v>0</v>
      </c>
      <c r="N249" s="255">
        <f>+Reactivos_[[#This Row],[Valor de referencia]]*Reactivos_[[#This Row],[Cantidad LANIP]]</f>
        <v>0</v>
      </c>
      <c r="O249" s="256">
        <v>50</v>
      </c>
      <c r="P249" s="255">
        <f>+Reactivos_[[#This Row],[Cantidad 
LDV]]*Reactivos_[[#This Row],[Valor de referencia]]</f>
        <v>5076800</v>
      </c>
      <c r="Q249" s="257">
        <v>30</v>
      </c>
      <c r="R249" s="255">
        <f>+Reactivos_[[#This Row],[Cantidad LNDV]]*Reactivos_[[#This Row],[Valor de referencia]]</f>
        <v>3046080</v>
      </c>
      <c r="S249" s="148"/>
      <c r="T249" s="255">
        <f>+Reactivos_[[#This Row],[GGCA]]*Reactivos_[[#This Row],[Valor de referencia]]</f>
        <v>0</v>
      </c>
      <c r="U249" s="254"/>
      <c r="V249" s="255">
        <f>+Reactivos_[[#This Row],[Cantidad LDF]]*Reactivos_[[#This Row],[Valor de referencia]]</f>
        <v>0</v>
      </c>
      <c r="W249" s="254"/>
      <c r="X249" s="255">
        <f>+Reactivos_[[#This Row],[Cantidad LDF&amp;MR]]*Reactivos_[[#This Row],[Valor de referencia]]</f>
        <v>0</v>
      </c>
      <c r="Y249" s="254"/>
      <c r="Z249" s="255">
        <f>+Reactivos_[[#This Row],[Cantidad RED LASE]]*Reactivos_[[#This Row],[Valor de referencia]]</f>
        <v>0</v>
      </c>
      <c r="AA249" s="254"/>
      <c r="AB249" s="255">
        <f>+Reactivos_[[#This Row],[Cantidad LANIA]]*Reactivos_[[#This Row],[Valor de referencia]]</f>
        <v>0</v>
      </c>
      <c r="AC249" s="254"/>
      <c r="AD249" s="255">
        <f>+Reactivos_[[#This Row],[Cantidad SPA]]*Reactivos_[[#This Row],[Valor de referencia]]</f>
        <v>0</v>
      </c>
      <c r="AE249" s="148" t="s">
        <v>76</v>
      </c>
      <c r="AF249" s="148" t="s">
        <v>77</v>
      </c>
    </row>
    <row r="250" spans="1:32" ht="27.75" customHeight="1" x14ac:dyDescent="0.25">
      <c r="A250" s="294" t="s">
        <v>733</v>
      </c>
      <c r="B25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250" s="325">
        <v>248</v>
      </c>
      <c r="D250" s="326">
        <v>321</v>
      </c>
      <c r="E250" s="343" t="s">
        <v>734</v>
      </c>
      <c r="F250" s="332"/>
      <c r="G250" s="331"/>
      <c r="H250" s="348" t="s">
        <v>735</v>
      </c>
      <c r="I250" s="329" t="s">
        <v>736</v>
      </c>
      <c r="J25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250" s="160">
        <v>376675</v>
      </c>
      <c r="L250" s="160">
        <f>+Reactivos_[[#This Row],[Cantidad]]*Reactivos_[[#This Row],[Valor de referencia]]</f>
        <v>6026800</v>
      </c>
      <c r="M250" s="254">
        <v>4</v>
      </c>
      <c r="N250" s="255">
        <f>+Reactivos_[[#This Row],[Valor de referencia]]*Reactivos_[[#This Row],[Cantidad LANIP]]</f>
        <v>1506700</v>
      </c>
      <c r="O250" s="256"/>
      <c r="P250" s="255">
        <f>+Reactivos_[[#This Row],[Cantidad 
LDV]]*Reactivos_[[#This Row],[Valor de referencia]]</f>
        <v>0</v>
      </c>
      <c r="Q250" s="257">
        <v>2</v>
      </c>
      <c r="R250" s="255">
        <f>+Reactivos_[[#This Row],[Cantidad LNDV]]*Reactivos_[[#This Row],[Valor de referencia]]</f>
        <v>753350</v>
      </c>
      <c r="S250" s="148"/>
      <c r="T250" s="255">
        <f>+Reactivos_[[#This Row],[GGCA]]*Reactivos_[[#This Row],[Valor de referencia]]</f>
        <v>0</v>
      </c>
      <c r="U250" s="254">
        <v>8</v>
      </c>
      <c r="V250" s="255">
        <f>+Reactivos_[[#This Row],[Cantidad LDF]]*Reactivos_[[#This Row],[Valor de referencia]]</f>
        <v>3013400</v>
      </c>
      <c r="W250" s="254"/>
      <c r="X250" s="255">
        <f>+Reactivos_[[#This Row],[Cantidad LDF&amp;MR]]*Reactivos_[[#This Row],[Valor de referencia]]</f>
        <v>0</v>
      </c>
      <c r="Y250" s="254"/>
      <c r="Z250" s="255">
        <f>+Reactivos_[[#This Row],[Cantidad RED LASE]]*Reactivos_[[#This Row],[Valor de referencia]]</f>
        <v>0</v>
      </c>
      <c r="AA250" s="254">
        <v>2</v>
      </c>
      <c r="AB250" s="255">
        <f>+Reactivos_[[#This Row],[Cantidad LANIA]]*Reactivos_[[#This Row],[Valor de referencia]]</f>
        <v>753350</v>
      </c>
      <c r="AC250" s="254"/>
      <c r="AD250" s="255">
        <f>+Reactivos_[[#This Row],[Cantidad SPA]]*Reactivos_[[#This Row],[Valor de referencia]]</f>
        <v>0</v>
      </c>
      <c r="AE250" s="148" t="s">
        <v>76</v>
      </c>
      <c r="AF250" s="148" t="s">
        <v>77</v>
      </c>
    </row>
    <row r="251" spans="1:32" ht="25.5" x14ac:dyDescent="0.25">
      <c r="A251" s="294" t="str">
        <f>IF(B251=Reactivos_[[#This Row],[Cantidad LANIP]],"LANIP",IF(B251=Reactivos_[[#This Row],[Cantidad 
LDV]],"LDV",IF(B251=Reactivos_[[#This Row],[Cantidad LNDV]],"LNDV",IF(B251=Reactivos_[[#This Row],[GGCA]],"GGCA",IF(B251=Reactivos_[[#This Row],[Cantidad LDF]],"LDF",IF(Reactivos_[[#This Row],[Cantidad LDF&amp;MR]],"LDF&amp;MR",IF(B251=Reactivos_[[#This Row],[Cantidad RED LASE]],"LASE",IF(B251=Reactivos_[[#This Row],[Cantidad LANIA]],"LANIA",IF(B251=Reactivos_[[#This Row],[Cantidad SPA]],"SPA"," ")))))))))</f>
        <v>LDV</v>
      </c>
      <c r="B25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40</v>
      </c>
      <c r="C251" s="325">
        <v>249</v>
      </c>
      <c r="D251" s="326">
        <v>322</v>
      </c>
      <c r="E251" s="245" t="s">
        <v>737</v>
      </c>
      <c r="F251" s="244"/>
      <c r="G251" s="245"/>
      <c r="H251" s="348" t="s">
        <v>738</v>
      </c>
      <c r="I251" s="329" t="s">
        <v>736</v>
      </c>
      <c r="J25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151</v>
      </c>
      <c r="K251" s="160">
        <v>252153</v>
      </c>
      <c r="L251" s="160">
        <f>+Reactivos_[[#This Row],[Cantidad]]*Reactivos_[[#This Row],[Valor de referencia]]</f>
        <v>38075103</v>
      </c>
      <c r="M251" s="254">
        <v>20</v>
      </c>
      <c r="N251" s="255">
        <f>+Reactivos_[[#This Row],[Valor de referencia]]*Reactivos_[[#This Row],[Cantidad LANIP]]</f>
        <v>5043060</v>
      </c>
      <c r="O251" s="256">
        <v>40</v>
      </c>
      <c r="P251" s="255">
        <f>+Reactivos_[[#This Row],[Cantidad 
LDV]]*Reactivos_[[#This Row],[Valor de referencia]]</f>
        <v>10086120</v>
      </c>
      <c r="Q251" s="257">
        <v>15</v>
      </c>
      <c r="R251" s="255">
        <f>+Reactivos_[[#This Row],[Cantidad LNDV]]*Reactivos_[[#This Row],[Valor de referencia]]</f>
        <v>3782295</v>
      </c>
      <c r="S251" s="148"/>
      <c r="T251" s="255">
        <f>+Reactivos_[[#This Row],[GGCA]]*Reactivos_[[#This Row],[Valor de referencia]]</f>
        <v>0</v>
      </c>
      <c r="U251" s="254">
        <v>20</v>
      </c>
      <c r="V251" s="255">
        <f>+Reactivos_[[#This Row],[Cantidad LDF]]*Reactivos_[[#This Row],[Valor de referencia]]</f>
        <v>5043060</v>
      </c>
      <c r="W251" s="254">
        <v>6</v>
      </c>
      <c r="X251" s="255">
        <f>+Reactivos_[[#This Row],[Cantidad LDF&amp;MR]]*Reactivos_[[#This Row],[Valor de referencia]]</f>
        <v>1512918</v>
      </c>
      <c r="Y251" s="254">
        <v>18</v>
      </c>
      <c r="Z251" s="255">
        <f>+Reactivos_[[#This Row],[Cantidad RED LASE]]*Reactivos_[[#This Row],[Valor de referencia]]</f>
        <v>4538754</v>
      </c>
      <c r="AA251" s="254">
        <v>32</v>
      </c>
      <c r="AB251" s="255">
        <f>+Reactivos_[[#This Row],[Cantidad LANIA]]*Reactivos_[[#This Row],[Valor de referencia]]</f>
        <v>8068896</v>
      </c>
      <c r="AC251" s="254"/>
      <c r="AD251" s="255">
        <f>+Reactivos_[[#This Row],[Cantidad SPA]]*Reactivos_[[#This Row],[Valor de referencia]]</f>
        <v>0</v>
      </c>
      <c r="AE251" s="148" t="s">
        <v>76</v>
      </c>
      <c r="AF251" s="148" t="s">
        <v>77</v>
      </c>
    </row>
    <row r="252" spans="1:32" ht="28.5" customHeight="1" x14ac:dyDescent="0.25">
      <c r="A252" s="294" t="str">
        <f>IF(B252=Reactivos_[[#This Row],[Cantidad LANIP]],"LANIP",IF(B252=Reactivos_[[#This Row],[Cantidad 
LDV]],"LDV",IF(B252=Reactivos_[[#This Row],[Cantidad LNDV]],"LNDV",IF(B252=Reactivos_[[#This Row],[GGCA]],"GGCA",IF(B252=Reactivos_[[#This Row],[Cantidad LDF]],"LDF",IF(Reactivos_[[#This Row],[Cantidad LDF&amp;MR]],"LDF&amp;MR",IF(B252=Reactivos_[[#This Row],[Cantidad RED LASE]],"LASE",IF(B252=Reactivos_[[#This Row],[Cantidad LANIA]],"LANIA",IF(B252=Reactivos_[[#This Row],[Cantidad SPA]],"SPA"," ")))))))))</f>
        <v>LNDV</v>
      </c>
      <c r="B25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52" s="325">
        <v>250</v>
      </c>
      <c r="D252" s="326">
        <v>323</v>
      </c>
      <c r="E252" s="327" t="s">
        <v>739</v>
      </c>
      <c r="F252" s="338"/>
      <c r="G252" s="339"/>
      <c r="H252" s="328" t="s">
        <v>740</v>
      </c>
      <c r="I252" s="410" t="s">
        <v>741</v>
      </c>
      <c r="J25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52" s="160">
        <v>6635143</v>
      </c>
      <c r="L252" s="160">
        <f>+Reactivos_[[#This Row],[Cantidad]]*Reactivos_[[#This Row],[Valor de referencia]]</f>
        <v>6635143</v>
      </c>
      <c r="M252" s="254">
        <v>0</v>
      </c>
      <c r="N252" s="255">
        <f>+Reactivos_[[#This Row],[Valor de referencia]]*Reactivos_[[#This Row],[Cantidad LANIP]]</f>
        <v>0</v>
      </c>
      <c r="O252" s="256"/>
      <c r="P252" s="255">
        <f>+Reactivos_[[#This Row],[Cantidad 
LDV]]*Reactivos_[[#This Row],[Valor de referencia]]</f>
        <v>0</v>
      </c>
      <c r="Q252" s="257">
        <v>1</v>
      </c>
      <c r="R252" s="255">
        <f>+Reactivos_[[#This Row],[Cantidad LNDV]]*Reactivos_[[#This Row],[Valor de referencia]]</f>
        <v>6635143</v>
      </c>
      <c r="S252" s="148"/>
      <c r="T252" s="255">
        <f>+Reactivos_[[#This Row],[GGCA]]*Reactivos_[[#This Row],[Valor de referencia]]</f>
        <v>0</v>
      </c>
      <c r="U252" s="254"/>
      <c r="V252" s="255">
        <f>+Reactivos_[[#This Row],[Cantidad LDF]]*Reactivos_[[#This Row],[Valor de referencia]]</f>
        <v>0</v>
      </c>
      <c r="W252" s="254"/>
      <c r="X252" s="255">
        <f>+Reactivos_[[#This Row],[Cantidad LDF&amp;MR]]*Reactivos_[[#This Row],[Valor de referencia]]</f>
        <v>0</v>
      </c>
      <c r="Y252" s="254"/>
      <c r="Z252" s="255">
        <f>+Reactivos_[[#This Row],[Cantidad RED LASE]]*Reactivos_[[#This Row],[Valor de referencia]]</f>
        <v>0</v>
      </c>
      <c r="AA252" s="254"/>
      <c r="AB252" s="255">
        <f>+Reactivos_[[#This Row],[Cantidad LANIA]]*Reactivos_[[#This Row],[Valor de referencia]]</f>
        <v>0</v>
      </c>
      <c r="AC252" s="254"/>
      <c r="AD252" s="255">
        <f>+Reactivos_[[#This Row],[Cantidad SPA]]*Reactivos_[[#This Row],[Valor de referencia]]</f>
        <v>0</v>
      </c>
      <c r="AE252" s="148" t="s">
        <v>76</v>
      </c>
      <c r="AF252" s="148" t="s">
        <v>77</v>
      </c>
    </row>
    <row r="253" spans="1:32" ht="38.25" x14ac:dyDescent="0.2">
      <c r="A253" s="294" t="str">
        <f>IF(B253=Reactivos_[[#This Row],[Cantidad LANIP]],"LANIP",IF(B253=Reactivos_[[#This Row],[Cantidad 
LDV]],"LDV",IF(B253=Reactivos_[[#This Row],[Cantidad LNDV]],"LNDV",IF(B253=Reactivos_[[#This Row],[GGCA]],"GGCA",IF(B253=Reactivos_[[#This Row],[Cantidad LDF]],"LDF",IF(Reactivos_[[#This Row],[Cantidad LDF&amp;MR]],"LDF&amp;MR",IF(B253=Reactivos_[[#This Row],[Cantidad RED LASE]],"LASE",IF(B253=Reactivos_[[#This Row],[Cantidad LANIA]],"LANIA",IF(B253=Reactivos_[[#This Row],[Cantidad SPA]],"SPA"," ")))))))))</f>
        <v>LNDV</v>
      </c>
      <c r="B25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53" s="325">
        <v>251</v>
      </c>
      <c r="D253" s="326">
        <v>324</v>
      </c>
      <c r="E253" s="245" t="s">
        <v>742</v>
      </c>
      <c r="F253" s="403" t="s">
        <v>743</v>
      </c>
      <c r="G253" s="403" t="s">
        <v>744</v>
      </c>
      <c r="H253" s="346" t="s">
        <v>745</v>
      </c>
      <c r="I253" s="336" t="s">
        <v>746</v>
      </c>
      <c r="J25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53" s="160">
        <v>497405</v>
      </c>
      <c r="L253" s="160">
        <f>+Reactivos_[[#This Row],[Cantidad]]*Reactivos_[[#This Row],[Valor de referencia]]</f>
        <v>497405</v>
      </c>
      <c r="M253" s="254">
        <v>0</v>
      </c>
      <c r="N253" s="255">
        <f>+Reactivos_[[#This Row],[Valor de referencia]]*Reactivos_[[#This Row],[Cantidad LANIP]]</f>
        <v>0</v>
      </c>
      <c r="O253" s="256"/>
      <c r="P253" s="255">
        <f>+Reactivos_[[#This Row],[Cantidad 
LDV]]*Reactivos_[[#This Row],[Valor de referencia]]</f>
        <v>0</v>
      </c>
      <c r="Q253" s="257">
        <v>1</v>
      </c>
      <c r="R253" s="255">
        <f>+Reactivos_[[#This Row],[Cantidad LNDV]]*Reactivos_[[#This Row],[Valor de referencia]]</f>
        <v>497405</v>
      </c>
      <c r="S253" s="148"/>
      <c r="T253" s="255">
        <f>+Reactivos_[[#This Row],[GGCA]]*Reactivos_[[#This Row],[Valor de referencia]]</f>
        <v>0</v>
      </c>
      <c r="U253" s="254"/>
      <c r="V253" s="255">
        <f>+Reactivos_[[#This Row],[Cantidad LDF]]*Reactivos_[[#This Row],[Valor de referencia]]</f>
        <v>0</v>
      </c>
      <c r="W253" s="254"/>
      <c r="X253" s="255">
        <f>+Reactivos_[[#This Row],[Cantidad LDF&amp;MR]]*Reactivos_[[#This Row],[Valor de referencia]]</f>
        <v>0</v>
      </c>
      <c r="Y253" s="254"/>
      <c r="Z253" s="255">
        <f>+Reactivos_[[#This Row],[Cantidad RED LASE]]*Reactivos_[[#This Row],[Valor de referencia]]</f>
        <v>0</v>
      </c>
      <c r="AA253" s="254"/>
      <c r="AB253" s="255">
        <f>+Reactivos_[[#This Row],[Cantidad LANIA]]*Reactivos_[[#This Row],[Valor de referencia]]</f>
        <v>0</v>
      </c>
      <c r="AC253" s="254"/>
      <c r="AD253" s="255">
        <f>+Reactivos_[[#This Row],[Cantidad SPA]]*Reactivos_[[#This Row],[Valor de referencia]]</f>
        <v>0</v>
      </c>
      <c r="AE253" s="148" t="s">
        <v>76</v>
      </c>
      <c r="AF253" s="148" t="s">
        <v>77</v>
      </c>
    </row>
    <row r="254" spans="1:32" ht="33.75" customHeight="1" x14ac:dyDescent="0.25">
      <c r="A254" s="294" t="str">
        <f>IF(B254=Reactivos_[[#This Row],[Cantidad LANIP]],"LANIP",IF(B254=Reactivos_[[#This Row],[Cantidad 
LDV]],"LDV",IF(B254=Reactivos_[[#This Row],[Cantidad LNDV]],"LNDV",IF(B254=Reactivos_[[#This Row],[GGCA]],"GGCA",IF(B254=Reactivos_[[#This Row],[Cantidad LDF]],"LDF",IF(Reactivos_[[#This Row],[Cantidad LDF&amp;MR]],"LDF&amp;MR",IF(B254=Reactivos_[[#This Row],[Cantidad RED LASE]],"LASE",IF(B254=Reactivos_[[#This Row],[Cantidad LANIA]],"LANIA",IF(B254=Reactivos_[[#This Row],[Cantidad SPA]],"SPA"," ")))))))))</f>
        <v>LNDV</v>
      </c>
      <c r="B25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54" s="325">
        <v>252</v>
      </c>
      <c r="D254" s="326">
        <v>325</v>
      </c>
      <c r="E254" s="245" t="s">
        <v>747</v>
      </c>
      <c r="F254" s="244"/>
      <c r="G254" s="245"/>
      <c r="H254" s="346" t="s">
        <v>748</v>
      </c>
      <c r="I254" s="416" t="s">
        <v>749</v>
      </c>
      <c r="J25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54" s="160">
        <v>309400</v>
      </c>
      <c r="L254" s="160">
        <f>+Reactivos_[[#This Row],[Cantidad]]*Reactivos_[[#This Row],[Valor de referencia]]</f>
        <v>309400</v>
      </c>
      <c r="M254" s="254">
        <v>0</v>
      </c>
      <c r="N254" s="255">
        <f>+Reactivos_[[#This Row],[Valor de referencia]]*Reactivos_[[#This Row],[Cantidad LANIP]]</f>
        <v>0</v>
      </c>
      <c r="O254" s="256"/>
      <c r="P254" s="255">
        <f>+Reactivos_[[#This Row],[Cantidad 
LDV]]*Reactivos_[[#This Row],[Valor de referencia]]</f>
        <v>0</v>
      </c>
      <c r="Q254" s="257">
        <v>1</v>
      </c>
      <c r="R254" s="255">
        <f>+Reactivos_[[#This Row],[Cantidad LNDV]]*Reactivos_[[#This Row],[Valor de referencia]]</f>
        <v>309400</v>
      </c>
      <c r="S254" s="148"/>
      <c r="T254" s="255">
        <f>+Reactivos_[[#This Row],[GGCA]]*Reactivos_[[#This Row],[Valor de referencia]]</f>
        <v>0</v>
      </c>
      <c r="U254" s="254"/>
      <c r="V254" s="255">
        <f>+Reactivos_[[#This Row],[Cantidad LDF]]*Reactivos_[[#This Row],[Valor de referencia]]</f>
        <v>0</v>
      </c>
      <c r="W254" s="254"/>
      <c r="X254" s="255">
        <f>+Reactivos_[[#This Row],[Cantidad LDF&amp;MR]]*Reactivos_[[#This Row],[Valor de referencia]]</f>
        <v>0</v>
      </c>
      <c r="Y254" s="254"/>
      <c r="Z254" s="255">
        <f>+Reactivos_[[#This Row],[Cantidad RED LASE]]*Reactivos_[[#This Row],[Valor de referencia]]</f>
        <v>0</v>
      </c>
      <c r="AA254" s="254"/>
      <c r="AB254" s="255">
        <f>+Reactivos_[[#This Row],[Cantidad LANIA]]*Reactivos_[[#This Row],[Valor de referencia]]</f>
        <v>0</v>
      </c>
      <c r="AC254" s="254"/>
      <c r="AD254" s="255">
        <f>+Reactivos_[[#This Row],[Cantidad SPA]]*Reactivos_[[#This Row],[Valor de referencia]]</f>
        <v>0</v>
      </c>
      <c r="AE254" s="148" t="s">
        <v>76</v>
      </c>
      <c r="AF254" s="148" t="s">
        <v>77</v>
      </c>
    </row>
    <row r="255" spans="1:32" ht="51" x14ac:dyDescent="0.25">
      <c r="A255" s="294" t="str">
        <f>IF(B255=Reactivos_[[#This Row],[Cantidad LANIP]],"LANIP",IF(B255=Reactivos_[[#This Row],[Cantidad 
LDV]],"LDV",IF(B255=Reactivos_[[#This Row],[Cantidad LNDV]],"LNDV",IF(B255=Reactivos_[[#This Row],[GGCA]],"GGCA",IF(B255=Reactivos_[[#This Row],[Cantidad LDF]],"LDF",IF(Reactivos_[[#This Row],[Cantidad LDF&amp;MR]],"LDF&amp;MR",IF(B255=Reactivos_[[#This Row],[Cantidad RED LASE]],"LASE",IF(B255=Reactivos_[[#This Row],[Cantidad LANIA]],"LANIA",IF(B255=Reactivos_[[#This Row],[Cantidad SPA]],"SPA"," ")))))))))</f>
        <v>LDF</v>
      </c>
      <c r="B25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255" s="325">
        <v>253</v>
      </c>
      <c r="D255" s="326">
        <v>326</v>
      </c>
      <c r="E255" s="327" t="s">
        <v>750</v>
      </c>
      <c r="F255" s="244" t="s">
        <v>751</v>
      </c>
      <c r="G255" s="327"/>
      <c r="H255" s="348" t="s">
        <v>752</v>
      </c>
      <c r="I255" s="329" t="s">
        <v>217</v>
      </c>
      <c r="J25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255" s="160">
        <v>699773</v>
      </c>
      <c r="L255" s="160">
        <f>+Reactivos_[[#This Row],[Cantidad]]*Reactivos_[[#This Row],[Valor de referencia]]</f>
        <v>4898411</v>
      </c>
      <c r="M255" s="254">
        <v>0</v>
      </c>
      <c r="N255" s="255">
        <f>+Reactivos_[[#This Row],[Valor de referencia]]*Reactivos_[[#This Row],[Cantidad LANIP]]</f>
        <v>0</v>
      </c>
      <c r="O255" s="256">
        <v>1</v>
      </c>
      <c r="P255" s="255">
        <f>+Reactivos_[[#This Row],[Cantidad 
LDV]]*Reactivos_[[#This Row],[Valor de referencia]]</f>
        <v>699773</v>
      </c>
      <c r="Q255" s="257">
        <v>1</v>
      </c>
      <c r="R255" s="255">
        <f>+Reactivos_[[#This Row],[Cantidad LNDV]]*Reactivos_[[#This Row],[Valor de referencia]]</f>
        <v>699773</v>
      </c>
      <c r="S255" s="148"/>
      <c r="T255" s="255">
        <f>+Reactivos_[[#This Row],[GGCA]]*Reactivos_[[#This Row],[Valor de referencia]]</f>
        <v>0</v>
      </c>
      <c r="U255" s="254">
        <v>3</v>
      </c>
      <c r="V255" s="255">
        <f>+Reactivos_[[#This Row],[Cantidad LDF]]*Reactivos_[[#This Row],[Valor de referencia]]</f>
        <v>2099319</v>
      </c>
      <c r="W255" s="254">
        <v>1</v>
      </c>
      <c r="X255" s="255">
        <f>+Reactivos_[[#This Row],[Cantidad LDF&amp;MR]]*Reactivos_[[#This Row],[Valor de referencia]]</f>
        <v>699773</v>
      </c>
      <c r="Y255" s="254"/>
      <c r="Z255" s="255">
        <f>+Reactivos_[[#This Row],[Cantidad RED LASE]]*Reactivos_[[#This Row],[Valor de referencia]]</f>
        <v>0</v>
      </c>
      <c r="AA255" s="254">
        <v>1</v>
      </c>
      <c r="AB255" s="255">
        <f>+Reactivos_[[#This Row],[Cantidad LANIA]]*Reactivos_[[#This Row],[Valor de referencia]]</f>
        <v>699773</v>
      </c>
      <c r="AC255" s="254"/>
      <c r="AD255" s="255">
        <f>+Reactivos_[[#This Row],[Cantidad SPA]]*Reactivos_[[#This Row],[Valor de referencia]]</f>
        <v>0</v>
      </c>
      <c r="AE255" s="148" t="s">
        <v>76</v>
      </c>
      <c r="AF255" s="148" t="s">
        <v>77</v>
      </c>
    </row>
    <row r="256" spans="1:32" ht="38.25" x14ac:dyDescent="0.25">
      <c r="A256" s="294" t="str">
        <f>IF(B256=Reactivos_[[#This Row],[Cantidad LANIP]],"LANIP",IF(B256=Reactivos_[[#This Row],[Cantidad 
LDV]],"LDV",IF(B256=Reactivos_[[#This Row],[Cantidad LNDV]],"LNDV",IF(B256=Reactivos_[[#This Row],[GGCA]],"GGCA",IF(B256=Reactivos_[[#This Row],[Cantidad LDF]],"LDF",IF(Reactivos_[[#This Row],[Cantidad LDF&amp;MR]],"LDF&amp;MR",IF(B256=Reactivos_[[#This Row],[Cantidad RED LASE]],"LASE",IF(B256=Reactivos_[[#This Row],[Cantidad LANIA]],"LANIA",IF(B256=Reactivos_[[#This Row],[Cantidad SPA]],"SPA"," ")))))))))</f>
        <v>LANIA</v>
      </c>
      <c r="B25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56" s="325">
        <v>254</v>
      </c>
      <c r="D256" s="326">
        <v>328</v>
      </c>
      <c r="E256" s="345" t="s">
        <v>753</v>
      </c>
      <c r="F256" s="338"/>
      <c r="G256" s="339"/>
      <c r="H256" s="333" t="s">
        <v>754</v>
      </c>
      <c r="I256" s="334" t="s">
        <v>120</v>
      </c>
      <c r="J25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56" s="160">
        <v>978155</v>
      </c>
      <c r="L256" s="160">
        <f>+Reactivos_[[#This Row],[Cantidad]]*Reactivos_[[#This Row],[Valor de referencia]]</f>
        <v>1956310</v>
      </c>
      <c r="M256" s="254">
        <v>0</v>
      </c>
      <c r="N256" s="255">
        <f>+Reactivos_[[#This Row],[Valor de referencia]]*Reactivos_[[#This Row],[Cantidad LANIP]]</f>
        <v>0</v>
      </c>
      <c r="O256" s="256"/>
      <c r="P256" s="255">
        <f>+Reactivos_[[#This Row],[Cantidad 
LDV]]*Reactivos_[[#This Row],[Valor de referencia]]</f>
        <v>0</v>
      </c>
      <c r="Q256" s="257"/>
      <c r="R256" s="255">
        <f>+Reactivos_[[#This Row],[Cantidad LNDV]]*Reactivos_[[#This Row],[Valor de referencia]]</f>
        <v>0</v>
      </c>
      <c r="S256" s="148"/>
      <c r="T256" s="255">
        <f>+Reactivos_[[#This Row],[GGCA]]*Reactivos_[[#This Row],[Valor de referencia]]</f>
        <v>0</v>
      </c>
      <c r="U256" s="254"/>
      <c r="V256" s="255">
        <f>+Reactivos_[[#This Row],[Cantidad LDF]]*Reactivos_[[#This Row],[Valor de referencia]]</f>
        <v>0</v>
      </c>
      <c r="W256" s="254"/>
      <c r="X256" s="255">
        <f>+Reactivos_[[#This Row],[Cantidad LDF&amp;MR]]*Reactivos_[[#This Row],[Valor de referencia]]</f>
        <v>0</v>
      </c>
      <c r="Y256" s="254"/>
      <c r="Z256" s="255">
        <f>+Reactivos_[[#This Row],[Cantidad RED LASE]]*Reactivos_[[#This Row],[Valor de referencia]]</f>
        <v>0</v>
      </c>
      <c r="AA256" s="254">
        <v>2</v>
      </c>
      <c r="AB256" s="255">
        <f>+Reactivos_[[#This Row],[Cantidad LANIA]]*Reactivos_[[#This Row],[Valor de referencia]]</f>
        <v>1956310</v>
      </c>
      <c r="AC256" s="254"/>
      <c r="AD256" s="255">
        <f>+Reactivos_[[#This Row],[Cantidad SPA]]*Reactivos_[[#This Row],[Valor de referencia]]</f>
        <v>0</v>
      </c>
      <c r="AE256" s="148" t="s">
        <v>76</v>
      </c>
      <c r="AF256" s="148" t="s">
        <v>77</v>
      </c>
    </row>
    <row r="257" spans="1:32" ht="25.5" x14ac:dyDescent="0.25">
      <c r="A257" s="294" t="str">
        <f>IF(B257=Reactivos_[[#This Row],[Cantidad LANIP]],"LANIP",IF(B257=Reactivos_[[#This Row],[Cantidad 
LDV]],"LDV",IF(B257=Reactivos_[[#This Row],[Cantidad LNDV]],"LNDV",IF(B257=Reactivos_[[#This Row],[GGCA]],"GGCA",IF(B257=Reactivos_[[#This Row],[Cantidad LDF]],"LDF",IF(Reactivos_[[#This Row],[Cantidad LDF&amp;MR]],"LDF&amp;MR",IF(B257=Reactivos_[[#This Row],[Cantidad RED LASE]],"LASE",IF(B257=Reactivos_[[#This Row],[Cantidad LANIA]],"LANIA",IF(B257=Reactivos_[[#This Row],[Cantidad SPA]],"SPA"," ")))))))))</f>
        <v>LANIA</v>
      </c>
      <c r="B25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57" s="325">
        <v>255</v>
      </c>
      <c r="D257" s="326">
        <v>330</v>
      </c>
      <c r="E257" s="331" t="s">
        <v>755</v>
      </c>
      <c r="F257" s="332"/>
      <c r="G257" s="331"/>
      <c r="H257" s="346" t="s">
        <v>756</v>
      </c>
      <c r="I257" s="352" t="s">
        <v>757</v>
      </c>
      <c r="J25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57" s="160">
        <v>680680</v>
      </c>
      <c r="L257" s="160">
        <f>+Reactivos_[[#This Row],[Cantidad]]*Reactivos_[[#This Row],[Valor de referencia]]</f>
        <v>680680</v>
      </c>
      <c r="M257" s="254">
        <v>0</v>
      </c>
      <c r="N257" s="255">
        <f>+Reactivos_[[#This Row],[Valor de referencia]]*Reactivos_[[#This Row],[Cantidad LANIP]]</f>
        <v>0</v>
      </c>
      <c r="O257" s="256"/>
      <c r="P257" s="255">
        <f>+Reactivos_[[#This Row],[Cantidad 
LDV]]*Reactivos_[[#This Row],[Valor de referencia]]</f>
        <v>0</v>
      </c>
      <c r="Q257" s="257"/>
      <c r="R257" s="255">
        <f>+Reactivos_[[#This Row],[Cantidad LNDV]]*Reactivos_[[#This Row],[Valor de referencia]]</f>
        <v>0</v>
      </c>
      <c r="S257" s="148"/>
      <c r="T257" s="255">
        <f>+Reactivos_[[#This Row],[GGCA]]*Reactivos_[[#This Row],[Valor de referencia]]</f>
        <v>0</v>
      </c>
      <c r="U257" s="254"/>
      <c r="V257" s="255">
        <f>+Reactivos_[[#This Row],[Cantidad LDF]]*Reactivos_[[#This Row],[Valor de referencia]]</f>
        <v>0</v>
      </c>
      <c r="W257" s="254"/>
      <c r="X257" s="255">
        <f>+Reactivos_[[#This Row],[Cantidad LDF&amp;MR]]*Reactivos_[[#This Row],[Valor de referencia]]</f>
        <v>0</v>
      </c>
      <c r="Y257" s="254"/>
      <c r="Z257" s="255">
        <f>+Reactivos_[[#This Row],[Cantidad RED LASE]]*Reactivos_[[#This Row],[Valor de referencia]]</f>
        <v>0</v>
      </c>
      <c r="AA257" s="254">
        <v>1</v>
      </c>
      <c r="AB257" s="255">
        <f>+Reactivos_[[#This Row],[Cantidad LANIA]]*Reactivos_[[#This Row],[Valor de referencia]]</f>
        <v>680680</v>
      </c>
      <c r="AC257" s="254"/>
      <c r="AD257" s="255">
        <f>+Reactivos_[[#This Row],[Cantidad SPA]]*Reactivos_[[#This Row],[Valor de referencia]]</f>
        <v>0</v>
      </c>
      <c r="AE257" s="148" t="s">
        <v>76</v>
      </c>
      <c r="AF257" s="148" t="s">
        <v>77</v>
      </c>
    </row>
    <row r="258" spans="1:32" ht="38.25" x14ac:dyDescent="0.25">
      <c r="A258" s="294" t="str">
        <f>IF(B258=Reactivos_[[#This Row],[Cantidad LANIP]],"LANIP",IF(B258=Reactivos_[[#This Row],[Cantidad 
LDV]],"LDV",IF(B258=Reactivos_[[#This Row],[Cantidad LNDV]],"LNDV",IF(B258=Reactivos_[[#This Row],[GGCA]],"GGCA",IF(B258=Reactivos_[[#This Row],[Cantidad LDF]],"LDF",IF(Reactivos_[[#This Row],[Cantidad LDF&amp;MR]],"LDF&amp;MR",IF(B258=Reactivos_[[#This Row],[Cantidad RED LASE]],"LASE",IF(B258=Reactivos_[[#This Row],[Cantidad LANIA]],"LANIA",IF(B258=Reactivos_[[#This Row],[Cantidad SPA]],"SPA"," ")))))))))</f>
        <v>LANIP</v>
      </c>
      <c r="B25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58" s="325">
        <v>256</v>
      </c>
      <c r="D258" s="326">
        <v>332</v>
      </c>
      <c r="E258" s="245" t="s">
        <v>758</v>
      </c>
      <c r="F258" s="244" t="s">
        <v>759</v>
      </c>
      <c r="G258" s="245"/>
      <c r="H258" s="346" t="s">
        <v>760</v>
      </c>
      <c r="I258" s="353" t="s">
        <v>761</v>
      </c>
      <c r="J25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58" s="160">
        <v>168742</v>
      </c>
      <c r="L258" s="160">
        <f>+Reactivos_[[#This Row],[Cantidad]]*Reactivos_[[#This Row],[Valor de referencia]]</f>
        <v>168742</v>
      </c>
      <c r="M258" s="254">
        <v>1</v>
      </c>
      <c r="N258" s="255">
        <f>+Reactivos_[[#This Row],[Valor de referencia]]*Reactivos_[[#This Row],[Cantidad LANIP]]</f>
        <v>168742</v>
      </c>
      <c r="O258" s="256"/>
      <c r="P258" s="255">
        <f>+Reactivos_[[#This Row],[Cantidad 
LDV]]*Reactivos_[[#This Row],[Valor de referencia]]</f>
        <v>0</v>
      </c>
      <c r="Q258" s="257"/>
      <c r="R258" s="255">
        <f>+Reactivos_[[#This Row],[Cantidad LNDV]]*Reactivos_[[#This Row],[Valor de referencia]]</f>
        <v>0</v>
      </c>
      <c r="S258" s="148"/>
      <c r="T258" s="255">
        <f>+Reactivos_[[#This Row],[GGCA]]*Reactivos_[[#This Row],[Valor de referencia]]</f>
        <v>0</v>
      </c>
      <c r="U258" s="254"/>
      <c r="V258" s="255">
        <f>+Reactivos_[[#This Row],[Cantidad LDF]]*Reactivos_[[#This Row],[Valor de referencia]]</f>
        <v>0</v>
      </c>
      <c r="W258" s="254"/>
      <c r="X258" s="255">
        <f>+Reactivos_[[#This Row],[Cantidad LDF&amp;MR]]*Reactivos_[[#This Row],[Valor de referencia]]</f>
        <v>0</v>
      </c>
      <c r="Y258" s="254"/>
      <c r="Z258" s="255">
        <f>+Reactivos_[[#This Row],[Cantidad RED LASE]]*Reactivos_[[#This Row],[Valor de referencia]]</f>
        <v>0</v>
      </c>
      <c r="AA258" s="254"/>
      <c r="AB258" s="255">
        <f>+Reactivos_[[#This Row],[Cantidad LANIA]]*Reactivos_[[#This Row],[Valor de referencia]]</f>
        <v>0</v>
      </c>
      <c r="AC258" s="254"/>
      <c r="AD258" s="255">
        <f>+Reactivos_[[#This Row],[Cantidad SPA]]*Reactivos_[[#This Row],[Valor de referencia]]</f>
        <v>0</v>
      </c>
      <c r="AE258" s="148" t="s">
        <v>76</v>
      </c>
      <c r="AF258" s="148" t="s">
        <v>77</v>
      </c>
    </row>
    <row r="259" spans="1:32" ht="22.5" customHeight="1" x14ac:dyDescent="0.25">
      <c r="A259" s="294" t="str">
        <f>IF(B259=Reactivos_[[#This Row],[Cantidad LANIP]],"LANIP",IF(B259=Reactivos_[[#This Row],[Cantidad 
LDV]],"LDV",IF(B259=Reactivos_[[#This Row],[Cantidad LNDV]],"LNDV",IF(B259=Reactivos_[[#This Row],[GGCA]],"GGCA",IF(B259=Reactivos_[[#This Row],[Cantidad LDF]],"LDF",IF(Reactivos_[[#This Row],[Cantidad LDF&amp;MR]],"LDF&amp;MR",IF(B259=Reactivos_[[#This Row],[Cantidad RED LASE]],"LASE",IF(B259=Reactivos_[[#This Row],[Cantidad LANIA]],"LANIA",IF(B259=Reactivos_[[#This Row],[Cantidad SPA]],"SPA"," ")))))))))</f>
        <v>LNDV</v>
      </c>
      <c r="B25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59" s="325">
        <v>257</v>
      </c>
      <c r="D259" s="326">
        <v>333</v>
      </c>
      <c r="E259" s="327" t="s">
        <v>762</v>
      </c>
      <c r="F259" s="338"/>
      <c r="G259" s="339"/>
      <c r="H259" s="328" t="s">
        <v>763</v>
      </c>
      <c r="I259" s="329" t="s">
        <v>764</v>
      </c>
      <c r="J25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59" s="160">
        <v>3678718</v>
      </c>
      <c r="L259" s="160">
        <f>+Reactivos_[[#This Row],[Cantidad]]*Reactivos_[[#This Row],[Valor de referencia]]</f>
        <v>3678718</v>
      </c>
      <c r="M259" s="254">
        <v>0</v>
      </c>
      <c r="N259" s="255">
        <f>+Reactivos_[[#This Row],[Valor de referencia]]*Reactivos_[[#This Row],[Cantidad LANIP]]</f>
        <v>0</v>
      </c>
      <c r="O259" s="256"/>
      <c r="P259" s="255">
        <f>+Reactivos_[[#This Row],[Cantidad 
LDV]]*Reactivos_[[#This Row],[Valor de referencia]]</f>
        <v>0</v>
      </c>
      <c r="Q259" s="257">
        <v>1</v>
      </c>
      <c r="R259" s="255">
        <f>+Reactivos_[[#This Row],[Cantidad LNDV]]*Reactivos_[[#This Row],[Valor de referencia]]</f>
        <v>3678718</v>
      </c>
      <c r="S259" s="148"/>
      <c r="T259" s="255">
        <f>+Reactivos_[[#This Row],[GGCA]]*Reactivos_[[#This Row],[Valor de referencia]]</f>
        <v>0</v>
      </c>
      <c r="U259" s="254"/>
      <c r="V259" s="255">
        <f>+Reactivos_[[#This Row],[Cantidad LDF]]*Reactivos_[[#This Row],[Valor de referencia]]</f>
        <v>0</v>
      </c>
      <c r="W259" s="254"/>
      <c r="X259" s="255">
        <f>+Reactivos_[[#This Row],[Cantidad LDF&amp;MR]]*Reactivos_[[#This Row],[Valor de referencia]]</f>
        <v>0</v>
      </c>
      <c r="Y259" s="254"/>
      <c r="Z259" s="255">
        <f>+Reactivos_[[#This Row],[Cantidad RED LASE]]*Reactivos_[[#This Row],[Valor de referencia]]</f>
        <v>0</v>
      </c>
      <c r="AA259" s="254"/>
      <c r="AB259" s="255">
        <f>+Reactivos_[[#This Row],[Cantidad LANIA]]*Reactivos_[[#This Row],[Valor de referencia]]</f>
        <v>0</v>
      </c>
      <c r="AC259" s="254"/>
      <c r="AD259" s="255">
        <f>+Reactivos_[[#This Row],[Cantidad SPA]]*Reactivos_[[#This Row],[Valor de referencia]]</f>
        <v>0</v>
      </c>
      <c r="AE259" s="148" t="s">
        <v>76</v>
      </c>
      <c r="AF259" s="148" t="s">
        <v>77</v>
      </c>
    </row>
    <row r="260" spans="1:32" x14ac:dyDescent="0.25">
      <c r="A260" s="294" t="str">
        <f>IF(B260=Reactivos_[[#This Row],[Cantidad LANIP]],"LANIP",IF(B260=Reactivos_[[#This Row],[Cantidad 
LDV]],"LDV",IF(B260=Reactivos_[[#This Row],[Cantidad LNDV]],"LNDV",IF(B260=Reactivos_[[#This Row],[GGCA]],"GGCA",IF(B260=Reactivos_[[#This Row],[Cantidad LDF]],"LDF",IF(Reactivos_[[#This Row],[Cantidad LDF&amp;MR]],"LDF&amp;MR",IF(B260=Reactivos_[[#This Row],[Cantidad RED LASE]],"LASE",IF(B260=Reactivos_[[#This Row],[Cantidad LANIA]],"LANIA",IF(B260=Reactivos_[[#This Row],[Cantidad SPA]],"SPA"," ")))))))))</f>
        <v>LANIP</v>
      </c>
      <c r="B26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60" s="325">
        <v>258</v>
      </c>
      <c r="D260" s="326">
        <v>334</v>
      </c>
      <c r="E260" s="327" t="s">
        <v>765</v>
      </c>
      <c r="F260" s="244" t="s">
        <v>766</v>
      </c>
      <c r="G260" s="327" t="s">
        <v>767</v>
      </c>
      <c r="H260" s="348" t="s">
        <v>768</v>
      </c>
      <c r="I260" s="329" t="s">
        <v>769</v>
      </c>
      <c r="J26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260" s="160">
        <v>819412</v>
      </c>
      <c r="L260" s="160">
        <f>+Reactivos_[[#This Row],[Cantidad]]*Reactivos_[[#This Row],[Valor de referencia]]</f>
        <v>4097060</v>
      </c>
      <c r="M260" s="254">
        <v>2</v>
      </c>
      <c r="N260" s="255">
        <f>+Reactivos_[[#This Row],[Valor de referencia]]*Reactivos_[[#This Row],[Cantidad LANIP]]</f>
        <v>1638824</v>
      </c>
      <c r="O260" s="256">
        <v>2</v>
      </c>
      <c r="P260" s="255">
        <f>+Reactivos_[[#This Row],[Cantidad 
LDV]]*Reactivos_[[#This Row],[Valor de referencia]]</f>
        <v>1638824</v>
      </c>
      <c r="Q260" s="257"/>
      <c r="R260" s="255">
        <f>+Reactivos_[[#This Row],[Cantidad LNDV]]*Reactivos_[[#This Row],[Valor de referencia]]</f>
        <v>0</v>
      </c>
      <c r="S260" s="148"/>
      <c r="T260" s="255">
        <f>+Reactivos_[[#This Row],[GGCA]]*Reactivos_[[#This Row],[Valor de referencia]]</f>
        <v>0</v>
      </c>
      <c r="U260" s="254"/>
      <c r="V260" s="255">
        <f>+Reactivos_[[#This Row],[Cantidad LDF]]*Reactivos_[[#This Row],[Valor de referencia]]</f>
        <v>0</v>
      </c>
      <c r="W260" s="254"/>
      <c r="X260" s="255">
        <f>+Reactivos_[[#This Row],[Cantidad LDF&amp;MR]]*Reactivos_[[#This Row],[Valor de referencia]]</f>
        <v>0</v>
      </c>
      <c r="Y260" s="254"/>
      <c r="Z260" s="255">
        <f>+Reactivos_[[#This Row],[Cantidad RED LASE]]*Reactivos_[[#This Row],[Valor de referencia]]</f>
        <v>0</v>
      </c>
      <c r="AA260" s="254">
        <v>1</v>
      </c>
      <c r="AB260" s="255">
        <f>+Reactivos_[[#This Row],[Cantidad LANIA]]*Reactivos_[[#This Row],[Valor de referencia]]</f>
        <v>819412</v>
      </c>
      <c r="AC260" s="254"/>
      <c r="AD260" s="255">
        <f>+Reactivos_[[#This Row],[Cantidad SPA]]*Reactivos_[[#This Row],[Valor de referencia]]</f>
        <v>0</v>
      </c>
      <c r="AE260" s="148" t="s">
        <v>76</v>
      </c>
      <c r="AF260" s="148" t="s">
        <v>77</v>
      </c>
    </row>
    <row r="261" spans="1:32" ht="33.75" customHeight="1" x14ac:dyDescent="0.25">
      <c r="A261" s="294" t="str">
        <f>IF(B261=Reactivos_[[#This Row],[Cantidad LANIP]],"LANIP",IF(B261=Reactivos_[[#This Row],[Cantidad 
LDV]],"LDV",IF(B261=Reactivos_[[#This Row],[Cantidad LNDV]],"LNDV",IF(B261=Reactivos_[[#This Row],[GGCA]],"GGCA",IF(B261=Reactivos_[[#This Row],[Cantidad LDF]],"LDF",IF(Reactivos_[[#This Row],[Cantidad LDF&amp;MR]],"LDF&amp;MR",IF(B261=Reactivos_[[#This Row],[Cantidad RED LASE]],"LASE",IF(B261=Reactivos_[[#This Row],[Cantidad LANIA]],"LANIA",IF(B261=Reactivos_[[#This Row],[Cantidad SPA]],"SPA"," ")))))))))</f>
        <v>LNDV</v>
      </c>
      <c r="B26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61" s="325">
        <v>259</v>
      </c>
      <c r="D261" s="326">
        <v>335</v>
      </c>
      <c r="E261" s="331" t="s">
        <v>770</v>
      </c>
      <c r="F261" s="332" t="s">
        <v>771</v>
      </c>
      <c r="G261" s="331" t="s">
        <v>772</v>
      </c>
      <c r="H261" s="348" t="s">
        <v>773</v>
      </c>
      <c r="I261" s="334" t="s">
        <v>100</v>
      </c>
      <c r="J26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61" s="160">
        <v>1395849</v>
      </c>
      <c r="L261" s="160">
        <f>+Reactivos_[[#This Row],[Cantidad]]*Reactivos_[[#This Row],[Valor de referencia]]</f>
        <v>2791698</v>
      </c>
      <c r="M261" s="254">
        <v>0</v>
      </c>
      <c r="N261" s="255">
        <f>+Reactivos_[[#This Row],[Valor de referencia]]*Reactivos_[[#This Row],[Cantidad LANIP]]</f>
        <v>0</v>
      </c>
      <c r="O261" s="256"/>
      <c r="P261" s="255">
        <f>+Reactivos_[[#This Row],[Cantidad 
LDV]]*Reactivos_[[#This Row],[Valor de referencia]]</f>
        <v>0</v>
      </c>
      <c r="Q261" s="257">
        <v>1</v>
      </c>
      <c r="R261" s="255">
        <f>+Reactivos_[[#This Row],[Cantidad LNDV]]*Reactivos_[[#This Row],[Valor de referencia]]</f>
        <v>1395849</v>
      </c>
      <c r="S261" s="148"/>
      <c r="T261" s="255">
        <f>+Reactivos_[[#This Row],[GGCA]]*Reactivos_[[#This Row],[Valor de referencia]]</f>
        <v>0</v>
      </c>
      <c r="U261" s="254">
        <v>1</v>
      </c>
      <c r="V261" s="255">
        <f>+Reactivos_[[#This Row],[Cantidad LDF]]*Reactivos_[[#This Row],[Valor de referencia]]</f>
        <v>1395849</v>
      </c>
      <c r="W261" s="254"/>
      <c r="X261" s="255">
        <f>+Reactivos_[[#This Row],[Cantidad LDF&amp;MR]]*Reactivos_[[#This Row],[Valor de referencia]]</f>
        <v>0</v>
      </c>
      <c r="Y261" s="254"/>
      <c r="Z261" s="255">
        <f>+Reactivos_[[#This Row],[Cantidad RED LASE]]*Reactivos_[[#This Row],[Valor de referencia]]</f>
        <v>0</v>
      </c>
      <c r="AA261" s="254"/>
      <c r="AB261" s="255">
        <f>+Reactivos_[[#This Row],[Cantidad LANIA]]*Reactivos_[[#This Row],[Valor de referencia]]</f>
        <v>0</v>
      </c>
      <c r="AC261" s="254"/>
      <c r="AD261" s="255">
        <f>+Reactivos_[[#This Row],[Cantidad SPA]]*Reactivos_[[#This Row],[Valor de referencia]]</f>
        <v>0</v>
      </c>
      <c r="AE261" s="148" t="s">
        <v>76</v>
      </c>
      <c r="AF261" s="148" t="s">
        <v>77</v>
      </c>
    </row>
    <row r="262" spans="1:32" x14ac:dyDescent="0.25">
      <c r="A262" s="294" t="str">
        <f>IF(B262=Reactivos_[[#This Row],[Cantidad LANIP]],"LANIP",IF(B262=Reactivos_[[#This Row],[Cantidad 
LDV]],"LDV",IF(B262=Reactivos_[[#This Row],[Cantidad LNDV]],"LNDV",IF(B262=Reactivos_[[#This Row],[GGCA]],"GGCA",IF(B262=Reactivos_[[#This Row],[Cantidad LDF]],"LDF",IF(Reactivos_[[#This Row],[Cantidad LDF&amp;MR]],"LDF&amp;MR",IF(B262=Reactivos_[[#This Row],[Cantidad RED LASE]],"LASE",IF(B262=Reactivos_[[#This Row],[Cantidad LANIA]],"LANIA",IF(B262=Reactivos_[[#This Row],[Cantidad SPA]],"SPA"," ")))))))))</f>
        <v>LANIP</v>
      </c>
      <c r="B26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262" s="325">
        <v>260</v>
      </c>
      <c r="D262" s="326">
        <v>336</v>
      </c>
      <c r="E262" s="358" t="s">
        <v>774</v>
      </c>
      <c r="F262" s="357" t="s">
        <v>775</v>
      </c>
      <c r="G262" s="358"/>
      <c r="H262" s="342" t="s">
        <v>776</v>
      </c>
      <c r="I262" s="329" t="s">
        <v>777</v>
      </c>
      <c r="J26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62" s="160">
        <v>1426409</v>
      </c>
      <c r="L262" s="160">
        <f>+Reactivos_[[#This Row],[Cantidad]]*Reactivos_[[#This Row],[Valor de referencia]]</f>
        <v>4279227</v>
      </c>
      <c r="M262" s="254">
        <v>3</v>
      </c>
      <c r="N262" s="255">
        <f>+Reactivos_[[#This Row],[Valor de referencia]]*Reactivos_[[#This Row],[Cantidad LANIP]]</f>
        <v>4279227</v>
      </c>
      <c r="O262" s="256"/>
      <c r="P262" s="255">
        <f>+Reactivos_[[#This Row],[Cantidad 
LDV]]*Reactivos_[[#This Row],[Valor de referencia]]</f>
        <v>0</v>
      </c>
      <c r="Q262" s="257"/>
      <c r="R262" s="255">
        <f>+Reactivos_[[#This Row],[Cantidad LNDV]]*Reactivos_[[#This Row],[Valor de referencia]]</f>
        <v>0</v>
      </c>
      <c r="S262" s="148"/>
      <c r="T262" s="255">
        <f>+Reactivos_[[#This Row],[GGCA]]*Reactivos_[[#This Row],[Valor de referencia]]</f>
        <v>0</v>
      </c>
      <c r="U262" s="254"/>
      <c r="V262" s="255">
        <f>+Reactivos_[[#This Row],[Cantidad LDF]]*Reactivos_[[#This Row],[Valor de referencia]]</f>
        <v>0</v>
      </c>
      <c r="W262" s="254"/>
      <c r="X262" s="255">
        <f>+Reactivos_[[#This Row],[Cantidad LDF&amp;MR]]*Reactivos_[[#This Row],[Valor de referencia]]</f>
        <v>0</v>
      </c>
      <c r="Y262" s="254"/>
      <c r="Z262" s="255">
        <f>+Reactivos_[[#This Row],[Cantidad RED LASE]]*Reactivos_[[#This Row],[Valor de referencia]]</f>
        <v>0</v>
      </c>
      <c r="AA262" s="254"/>
      <c r="AB262" s="255">
        <f>+Reactivos_[[#This Row],[Cantidad LANIA]]*Reactivos_[[#This Row],[Valor de referencia]]</f>
        <v>0</v>
      </c>
      <c r="AC262" s="254"/>
      <c r="AD262" s="255">
        <f>+Reactivos_[[#This Row],[Cantidad SPA]]*Reactivos_[[#This Row],[Valor de referencia]]</f>
        <v>0</v>
      </c>
      <c r="AE262" s="148" t="s">
        <v>76</v>
      </c>
      <c r="AF262" s="148" t="s">
        <v>77</v>
      </c>
    </row>
    <row r="263" spans="1:32" ht="33" customHeight="1" x14ac:dyDescent="0.25">
      <c r="A263" s="294" t="str">
        <f>IF(B263=Reactivos_[[#This Row],[Cantidad LANIP]],"LANIP",IF(B263=Reactivos_[[#This Row],[Cantidad 
LDV]],"LDV",IF(B263=Reactivos_[[#This Row],[Cantidad LNDV]],"LNDV",IF(B263=Reactivos_[[#This Row],[GGCA]],"GGCA",IF(B263=Reactivos_[[#This Row],[Cantidad LDF]],"LDF",IF(Reactivos_[[#This Row],[Cantidad LDF&amp;MR]],"LDF&amp;MR",IF(B263=Reactivos_[[#This Row],[Cantidad RED LASE]],"LASE",IF(B263=Reactivos_[[#This Row],[Cantidad LANIA]],"LANIA",IF(B263=Reactivos_[[#This Row],[Cantidad SPA]],"SPA"," ")))))))))</f>
        <v>LDV</v>
      </c>
      <c r="B26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263" s="325">
        <v>261</v>
      </c>
      <c r="D263" s="326">
        <v>337</v>
      </c>
      <c r="E263" s="245" t="s">
        <v>778</v>
      </c>
      <c r="F263" s="244"/>
      <c r="G263" s="245"/>
      <c r="H263" s="346" t="s">
        <v>779</v>
      </c>
      <c r="I263" s="329" t="s">
        <v>124</v>
      </c>
      <c r="J26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263" s="160">
        <v>909782</v>
      </c>
      <c r="L263" s="160">
        <f>+Reactivos_[[#This Row],[Cantidad]]*Reactivos_[[#This Row],[Valor de referencia]]</f>
        <v>6368474</v>
      </c>
      <c r="M263" s="254">
        <v>1</v>
      </c>
      <c r="N263" s="255">
        <f>+Reactivos_[[#This Row],[Valor de referencia]]*Reactivos_[[#This Row],[Cantidad LANIP]]</f>
        <v>909782</v>
      </c>
      <c r="O263" s="256">
        <v>5</v>
      </c>
      <c r="P263" s="255">
        <f>+Reactivos_[[#This Row],[Cantidad 
LDV]]*Reactivos_[[#This Row],[Valor de referencia]]</f>
        <v>4548910</v>
      </c>
      <c r="Q263" s="257"/>
      <c r="R263" s="255">
        <f>+Reactivos_[[#This Row],[Cantidad LNDV]]*Reactivos_[[#This Row],[Valor de referencia]]</f>
        <v>0</v>
      </c>
      <c r="S263" s="148"/>
      <c r="T263" s="255">
        <f>+Reactivos_[[#This Row],[GGCA]]*Reactivos_[[#This Row],[Valor de referencia]]</f>
        <v>0</v>
      </c>
      <c r="U263" s="254">
        <v>1</v>
      </c>
      <c r="V263" s="255">
        <f>+Reactivos_[[#This Row],[Cantidad LDF]]*Reactivos_[[#This Row],[Valor de referencia]]</f>
        <v>909782</v>
      </c>
      <c r="W263" s="254"/>
      <c r="X263" s="255">
        <f>+Reactivos_[[#This Row],[Cantidad LDF&amp;MR]]*Reactivos_[[#This Row],[Valor de referencia]]</f>
        <v>0</v>
      </c>
      <c r="Y263" s="254"/>
      <c r="Z263" s="255">
        <f>+Reactivos_[[#This Row],[Cantidad RED LASE]]*Reactivos_[[#This Row],[Valor de referencia]]</f>
        <v>0</v>
      </c>
      <c r="AA263" s="254"/>
      <c r="AB263" s="255">
        <f>+Reactivos_[[#This Row],[Cantidad LANIA]]*Reactivos_[[#This Row],[Valor de referencia]]</f>
        <v>0</v>
      </c>
      <c r="AC263" s="254"/>
      <c r="AD263" s="255">
        <f>+Reactivos_[[#This Row],[Cantidad SPA]]*Reactivos_[[#This Row],[Valor de referencia]]</f>
        <v>0</v>
      </c>
      <c r="AE263" s="148" t="s">
        <v>76</v>
      </c>
      <c r="AF263" s="148" t="s">
        <v>77</v>
      </c>
    </row>
    <row r="264" spans="1:32" ht="46.5" customHeight="1" x14ac:dyDescent="0.25">
      <c r="A264" s="294" t="str">
        <f>IF(B264=Reactivos_[[#This Row],[Cantidad LANIP]],"LANIP",IF(B264=Reactivos_[[#This Row],[Cantidad 
LDV]],"LDV",IF(B264=Reactivos_[[#This Row],[Cantidad LNDV]],"LNDV",IF(B264=Reactivos_[[#This Row],[GGCA]],"GGCA",IF(B264=Reactivos_[[#This Row],[Cantidad LDF]],"LDF",IF(Reactivos_[[#This Row],[Cantidad LDF&amp;MR]],"LDF&amp;MR",IF(B264=Reactivos_[[#This Row],[Cantidad RED LASE]],"LASE",IF(B264=Reactivos_[[#This Row],[Cantidad LANIA]],"LANIA",IF(B264=Reactivos_[[#This Row],[Cantidad SPA]],"SPA"," ")))))))))</f>
        <v>LANIP</v>
      </c>
      <c r="B26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64" s="325">
        <v>262</v>
      </c>
      <c r="D264" s="326">
        <v>338</v>
      </c>
      <c r="E264" s="358" t="s">
        <v>780</v>
      </c>
      <c r="F264" s="357"/>
      <c r="G264" s="358"/>
      <c r="H264" s="348" t="s">
        <v>781</v>
      </c>
      <c r="I264" s="334" t="s">
        <v>107</v>
      </c>
      <c r="J26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64" s="160">
        <v>5194509</v>
      </c>
      <c r="L264" s="160">
        <f>+Reactivos_[[#This Row],[Cantidad]]*Reactivos_[[#This Row],[Valor de referencia]]</f>
        <v>10389018</v>
      </c>
      <c r="M264" s="254">
        <v>1</v>
      </c>
      <c r="N264" s="255">
        <f>+Reactivos_[[#This Row],[Valor de referencia]]*Reactivos_[[#This Row],[Cantidad LANIP]]</f>
        <v>5194509</v>
      </c>
      <c r="O264" s="256"/>
      <c r="P264" s="255">
        <f>+Reactivos_[[#This Row],[Cantidad 
LDV]]*Reactivos_[[#This Row],[Valor de referencia]]</f>
        <v>0</v>
      </c>
      <c r="Q264" s="257"/>
      <c r="R264" s="255">
        <f>+Reactivos_[[#This Row],[Cantidad LNDV]]*Reactivos_[[#This Row],[Valor de referencia]]</f>
        <v>0</v>
      </c>
      <c r="S264" s="148"/>
      <c r="T264" s="255">
        <f>+Reactivos_[[#This Row],[GGCA]]*Reactivos_[[#This Row],[Valor de referencia]]</f>
        <v>0</v>
      </c>
      <c r="U264" s="254"/>
      <c r="V264" s="255">
        <f>+Reactivos_[[#This Row],[Cantidad LDF]]*Reactivos_[[#This Row],[Valor de referencia]]</f>
        <v>0</v>
      </c>
      <c r="W264" s="254"/>
      <c r="X264" s="255">
        <f>+Reactivos_[[#This Row],[Cantidad LDF&amp;MR]]*Reactivos_[[#This Row],[Valor de referencia]]</f>
        <v>0</v>
      </c>
      <c r="Y264" s="254"/>
      <c r="Z264" s="255">
        <f>+Reactivos_[[#This Row],[Cantidad RED LASE]]*Reactivos_[[#This Row],[Valor de referencia]]</f>
        <v>0</v>
      </c>
      <c r="AA264" s="254">
        <v>1</v>
      </c>
      <c r="AB264" s="255">
        <f>+Reactivos_[[#This Row],[Cantidad LANIA]]*Reactivos_[[#This Row],[Valor de referencia]]</f>
        <v>5194509</v>
      </c>
      <c r="AC264" s="254"/>
      <c r="AD264" s="255">
        <f>+Reactivos_[[#This Row],[Cantidad SPA]]*Reactivos_[[#This Row],[Valor de referencia]]</f>
        <v>0</v>
      </c>
      <c r="AE264" s="148" t="s">
        <v>76</v>
      </c>
      <c r="AF264" s="148" t="s">
        <v>77</v>
      </c>
    </row>
    <row r="265" spans="1:32" ht="33.75" customHeight="1" x14ac:dyDescent="0.25">
      <c r="A265" s="294" t="str">
        <f>IF(B265=Reactivos_[[#This Row],[Cantidad LANIP]],"LANIP",IF(B265=Reactivos_[[#This Row],[Cantidad 
LDV]],"LDV",IF(B265=Reactivos_[[#This Row],[Cantidad LNDV]],"LNDV",IF(B265=Reactivos_[[#This Row],[GGCA]],"GGCA",IF(B265=Reactivos_[[#This Row],[Cantidad LDF]],"LDF",IF(Reactivos_[[#This Row],[Cantidad LDF&amp;MR]],"LDF&amp;MR",IF(B265=Reactivos_[[#This Row],[Cantidad RED LASE]],"LASE",IF(B265=Reactivos_[[#This Row],[Cantidad LANIA]],"LANIA",IF(B265=Reactivos_[[#This Row],[Cantidad SPA]],"SPA"," ")))))))))</f>
        <v>LANIA</v>
      </c>
      <c r="B26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65" s="325">
        <v>263</v>
      </c>
      <c r="D265" s="326">
        <v>339</v>
      </c>
      <c r="E265" s="331" t="s">
        <v>782</v>
      </c>
      <c r="F265" s="332"/>
      <c r="G265" s="331"/>
      <c r="H265" s="333" t="s">
        <v>783</v>
      </c>
      <c r="I265" s="334" t="s">
        <v>784</v>
      </c>
      <c r="J26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65" s="240">
        <v>12337397</v>
      </c>
      <c r="L265" s="160">
        <f>+Reactivos_[[#This Row],[Cantidad]]*Reactivos_[[#This Row],[Valor de referencia]]</f>
        <v>12337397</v>
      </c>
      <c r="M265" s="254">
        <v>0</v>
      </c>
      <c r="N265" s="255">
        <f>+Reactivos_[[#This Row],[Valor de referencia]]*Reactivos_[[#This Row],[Cantidad LANIP]]</f>
        <v>0</v>
      </c>
      <c r="O265" s="256"/>
      <c r="P265" s="255">
        <f>+Reactivos_[[#This Row],[Cantidad 
LDV]]*Reactivos_[[#This Row],[Valor de referencia]]</f>
        <v>0</v>
      </c>
      <c r="Q265" s="257"/>
      <c r="R265" s="255">
        <f>+Reactivos_[[#This Row],[Cantidad LNDV]]*Reactivos_[[#This Row],[Valor de referencia]]</f>
        <v>0</v>
      </c>
      <c r="S265" s="148"/>
      <c r="T265" s="255">
        <f>+Reactivos_[[#This Row],[GGCA]]*Reactivos_[[#This Row],[Valor de referencia]]</f>
        <v>0</v>
      </c>
      <c r="U265" s="254"/>
      <c r="V265" s="255">
        <f>+Reactivos_[[#This Row],[Cantidad LDF]]*Reactivos_[[#This Row],[Valor de referencia]]</f>
        <v>0</v>
      </c>
      <c r="W265" s="254"/>
      <c r="X265" s="255">
        <f>+Reactivos_[[#This Row],[Cantidad LDF&amp;MR]]*Reactivos_[[#This Row],[Valor de referencia]]</f>
        <v>0</v>
      </c>
      <c r="Y265" s="254"/>
      <c r="Z265" s="255">
        <f>+Reactivos_[[#This Row],[Cantidad RED LASE]]*Reactivos_[[#This Row],[Valor de referencia]]</f>
        <v>0</v>
      </c>
      <c r="AA265" s="254">
        <v>1</v>
      </c>
      <c r="AB265" s="255">
        <f>+Reactivos_[[#This Row],[Cantidad LANIA]]*Reactivos_[[#This Row],[Valor de referencia]]</f>
        <v>12337397</v>
      </c>
      <c r="AC265" s="254"/>
      <c r="AD265" s="255">
        <f>+Reactivos_[[#This Row],[Cantidad SPA]]*Reactivos_[[#This Row],[Valor de referencia]]</f>
        <v>0</v>
      </c>
      <c r="AE265" s="148" t="s">
        <v>76</v>
      </c>
      <c r="AF265" s="148" t="s">
        <v>77</v>
      </c>
    </row>
    <row r="266" spans="1:32" x14ac:dyDescent="0.25">
      <c r="A266" s="294" t="str">
        <f>IF(B266=Reactivos_[[#This Row],[Cantidad LANIP]],"LANIP",IF(B266=Reactivos_[[#This Row],[Cantidad 
LDV]],"LDV",IF(B266=Reactivos_[[#This Row],[Cantidad LNDV]],"LNDV",IF(B266=Reactivos_[[#This Row],[GGCA]],"GGCA",IF(B266=Reactivos_[[#This Row],[Cantidad LDF]],"LDF",IF(Reactivos_[[#This Row],[Cantidad LDF&amp;MR]],"LDF&amp;MR",IF(B266=Reactivos_[[#This Row],[Cantidad RED LASE]],"LASE",IF(B266=Reactivos_[[#This Row],[Cantidad LANIA]],"LANIA",IF(B266=Reactivos_[[#This Row],[Cantidad SPA]],"SPA"," ")))))))))</f>
        <v>LDV</v>
      </c>
      <c r="B26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40</v>
      </c>
      <c r="C266" s="325">
        <v>264</v>
      </c>
      <c r="D266" s="326">
        <v>340</v>
      </c>
      <c r="E266" s="245" t="s">
        <v>785</v>
      </c>
      <c r="F266" s="244"/>
      <c r="G266" s="245"/>
      <c r="H266" s="335" t="s">
        <v>786</v>
      </c>
      <c r="I266" s="336" t="s">
        <v>787</v>
      </c>
      <c r="J26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40</v>
      </c>
      <c r="K266" s="160">
        <v>1033515</v>
      </c>
      <c r="L266" s="160">
        <f>+Reactivos_[[#This Row],[Cantidad]]*Reactivos_[[#This Row],[Valor de referencia]]</f>
        <v>41340600</v>
      </c>
      <c r="M266" s="254">
        <v>0</v>
      </c>
      <c r="N266" s="255">
        <f>+Reactivos_[[#This Row],[Valor de referencia]]*Reactivos_[[#This Row],[Cantidad LANIP]]</f>
        <v>0</v>
      </c>
      <c r="O266" s="256">
        <v>40</v>
      </c>
      <c r="P266" s="255">
        <f>+Reactivos_[[#This Row],[Cantidad 
LDV]]*Reactivos_[[#This Row],[Valor de referencia]]</f>
        <v>41340600</v>
      </c>
      <c r="Q266" s="257"/>
      <c r="R266" s="255">
        <f>+Reactivos_[[#This Row],[Cantidad LNDV]]*Reactivos_[[#This Row],[Valor de referencia]]</f>
        <v>0</v>
      </c>
      <c r="S266" s="148"/>
      <c r="T266" s="255">
        <f>+Reactivos_[[#This Row],[GGCA]]*Reactivos_[[#This Row],[Valor de referencia]]</f>
        <v>0</v>
      </c>
      <c r="U266" s="254"/>
      <c r="V266" s="255">
        <f>+Reactivos_[[#This Row],[Cantidad LDF]]*Reactivos_[[#This Row],[Valor de referencia]]</f>
        <v>0</v>
      </c>
      <c r="W266" s="254"/>
      <c r="X266" s="255">
        <f>+Reactivos_[[#This Row],[Cantidad LDF&amp;MR]]*Reactivos_[[#This Row],[Valor de referencia]]</f>
        <v>0</v>
      </c>
      <c r="Y266" s="254"/>
      <c r="Z266" s="255">
        <f>+Reactivos_[[#This Row],[Cantidad RED LASE]]*Reactivos_[[#This Row],[Valor de referencia]]</f>
        <v>0</v>
      </c>
      <c r="AA266" s="254"/>
      <c r="AB266" s="255">
        <f>+Reactivos_[[#This Row],[Cantidad LANIA]]*Reactivos_[[#This Row],[Valor de referencia]]</f>
        <v>0</v>
      </c>
      <c r="AC266" s="254"/>
      <c r="AD266" s="255">
        <f>+Reactivos_[[#This Row],[Cantidad SPA]]*Reactivos_[[#This Row],[Valor de referencia]]</f>
        <v>0</v>
      </c>
      <c r="AE266" s="148" t="s">
        <v>76</v>
      </c>
      <c r="AF266" s="148" t="s">
        <v>77</v>
      </c>
    </row>
    <row r="267" spans="1:32" ht="43.5" customHeight="1" x14ac:dyDescent="0.25">
      <c r="A267" s="294" t="str">
        <f>IF(B267=Reactivos_[[#This Row],[Cantidad LANIP]],"LANIP",IF(B267=Reactivos_[[#This Row],[Cantidad 
LDV]],"LDV",IF(B267=Reactivos_[[#This Row],[Cantidad LNDV]],"LNDV",IF(B267=Reactivos_[[#This Row],[GGCA]],"GGCA",IF(B267=Reactivos_[[#This Row],[Cantidad LDF]],"LDF",IF(Reactivos_[[#This Row],[Cantidad LDF&amp;MR]],"LDF&amp;MR",IF(B267=Reactivos_[[#This Row],[Cantidad RED LASE]],"LASE",IF(B267=Reactivos_[[#This Row],[Cantidad LANIA]],"LANIA",IF(B267=Reactivos_[[#This Row],[Cantidad SPA]],"SPA"," ")))))))))</f>
        <v>LNDV</v>
      </c>
      <c r="B26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67" s="325">
        <v>265</v>
      </c>
      <c r="D267" s="326">
        <v>341</v>
      </c>
      <c r="E267" s="331" t="s">
        <v>788</v>
      </c>
      <c r="F267" s="332"/>
      <c r="G267" s="331"/>
      <c r="H267" s="328" t="s">
        <v>789</v>
      </c>
      <c r="I267" s="410" t="s">
        <v>790</v>
      </c>
      <c r="J26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67" s="160">
        <v>329142</v>
      </c>
      <c r="L267" s="160">
        <f>+Reactivos_[[#This Row],[Cantidad]]*Reactivos_[[#This Row],[Valor de referencia]]</f>
        <v>329142</v>
      </c>
      <c r="M267" s="254">
        <v>0</v>
      </c>
      <c r="N267" s="255">
        <f>+Reactivos_[[#This Row],[Valor de referencia]]*Reactivos_[[#This Row],[Cantidad LANIP]]</f>
        <v>0</v>
      </c>
      <c r="O267" s="256"/>
      <c r="P267" s="255">
        <f>+Reactivos_[[#This Row],[Cantidad 
LDV]]*Reactivos_[[#This Row],[Valor de referencia]]</f>
        <v>0</v>
      </c>
      <c r="Q267" s="257">
        <v>1</v>
      </c>
      <c r="R267" s="255">
        <f>+Reactivos_[[#This Row],[Cantidad LNDV]]*Reactivos_[[#This Row],[Valor de referencia]]</f>
        <v>329142</v>
      </c>
      <c r="S267" s="148"/>
      <c r="T267" s="255">
        <f>+Reactivos_[[#This Row],[GGCA]]*Reactivos_[[#This Row],[Valor de referencia]]</f>
        <v>0</v>
      </c>
      <c r="U267" s="254"/>
      <c r="V267" s="255">
        <f>+Reactivos_[[#This Row],[Cantidad LDF]]*Reactivos_[[#This Row],[Valor de referencia]]</f>
        <v>0</v>
      </c>
      <c r="W267" s="254"/>
      <c r="X267" s="255">
        <f>+Reactivos_[[#This Row],[Cantidad LDF&amp;MR]]*Reactivos_[[#This Row],[Valor de referencia]]</f>
        <v>0</v>
      </c>
      <c r="Y267" s="254"/>
      <c r="Z267" s="255">
        <f>+Reactivos_[[#This Row],[Cantidad RED LASE]]*Reactivos_[[#This Row],[Valor de referencia]]</f>
        <v>0</v>
      </c>
      <c r="AA267" s="254"/>
      <c r="AB267" s="255">
        <f>+Reactivos_[[#This Row],[Cantidad LANIA]]*Reactivos_[[#This Row],[Valor de referencia]]</f>
        <v>0</v>
      </c>
      <c r="AC267" s="254"/>
      <c r="AD267" s="255">
        <f>+Reactivos_[[#This Row],[Cantidad SPA]]*Reactivos_[[#This Row],[Valor de referencia]]</f>
        <v>0</v>
      </c>
      <c r="AE267" s="148" t="s">
        <v>76</v>
      </c>
      <c r="AF267" s="148" t="s">
        <v>77</v>
      </c>
    </row>
    <row r="268" spans="1:32" ht="25.5" x14ac:dyDescent="0.25">
      <c r="A268" s="294" t="str">
        <f>IF(B268=Reactivos_[[#This Row],[Cantidad LANIP]],"LANIP",IF(B268=Reactivos_[[#This Row],[Cantidad 
LDV]],"LDV",IF(B268=Reactivos_[[#This Row],[Cantidad LNDV]],"LNDV",IF(B268=Reactivos_[[#This Row],[GGCA]],"GGCA",IF(B268=Reactivos_[[#This Row],[Cantidad LDF]],"LDF",IF(Reactivos_[[#This Row],[Cantidad LDF&amp;MR]],"LDF&amp;MR",IF(B268=Reactivos_[[#This Row],[Cantidad RED LASE]],"LASE",IF(B268=Reactivos_[[#This Row],[Cantidad LANIA]],"LANIA",IF(B268=Reactivos_[[#This Row],[Cantidad SPA]],"SPA"," ")))))))))</f>
        <v>LDF</v>
      </c>
      <c r="B26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C268" s="325">
        <v>266</v>
      </c>
      <c r="D268" s="326">
        <v>342</v>
      </c>
      <c r="E268" s="245" t="s">
        <v>791</v>
      </c>
      <c r="F268" s="244"/>
      <c r="G268" s="245"/>
      <c r="H268" s="346" t="s">
        <v>792</v>
      </c>
      <c r="I268" s="336" t="s">
        <v>525</v>
      </c>
      <c r="J26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21</v>
      </c>
      <c r="K268" s="160">
        <v>3564080</v>
      </c>
      <c r="L268" s="160">
        <f>+Reactivos_[[#This Row],[Cantidad]]*Reactivos_[[#This Row],[Valor de referencia]]</f>
        <v>74845680</v>
      </c>
      <c r="M268" s="254">
        <v>0</v>
      </c>
      <c r="N268" s="255">
        <f>+Reactivos_[[#This Row],[Valor de referencia]]*Reactivos_[[#This Row],[Cantidad LANIP]]</f>
        <v>0</v>
      </c>
      <c r="O268" s="256"/>
      <c r="P268" s="255">
        <f>+Reactivos_[[#This Row],[Cantidad 
LDV]]*Reactivos_[[#This Row],[Valor de referencia]]</f>
        <v>0</v>
      </c>
      <c r="Q268" s="257"/>
      <c r="R268" s="255">
        <f>+Reactivos_[[#This Row],[Cantidad LNDV]]*Reactivos_[[#This Row],[Valor de referencia]]</f>
        <v>0</v>
      </c>
      <c r="S268" s="148"/>
      <c r="T268" s="255">
        <f>+Reactivos_[[#This Row],[GGCA]]*Reactivos_[[#This Row],[Valor de referencia]]</f>
        <v>0</v>
      </c>
      <c r="U268" s="254">
        <v>11</v>
      </c>
      <c r="V268" s="255">
        <f>+Reactivos_[[#This Row],[Cantidad LDF]]*Reactivos_[[#This Row],[Valor de referencia]]</f>
        <v>39204880</v>
      </c>
      <c r="W268" s="254">
        <v>10</v>
      </c>
      <c r="X268" s="255">
        <f>+Reactivos_[[#This Row],[Cantidad LDF&amp;MR]]*Reactivos_[[#This Row],[Valor de referencia]]</f>
        <v>35640800</v>
      </c>
      <c r="Y268" s="254"/>
      <c r="Z268" s="255">
        <f>+Reactivos_[[#This Row],[Cantidad RED LASE]]*Reactivos_[[#This Row],[Valor de referencia]]</f>
        <v>0</v>
      </c>
      <c r="AA268" s="254"/>
      <c r="AB268" s="255">
        <f>+Reactivos_[[#This Row],[Cantidad LANIA]]*Reactivos_[[#This Row],[Valor de referencia]]</f>
        <v>0</v>
      </c>
      <c r="AC268" s="254"/>
      <c r="AD268" s="255">
        <f>+Reactivos_[[#This Row],[Cantidad SPA]]*Reactivos_[[#This Row],[Valor de referencia]]</f>
        <v>0</v>
      </c>
      <c r="AE268" s="148" t="s">
        <v>76</v>
      </c>
      <c r="AF268" s="148" t="s">
        <v>77</v>
      </c>
    </row>
    <row r="269" spans="1:32" ht="22.5" customHeight="1" x14ac:dyDescent="0.25">
      <c r="A269" s="294" t="str">
        <f>IF(B269=Reactivos_[[#This Row],[Cantidad LANIP]],"LANIP",IF(B269=Reactivos_[[#This Row],[Cantidad 
LDV]],"LDV",IF(B269=Reactivos_[[#This Row],[Cantidad LNDV]],"LNDV",IF(B269=Reactivos_[[#This Row],[GGCA]],"GGCA",IF(B269=Reactivos_[[#This Row],[Cantidad LDF]],"LDF",IF(Reactivos_[[#This Row],[Cantidad LDF&amp;MR]],"LDF&amp;MR",IF(B269=Reactivos_[[#This Row],[Cantidad RED LASE]],"LASE",IF(B269=Reactivos_[[#This Row],[Cantidad LANIA]],"LANIA",IF(B269=Reactivos_[[#This Row],[Cantidad SPA]],"SPA"," ")))))))))</f>
        <v>LDF&amp;MR</v>
      </c>
      <c r="B26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269" s="325">
        <v>267</v>
      </c>
      <c r="D269" s="326">
        <v>343</v>
      </c>
      <c r="E269" s="245" t="s">
        <v>793</v>
      </c>
      <c r="F269" s="244"/>
      <c r="G269" s="245"/>
      <c r="H269" s="346" t="s">
        <v>794</v>
      </c>
      <c r="I269" s="336" t="s">
        <v>525</v>
      </c>
      <c r="J26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K269" s="160">
        <v>1685360</v>
      </c>
      <c r="L269" s="160">
        <f>+Reactivos_[[#This Row],[Cantidad]]*Reactivos_[[#This Row],[Valor de referencia]]</f>
        <v>18538960</v>
      </c>
      <c r="M269" s="254">
        <v>0</v>
      </c>
      <c r="N269" s="255">
        <f>+Reactivos_[[#This Row],[Valor de referencia]]*Reactivos_[[#This Row],[Cantidad LANIP]]</f>
        <v>0</v>
      </c>
      <c r="O269" s="256"/>
      <c r="P269" s="255">
        <f>+Reactivos_[[#This Row],[Cantidad 
LDV]]*Reactivos_[[#This Row],[Valor de referencia]]</f>
        <v>0</v>
      </c>
      <c r="Q269" s="257"/>
      <c r="R269" s="255">
        <f>+Reactivos_[[#This Row],[Cantidad LNDV]]*Reactivos_[[#This Row],[Valor de referencia]]</f>
        <v>0</v>
      </c>
      <c r="S269" s="148"/>
      <c r="T269" s="255">
        <f>+Reactivos_[[#This Row],[GGCA]]*Reactivos_[[#This Row],[Valor de referencia]]</f>
        <v>0</v>
      </c>
      <c r="U269" s="254">
        <v>3</v>
      </c>
      <c r="V269" s="255">
        <f>+Reactivos_[[#This Row],[Cantidad LDF]]*Reactivos_[[#This Row],[Valor de referencia]]</f>
        <v>5056080</v>
      </c>
      <c r="W269" s="254">
        <v>8</v>
      </c>
      <c r="X269" s="255">
        <f>+Reactivos_[[#This Row],[Cantidad LDF&amp;MR]]*Reactivos_[[#This Row],[Valor de referencia]]</f>
        <v>13482880</v>
      </c>
      <c r="Y269" s="254"/>
      <c r="Z269" s="255">
        <f>+Reactivos_[[#This Row],[Cantidad RED LASE]]*Reactivos_[[#This Row],[Valor de referencia]]</f>
        <v>0</v>
      </c>
      <c r="AA269" s="254"/>
      <c r="AB269" s="255">
        <f>+Reactivos_[[#This Row],[Cantidad LANIA]]*Reactivos_[[#This Row],[Valor de referencia]]</f>
        <v>0</v>
      </c>
      <c r="AC269" s="254"/>
      <c r="AD269" s="255">
        <f>+Reactivos_[[#This Row],[Cantidad SPA]]*Reactivos_[[#This Row],[Valor de referencia]]</f>
        <v>0</v>
      </c>
      <c r="AE269" s="148" t="s">
        <v>76</v>
      </c>
      <c r="AF269" s="148" t="s">
        <v>77</v>
      </c>
    </row>
    <row r="270" spans="1:32" ht="38.25" x14ac:dyDescent="0.25">
      <c r="A270" s="294" t="str">
        <f>IF(B270=Reactivos_[[#This Row],[Cantidad LANIP]],"LANIP",IF(B270=Reactivos_[[#This Row],[Cantidad 
LDV]],"LDV",IF(B270=Reactivos_[[#This Row],[Cantidad LNDV]],"LNDV",IF(B270=Reactivos_[[#This Row],[GGCA]],"GGCA",IF(B270=Reactivos_[[#This Row],[Cantidad LDF]],"LDF",IF(Reactivos_[[#This Row],[Cantidad LDF&amp;MR]],"LDF&amp;MR",IF(B270=Reactivos_[[#This Row],[Cantidad RED LASE]],"LASE",IF(B270=Reactivos_[[#This Row],[Cantidad LANIA]],"LANIA",IF(B270=Reactivos_[[#This Row],[Cantidad SPA]],"SPA"," ")))))))))</f>
        <v>LDV</v>
      </c>
      <c r="B27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70" s="325">
        <v>268</v>
      </c>
      <c r="D270" s="326">
        <v>344</v>
      </c>
      <c r="E270" s="331" t="s">
        <v>795</v>
      </c>
      <c r="F270" s="332" t="s">
        <v>796</v>
      </c>
      <c r="G270" s="331" t="s">
        <v>797</v>
      </c>
      <c r="H270" s="348" t="s">
        <v>798</v>
      </c>
      <c r="I270" s="329" t="s">
        <v>259</v>
      </c>
      <c r="J27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70" s="160">
        <v>300895</v>
      </c>
      <c r="L270" s="160">
        <f>+Reactivos_[[#This Row],[Cantidad]]*Reactivos_[[#This Row],[Valor de referencia]]</f>
        <v>902685</v>
      </c>
      <c r="M270" s="254">
        <v>0</v>
      </c>
      <c r="N270" s="255">
        <f>+Reactivos_[[#This Row],[Valor de referencia]]*Reactivos_[[#This Row],[Cantidad LANIP]]</f>
        <v>0</v>
      </c>
      <c r="O270" s="256">
        <v>1</v>
      </c>
      <c r="P270" s="255">
        <f>+Reactivos_[[#This Row],[Cantidad 
LDV]]*Reactivos_[[#This Row],[Valor de referencia]]</f>
        <v>300895</v>
      </c>
      <c r="Q270" s="257">
        <v>1</v>
      </c>
      <c r="R270" s="255">
        <f>+Reactivos_[[#This Row],[Cantidad LNDV]]*Reactivos_[[#This Row],[Valor de referencia]]</f>
        <v>300895</v>
      </c>
      <c r="S270" s="148"/>
      <c r="T270" s="255">
        <f>+Reactivos_[[#This Row],[GGCA]]*Reactivos_[[#This Row],[Valor de referencia]]</f>
        <v>0</v>
      </c>
      <c r="U270" s="254"/>
      <c r="V270" s="255">
        <f>+Reactivos_[[#This Row],[Cantidad LDF]]*Reactivos_[[#This Row],[Valor de referencia]]</f>
        <v>0</v>
      </c>
      <c r="W270" s="254">
        <v>1</v>
      </c>
      <c r="X270" s="255">
        <f>+Reactivos_[[#This Row],[Cantidad LDF&amp;MR]]*Reactivos_[[#This Row],[Valor de referencia]]</f>
        <v>300895</v>
      </c>
      <c r="Y270" s="254"/>
      <c r="Z270" s="255">
        <f>+Reactivos_[[#This Row],[Cantidad RED LASE]]*Reactivos_[[#This Row],[Valor de referencia]]</f>
        <v>0</v>
      </c>
      <c r="AA270" s="254"/>
      <c r="AB270" s="255">
        <f>+Reactivos_[[#This Row],[Cantidad LANIA]]*Reactivos_[[#This Row],[Valor de referencia]]</f>
        <v>0</v>
      </c>
      <c r="AC270" s="254"/>
      <c r="AD270" s="255">
        <f>+Reactivos_[[#This Row],[Cantidad SPA]]*Reactivos_[[#This Row],[Valor de referencia]]</f>
        <v>0</v>
      </c>
      <c r="AE270" s="148" t="s">
        <v>76</v>
      </c>
      <c r="AF270" s="148" t="s">
        <v>77</v>
      </c>
    </row>
    <row r="271" spans="1:32" ht="18" customHeight="1" x14ac:dyDescent="0.25">
      <c r="A271" s="294" t="str">
        <f>IF(B271=Reactivos_[[#This Row],[Cantidad LANIP]],"LANIP",IF(B271=Reactivos_[[#This Row],[Cantidad 
LDV]],"LDV",IF(B271=Reactivos_[[#This Row],[Cantidad LNDV]],"LNDV",IF(B271=Reactivos_[[#This Row],[GGCA]],"GGCA",IF(B271=Reactivos_[[#This Row],[Cantidad LDF]],"LDF",IF(Reactivos_[[#This Row],[Cantidad LDF&amp;MR]],"LDF&amp;MR",IF(B271=Reactivos_[[#This Row],[Cantidad RED LASE]],"LASE",IF(B271=Reactivos_[[#This Row],[Cantidad LANIA]],"LANIA",IF(B271=Reactivos_[[#This Row],[Cantidad SPA]],"SPA"," ")))))))))</f>
        <v>LNDV</v>
      </c>
      <c r="B27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71" s="325">
        <v>269</v>
      </c>
      <c r="D271" s="326">
        <v>345</v>
      </c>
      <c r="E271" s="245" t="s">
        <v>799</v>
      </c>
      <c r="F271" s="244" t="s">
        <v>800</v>
      </c>
      <c r="G271" s="245"/>
      <c r="H271" s="346" t="s">
        <v>801</v>
      </c>
      <c r="I271" s="336" t="s">
        <v>802</v>
      </c>
      <c r="J27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271" s="160">
        <v>203176</v>
      </c>
      <c r="L271" s="160">
        <f>+Reactivos_[[#This Row],[Cantidad]]*Reactivos_[[#This Row],[Valor de referencia]]</f>
        <v>812704</v>
      </c>
      <c r="M271" s="254">
        <v>0</v>
      </c>
      <c r="N271" s="255">
        <f>+Reactivos_[[#This Row],[Valor de referencia]]*Reactivos_[[#This Row],[Cantidad LANIP]]</f>
        <v>0</v>
      </c>
      <c r="O271" s="256"/>
      <c r="P271" s="255">
        <f>+Reactivos_[[#This Row],[Cantidad 
LDV]]*Reactivos_[[#This Row],[Valor de referencia]]</f>
        <v>0</v>
      </c>
      <c r="Q271" s="257">
        <v>2</v>
      </c>
      <c r="R271" s="255">
        <f>+Reactivos_[[#This Row],[Cantidad LNDV]]*Reactivos_[[#This Row],[Valor de referencia]]</f>
        <v>406352</v>
      </c>
      <c r="S271" s="148"/>
      <c r="T271" s="255">
        <f>+Reactivos_[[#This Row],[GGCA]]*Reactivos_[[#This Row],[Valor de referencia]]</f>
        <v>0</v>
      </c>
      <c r="U271" s="254">
        <v>2</v>
      </c>
      <c r="V271" s="255">
        <f>+Reactivos_[[#This Row],[Cantidad LDF]]*Reactivos_[[#This Row],[Valor de referencia]]</f>
        <v>406352</v>
      </c>
      <c r="W271" s="254"/>
      <c r="X271" s="255">
        <f>+Reactivos_[[#This Row],[Cantidad LDF&amp;MR]]*Reactivos_[[#This Row],[Valor de referencia]]</f>
        <v>0</v>
      </c>
      <c r="Y271" s="254"/>
      <c r="Z271" s="255">
        <f>+Reactivos_[[#This Row],[Cantidad RED LASE]]*Reactivos_[[#This Row],[Valor de referencia]]</f>
        <v>0</v>
      </c>
      <c r="AA271" s="254"/>
      <c r="AB271" s="255">
        <f>+Reactivos_[[#This Row],[Cantidad LANIA]]*Reactivos_[[#This Row],[Valor de referencia]]</f>
        <v>0</v>
      </c>
      <c r="AC271" s="254"/>
      <c r="AD271" s="255">
        <f>+Reactivos_[[#This Row],[Cantidad SPA]]*Reactivos_[[#This Row],[Valor de referencia]]</f>
        <v>0</v>
      </c>
      <c r="AE271" s="148" t="s">
        <v>76</v>
      </c>
      <c r="AF271" s="148" t="s">
        <v>77</v>
      </c>
    </row>
    <row r="272" spans="1:32" ht="30.75" customHeight="1" x14ac:dyDescent="0.25">
      <c r="A272" s="294" t="str">
        <f>IF(B272=Reactivos_[[#This Row],[Cantidad LANIP]],"LANIP",IF(B272=Reactivos_[[#This Row],[Cantidad 
LDV]],"LDV",IF(B272=Reactivos_[[#This Row],[Cantidad LNDV]],"LNDV",IF(B272=Reactivos_[[#This Row],[GGCA]],"GGCA",IF(B272=Reactivos_[[#This Row],[Cantidad LDF]],"LDF",IF(Reactivos_[[#This Row],[Cantidad LDF&amp;MR]],"LDF&amp;MR",IF(B272=Reactivos_[[#This Row],[Cantidad RED LASE]],"LASE",IF(B272=Reactivos_[[#This Row],[Cantidad LANIA]],"LANIA",IF(B272=Reactivos_[[#This Row],[Cantidad SPA]],"SPA"," ")))))))))</f>
        <v>LDV</v>
      </c>
      <c r="B27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72" s="325">
        <v>270</v>
      </c>
      <c r="D272" s="326">
        <v>346</v>
      </c>
      <c r="E272" s="331" t="s">
        <v>803</v>
      </c>
      <c r="F272" s="332" t="s">
        <v>804</v>
      </c>
      <c r="G272" s="331" t="s">
        <v>805</v>
      </c>
      <c r="H272" s="342" t="s">
        <v>806</v>
      </c>
      <c r="I272" s="329" t="s">
        <v>162</v>
      </c>
      <c r="J27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72" s="160">
        <v>721304</v>
      </c>
      <c r="L272" s="160">
        <f>+Reactivos_[[#This Row],[Cantidad]]*Reactivos_[[#This Row],[Valor de referencia]]</f>
        <v>1442608</v>
      </c>
      <c r="M272" s="254">
        <v>0</v>
      </c>
      <c r="N272" s="255">
        <f>+Reactivos_[[#This Row],[Valor de referencia]]*Reactivos_[[#This Row],[Cantidad LANIP]]</f>
        <v>0</v>
      </c>
      <c r="O272" s="256">
        <v>1</v>
      </c>
      <c r="P272" s="255">
        <f>+Reactivos_[[#This Row],[Cantidad 
LDV]]*Reactivos_[[#This Row],[Valor de referencia]]</f>
        <v>721304</v>
      </c>
      <c r="Q272" s="257">
        <v>1</v>
      </c>
      <c r="R272" s="255">
        <f>+Reactivos_[[#This Row],[Cantidad LNDV]]*Reactivos_[[#This Row],[Valor de referencia]]</f>
        <v>721304</v>
      </c>
      <c r="S272" s="148"/>
      <c r="T272" s="255">
        <f>+Reactivos_[[#This Row],[GGCA]]*Reactivos_[[#This Row],[Valor de referencia]]</f>
        <v>0</v>
      </c>
      <c r="U272" s="254"/>
      <c r="V272" s="255">
        <f>+Reactivos_[[#This Row],[Cantidad LDF]]*Reactivos_[[#This Row],[Valor de referencia]]</f>
        <v>0</v>
      </c>
      <c r="W272" s="254"/>
      <c r="X272" s="255">
        <f>+Reactivos_[[#This Row],[Cantidad LDF&amp;MR]]*Reactivos_[[#This Row],[Valor de referencia]]</f>
        <v>0</v>
      </c>
      <c r="Y272" s="254"/>
      <c r="Z272" s="255">
        <f>+Reactivos_[[#This Row],[Cantidad RED LASE]]*Reactivos_[[#This Row],[Valor de referencia]]</f>
        <v>0</v>
      </c>
      <c r="AA272" s="254"/>
      <c r="AB272" s="255">
        <f>+Reactivos_[[#This Row],[Cantidad LANIA]]*Reactivos_[[#This Row],[Valor de referencia]]</f>
        <v>0</v>
      </c>
      <c r="AC272" s="254"/>
      <c r="AD272" s="255">
        <f>+Reactivos_[[#This Row],[Cantidad SPA]]*Reactivos_[[#This Row],[Valor de referencia]]</f>
        <v>0</v>
      </c>
      <c r="AE272" s="148" t="s">
        <v>76</v>
      </c>
      <c r="AF272" s="148" t="s">
        <v>77</v>
      </c>
    </row>
    <row r="273" spans="1:32" ht="22.5" customHeight="1" x14ac:dyDescent="0.25">
      <c r="A273" s="294" t="str">
        <f>IF(B273=Reactivos_[[#This Row],[Cantidad LANIP]],"LANIP",IF(B273=Reactivos_[[#This Row],[Cantidad 
LDV]],"LDV",IF(B273=Reactivos_[[#This Row],[Cantidad LNDV]],"LNDV",IF(B273=Reactivos_[[#This Row],[GGCA]],"GGCA",IF(B273=Reactivos_[[#This Row],[Cantidad LDF]],"LDF",IF(Reactivos_[[#This Row],[Cantidad LDF&amp;MR]],"LDF&amp;MR",IF(B273=Reactivos_[[#This Row],[Cantidad RED LASE]],"LASE",IF(B273=Reactivos_[[#This Row],[Cantidad LANIA]],"LANIA",IF(B273=Reactivos_[[#This Row],[Cantidad SPA]],"SPA"," ")))))))))</f>
        <v>LANIA</v>
      </c>
      <c r="B27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273" s="325">
        <v>271</v>
      </c>
      <c r="D273" s="326">
        <v>347</v>
      </c>
      <c r="E273" s="245" t="s">
        <v>807</v>
      </c>
      <c r="F273" s="244"/>
      <c r="G273" s="245"/>
      <c r="H273" s="346" t="s">
        <v>808</v>
      </c>
      <c r="I273" s="353" t="s">
        <v>809</v>
      </c>
      <c r="J27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73" s="160">
        <v>2618000</v>
      </c>
      <c r="L273" s="160">
        <f>+Reactivos_[[#This Row],[Cantidad]]*Reactivos_[[#This Row],[Valor de referencia]]</f>
        <v>7854000</v>
      </c>
      <c r="M273" s="254">
        <v>0</v>
      </c>
      <c r="N273" s="255">
        <f>+Reactivos_[[#This Row],[Valor de referencia]]*Reactivos_[[#This Row],[Cantidad LANIP]]</f>
        <v>0</v>
      </c>
      <c r="O273" s="256"/>
      <c r="P273" s="255">
        <f>+Reactivos_[[#This Row],[Cantidad 
LDV]]*Reactivos_[[#This Row],[Valor de referencia]]</f>
        <v>0</v>
      </c>
      <c r="Q273" s="257"/>
      <c r="R273" s="255">
        <f>+Reactivos_[[#This Row],[Cantidad LNDV]]*Reactivos_[[#This Row],[Valor de referencia]]</f>
        <v>0</v>
      </c>
      <c r="S273" s="148"/>
      <c r="T273" s="255">
        <f>+Reactivos_[[#This Row],[GGCA]]*Reactivos_[[#This Row],[Valor de referencia]]</f>
        <v>0</v>
      </c>
      <c r="U273" s="254"/>
      <c r="V273" s="255">
        <f>+Reactivos_[[#This Row],[Cantidad LDF]]*Reactivos_[[#This Row],[Valor de referencia]]</f>
        <v>0</v>
      </c>
      <c r="W273" s="254"/>
      <c r="X273" s="255">
        <f>+Reactivos_[[#This Row],[Cantidad LDF&amp;MR]]*Reactivos_[[#This Row],[Valor de referencia]]</f>
        <v>0</v>
      </c>
      <c r="Y273" s="254"/>
      <c r="Z273" s="255">
        <f>+Reactivos_[[#This Row],[Cantidad RED LASE]]*Reactivos_[[#This Row],[Valor de referencia]]</f>
        <v>0</v>
      </c>
      <c r="AA273" s="254">
        <v>3</v>
      </c>
      <c r="AB273" s="255">
        <f>+Reactivos_[[#This Row],[Cantidad LANIA]]*Reactivos_[[#This Row],[Valor de referencia]]</f>
        <v>7854000</v>
      </c>
      <c r="AC273" s="254"/>
      <c r="AD273" s="255">
        <f>+Reactivos_[[#This Row],[Cantidad SPA]]*Reactivos_[[#This Row],[Valor de referencia]]</f>
        <v>0</v>
      </c>
      <c r="AE273" s="148" t="s">
        <v>76</v>
      </c>
      <c r="AF273" s="148" t="s">
        <v>77</v>
      </c>
    </row>
    <row r="274" spans="1:32" ht="38.25" x14ac:dyDescent="0.25">
      <c r="A274" s="294" t="str">
        <f>IF(B274=Reactivos_[[#This Row],[Cantidad LANIP]],"LANIP",IF(B274=Reactivos_[[#This Row],[Cantidad 
LDV]],"LDV",IF(B274=Reactivos_[[#This Row],[Cantidad LNDV]],"LNDV",IF(B274=Reactivos_[[#This Row],[GGCA]],"GGCA",IF(B274=Reactivos_[[#This Row],[Cantidad LDF]],"LDF",IF(Reactivos_[[#This Row],[Cantidad LDF&amp;MR]],"LDF&amp;MR",IF(B274=Reactivos_[[#This Row],[Cantidad RED LASE]],"LASE",IF(B274=Reactivos_[[#This Row],[Cantidad LANIA]],"LANIA",IF(B274=Reactivos_[[#This Row],[Cantidad SPA]],"SPA"," ")))))))))</f>
        <v>LDF</v>
      </c>
      <c r="B27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274" s="325">
        <v>272</v>
      </c>
      <c r="D274" s="326">
        <v>348</v>
      </c>
      <c r="E274" s="245" t="s">
        <v>810</v>
      </c>
      <c r="F274" s="244" t="s">
        <v>811</v>
      </c>
      <c r="G274" s="245"/>
      <c r="H274" s="349" t="s">
        <v>812</v>
      </c>
      <c r="I274" s="416" t="s">
        <v>813</v>
      </c>
      <c r="J27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9</v>
      </c>
      <c r="K274" s="160">
        <v>401625</v>
      </c>
      <c r="L274" s="160">
        <f>+Reactivos_[[#This Row],[Cantidad]]*Reactivos_[[#This Row],[Valor de referencia]]</f>
        <v>3614625</v>
      </c>
      <c r="M274" s="254">
        <v>0</v>
      </c>
      <c r="N274" s="255">
        <f>+Reactivos_[[#This Row],[Valor de referencia]]*Reactivos_[[#This Row],[Cantidad LANIP]]</f>
        <v>0</v>
      </c>
      <c r="O274" s="256"/>
      <c r="P274" s="255">
        <f>+Reactivos_[[#This Row],[Cantidad 
LDV]]*Reactivos_[[#This Row],[Valor de referencia]]</f>
        <v>0</v>
      </c>
      <c r="Q274" s="257"/>
      <c r="R274" s="255">
        <f>+Reactivos_[[#This Row],[Cantidad LNDV]]*Reactivos_[[#This Row],[Valor de referencia]]</f>
        <v>0</v>
      </c>
      <c r="S274" s="148"/>
      <c r="T274" s="255">
        <f>+Reactivos_[[#This Row],[GGCA]]*Reactivos_[[#This Row],[Valor de referencia]]</f>
        <v>0</v>
      </c>
      <c r="U274" s="254">
        <v>6</v>
      </c>
      <c r="V274" s="255">
        <f>+Reactivos_[[#This Row],[Cantidad LDF]]*Reactivos_[[#This Row],[Valor de referencia]]</f>
        <v>2409750</v>
      </c>
      <c r="W274" s="254">
        <v>2</v>
      </c>
      <c r="X274" s="255">
        <f>+Reactivos_[[#This Row],[Cantidad LDF&amp;MR]]*Reactivos_[[#This Row],[Valor de referencia]]</f>
        <v>803250</v>
      </c>
      <c r="Y274" s="254"/>
      <c r="Z274" s="255">
        <f>+Reactivos_[[#This Row],[Cantidad RED LASE]]*Reactivos_[[#This Row],[Valor de referencia]]</f>
        <v>0</v>
      </c>
      <c r="AA274" s="254">
        <v>1</v>
      </c>
      <c r="AB274" s="255">
        <f>+Reactivos_[[#This Row],[Cantidad LANIA]]*Reactivos_[[#This Row],[Valor de referencia]]</f>
        <v>401625</v>
      </c>
      <c r="AC274" s="254"/>
      <c r="AD274" s="255">
        <f>+Reactivos_[[#This Row],[Cantidad SPA]]*Reactivos_[[#This Row],[Valor de referencia]]</f>
        <v>0</v>
      </c>
      <c r="AE274" s="148" t="s">
        <v>76</v>
      </c>
      <c r="AF274" s="148" t="s">
        <v>77</v>
      </c>
    </row>
    <row r="275" spans="1:32" ht="42.75" customHeight="1" x14ac:dyDescent="0.25">
      <c r="A275" s="294" t="str">
        <f>IF(B275=Reactivos_[[#This Row],[Cantidad LANIP]],"LANIP",IF(B275=Reactivos_[[#This Row],[Cantidad 
LDV]],"LDV",IF(B275=Reactivos_[[#This Row],[Cantidad LNDV]],"LNDV",IF(B275=Reactivos_[[#This Row],[GGCA]],"GGCA",IF(B275=Reactivos_[[#This Row],[Cantidad LDF]],"LDF",IF(Reactivos_[[#This Row],[Cantidad LDF&amp;MR]],"LDF&amp;MR",IF(B275=Reactivos_[[#This Row],[Cantidad RED LASE]],"LASE",IF(B275=Reactivos_[[#This Row],[Cantidad LANIA]],"LANIA",IF(B275=Reactivos_[[#This Row],[Cantidad SPA]],"SPA"," ")))))))))</f>
        <v>LANIP</v>
      </c>
      <c r="B27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75" s="325">
        <v>273</v>
      </c>
      <c r="D275" s="326">
        <v>350</v>
      </c>
      <c r="E275" s="331" t="s">
        <v>814</v>
      </c>
      <c r="F275" s="332" t="s">
        <v>811</v>
      </c>
      <c r="G275" s="331"/>
      <c r="H275" s="348" t="s">
        <v>815</v>
      </c>
      <c r="I275" s="329" t="s">
        <v>217</v>
      </c>
      <c r="J27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275" s="160">
        <v>1488782</v>
      </c>
      <c r="L275" s="160">
        <f>+Reactivos_[[#This Row],[Cantidad]]*Reactivos_[[#This Row],[Valor de referencia]]</f>
        <v>4466346</v>
      </c>
      <c r="M275" s="254">
        <v>1</v>
      </c>
      <c r="N275" s="255">
        <f>+Reactivos_[[#This Row],[Valor de referencia]]*Reactivos_[[#This Row],[Cantidad LANIP]]</f>
        <v>1488782</v>
      </c>
      <c r="O275" s="256"/>
      <c r="P275" s="255">
        <f>+Reactivos_[[#This Row],[Cantidad 
LDV]]*Reactivos_[[#This Row],[Valor de referencia]]</f>
        <v>0</v>
      </c>
      <c r="Q275" s="257"/>
      <c r="R275" s="255">
        <f>+Reactivos_[[#This Row],[Cantidad LNDV]]*Reactivos_[[#This Row],[Valor de referencia]]</f>
        <v>0</v>
      </c>
      <c r="S275" s="148"/>
      <c r="T275" s="255">
        <f>+Reactivos_[[#This Row],[GGCA]]*Reactivos_[[#This Row],[Valor de referencia]]</f>
        <v>0</v>
      </c>
      <c r="U275" s="254">
        <v>1</v>
      </c>
      <c r="V275" s="255">
        <f>+Reactivos_[[#This Row],[Cantidad LDF]]*Reactivos_[[#This Row],[Valor de referencia]]</f>
        <v>1488782</v>
      </c>
      <c r="W275" s="254">
        <v>1</v>
      </c>
      <c r="X275" s="255">
        <f>+Reactivos_[[#This Row],[Cantidad LDF&amp;MR]]*Reactivos_[[#This Row],[Valor de referencia]]</f>
        <v>1488782</v>
      </c>
      <c r="Y275" s="254"/>
      <c r="Z275" s="255">
        <f>+Reactivos_[[#This Row],[Cantidad RED LASE]]*Reactivos_[[#This Row],[Valor de referencia]]</f>
        <v>0</v>
      </c>
      <c r="AA275" s="254"/>
      <c r="AB275" s="255">
        <f>+Reactivos_[[#This Row],[Cantidad LANIA]]*Reactivos_[[#This Row],[Valor de referencia]]</f>
        <v>0</v>
      </c>
      <c r="AC275" s="254"/>
      <c r="AD275" s="255">
        <f>+Reactivos_[[#This Row],[Cantidad SPA]]*Reactivos_[[#This Row],[Valor de referencia]]</f>
        <v>0</v>
      </c>
      <c r="AE275" s="148" t="s">
        <v>76</v>
      </c>
      <c r="AF275" s="148" t="s">
        <v>77</v>
      </c>
    </row>
    <row r="276" spans="1:32" ht="25.5" x14ac:dyDescent="0.25">
      <c r="A276" s="294" t="str">
        <f>IF(B276=Reactivos_[[#This Row],[Cantidad LANIP]],"LANIP",IF(B276=Reactivos_[[#This Row],[Cantidad 
LDV]],"LDV",IF(B276=Reactivos_[[#This Row],[Cantidad LNDV]],"LNDV",IF(B276=Reactivos_[[#This Row],[GGCA]],"GGCA",IF(B276=Reactivos_[[#This Row],[Cantidad LDF]],"LDF",IF(Reactivos_[[#This Row],[Cantidad LDF&amp;MR]],"LDF&amp;MR",IF(B276=Reactivos_[[#This Row],[Cantidad RED LASE]],"LASE",IF(B276=Reactivos_[[#This Row],[Cantidad LANIA]],"LANIA",IF(B276=Reactivos_[[#This Row],[Cantidad SPA]],"SPA"," ")))))))))</f>
        <v>LANIP</v>
      </c>
      <c r="B27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276" s="325">
        <v>274</v>
      </c>
      <c r="D276" s="326">
        <v>352</v>
      </c>
      <c r="E276" s="331" t="s">
        <v>816</v>
      </c>
      <c r="F276" s="332"/>
      <c r="G276" s="331"/>
      <c r="H276" s="346" t="s">
        <v>817</v>
      </c>
      <c r="I276" s="410" t="s">
        <v>818</v>
      </c>
      <c r="J27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276" s="160">
        <v>914793</v>
      </c>
      <c r="L276" s="160">
        <f>+Reactivos_[[#This Row],[Cantidad]]*Reactivos_[[#This Row],[Valor de referencia]]</f>
        <v>4573965</v>
      </c>
      <c r="M276" s="254">
        <v>3</v>
      </c>
      <c r="N276" s="255">
        <f>+Reactivos_[[#This Row],[Valor de referencia]]*Reactivos_[[#This Row],[Cantidad LANIP]]</f>
        <v>2744379</v>
      </c>
      <c r="O276" s="256"/>
      <c r="P276" s="255">
        <f>+Reactivos_[[#This Row],[Cantidad 
LDV]]*Reactivos_[[#This Row],[Valor de referencia]]</f>
        <v>0</v>
      </c>
      <c r="Q276" s="257"/>
      <c r="R276" s="255">
        <f>+Reactivos_[[#This Row],[Cantidad LNDV]]*Reactivos_[[#This Row],[Valor de referencia]]</f>
        <v>0</v>
      </c>
      <c r="S276" s="148"/>
      <c r="T276" s="255">
        <f>+Reactivos_[[#This Row],[GGCA]]*Reactivos_[[#This Row],[Valor de referencia]]</f>
        <v>0</v>
      </c>
      <c r="U276" s="254">
        <v>2</v>
      </c>
      <c r="V276" s="255">
        <f>+Reactivos_[[#This Row],[Cantidad LDF]]*Reactivos_[[#This Row],[Valor de referencia]]</f>
        <v>1829586</v>
      </c>
      <c r="W276" s="254"/>
      <c r="X276" s="255">
        <f>+Reactivos_[[#This Row],[Cantidad LDF&amp;MR]]*Reactivos_[[#This Row],[Valor de referencia]]</f>
        <v>0</v>
      </c>
      <c r="Y276" s="254"/>
      <c r="Z276" s="255">
        <f>+Reactivos_[[#This Row],[Cantidad RED LASE]]*Reactivos_[[#This Row],[Valor de referencia]]</f>
        <v>0</v>
      </c>
      <c r="AA276" s="254"/>
      <c r="AB276" s="255">
        <f>+Reactivos_[[#This Row],[Cantidad LANIA]]*Reactivos_[[#This Row],[Valor de referencia]]</f>
        <v>0</v>
      </c>
      <c r="AC276" s="254"/>
      <c r="AD276" s="255">
        <f>+Reactivos_[[#This Row],[Cantidad SPA]]*Reactivos_[[#This Row],[Valor de referencia]]</f>
        <v>0</v>
      </c>
      <c r="AE276" s="148" t="s">
        <v>76</v>
      </c>
      <c r="AF276" s="148" t="s">
        <v>77</v>
      </c>
    </row>
    <row r="277" spans="1:32" ht="33.75" customHeight="1" x14ac:dyDescent="0.25">
      <c r="A277" s="294" t="str">
        <f>IF(B277=Reactivos_[[#This Row],[Cantidad LANIP]],"LANIP",IF(B277=Reactivos_[[#This Row],[Cantidad 
LDV]],"LDV",IF(B277=Reactivos_[[#This Row],[Cantidad LNDV]],"LNDV",IF(B277=Reactivos_[[#This Row],[GGCA]],"GGCA",IF(B277=Reactivos_[[#This Row],[Cantidad LDF]],"LDF",IF(Reactivos_[[#This Row],[Cantidad LDF&amp;MR]],"LDF&amp;MR",IF(B277=Reactivos_[[#This Row],[Cantidad RED LASE]],"LASE",IF(B277=Reactivos_[[#This Row],[Cantidad LANIA]],"LANIA",IF(B277=Reactivos_[[#This Row],[Cantidad SPA]],"SPA"," ")))))))))</f>
        <v>LDV</v>
      </c>
      <c r="B27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277" s="325">
        <v>275</v>
      </c>
      <c r="D277" s="326">
        <v>353</v>
      </c>
      <c r="E277" s="245" t="s">
        <v>819</v>
      </c>
      <c r="F277" s="244"/>
      <c r="G277" s="245"/>
      <c r="H277" s="335" t="s">
        <v>820</v>
      </c>
      <c r="I277" s="336" t="s">
        <v>821</v>
      </c>
      <c r="J27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277" s="160">
        <v>20000000</v>
      </c>
      <c r="L277" s="160">
        <f>+Reactivos_[[#This Row],[Cantidad]]*Reactivos_[[#This Row],[Valor de referencia]]</f>
        <v>120000000</v>
      </c>
      <c r="M277" s="254">
        <v>0</v>
      </c>
      <c r="N277" s="255">
        <f>+Reactivos_[[#This Row],[Valor de referencia]]*Reactivos_[[#This Row],[Cantidad LANIP]]</f>
        <v>0</v>
      </c>
      <c r="O277" s="256">
        <v>4</v>
      </c>
      <c r="P277" s="255">
        <f>+Reactivos_[[#This Row],[Cantidad 
LDV]]*Reactivos_[[#This Row],[Valor de referencia]]</f>
        <v>80000000</v>
      </c>
      <c r="Q277" s="257">
        <v>2</v>
      </c>
      <c r="R277" s="255">
        <f>+Reactivos_[[#This Row],[Cantidad LNDV]]*Reactivos_[[#This Row],[Valor de referencia]]</f>
        <v>40000000</v>
      </c>
      <c r="S277" s="148"/>
      <c r="T277" s="255">
        <f>+Reactivos_[[#This Row],[GGCA]]*Reactivos_[[#This Row],[Valor de referencia]]</f>
        <v>0</v>
      </c>
      <c r="U277" s="254"/>
      <c r="V277" s="255">
        <f>+Reactivos_[[#This Row],[Cantidad LDF]]*Reactivos_[[#This Row],[Valor de referencia]]</f>
        <v>0</v>
      </c>
      <c r="W277" s="254"/>
      <c r="X277" s="255">
        <f>+Reactivos_[[#This Row],[Cantidad LDF&amp;MR]]*Reactivos_[[#This Row],[Valor de referencia]]</f>
        <v>0</v>
      </c>
      <c r="Y277" s="254"/>
      <c r="Z277" s="255">
        <f>+Reactivos_[[#This Row],[Cantidad RED LASE]]*Reactivos_[[#This Row],[Valor de referencia]]</f>
        <v>0</v>
      </c>
      <c r="AA277" s="254"/>
      <c r="AB277" s="255">
        <f>+Reactivos_[[#This Row],[Cantidad LANIA]]*Reactivos_[[#This Row],[Valor de referencia]]</f>
        <v>0</v>
      </c>
      <c r="AC277" s="254"/>
      <c r="AD277" s="255">
        <f>+Reactivos_[[#This Row],[Cantidad SPA]]*Reactivos_[[#This Row],[Valor de referencia]]</f>
        <v>0</v>
      </c>
      <c r="AE277" s="148" t="s">
        <v>76</v>
      </c>
      <c r="AF277" s="148" t="s">
        <v>77</v>
      </c>
    </row>
    <row r="278" spans="1:32" ht="33.75" customHeight="1" x14ac:dyDescent="0.25">
      <c r="A278" s="294" t="str">
        <f>IF(B278=Reactivos_[[#This Row],[Cantidad LANIP]],"LANIP",IF(B278=Reactivos_[[#This Row],[Cantidad 
LDV]],"LDV",IF(B278=Reactivos_[[#This Row],[Cantidad LNDV]],"LNDV",IF(B278=Reactivos_[[#This Row],[GGCA]],"GGCA",IF(B278=Reactivos_[[#This Row],[Cantidad LDF]],"LDF",IF(Reactivos_[[#This Row],[Cantidad LDF&amp;MR]],"LDF&amp;MR",IF(B278=Reactivos_[[#This Row],[Cantidad RED LASE]],"LASE",IF(B278=Reactivos_[[#This Row],[Cantidad LANIA]],"LANIA",IF(B278=Reactivos_[[#This Row],[Cantidad SPA]],"SPA"," ")))))))))</f>
        <v>LDV</v>
      </c>
      <c r="B27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78" s="325">
        <v>276</v>
      </c>
      <c r="D278" s="326">
        <v>355</v>
      </c>
      <c r="E278" s="327" t="s">
        <v>822</v>
      </c>
      <c r="F278" s="244"/>
      <c r="G278" s="327"/>
      <c r="H278" s="328" t="s">
        <v>388</v>
      </c>
      <c r="I278" s="347" t="s">
        <v>823</v>
      </c>
      <c r="J27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278" s="160">
        <v>5068547</v>
      </c>
      <c r="L278" s="160">
        <f>+Reactivos_[[#This Row],[Cantidad]]*Reactivos_[[#This Row],[Valor de referencia]]</f>
        <v>20274188</v>
      </c>
      <c r="M278" s="254">
        <v>0</v>
      </c>
      <c r="N278" s="255">
        <f>+Reactivos_[[#This Row],[Valor de referencia]]*Reactivos_[[#This Row],[Cantidad LANIP]]</f>
        <v>0</v>
      </c>
      <c r="O278" s="256">
        <v>2</v>
      </c>
      <c r="P278" s="255">
        <f>+Reactivos_[[#This Row],[Cantidad 
LDV]]*Reactivos_[[#This Row],[Valor de referencia]]</f>
        <v>10137094</v>
      </c>
      <c r="Q278" s="257">
        <v>2</v>
      </c>
      <c r="R278" s="255">
        <f>+Reactivos_[[#This Row],[Cantidad LNDV]]*Reactivos_[[#This Row],[Valor de referencia]]</f>
        <v>10137094</v>
      </c>
      <c r="S278" s="148"/>
      <c r="T278" s="255">
        <f>+Reactivos_[[#This Row],[GGCA]]*Reactivos_[[#This Row],[Valor de referencia]]</f>
        <v>0</v>
      </c>
      <c r="U278" s="254"/>
      <c r="V278" s="255">
        <f>+Reactivos_[[#This Row],[Cantidad LDF]]*Reactivos_[[#This Row],[Valor de referencia]]</f>
        <v>0</v>
      </c>
      <c r="W278" s="254"/>
      <c r="X278" s="255">
        <f>+Reactivos_[[#This Row],[Cantidad LDF&amp;MR]]*Reactivos_[[#This Row],[Valor de referencia]]</f>
        <v>0</v>
      </c>
      <c r="Y278" s="254"/>
      <c r="Z278" s="255">
        <f>+Reactivos_[[#This Row],[Cantidad RED LASE]]*Reactivos_[[#This Row],[Valor de referencia]]</f>
        <v>0</v>
      </c>
      <c r="AA278" s="254"/>
      <c r="AB278" s="255">
        <f>+Reactivos_[[#This Row],[Cantidad LANIA]]*Reactivos_[[#This Row],[Valor de referencia]]</f>
        <v>0</v>
      </c>
      <c r="AC278" s="254"/>
      <c r="AD278" s="255">
        <f>+Reactivos_[[#This Row],[Cantidad SPA]]*Reactivos_[[#This Row],[Valor de referencia]]</f>
        <v>0</v>
      </c>
      <c r="AE278" s="148" t="s">
        <v>76</v>
      </c>
      <c r="AF278" s="148" t="s">
        <v>77</v>
      </c>
    </row>
    <row r="279" spans="1:32" ht="25.5" x14ac:dyDescent="0.25">
      <c r="A279" s="294" t="str">
        <f>IF(B279=Reactivos_[[#This Row],[Cantidad LANIP]],"LANIP",IF(B279=Reactivos_[[#This Row],[Cantidad 
LDV]],"LDV",IF(B279=Reactivos_[[#This Row],[Cantidad LNDV]],"LNDV",IF(B279=Reactivos_[[#This Row],[GGCA]],"GGCA",IF(B279=Reactivos_[[#This Row],[Cantidad LDF]],"LDF",IF(Reactivos_[[#This Row],[Cantidad LDF&amp;MR]],"LDF&amp;MR",IF(B279=Reactivos_[[#This Row],[Cantidad RED LASE]],"LASE",IF(B279=Reactivos_[[#This Row],[Cantidad LANIA]],"LANIA",IF(B279=Reactivos_[[#This Row],[Cantidad SPA]],"SPA"," ")))))))))</f>
        <v>LANIP</v>
      </c>
      <c r="B27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279" s="325">
        <v>277</v>
      </c>
      <c r="D279" s="326">
        <v>356</v>
      </c>
      <c r="E279" s="327" t="s">
        <v>824</v>
      </c>
      <c r="F279" s="244"/>
      <c r="G279" s="327"/>
      <c r="H279" s="348" t="s">
        <v>825</v>
      </c>
      <c r="I279" s="329" t="s">
        <v>826</v>
      </c>
      <c r="J27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14</v>
      </c>
      <c r="K279" s="160">
        <v>349860</v>
      </c>
      <c r="L279" s="160">
        <f>+Reactivos_[[#This Row],[Cantidad]]*Reactivos_[[#This Row],[Valor de referencia]]</f>
        <v>4898040</v>
      </c>
      <c r="M279" s="254">
        <v>10</v>
      </c>
      <c r="N279" s="255">
        <f>+Reactivos_[[#This Row],[Valor de referencia]]*Reactivos_[[#This Row],[Cantidad LANIP]]</f>
        <v>3498600</v>
      </c>
      <c r="O279" s="256">
        <v>3</v>
      </c>
      <c r="P279" s="255">
        <f>+Reactivos_[[#This Row],[Cantidad 
LDV]]*Reactivos_[[#This Row],[Valor de referencia]]</f>
        <v>1049580</v>
      </c>
      <c r="Q279" s="257">
        <v>1</v>
      </c>
      <c r="R279" s="255">
        <f>+Reactivos_[[#This Row],[Cantidad LNDV]]*Reactivos_[[#This Row],[Valor de referencia]]</f>
        <v>349860</v>
      </c>
      <c r="S279" s="148"/>
      <c r="T279" s="255">
        <f>+Reactivos_[[#This Row],[GGCA]]*Reactivos_[[#This Row],[Valor de referencia]]</f>
        <v>0</v>
      </c>
      <c r="U279" s="254"/>
      <c r="V279" s="255">
        <f>+Reactivos_[[#This Row],[Cantidad LDF]]*Reactivos_[[#This Row],[Valor de referencia]]</f>
        <v>0</v>
      </c>
      <c r="W279" s="254"/>
      <c r="X279" s="255">
        <f>+Reactivos_[[#This Row],[Cantidad LDF&amp;MR]]*Reactivos_[[#This Row],[Valor de referencia]]</f>
        <v>0</v>
      </c>
      <c r="Y279" s="254"/>
      <c r="Z279" s="255">
        <f>+Reactivos_[[#This Row],[Cantidad RED LASE]]*Reactivos_[[#This Row],[Valor de referencia]]</f>
        <v>0</v>
      </c>
      <c r="AA279" s="254"/>
      <c r="AB279" s="255">
        <f>+Reactivos_[[#This Row],[Cantidad LANIA]]*Reactivos_[[#This Row],[Valor de referencia]]</f>
        <v>0</v>
      </c>
      <c r="AC279" s="254"/>
      <c r="AD279" s="255">
        <f>+Reactivos_[[#This Row],[Cantidad SPA]]*Reactivos_[[#This Row],[Valor de referencia]]</f>
        <v>0</v>
      </c>
      <c r="AE279" s="148" t="s">
        <v>76</v>
      </c>
      <c r="AF279" s="148" t="s">
        <v>77</v>
      </c>
    </row>
    <row r="280" spans="1:32" ht="33.75" customHeight="1" x14ac:dyDescent="0.25">
      <c r="A280" s="294" t="str">
        <f>IF(B280=Reactivos_[[#This Row],[Cantidad LANIP]],"LANIP",IF(B280=Reactivos_[[#This Row],[Cantidad 
LDV]],"LDV",IF(B280=Reactivos_[[#This Row],[Cantidad LNDV]],"LNDV",IF(B280=Reactivos_[[#This Row],[GGCA]],"GGCA",IF(B280=Reactivos_[[#This Row],[Cantidad LDF]],"LDF",IF(Reactivos_[[#This Row],[Cantidad LDF&amp;MR]],"LDF&amp;MR",IF(B280=Reactivos_[[#This Row],[Cantidad RED LASE]],"LASE",IF(B280=Reactivos_[[#This Row],[Cantidad LANIA]],"LANIA",IF(B280=Reactivos_[[#This Row],[Cantidad SPA]],"SPA"," ")))))))))</f>
        <v>LNDV</v>
      </c>
      <c r="B28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80" s="325">
        <v>278</v>
      </c>
      <c r="D280" s="326">
        <v>357</v>
      </c>
      <c r="E280" s="331" t="s">
        <v>827</v>
      </c>
      <c r="F280" s="351" t="s">
        <v>828</v>
      </c>
      <c r="G280" s="331"/>
      <c r="H280" s="348" t="s">
        <v>829</v>
      </c>
      <c r="I280" s="329" t="s">
        <v>107</v>
      </c>
      <c r="J28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280" s="160">
        <v>219574</v>
      </c>
      <c r="L280" s="160">
        <f>+Reactivos_[[#This Row],[Cantidad]]*Reactivos_[[#This Row],[Valor de referencia]]</f>
        <v>878296</v>
      </c>
      <c r="M280" s="254">
        <v>0</v>
      </c>
      <c r="N280" s="255">
        <f>+Reactivos_[[#This Row],[Valor de referencia]]*Reactivos_[[#This Row],[Cantidad LANIP]]</f>
        <v>0</v>
      </c>
      <c r="O280" s="256">
        <v>1</v>
      </c>
      <c r="P280" s="255">
        <f>+Reactivos_[[#This Row],[Cantidad 
LDV]]*Reactivos_[[#This Row],[Valor de referencia]]</f>
        <v>219574</v>
      </c>
      <c r="Q280" s="257">
        <v>2</v>
      </c>
      <c r="R280" s="255">
        <f>+Reactivos_[[#This Row],[Cantidad LNDV]]*Reactivos_[[#This Row],[Valor de referencia]]</f>
        <v>439148</v>
      </c>
      <c r="S280" s="148"/>
      <c r="T280" s="255">
        <f>+Reactivos_[[#This Row],[GGCA]]*Reactivos_[[#This Row],[Valor de referencia]]</f>
        <v>0</v>
      </c>
      <c r="U280" s="254">
        <v>1</v>
      </c>
      <c r="V280" s="255">
        <f>+Reactivos_[[#This Row],[Cantidad LDF]]*Reactivos_[[#This Row],[Valor de referencia]]</f>
        <v>219574</v>
      </c>
      <c r="W280" s="254"/>
      <c r="X280" s="255">
        <f>+Reactivos_[[#This Row],[Cantidad LDF&amp;MR]]*Reactivos_[[#This Row],[Valor de referencia]]</f>
        <v>0</v>
      </c>
      <c r="Y280" s="254"/>
      <c r="Z280" s="255">
        <f>+Reactivos_[[#This Row],[Cantidad RED LASE]]*Reactivos_[[#This Row],[Valor de referencia]]</f>
        <v>0</v>
      </c>
      <c r="AA280" s="254"/>
      <c r="AB280" s="255">
        <f>+Reactivos_[[#This Row],[Cantidad LANIA]]*Reactivos_[[#This Row],[Valor de referencia]]</f>
        <v>0</v>
      </c>
      <c r="AC280" s="254"/>
      <c r="AD280" s="255">
        <f>+Reactivos_[[#This Row],[Cantidad SPA]]*Reactivos_[[#This Row],[Valor de referencia]]</f>
        <v>0</v>
      </c>
      <c r="AE280" s="148" t="s">
        <v>76</v>
      </c>
      <c r="AF280" s="148" t="s">
        <v>77</v>
      </c>
    </row>
    <row r="281" spans="1:32" ht="25.5" x14ac:dyDescent="0.25">
      <c r="A281" s="294" t="str">
        <f>IF(B281=Reactivos_[[#This Row],[Cantidad LANIP]],"LANIP",IF(B281=Reactivos_[[#This Row],[Cantidad 
LDV]],"LDV",IF(B281=Reactivos_[[#This Row],[Cantidad LNDV]],"LNDV",IF(B281=Reactivos_[[#This Row],[GGCA]],"GGCA",IF(B281=Reactivos_[[#This Row],[Cantidad LDF]],"LDF",IF(Reactivos_[[#This Row],[Cantidad LDF&amp;MR]],"LDF&amp;MR",IF(B281=Reactivos_[[#This Row],[Cantidad RED LASE]],"LASE",IF(B281=Reactivos_[[#This Row],[Cantidad LANIA]],"LANIA",IF(B281=Reactivos_[[#This Row],[Cantidad SPA]],"SPA"," ")))))))))</f>
        <v>LANIA</v>
      </c>
      <c r="B28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81" s="325">
        <v>279</v>
      </c>
      <c r="D281" s="326">
        <v>358</v>
      </c>
      <c r="E281" s="245" t="s">
        <v>830</v>
      </c>
      <c r="F281" s="244"/>
      <c r="G281" s="245"/>
      <c r="H281" s="346" t="s">
        <v>587</v>
      </c>
      <c r="I281" s="347" t="s">
        <v>596</v>
      </c>
      <c r="J28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81" s="160">
        <v>1270920</v>
      </c>
      <c r="L281" s="160">
        <f>+Reactivos_[[#This Row],[Cantidad]]*Reactivos_[[#This Row],[Valor de referencia]]</f>
        <v>1270920</v>
      </c>
      <c r="M281" s="254">
        <v>0</v>
      </c>
      <c r="N281" s="255">
        <f>+Reactivos_[[#This Row],[Valor de referencia]]*Reactivos_[[#This Row],[Cantidad LANIP]]</f>
        <v>0</v>
      </c>
      <c r="O281" s="256"/>
      <c r="P281" s="255">
        <f>+Reactivos_[[#This Row],[Cantidad 
LDV]]*Reactivos_[[#This Row],[Valor de referencia]]</f>
        <v>0</v>
      </c>
      <c r="Q281" s="257"/>
      <c r="R281" s="255">
        <f>+Reactivos_[[#This Row],[Cantidad LNDV]]*Reactivos_[[#This Row],[Valor de referencia]]</f>
        <v>0</v>
      </c>
      <c r="S281" s="148"/>
      <c r="T281" s="255">
        <f>+Reactivos_[[#This Row],[GGCA]]*Reactivos_[[#This Row],[Valor de referencia]]</f>
        <v>0</v>
      </c>
      <c r="U281" s="254"/>
      <c r="V281" s="255">
        <f>+Reactivos_[[#This Row],[Cantidad LDF]]*Reactivos_[[#This Row],[Valor de referencia]]</f>
        <v>0</v>
      </c>
      <c r="W281" s="254"/>
      <c r="X281" s="255">
        <f>+Reactivos_[[#This Row],[Cantidad LDF&amp;MR]]*Reactivos_[[#This Row],[Valor de referencia]]</f>
        <v>0</v>
      </c>
      <c r="Y281" s="254"/>
      <c r="Z281" s="255">
        <f>+Reactivos_[[#This Row],[Cantidad RED LASE]]*Reactivos_[[#This Row],[Valor de referencia]]</f>
        <v>0</v>
      </c>
      <c r="AA281" s="254">
        <v>1</v>
      </c>
      <c r="AB281" s="255">
        <f>+Reactivos_[[#This Row],[Cantidad LANIA]]*Reactivos_[[#This Row],[Valor de referencia]]</f>
        <v>1270920</v>
      </c>
      <c r="AC281" s="254"/>
      <c r="AD281" s="255">
        <f>+Reactivos_[[#This Row],[Cantidad SPA]]*Reactivos_[[#This Row],[Valor de referencia]]</f>
        <v>0</v>
      </c>
      <c r="AE281" s="148" t="s">
        <v>76</v>
      </c>
      <c r="AF281" s="148" t="s">
        <v>77</v>
      </c>
    </row>
    <row r="282" spans="1:32" ht="38.25" customHeight="1" x14ac:dyDescent="0.25">
      <c r="A282" s="294" t="str">
        <f>IF(B282=Reactivos_[[#This Row],[Cantidad LANIP]],"LANIP",IF(B282=Reactivos_[[#This Row],[Cantidad 
LDV]],"LDV",IF(B282=Reactivos_[[#This Row],[Cantidad LNDV]],"LNDV",IF(B282=Reactivos_[[#This Row],[GGCA]],"GGCA",IF(B282=Reactivos_[[#This Row],[Cantidad LDF]],"LDF",IF(Reactivos_[[#This Row],[Cantidad LDF&amp;MR]],"LDF&amp;MR",IF(B282=Reactivos_[[#This Row],[Cantidad RED LASE]],"LASE",IF(B282=Reactivos_[[#This Row],[Cantidad LANIA]],"LANIA",IF(B282=Reactivos_[[#This Row],[Cantidad SPA]],"SPA"," ")))))))))</f>
        <v>LNDV</v>
      </c>
      <c r="B28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82" s="325">
        <v>280</v>
      </c>
      <c r="D282" s="326">
        <v>360</v>
      </c>
      <c r="E282" s="327" t="s">
        <v>831</v>
      </c>
      <c r="F282" s="350" t="s">
        <v>832</v>
      </c>
      <c r="G282" s="321" t="s">
        <v>833</v>
      </c>
      <c r="H282" s="348" t="s">
        <v>834</v>
      </c>
      <c r="I282" s="329" t="s">
        <v>650</v>
      </c>
      <c r="J28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82" s="160">
        <v>554064</v>
      </c>
      <c r="L282" s="160">
        <f>+Reactivos_[[#This Row],[Cantidad]]*Reactivos_[[#This Row],[Valor de referencia]]</f>
        <v>554064</v>
      </c>
      <c r="M282" s="254">
        <v>0</v>
      </c>
      <c r="N282" s="255">
        <f>+Reactivos_[[#This Row],[Valor de referencia]]*Reactivos_[[#This Row],[Cantidad LANIP]]</f>
        <v>0</v>
      </c>
      <c r="O282" s="256">
        <v>0</v>
      </c>
      <c r="P282" s="255">
        <f>+Reactivos_[[#This Row],[Cantidad 
LDV]]*Reactivos_[[#This Row],[Valor de referencia]]</f>
        <v>0</v>
      </c>
      <c r="Q282" s="257">
        <v>1</v>
      </c>
      <c r="R282" s="255">
        <f>+Reactivos_[[#This Row],[Cantidad LNDV]]*Reactivos_[[#This Row],[Valor de referencia]]</f>
        <v>554064</v>
      </c>
      <c r="S282" s="148"/>
      <c r="T282" s="255">
        <f>+Reactivos_[[#This Row],[GGCA]]*Reactivos_[[#This Row],[Valor de referencia]]</f>
        <v>0</v>
      </c>
      <c r="U282" s="254"/>
      <c r="V282" s="255">
        <f>+Reactivos_[[#This Row],[Cantidad LDF]]*Reactivos_[[#This Row],[Valor de referencia]]</f>
        <v>0</v>
      </c>
      <c r="W282" s="254"/>
      <c r="X282" s="255">
        <f>+Reactivos_[[#This Row],[Cantidad LDF&amp;MR]]*Reactivos_[[#This Row],[Valor de referencia]]</f>
        <v>0</v>
      </c>
      <c r="Y282" s="254"/>
      <c r="Z282" s="255">
        <f>+Reactivos_[[#This Row],[Cantidad RED LASE]]*Reactivos_[[#This Row],[Valor de referencia]]</f>
        <v>0</v>
      </c>
      <c r="AA282" s="254"/>
      <c r="AB282" s="255">
        <f>+Reactivos_[[#This Row],[Cantidad LANIA]]*Reactivos_[[#This Row],[Valor de referencia]]</f>
        <v>0</v>
      </c>
      <c r="AC282" s="254"/>
      <c r="AD282" s="255">
        <f>+Reactivos_[[#This Row],[Cantidad SPA]]*Reactivos_[[#This Row],[Valor de referencia]]</f>
        <v>0</v>
      </c>
      <c r="AE282" s="148" t="s">
        <v>76</v>
      </c>
      <c r="AF282" s="148" t="s">
        <v>77</v>
      </c>
    </row>
    <row r="283" spans="1:32" ht="22.5" customHeight="1" x14ac:dyDescent="0.25">
      <c r="A283" s="294" t="str">
        <f>IF(B283=Reactivos_[[#This Row],[Cantidad LANIP]],"LANIP",IF(B283=Reactivos_[[#This Row],[Cantidad 
LDV]],"LDV",IF(B283=Reactivos_[[#This Row],[Cantidad LNDV]],"LNDV",IF(B283=Reactivos_[[#This Row],[GGCA]],"GGCA",IF(B283=Reactivos_[[#This Row],[Cantidad LDF]],"LDF",IF(Reactivos_[[#This Row],[Cantidad LDF&amp;MR]],"LDF&amp;MR",IF(B283=Reactivos_[[#This Row],[Cantidad RED LASE]],"LASE",IF(B283=Reactivos_[[#This Row],[Cantidad LANIA]],"LANIA",IF(B283=Reactivos_[[#This Row],[Cantidad SPA]],"SPA"," ")))))))))</f>
        <v>LDV</v>
      </c>
      <c r="B28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C283" s="325">
        <v>281</v>
      </c>
      <c r="D283" s="326">
        <v>361</v>
      </c>
      <c r="E283" s="327" t="s">
        <v>835</v>
      </c>
      <c r="F283" s="244"/>
      <c r="G283" s="327"/>
      <c r="H283" s="328" t="s">
        <v>183</v>
      </c>
      <c r="I283" s="418" t="s">
        <v>836</v>
      </c>
      <c r="J28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K283" s="160">
        <v>829430</v>
      </c>
      <c r="L283" s="160">
        <f>+Reactivos_[[#This Row],[Cantidad]]*Reactivos_[[#This Row],[Valor de referencia]]</f>
        <v>12441450</v>
      </c>
      <c r="M283" s="254">
        <v>0</v>
      </c>
      <c r="N283" s="255">
        <f>+Reactivos_[[#This Row],[Valor de referencia]]*Reactivos_[[#This Row],[Cantidad LANIP]]</f>
        <v>0</v>
      </c>
      <c r="O283" s="256">
        <v>15</v>
      </c>
      <c r="P283" s="255">
        <f>+Reactivos_[[#This Row],[Cantidad 
LDV]]*Reactivos_[[#This Row],[Valor de referencia]]</f>
        <v>12441450</v>
      </c>
      <c r="Q283" s="257"/>
      <c r="R283" s="255">
        <f>+Reactivos_[[#This Row],[Cantidad LNDV]]*Reactivos_[[#This Row],[Valor de referencia]]</f>
        <v>0</v>
      </c>
      <c r="S283" s="148"/>
      <c r="T283" s="255">
        <f>+Reactivos_[[#This Row],[GGCA]]*Reactivos_[[#This Row],[Valor de referencia]]</f>
        <v>0</v>
      </c>
      <c r="U283" s="254"/>
      <c r="V283" s="255">
        <f>+Reactivos_[[#This Row],[Cantidad LDF]]*Reactivos_[[#This Row],[Valor de referencia]]</f>
        <v>0</v>
      </c>
      <c r="W283" s="254"/>
      <c r="X283" s="255">
        <f>+Reactivos_[[#This Row],[Cantidad LDF&amp;MR]]*Reactivos_[[#This Row],[Valor de referencia]]</f>
        <v>0</v>
      </c>
      <c r="Y283" s="254"/>
      <c r="Z283" s="255">
        <f>+Reactivos_[[#This Row],[Cantidad RED LASE]]*Reactivos_[[#This Row],[Valor de referencia]]</f>
        <v>0</v>
      </c>
      <c r="AA283" s="254"/>
      <c r="AB283" s="255">
        <f>+Reactivos_[[#This Row],[Cantidad LANIA]]*Reactivos_[[#This Row],[Valor de referencia]]</f>
        <v>0</v>
      </c>
      <c r="AC283" s="254"/>
      <c r="AD283" s="255">
        <f>+Reactivos_[[#This Row],[Cantidad SPA]]*Reactivos_[[#This Row],[Valor de referencia]]</f>
        <v>0</v>
      </c>
      <c r="AE283" s="148" t="s">
        <v>76</v>
      </c>
      <c r="AF283" s="148" t="s">
        <v>77</v>
      </c>
    </row>
    <row r="284" spans="1:32" ht="49.5" customHeight="1" x14ac:dyDescent="0.25">
      <c r="A284" s="294" t="str">
        <f>IF(B284=Reactivos_[[#This Row],[Cantidad LANIP]],"LANIP",IF(B284=Reactivos_[[#This Row],[Cantidad 
LDV]],"LDV",IF(B284=Reactivos_[[#This Row],[Cantidad LNDV]],"LNDV",IF(B284=Reactivos_[[#This Row],[GGCA]],"GGCA",IF(B284=Reactivos_[[#This Row],[Cantidad LDF]],"LDF",IF(Reactivos_[[#This Row],[Cantidad LDF&amp;MR]],"LDF&amp;MR",IF(B284=Reactivos_[[#This Row],[Cantidad RED LASE]],"LASE",IF(B284=Reactivos_[[#This Row],[Cantidad LANIA]],"LANIA",IF(B284=Reactivos_[[#This Row],[Cantidad SPA]],"SPA"," ")))))))))</f>
        <v>LANIA</v>
      </c>
      <c r="B28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84" s="325">
        <v>282</v>
      </c>
      <c r="D284" s="326">
        <v>362</v>
      </c>
      <c r="E284" s="327" t="s">
        <v>837</v>
      </c>
      <c r="F284" s="244" t="s">
        <v>838</v>
      </c>
      <c r="G284" s="327" t="s">
        <v>839</v>
      </c>
      <c r="H284" s="328" t="s">
        <v>545</v>
      </c>
      <c r="I284" s="418" t="s">
        <v>840</v>
      </c>
      <c r="J28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84" s="160">
        <v>356588</v>
      </c>
      <c r="L284" s="160">
        <f>+Reactivos_[[#This Row],[Cantidad]]*Reactivos_[[#This Row],[Valor de referencia]]</f>
        <v>713176</v>
      </c>
      <c r="M284" s="254">
        <v>0</v>
      </c>
      <c r="N284" s="255">
        <f>+Reactivos_[[#This Row],[Valor de referencia]]*Reactivos_[[#This Row],[Cantidad LANIP]]</f>
        <v>0</v>
      </c>
      <c r="O284" s="256"/>
      <c r="P284" s="255">
        <f>+Reactivos_[[#This Row],[Cantidad 
LDV]]*Reactivos_[[#This Row],[Valor de referencia]]</f>
        <v>0</v>
      </c>
      <c r="Q284" s="257"/>
      <c r="R284" s="255">
        <f>+Reactivos_[[#This Row],[Cantidad LNDV]]*Reactivos_[[#This Row],[Valor de referencia]]</f>
        <v>0</v>
      </c>
      <c r="S284" s="148"/>
      <c r="T284" s="255">
        <f>+Reactivos_[[#This Row],[GGCA]]*Reactivos_[[#This Row],[Valor de referencia]]</f>
        <v>0</v>
      </c>
      <c r="U284" s="254"/>
      <c r="V284" s="255">
        <f>+Reactivos_[[#This Row],[Cantidad LDF]]*Reactivos_[[#This Row],[Valor de referencia]]</f>
        <v>0</v>
      </c>
      <c r="W284" s="254"/>
      <c r="X284" s="255">
        <f>+Reactivos_[[#This Row],[Cantidad LDF&amp;MR]]*Reactivos_[[#This Row],[Valor de referencia]]</f>
        <v>0</v>
      </c>
      <c r="Y284" s="254"/>
      <c r="Z284" s="255">
        <f>+Reactivos_[[#This Row],[Cantidad RED LASE]]*Reactivos_[[#This Row],[Valor de referencia]]</f>
        <v>0</v>
      </c>
      <c r="AA284" s="254">
        <v>2</v>
      </c>
      <c r="AB284" s="255">
        <f>+Reactivos_[[#This Row],[Cantidad LANIA]]*Reactivos_[[#This Row],[Valor de referencia]]</f>
        <v>713176</v>
      </c>
      <c r="AC284" s="254"/>
      <c r="AD284" s="255">
        <f>+Reactivos_[[#This Row],[Cantidad SPA]]*Reactivos_[[#This Row],[Valor de referencia]]</f>
        <v>0</v>
      </c>
      <c r="AE284" s="148" t="s">
        <v>76</v>
      </c>
      <c r="AF284" s="148" t="s">
        <v>77</v>
      </c>
    </row>
    <row r="285" spans="1:32" ht="43.5" customHeight="1" x14ac:dyDescent="0.25">
      <c r="A285" s="294" t="str">
        <f>IF(B285=Reactivos_[[#This Row],[Cantidad LANIP]],"LANIP",IF(B285=Reactivos_[[#This Row],[Cantidad 
LDV]],"LDV",IF(B285=Reactivos_[[#This Row],[Cantidad LNDV]],"LNDV",IF(B285=Reactivos_[[#This Row],[GGCA]],"GGCA",IF(B285=Reactivos_[[#This Row],[Cantidad LDF]],"LDF",IF(Reactivos_[[#This Row],[Cantidad LDF&amp;MR]],"LDF&amp;MR",IF(B285=Reactivos_[[#This Row],[Cantidad RED LASE]],"LASE",IF(B285=Reactivos_[[#This Row],[Cantidad LANIA]],"LANIA",IF(B285=Reactivos_[[#This Row],[Cantidad SPA]],"SPA"," ")))))))))</f>
        <v>LANIP</v>
      </c>
      <c r="B28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85" s="325">
        <v>283</v>
      </c>
      <c r="D285" s="326">
        <v>375</v>
      </c>
      <c r="E285" s="327" t="s">
        <v>841</v>
      </c>
      <c r="F285" s="338" t="s">
        <v>842</v>
      </c>
      <c r="G285" s="339"/>
      <c r="H285" s="342" t="s">
        <v>843</v>
      </c>
      <c r="I285" s="408" t="s">
        <v>844</v>
      </c>
      <c r="J28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85" s="240">
        <v>3407294</v>
      </c>
      <c r="L285" s="160">
        <f>+Reactivos_[[#This Row],[Cantidad]]*Reactivos_[[#This Row],[Valor de referencia]]</f>
        <v>3407294</v>
      </c>
      <c r="M285" s="254">
        <v>1</v>
      </c>
      <c r="N285" s="255">
        <f>+Reactivos_[[#This Row],[Valor de referencia]]*Reactivos_[[#This Row],[Cantidad LANIP]]</f>
        <v>3407294</v>
      </c>
      <c r="O285" s="256"/>
      <c r="P285" s="255">
        <f>+Reactivos_[[#This Row],[Cantidad 
LDV]]*Reactivos_[[#This Row],[Valor de referencia]]</f>
        <v>0</v>
      </c>
      <c r="Q285" s="257"/>
      <c r="R285" s="255">
        <f>+Reactivos_[[#This Row],[Cantidad LNDV]]*Reactivos_[[#This Row],[Valor de referencia]]</f>
        <v>0</v>
      </c>
      <c r="S285" s="148"/>
      <c r="T285" s="255">
        <f>+Reactivos_[[#This Row],[GGCA]]*Reactivos_[[#This Row],[Valor de referencia]]</f>
        <v>0</v>
      </c>
      <c r="U285" s="254"/>
      <c r="V285" s="255">
        <f>+Reactivos_[[#This Row],[Cantidad LDF]]*Reactivos_[[#This Row],[Valor de referencia]]</f>
        <v>0</v>
      </c>
      <c r="W285" s="254"/>
      <c r="X285" s="255">
        <f>+Reactivos_[[#This Row],[Cantidad LDF&amp;MR]]*Reactivos_[[#This Row],[Valor de referencia]]</f>
        <v>0</v>
      </c>
      <c r="Y285" s="254"/>
      <c r="Z285" s="255">
        <f>+Reactivos_[[#This Row],[Cantidad RED LASE]]*Reactivos_[[#This Row],[Valor de referencia]]</f>
        <v>0</v>
      </c>
      <c r="AA285" s="254"/>
      <c r="AB285" s="255">
        <f>+Reactivos_[[#This Row],[Cantidad LANIA]]*Reactivos_[[#This Row],[Valor de referencia]]</f>
        <v>0</v>
      </c>
      <c r="AC285" s="254"/>
      <c r="AD285" s="255">
        <f>+Reactivos_[[#This Row],[Cantidad SPA]]*Reactivos_[[#This Row],[Valor de referencia]]</f>
        <v>0</v>
      </c>
      <c r="AE285" s="148" t="s">
        <v>76</v>
      </c>
      <c r="AF285" s="148" t="s">
        <v>77</v>
      </c>
    </row>
    <row r="286" spans="1:32" ht="38.25" x14ac:dyDescent="0.25">
      <c r="A286" s="294" t="str">
        <f>IF(B286=Reactivos_[[#This Row],[Cantidad LANIP]],"LANIP",IF(B286=Reactivos_[[#This Row],[Cantidad 
LDV]],"LDV",IF(B286=Reactivos_[[#This Row],[Cantidad LNDV]],"LNDV",IF(B286=Reactivos_[[#This Row],[GGCA]],"GGCA",IF(B286=Reactivos_[[#This Row],[Cantidad LDF]],"LDF",IF(Reactivos_[[#This Row],[Cantidad LDF&amp;MR]],"LDF&amp;MR",IF(B286=Reactivos_[[#This Row],[Cantidad RED LASE]],"LASE",IF(B286=Reactivos_[[#This Row],[Cantidad LANIA]],"LANIA",IF(B286=Reactivos_[[#This Row],[Cantidad SPA]],"SPA"," ")))))))))</f>
        <v>LANIP</v>
      </c>
      <c r="B28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86" s="325">
        <v>284</v>
      </c>
      <c r="D286" s="326">
        <v>376</v>
      </c>
      <c r="E286" s="327" t="s">
        <v>841</v>
      </c>
      <c r="F286" s="338" t="s">
        <v>842</v>
      </c>
      <c r="G286" s="339"/>
      <c r="H286" s="348" t="s">
        <v>845</v>
      </c>
      <c r="I286" s="334" t="s">
        <v>846</v>
      </c>
      <c r="J28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86" s="240">
        <v>2261026</v>
      </c>
      <c r="L286" s="160">
        <f>+Reactivos_[[#This Row],[Cantidad]]*Reactivos_[[#This Row],[Valor de referencia]]</f>
        <v>2261026</v>
      </c>
      <c r="M286" s="254">
        <v>1</v>
      </c>
      <c r="N286" s="255">
        <f>+Reactivos_[[#This Row],[Valor de referencia]]*Reactivos_[[#This Row],[Cantidad LANIP]]</f>
        <v>2261026</v>
      </c>
      <c r="O286" s="256"/>
      <c r="P286" s="255">
        <f>+Reactivos_[[#This Row],[Cantidad 
LDV]]*Reactivos_[[#This Row],[Valor de referencia]]</f>
        <v>0</v>
      </c>
      <c r="Q286" s="257"/>
      <c r="R286" s="255">
        <f>+Reactivos_[[#This Row],[Cantidad LNDV]]*Reactivos_[[#This Row],[Valor de referencia]]</f>
        <v>0</v>
      </c>
      <c r="S286" s="148"/>
      <c r="T286" s="255">
        <f>+Reactivos_[[#This Row],[GGCA]]*Reactivos_[[#This Row],[Valor de referencia]]</f>
        <v>0</v>
      </c>
      <c r="U286" s="254"/>
      <c r="V286" s="255">
        <f>+Reactivos_[[#This Row],[Cantidad LDF]]*Reactivos_[[#This Row],[Valor de referencia]]</f>
        <v>0</v>
      </c>
      <c r="W286" s="254"/>
      <c r="X286" s="255">
        <f>+Reactivos_[[#This Row],[Cantidad LDF&amp;MR]]*Reactivos_[[#This Row],[Valor de referencia]]</f>
        <v>0</v>
      </c>
      <c r="Y286" s="254"/>
      <c r="Z286" s="255">
        <f>+Reactivos_[[#This Row],[Cantidad RED LASE]]*Reactivos_[[#This Row],[Valor de referencia]]</f>
        <v>0</v>
      </c>
      <c r="AA286" s="254"/>
      <c r="AB286" s="255">
        <f>+Reactivos_[[#This Row],[Cantidad LANIA]]*Reactivos_[[#This Row],[Valor de referencia]]</f>
        <v>0</v>
      </c>
      <c r="AC286" s="254"/>
      <c r="AD286" s="255">
        <f>+Reactivos_[[#This Row],[Cantidad SPA]]*Reactivos_[[#This Row],[Valor de referencia]]</f>
        <v>0</v>
      </c>
      <c r="AE286" s="148" t="s">
        <v>76</v>
      </c>
      <c r="AF286" s="148" t="s">
        <v>77</v>
      </c>
    </row>
    <row r="287" spans="1:32" ht="33.75" customHeight="1" x14ac:dyDescent="0.25">
      <c r="A287" s="294" t="str">
        <f>IF(B287=Reactivos_[[#This Row],[Cantidad LANIP]],"LANIP",IF(B287=Reactivos_[[#This Row],[Cantidad 
LDV]],"LDV",IF(B287=Reactivos_[[#This Row],[Cantidad LNDV]],"LNDV",IF(B287=Reactivos_[[#This Row],[GGCA]],"GGCA",IF(B287=Reactivos_[[#This Row],[Cantidad LDF]],"LDF",IF(Reactivos_[[#This Row],[Cantidad LDF&amp;MR]],"LDF&amp;MR",IF(B287=Reactivos_[[#This Row],[Cantidad RED LASE]],"LASE",IF(B287=Reactivos_[[#This Row],[Cantidad LANIA]],"LANIA",IF(B287=Reactivos_[[#This Row],[Cantidad SPA]],"SPA"," ")))))))))</f>
        <v>LANIP</v>
      </c>
      <c r="B28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87" s="325">
        <v>285</v>
      </c>
      <c r="D287" s="326">
        <v>377</v>
      </c>
      <c r="E287" s="327" t="s">
        <v>841</v>
      </c>
      <c r="F287" s="338" t="s">
        <v>842</v>
      </c>
      <c r="G287" s="339"/>
      <c r="H287" s="333" t="s">
        <v>847</v>
      </c>
      <c r="I287" s="334" t="s">
        <v>848</v>
      </c>
      <c r="J28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87" s="240">
        <v>1068025</v>
      </c>
      <c r="L287" s="160">
        <f>+Reactivos_[[#This Row],[Cantidad]]*Reactivos_[[#This Row],[Valor de referencia]]</f>
        <v>1068025</v>
      </c>
      <c r="M287" s="254">
        <v>1</v>
      </c>
      <c r="N287" s="255">
        <f>+Reactivos_[[#This Row],[Valor de referencia]]*Reactivos_[[#This Row],[Cantidad LANIP]]</f>
        <v>1068025</v>
      </c>
      <c r="O287" s="256"/>
      <c r="P287" s="255">
        <f>+Reactivos_[[#This Row],[Cantidad 
LDV]]*Reactivos_[[#This Row],[Valor de referencia]]</f>
        <v>0</v>
      </c>
      <c r="Q287" s="257"/>
      <c r="R287" s="255">
        <f>+Reactivos_[[#This Row],[Cantidad LNDV]]*Reactivos_[[#This Row],[Valor de referencia]]</f>
        <v>0</v>
      </c>
      <c r="S287" s="148"/>
      <c r="T287" s="255">
        <f>+Reactivos_[[#This Row],[GGCA]]*Reactivos_[[#This Row],[Valor de referencia]]</f>
        <v>0</v>
      </c>
      <c r="U287" s="254"/>
      <c r="V287" s="255">
        <f>+Reactivos_[[#This Row],[Cantidad LDF]]*Reactivos_[[#This Row],[Valor de referencia]]</f>
        <v>0</v>
      </c>
      <c r="W287" s="254"/>
      <c r="X287" s="255">
        <f>+Reactivos_[[#This Row],[Cantidad LDF&amp;MR]]*Reactivos_[[#This Row],[Valor de referencia]]</f>
        <v>0</v>
      </c>
      <c r="Y287" s="254"/>
      <c r="Z287" s="255">
        <f>+Reactivos_[[#This Row],[Cantidad RED LASE]]*Reactivos_[[#This Row],[Valor de referencia]]</f>
        <v>0</v>
      </c>
      <c r="AA287" s="254"/>
      <c r="AB287" s="255">
        <f>+Reactivos_[[#This Row],[Cantidad LANIA]]*Reactivos_[[#This Row],[Valor de referencia]]</f>
        <v>0</v>
      </c>
      <c r="AC287" s="254"/>
      <c r="AD287" s="255">
        <f>+Reactivos_[[#This Row],[Cantidad SPA]]*Reactivos_[[#This Row],[Valor de referencia]]</f>
        <v>0</v>
      </c>
      <c r="AE287" s="148" t="s">
        <v>76</v>
      </c>
      <c r="AF287" s="148" t="s">
        <v>77</v>
      </c>
    </row>
    <row r="288" spans="1:32" ht="50.25" customHeight="1" x14ac:dyDescent="0.25">
      <c r="A288" s="294" t="str">
        <f>IF(B288=Reactivos_[[#This Row],[Cantidad LANIP]],"LANIP",IF(B288=Reactivos_[[#This Row],[Cantidad 
LDV]],"LDV",IF(B288=Reactivos_[[#This Row],[Cantidad LNDV]],"LNDV",IF(B288=Reactivos_[[#This Row],[GGCA]],"GGCA",IF(B288=Reactivos_[[#This Row],[Cantidad LDF]],"LDF",IF(Reactivos_[[#This Row],[Cantidad LDF&amp;MR]],"LDF&amp;MR",IF(B288=Reactivos_[[#This Row],[Cantidad RED LASE]],"LASE",IF(B288=Reactivos_[[#This Row],[Cantidad LANIA]],"LANIA",IF(B288=Reactivos_[[#This Row],[Cantidad SPA]],"SPA"," ")))))))))</f>
        <v>LANIP</v>
      </c>
      <c r="B28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88" s="325">
        <v>286</v>
      </c>
      <c r="D288" s="326">
        <v>379</v>
      </c>
      <c r="E288" s="327" t="s">
        <v>849</v>
      </c>
      <c r="F288" s="244" t="s">
        <v>850</v>
      </c>
      <c r="G288" s="327"/>
      <c r="H288" s="348" t="s">
        <v>851</v>
      </c>
      <c r="I288" s="334" t="s">
        <v>852</v>
      </c>
      <c r="J28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88" s="240">
        <v>360270</v>
      </c>
      <c r="L288" s="160">
        <f>+Reactivos_[[#This Row],[Cantidad]]*Reactivos_[[#This Row],[Valor de referencia]]</f>
        <v>360270</v>
      </c>
      <c r="M288" s="254">
        <v>1</v>
      </c>
      <c r="N288" s="255">
        <f>+Reactivos_[[#This Row],[Valor de referencia]]*Reactivos_[[#This Row],[Cantidad LANIP]]</f>
        <v>360270</v>
      </c>
      <c r="O288" s="256"/>
      <c r="P288" s="255">
        <f>+Reactivos_[[#This Row],[Cantidad 
LDV]]*Reactivos_[[#This Row],[Valor de referencia]]</f>
        <v>0</v>
      </c>
      <c r="Q288" s="257"/>
      <c r="R288" s="255">
        <f>+Reactivos_[[#This Row],[Cantidad LNDV]]*Reactivos_[[#This Row],[Valor de referencia]]</f>
        <v>0</v>
      </c>
      <c r="S288" s="148"/>
      <c r="T288" s="255">
        <f>+Reactivos_[[#This Row],[GGCA]]*Reactivos_[[#This Row],[Valor de referencia]]</f>
        <v>0</v>
      </c>
      <c r="U288" s="254"/>
      <c r="V288" s="255">
        <f>+Reactivos_[[#This Row],[Cantidad LDF]]*Reactivos_[[#This Row],[Valor de referencia]]</f>
        <v>0</v>
      </c>
      <c r="W288" s="254"/>
      <c r="X288" s="255">
        <f>+Reactivos_[[#This Row],[Cantidad LDF&amp;MR]]*Reactivos_[[#This Row],[Valor de referencia]]</f>
        <v>0</v>
      </c>
      <c r="Y288" s="254"/>
      <c r="Z288" s="255">
        <f>+Reactivos_[[#This Row],[Cantidad RED LASE]]*Reactivos_[[#This Row],[Valor de referencia]]</f>
        <v>0</v>
      </c>
      <c r="AA288" s="254"/>
      <c r="AB288" s="255">
        <f>+Reactivos_[[#This Row],[Cantidad LANIA]]*Reactivos_[[#This Row],[Valor de referencia]]</f>
        <v>0</v>
      </c>
      <c r="AC288" s="254"/>
      <c r="AD288" s="255">
        <f>+Reactivos_[[#This Row],[Cantidad SPA]]*Reactivos_[[#This Row],[Valor de referencia]]</f>
        <v>0</v>
      </c>
      <c r="AE288" s="148" t="s">
        <v>76</v>
      </c>
      <c r="AF288" s="148" t="s">
        <v>77</v>
      </c>
    </row>
    <row r="289" spans="1:32" ht="27.75" customHeight="1" x14ac:dyDescent="0.25">
      <c r="A289" s="294" t="str">
        <f>IF(B289=Reactivos_[[#This Row],[Cantidad LANIP]],"LANIP",IF(B289=Reactivos_[[#This Row],[Cantidad 
LDV]],"LDV",IF(B289=Reactivos_[[#This Row],[Cantidad LNDV]],"LNDV",IF(B289=Reactivos_[[#This Row],[GGCA]],"GGCA",IF(B289=Reactivos_[[#This Row],[Cantidad LDF]],"LDF",IF(Reactivos_[[#This Row],[Cantidad LDF&amp;MR]],"LDF&amp;MR",IF(B289=Reactivos_[[#This Row],[Cantidad RED LASE]],"LASE",IF(B289=Reactivos_[[#This Row],[Cantidad LANIA]],"LANIA",IF(B289=Reactivos_[[#This Row],[Cantidad SPA]],"SPA"," ")))))))))</f>
        <v>LANIP</v>
      </c>
      <c r="B28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89" s="325">
        <v>287</v>
      </c>
      <c r="D289" s="326">
        <v>380</v>
      </c>
      <c r="E289" s="327" t="s">
        <v>849</v>
      </c>
      <c r="F289" s="244" t="s">
        <v>850</v>
      </c>
      <c r="G289" s="327"/>
      <c r="H289" s="348" t="s">
        <v>853</v>
      </c>
      <c r="I289" s="334" t="s">
        <v>852</v>
      </c>
      <c r="J28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89" s="240">
        <v>1538492</v>
      </c>
      <c r="L289" s="160">
        <f>+Reactivos_[[#This Row],[Cantidad]]*Reactivos_[[#This Row],[Valor de referencia]]</f>
        <v>1538492</v>
      </c>
      <c r="M289" s="254">
        <v>1</v>
      </c>
      <c r="N289" s="255">
        <f>+Reactivos_[[#This Row],[Valor de referencia]]*Reactivos_[[#This Row],[Cantidad LANIP]]</f>
        <v>1538492</v>
      </c>
      <c r="O289" s="256"/>
      <c r="P289" s="255">
        <f>+Reactivos_[[#This Row],[Cantidad 
LDV]]*Reactivos_[[#This Row],[Valor de referencia]]</f>
        <v>0</v>
      </c>
      <c r="Q289" s="257"/>
      <c r="R289" s="255">
        <f>+Reactivos_[[#This Row],[Cantidad LNDV]]*Reactivos_[[#This Row],[Valor de referencia]]</f>
        <v>0</v>
      </c>
      <c r="S289" s="148"/>
      <c r="T289" s="255">
        <f>+Reactivos_[[#This Row],[GGCA]]*Reactivos_[[#This Row],[Valor de referencia]]</f>
        <v>0</v>
      </c>
      <c r="U289" s="254"/>
      <c r="V289" s="255">
        <f>+Reactivos_[[#This Row],[Cantidad LDF]]*Reactivos_[[#This Row],[Valor de referencia]]</f>
        <v>0</v>
      </c>
      <c r="W289" s="254"/>
      <c r="X289" s="255">
        <f>+Reactivos_[[#This Row],[Cantidad LDF&amp;MR]]*Reactivos_[[#This Row],[Valor de referencia]]</f>
        <v>0</v>
      </c>
      <c r="Y289" s="254"/>
      <c r="Z289" s="255">
        <f>+Reactivos_[[#This Row],[Cantidad RED LASE]]*Reactivos_[[#This Row],[Valor de referencia]]</f>
        <v>0</v>
      </c>
      <c r="AA289" s="254"/>
      <c r="AB289" s="255">
        <f>+Reactivos_[[#This Row],[Cantidad LANIA]]*Reactivos_[[#This Row],[Valor de referencia]]</f>
        <v>0</v>
      </c>
      <c r="AC289" s="254"/>
      <c r="AD289" s="255">
        <f>+Reactivos_[[#This Row],[Cantidad SPA]]*Reactivos_[[#This Row],[Valor de referencia]]</f>
        <v>0</v>
      </c>
      <c r="AE289" s="148" t="s">
        <v>76</v>
      </c>
      <c r="AF289" s="148" t="s">
        <v>77</v>
      </c>
    </row>
    <row r="290" spans="1:32" ht="27.75" customHeight="1" x14ac:dyDescent="0.25">
      <c r="A290" s="294" t="str">
        <f>IF(B290=Reactivos_[[#This Row],[Cantidad LANIP]],"LANIP",IF(B290=Reactivos_[[#This Row],[Cantidad 
LDV]],"LDV",IF(B290=Reactivos_[[#This Row],[Cantidad LNDV]],"LNDV",IF(B290=Reactivos_[[#This Row],[GGCA]],"GGCA",IF(B290=Reactivos_[[#This Row],[Cantidad LDF]],"LDF",IF(Reactivos_[[#This Row],[Cantidad LDF&amp;MR]],"LDF&amp;MR",IF(B290=Reactivos_[[#This Row],[Cantidad RED LASE]],"LASE",IF(B290=Reactivos_[[#This Row],[Cantidad LANIA]],"LANIA",IF(B290=Reactivos_[[#This Row],[Cantidad SPA]],"SPA"," ")))))))))</f>
        <v>LANIP</v>
      </c>
      <c r="B29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90" s="325">
        <v>288</v>
      </c>
      <c r="D290" s="326">
        <v>381</v>
      </c>
      <c r="E290" s="327" t="s">
        <v>849</v>
      </c>
      <c r="F290" s="244" t="s">
        <v>850</v>
      </c>
      <c r="G290" s="327"/>
      <c r="H290" s="348" t="s">
        <v>854</v>
      </c>
      <c r="I290" s="352" t="s">
        <v>855</v>
      </c>
      <c r="J29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90" s="240">
        <v>4189931</v>
      </c>
      <c r="L290" s="160">
        <f>+Reactivos_[[#This Row],[Cantidad]]*Reactivos_[[#This Row],[Valor de referencia]]</f>
        <v>4189931</v>
      </c>
      <c r="M290" s="254">
        <v>1</v>
      </c>
      <c r="N290" s="255">
        <f>+Reactivos_[[#This Row],[Valor de referencia]]*Reactivos_[[#This Row],[Cantidad LANIP]]</f>
        <v>4189931</v>
      </c>
      <c r="O290" s="256"/>
      <c r="P290" s="255">
        <f>+Reactivos_[[#This Row],[Cantidad 
LDV]]*Reactivos_[[#This Row],[Valor de referencia]]</f>
        <v>0</v>
      </c>
      <c r="Q290" s="257"/>
      <c r="R290" s="255">
        <f>+Reactivos_[[#This Row],[Cantidad LNDV]]*Reactivos_[[#This Row],[Valor de referencia]]</f>
        <v>0</v>
      </c>
      <c r="S290" s="148"/>
      <c r="T290" s="255">
        <f>+Reactivos_[[#This Row],[GGCA]]*Reactivos_[[#This Row],[Valor de referencia]]</f>
        <v>0</v>
      </c>
      <c r="U290" s="254"/>
      <c r="V290" s="255">
        <f>+Reactivos_[[#This Row],[Cantidad LDF]]*Reactivos_[[#This Row],[Valor de referencia]]</f>
        <v>0</v>
      </c>
      <c r="W290" s="254"/>
      <c r="X290" s="255">
        <f>+Reactivos_[[#This Row],[Cantidad LDF&amp;MR]]*Reactivos_[[#This Row],[Valor de referencia]]</f>
        <v>0</v>
      </c>
      <c r="Y290" s="254"/>
      <c r="Z290" s="255">
        <f>+Reactivos_[[#This Row],[Cantidad RED LASE]]*Reactivos_[[#This Row],[Valor de referencia]]</f>
        <v>0</v>
      </c>
      <c r="AA290" s="254"/>
      <c r="AB290" s="255">
        <f>+Reactivos_[[#This Row],[Cantidad LANIA]]*Reactivos_[[#This Row],[Valor de referencia]]</f>
        <v>0</v>
      </c>
      <c r="AC290" s="254"/>
      <c r="AD290" s="255">
        <f>+Reactivos_[[#This Row],[Cantidad SPA]]*Reactivos_[[#This Row],[Valor de referencia]]</f>
        <v>0</v>
      </c>
      <c r="AE290" s="148" t="s">
        <v>76</v>
      </c>
      <c r="AF290" s="148" t="s">
        <v>77</v>
      </c>
    </row>
    <row r="291" spans="1:32" ht="38.25" x14ac:dyDescent="0.25">
      <c r="A291" s="294" t="str">
        <f>IF(B291=Reactivos_[[#This Row],[Cantidad LANIP]],"LANIP",IF(B291=Reactivos_[[#This Row],[Cantidad 
LDV]],"LDV",IF(B291=Reactivos_[[#This Row],[Cantidad LNDV]],"LNDV",IF(B291=Reactivos_[[#This Row],[GGCA]],"GGCA",IF(B291=Reactivos_[[#This Row],[Cantidad LDF]],"LDF",IF(Reactivos_[[#This Row],[Cantidad LDF&amp;MR]],"LDF&amp;MR",IF(B291=Reactivos_[[#This Row],[Cantidad RED LASE]],"LASE",IF(B291=Reactivos_[[#This Row],[Cantidad LANIA]],"LANIA",IF(B291=Reactivos_[[#This Row],[Cantidad SPA]],"SPA"," ")))))))))</f>
        <v>LANIP</v>
      </c>
      <c r="B29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91" s="325">
        <v>289</v>
      </c>
      <c r="D291" s="326">
        <v>388</v>
      </c>
      <c r="E291" s="327" t="s">
        <v>856</v>
      </c>
      <c r="F291" s="244" t="s">
        <v>857</v>
      </c>
      <c r="G291" s="327"/>
      <c r="H291" s="342" t="s">
        <v>854</v>
      </c>
      <c r="I291" s="352" t="s">
        <v>855</v>
      </c>
      <c r="J29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91" s="160">
        <v>3191757</v>
      </c>
      <c r="L291" s="160">
        <f>+Reactivos_[[#This Row],[Cantidad]]*Reactivos_[[#This Row],[Valor de referencia]]</f>
        <v>3191757</v>
      </c>
      <c r="M291" s="254">
        <v>1</v>
      </c>
      <c r="N291" s="255">
        <f>+Reactivos_[[#This Row],[Valor de referencia]]*Reactivos_[[#This Row],[Cantidad LANIP]]</f>
        <v>3191757</v>
      </c>
      <c r="O291" s="256"/>
      <c r="P291" s="255">
        <f>+Reactivos_[[#This Row],[Cantidad 
LDV]]*Reactivos_[[#This Row],[Valor de referencia]]</f>
        <v>0</v>
      </c>
      <c r="Q291" s="257"/>
      <c r="R291" s="255">
        <f>+Reactivos_[[#This Row],[Cantidad LNDV]]*Reactivos_[[#This Row],[Valor de referencia]]</f>
        <v>0</v>
      </c>
      <c r="S291" s="148"/>
      <c r="T291" s="255">
        <f>+Reactivos_[[#This Row],[GGCA]]*Reactivos_[[#This Row],[Valor de referencia]]</f>
        <v>0</v>
      </c>
      <c r="U291" s="254"/>
      <c r="V291" s="255">
        <f>+Reactivos_[[#This Row],[Cantidad LDF]]*Reactivos_[[#This Row],[Valor de referencia]]</f>
        <v>0</v>
      </c>
      <c r="W291" s="254"/>
      <c r="X291" s="255">
        <f>+Reactivos_[[#This Row],[Cantidad LDF&amp;MR]]*Reactivos_[[#This Row],[Valor de referencia]]</f>
        <v>0</v>
      </c>
      <c r="Y291" s="254"/>
      <c r="Z291" s="255">
        <f>+Reactivos_[[#This Row],[Cantidad RED LASE]]*Reactivos_[[#This Row],[Valor de referencia]]</f>
        <v>0</v>
      </c>
      <c r="AA291" s="254"/>
      <c r="AB291" s="255">
        <f>+Reactivos_[[#This Row],[Cantidad LANIA]]*Reactivos_[[#This Row],[Valor de referencia]]</f>
        <v>0</v>
      </c>
      <c r="AC291" s="254"/>
      <c r="AD291" s="255">
        <f>+Reactivos_[[#This Row],[Cantidad SPA]]*Reactivos_[[#This Row],[Valor de referencia]]</f>
        <v>0</v>
      </c>
      <c r="AE291" s="148" t="s">
        <v>76</v>
      </c>
      <c r="AF291" s="148" t="s">
        <v>77</v>
      </c>
    </row>
    <row r="292" spans="1:32" ht="33.75" customHeight="1" x14ac:dyDescent="0.25">
      <c r="A292" s="294" t="str">
        <f>IF(B292=Reactivos_[[#This Row],[Cantidad LANIP]],"LANIP",IF(B292=Reactivos_[[#This Row],[Cantidad 
LDV]],"LDV",IF(B292=Reactivos_[[#This Row],[Cantidad LNDV]],"LNDV",IF(B292=Reactivos_[[#This Row],[GGCA]],"GGCA",IF(B292=Reactivos_[[#This Row],[Cantidad LDF]],"LDF",IF(Reactivos_[[#This Row],[Cantidad LDF&amp;MR]],"LDF&amp;MR",IF(B292=Reactivos_[[#This Row],[Cantidad RED LASE]],"LASE",IF(B292=Reactivos_[[#This Row],[Cantidad LANIA]],"LANIA",IF(B292=Reactivos_[[#This Row],[Cantidad SPA]],"SPA"," ")))))))))</f>
        <v>LANIP</v>
      </c>
      <c r="B29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92" s="325">
        <v>290</v>
      </c>
      <c r="D292" s="326">
        <v>389</v>
      </c>
      <c r="E292" s="327" t="s">
        <v>858</v>
      </c>
      <c r="F292" s="244" t="s">
        <v>857</v>
      </c>
      <c r="G292" s="327"/>
      <c r="H292" s="348" t="s">
        <v>854</v>
      </c>
      <c r="I292" s="352" t="s">
        <v>855</v>
      </c>
      <c r="J29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92" s="160">
        <v>361458</v>
      </c>
      <c r="L292" s="160">
        <f>+Reactivos_[[#This Row],[Cantidad]]*Reactivos_[[#This Row],[Valor de referencia]]</f>
        <v>361458</v>
      </c>
      <c r="M292" s="254">
        <v>1</v>
      </c>
      <c r="N292" s="255">
        <f>+Reactivos_[[#This Row],[Valor de referencia]]*Reactivos_[[#This Row],[Cantidad LANIP]]</f>
        <v>361458</v>
      </c>
      <c r="O292" s="256"/>
      <c r="P292" s="255">
        <f>+Reactivos_[[#This Row],[Cantidad 
LDV]]*Reactivos_[[#This Row],[Valor de referencia]]</f>
        <v>0</v>
      </c>
      <c r="Q292" s="257"/>
      <c r="R292" s="255">
        <f>+Reactivos_[[#This Row],[Cantidad LNDV]]*Reactivos_[[#This Row],[Valor de referencia]]</f>
        <v>0</v>
      </c>
      <c r="S292" s="148"/>
      <c r="T292" s="255">
        <f>+Reactivos_[[#This Row],[GGCA]]*Reactivos_[[#This Row],[Valor de referencia]]</f>
        <v>0</v>
      </c>
      <c r="U292" s="254"/>
      <c r="V292" s="255">
        <f>+Reactivos_[[#This Row],[Cantidad LDF]]*Reactivos_[[#This Row],[Valor de referencia]]</f>
        <v>0</v>
      </c>
      <c r="W292" s="254"/>
      <c r="X292" s="255">
        <f>+Reactivos_[[#This Row],[Cantidad LDF&amp;MR]]*Reactivos_[[#This Row],[Valor de referencia]]</f>
        <v>0</v>
      </c>
      <c r="Y292" s="254"/>
      <c r="Z292" s="255">
        <f>+Reactivos_[[#This Row],[Cantidad RED LASE]]*Reactivos_[[#This Row],[Valor de referencia]]</f>
        <v>0</v>
      </c>
      <c r="AA292" s="254"/>
      <c r="AB292" s="255">
        <f>+Reactivos_[[#This Row],[Cantidad LANIA]]*Reactivos_[[#This Row],[Valor de referencia]]</f>
        <v>0</v>
      </c>
      <c r="AC292" s="254"/>
      <c r="AD292" s="255">
        <f>+Reactivos_[[#This Row],[Cantidad SPA]]*Reactivos_[[#This Row],[Valor de referencia]]</f>
        <v>0</v>
      </c>
      <c r="AE292" s="148" t="s">
        <v>76</v>
      </c>
      <c r="AF292" s="148" t="s">
        <v>77</v>
      </c>
    </row>
    <row r="293" spans="1:32" ht="38.25" x14ac:dyDescent="0.25">
      <c r="A293" s="294" t="str">
        <f>IF(B293=Reactivos_[[#This Row],[Cantidad LANIP]],"LANIP",IF(B293=Reactivos_[[#This Row],[Cantidad 
LDV]],"LDV",IF(B293=Reactivos_[[#This Row],[Cantidad LNDV]],"LNDV",IF(B293=Reactivos_[[#This Row],[GGCA]],"GGCA",IF(B293=Reactivos_[[#This Row],[Cantidad LDF]],"LDF",IF(Reactivos_[[#This Row],[Cantidad LDF&amp;MR]],"LDF&amp;MR",IF(B293=Reactivos_[[#This Row],[Cantidad RED LASE]],"LASE",IF(B293=Reactivos_[[#This Row],[Cantidad LANIA]],"LANIA",IF(B293=Reactivos_[[#This Row],[Cantidad SPA]],"SPA"," ")))))))))</f>
        <v>LANIP</v>
      </c>
      <c r="B29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93" s="325">
        <v>291</v>
      </c>
      <c r="D293" s="326">
        <v>390</v>
      </c>
      <c r="E293" s="327" t="s">
        <v>858</v>
      </c>
      <c r="F293" s="244" t="s">
        <v>857</v>
      </c>
      <c r="G293" s="327"/>
      <c r="H293" s="348" t="s">
        <v>854</v>
      </c>
      <c r="I293" s="352" t="s">
        <v>855</v>
      </c>
      <c r="J29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93" s="160">
        <v>747242</v>
      </c>
      <c r="L293" s="160">
        <f>+Reactivos_[[#This Row],[Cantidad]]*Reactivos_[[#This Row],[Valor de referencia]]</f>
        <v>747242</v>
      </c>
      <c r="M293" s="254">
        <v>1</v>
      </c>
      <c r="N293" s="255">
        <f>+Reactivos_[[#This Row],[Valor de referencia]]*Reactivos_[[#This Row],[Cantidad LANIP]]</f>
        <v>747242</v>
      </c>
      <c r="O293" s="256"/>
      <c r="P293" s="255">
        <f>+Reactivos_[[#This Row],[Cantidad 
LDV]]*Reactivos_[[#This Row],[Valor de referencia]]</f>
        <v>0</v>
      </c>
      <c r="Q293" s="257"/>
      <c r="R293" s="255">
        <f>+Reactivos_[[#This Row],[Cantidad LNDV]]*Reactivos_[[#This Row],[Valor de referencia]]</f>
        <v>0</v>
      </c>
      <c r="S293" s="148"/>
      <c r="T293" s="255">
        <f>+Reactivos_[[#This Row],[GGCA]]*Reactivos_[[#This Row],[Valor de referencia]]</f>
        <v>0</v>
      </c>
      <c r="U293" s="254"/>
      <c r="V293" s="255">
        <f>+Reactivos_[[#This Row],[Cantidad LDF]]*Reactivos_[[#This Row],[Valor de referencia]]</f>
        <v>0</v>
      </c>
      <c r="W293" s="254"/>
      <c r="X293" s="255">
        <f>+Reactivos_[[#This Row],[Cantidad LDF&amp;MR]]*Reactivos_[[#This Row],[Valor de referencia]]</f>
        <v>0</v>
      </c>
      <c r="Y293" s="254"/>
      <c r="Z293" s="255">
        <f>+Reactivos_[[#This Row],[Cantidad RED LASE]]*Reactivos_[[#This Row],[Valor de referencia]]</f>
        <v>0</v>
      </c>
      <c r="AA293" s="254"/>
      <c r="AB293" s="255">
        <f>+Reactivos_[[#This Row],[Cantidad LANIA]]*Reactivos_[[#This Row],[Valor de referencia]]</f>
        <v>0</v>
      </c>
      <c r="AC293" s="254"/>
      <c r="AD293" s="255">
        <f>+Reactivos_[[#This Row],[Cantidad SPA]]*Reactivos_[[#This Row],[Valor de referencia]]</f>
        <v>0</v>
      </c>
      <c r="AE293" s="148" t="s">
        <v>76</v>
      </c>
      <c r="AF293" s="148" t="s">
        <v>77</v>
      </c>
    </row>
    <row r="294" spans="1:32" ht="16.5" customHeight="1" x14ac:dyDescent="0.25">
      <c r="A294" s="294" t="str">
        <f>IF(B294=Reactivos_[[#This Row],[Cantidad LANIP]],"LANIP",IF(B294=Reactivos_[[#This Row],[Cantidad 
LDV]],"LDV",IF(B294=Reactivos_[[#This Row],[Cantidad LNDV]],"LNDV",IF(B294=Reactivos_[[#This Row],[GGCA]],"GGCA",IF(B294=Reactivos_[[#This Row],[Cantidad LDF]],"LDF",IF(Reactivos_[[#This Row],[Cantidad LDF&amp;MR]],"LDF&amp;MR",IF(B294=Reactivos_[[#This Row],[Cantidad RED LASE]],"LASE",IF(B294=Reactivos_[[#This Row],[Cantidad LANIA]],"LANIA",IF(B294=Reactivos_[[#This Row],[Cantidad SPA]],"SPA"," ")))))))))</f>
        <v>LANIA</v>
      </c>
      <c r="B29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294" s="325">
        <v>292</v>
      </c>
      <c r="D294" s="326">
        <v>391</v>
      </c>
      <c r="E294" s="245" t="s">
        <v>859</v>
      </c>
      <c r="F294" s="244" t="s">
        <v>860</v>
      </c>
      <c r="G294" s="245"/>
      <c r="H294" s="346" t="s">
        <v>861</v>
      </c>
      <c r="I294" s="336" t="s">
        <v>862</v>
      </c>
      <c r="J29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294" s="160">
        <v>159103</v>
      </c>
      <c r="L294" s="160">
        <f>+Reactivos_[[#This Row],[Cantidad]]*Reactivos_[[#This Row],[Valor de referencia]]</f>
        <v>318206</v>
      </c>
      <c r="M294" s="254">
        <v>0</v>
      </c>
      <c r="N294" s="255">
        <f>+Reactivos_[[#This Row],[Valor de referencia]]*Reactivos_[[#This Row],[Cantidad LANIP]]</f>
        <v>0</v>
      </c>
      <c r="O294" s="256"/>
      <c r="P294" s="255">
        <f>+Reactivos_[[#This Row],[Cantidad 
LDV]]*Reactivos_[[#This Row],[Valor de referencia]]</f>
        <v>0</v>
      </c>
      <c r="Q294" s="257"/>
      <c r="R294" s="255">
        <f>+Reactivos_[[#This Row],[Cantidad LNDV]]*Reactivos_[[#This Row],[Valor de referencia]]</f>
        <v>0</v>
      </c>
      <c r="S294" s="148"/>
      <c r="T294" s="255">
        <f>+Reactivos_[[#This Row],[GGCA]]*Reactivos_[[#This Row],[Valor de referencia]]</f>
        <v>0</v>
      </c>
      <c r="U294" s="254"/>
      <c r="V294" s="255">
        <f>+Reactivos_[[#This Row],[Cantidad LDF]]*Reactivos_[[#This Row],[Valor de referencia]]</f>
        <v>0</v>
      </c>
      <c r="W294" s="254"/>
      <c r="X294" s="255">
        <f>+Reactivos_[[#This Row],[Cantidad LDF&amp;MR]]*Reactivos_[[#This Row],[Valor de referencia]]</f>
        <v>0</v>
      </c>
      <c r="Y294" s="254"/>
      <c r="Z294" s="255">
        <f>+Reactivos_[[#This Row],[Cantidad RED LASE]]*Reactivos_[[#This Row],[Valor de referencia]]</f>
        <v>0</v>
      </c>
      <c r="AA294" s="254">
        <v>2</v>
      </c>
      <c r="AB294" s="255">
        <f>+Reactivos_[[#This Row],[Cantidad LANIA]]*Reactivos_[[#This Row],[Valor de referencia]]</f>
        <v>318206</v>
      </c>
      <c r="AC294" s="254"/>
      <c r="AD294" s="255">
        <f>+Reactivos_[[#This Row],[Cantidad SPA]]*Reactivos_[[#This Row],[Valor de referencia]]</f>
        <v>0</v>
      </c>
      <c r="AE294" s="148" t="s">
        <v>76</v>
      </c>
      <c r="AF294" s="148" t="s">
        <v>77</v>
      </c>
    </row>
    <row r="295" spans="1:32" ht="22.5" customHeight="1" x14ac:dyDescent="0.25">
      <c r="A295" s="294" t="str">
        <f>IF(B295=Reactivos_[[#This Row],[Cantidad LANIP]],"LANIP",IF(B295=Reactivos_[[#This Row],[Cantidad 
LDV]],"LDV",IF(B295=Reactivos_[[#This Row],[Cantidad LNDV]],"LNDV",IF(B295=Reactivos_[[#This Row],[GGCA]],"GGCA",IF(B295=Reactivos_[[#This Row],[Cantidad LDF]],"LDF",IF(Reactivos_[[#This Row],[Cantidad LDF&amp;MR]],"LDF&amp;MR",IF(B295=Reactivos_[[#This Row],[Cantidad RED LASE]],"LASE",IF(B295=Reactivos_[[#This Row],[Cantidad LANIA]],"LANIA",IF(B295=Reactivos_[[#This Row],[Cantidad SPA]],"SPA"," ")))))))))</f>
        <v>LANIP</v>
      </c>
      <c r="B29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95" s="325">
        <v>293</v>
      </c>
      <c r="D295" s="326">
        <v>395</v>
      </c>
      <c r="E295" s="327" t="s">
        <v>863</v>
      </c>
      <c r="F295" s="244" t="s">
        <v>864</v>
      </c>
      <c r="G295" s="327"/>
      <c r="H295" s="328" t="s">
        <v>865</v>
      </c>
      <c r="I295" s="329" t="s">
        <v>866</v>
      </c>
      <c r="J29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95" s="160">
        <v>1849442</v>
      </c>
      <c r="L295" s="160">
        <f>+Reactivos_[[#This Row],[Cantidad]]*Reactivos_[[#This Row],[Valor de referencia]]</f>
        <v>1849442</v>
      </c>
      <c r="M295" s="254">
        <v>1</v>
      </c>
      <c r="N295" s="255">
        <f>+Reactivos_[[#This Row],[Valor de referencia]]*Reactivos_[[#This Row],[Cantidad LANIP]]</f>
        <v>1849442</v>
      </c>
      <c r="O295" s="256"/>
      <c r="P295" s="255">
        <f>+Reactivos_[[#This Row],[Cantidad 
LDV]]*Reactivos_[[#This Row],[Valor de referencia]]</f>
        <v>0</v>
      </c>
      <c r="Q295" s="257"/>
      <c r="R295" s="255">
        <f>+Reactivos_[[#This Row],[Cantidad LNDV]]*Reactivos_[[#This Row],[Valor de referencia]]</f>
        <v>0</v>
      </c>
      <c r="S295" s="148"/>
      <c r="T295" s="255">
        <f>+Reactivos_[[#This Row],[GGCA]]*Reactivos_[[#This Row],[Valor de referencia]]</f>
        <v>0</v>
      </c>
      <c r="U295" s="254"/>
      <c r="V295" s="255">
        <f>+Reactivos_[[#This Row],[Cantidad LDF]]*Reactivos_[[#This Row],[Valor de referencia]]</f>
        <v>0</v>
      </c>
      <c r="W295" s="254"/>
      <c r="X295" s="255">
        <f>+Reactivos_[[#This Row],[Cantidad LDF&amp;MR]]*Reactivos_[[#This Row],[Valor de referencia]]</f>
        <v>0</v>
      </c>
      <c r="Y295" s="254"/>
      <c r="Z295" s="255">
        <f>+Reactivos_[[#This Row],[Cantidad RED LASE]]*Reactivos_[[#This Row],[Valor de referencia]]</f>
        <v>0</v>
      </c>
      <c r="AA295" s="254"/>
      <c r="AB295" s="255">
        <f>+Reactivos_[[#This Row],[Cantidad LANIA]]*Reactivos_[[#This Row],[Valor de referencia]]</f>
        <v>0</v>
      </c>
      <c r="AC295" s="254"/>
      <c r="AD295" s="255">
        <f>+Reactivos_[[#This Row],[Cantidad SPA]]*Reactivos_[[#This Row],[Valor de referencia]]</f>
        <v>0</v>
      </c>
      <c r="AE295" s="148" t="s">
        <v>76</v>
      </c>
      <c r="AF295" s="148" t="s">
        <v>77</v>
      </c>
    </row>
    <row r="296" spans="1:32" ht="38.25" x14ac:dyDescent="0.25">
      <c r="A296" s="294" t="str">
        <f>IF(B296=Reactivos_[[#This Row],[Cantidad LANIP]],"LANIP",IF(B296=Reactivos_[[#This Row],[Cantidad 
LDV]],"LDV",IF(B296=Reactivos_[[#This Row],[Cantidad LNDV]],"LNDV",IF(B296=Reactivos_[[#This Row],[GGCA]],"GGCA",IF(B296=Reactivos_[[#This Row],[Cantidad LDF]],"LDF",IF(Reactivos_[[#This Row],[Cantidad LDF&amp;MR]],"LDF&amp;MR",IF(B296=Reactivos_[[#This Row],[Cantidad RED LASE]],"LASE",IF(B296=Reactivos_[[#This Row],[Cantidad LANIA]],"LANIA",IF(B296=Reactivos_[[#This Row],[Cantidad SPA]],"SPA"," ")))))))))</f>
        <v>LANIP</v>
      </c>
      <c r="B29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96" s="325">
        <v>294</v>
      </c>
      <c r="D296" s="326">
        <v>400</v>
      </c>
      <c r="E296" s="327" t="s">
        <v>867</v>
      </c>
      <c r="F296" s="244" t="s">
        <v>868</v>
      </c>
      <c r="G296" s="327"/>
      <c r="H296" s="328" t="s">
        <v>865</v>
      </c>
      <c r="I296" s="329" t="s">
        <v>866</v>
      </c>
      <c r="J29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96" s="160">
        <v>2071316</v>
      </c>
      <c r="L296" s="160">
        <f>+Reactivos_[[#This Row],[Cantidad]]*Reactivos_[[#This Row],[Valor de referencia]]</f>
        <v>2071316</v>
      </c>
      <c r="M296" s="254">
        <v>1</v>
      </c>
      <c r="N296" s="255">
        <f>+Reactivos_[[#This Row],[Valor de referencia]]*Reactivos_[[#This Row],[Cantidad LANIP]]</f>
        <v>2071316</v>
      </c>
      <c r="O296" s="256"/>
      <c r="P296" s="255">
        <f>+Reactivos_[[#This Row],[Cantidad 
LDV]]*Reactivos_[[#This Row],[Valor de referencia]]</f>
        <v>0</v>
      </c>
      <c r="Q296" s="257"/>
      <c r="R296" s="255">
        <f>+Reactivos_[[#This Row],[Cantidad LNDV]]*Reactivos_[[#This Row],[Valor de referencia]]</f>
        <v>0</v>
      </c>
      <c r="S296" s="148"/>
      <c r="T296" s="255">
        <f>+Reactivos_[[#This Row],[GGCA]]*Reactivos_[[#This Row],[Valor de referencia]]</f>
        <v>0</v>
      </c>
      <c r="U296" s="254"/>
      <c r="V296" s="255">
        <f>+Reactivos_[[#This Row],[Cantidad LDF]]*Reactivos_[[#This Row],[Valor de referencia]]</f>
        <v>0</v>
      </c>
      <c r="W296" s="254"/>
      <c r="X296" s="255">
        <f>+Reactivos_[[#This Row],[Cantidad LDF&amp;MR]]*Reactivos_[[#This Row],[Valor de referencia]]</f>
        <v>0</v>
      </c>
      <c r="Y296" s="254"/>
      <c r="Z296" s="255">
        <f>+Reactivos_[[#This Row],[Cantidad RED LASE]]*Reactivos_[[#This Row],[Valor de referencia]]</f>
        <v>0</v>
      </c>
      <c r="AA296" s="254"/>
      <c r="AB296" s="255">
        <f>+Reactivos_[[#This Row],[Cantidad LANIA]]*Reactivos_[[#This Row],[Valor de referencia]]</f>
        <v>0</v>
      </c>
      <c r="AC296" s="254"/>
      <c r="AD296" s="255">
        <f>+Reactivos_[[#This Row],[Cantidad SPA]]*Reactivos_[[#This Row],[Valor de referencia]]</f>
        <v>0</v>
      </c>
      <c r="AE296" s="148" t="s">
        <v>76</v>
      </c>
      <c r="AF296" s="148" t="s">
        <v>77</v>
      </c>
    </row>
    <row r="297" spans="1:32" ht="33.75" customHeight="1" x14ac:dyDescent="0.25">
      <c r="A297" s="294" t="str">
        <f>IF(B297=Reactivos_[[#This Row],[Cantidad LANIP]],"LANIP",IF(B297=Reactivos_[[#This Row],[Cantidad 
LDV]],"LDV",IF(B297=Reactivos_[[#This Row],[Cantidad LNDV]],"LNDV",IF(B297=Reactivos_[[#This Row],[GGCA]],"GGCA",IF(B297=Reactivos_[[#This Row],[Cantidad LDF]],"LDF",IF(Reactivos_[[#This Row],[Cantidad LDF&amp;MR]],"LDF&amp;MR",IF(B297=Reactivos_[[#This Row],[Cantidad RED LASE]],"LASE",IF(B297=Reactivos_[[#This Row],[Cantidad LANIA]],"LANIA",IF(B297=Reactivos_[[#This Row],[Cantidad SPA]],"SPA"," ")))))))))</f>
        <v>LANIP</v>
      </c>
      <c r="B29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97" s="325">
        <v>295</v>
      </c>
      <c r="D297" s="326">
        <v>401</v>
      </c>
      <c r="E297" s="327" t="s">
        <v>867</v>
      </c>
      <c r="F297" s="244" t="s">
        <v>868</v>
      </c>
      <c r="G297" s="327"/>
      <c r="H297" s="328" t="s">
        <v>869</v>
      </c>
      <c r="I297" s="329" t="s">
        <v>866</v>
      </c>
      <c r="J29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97" s="160">
        <v>1181075</v>
      </c>
      <c r="L297" s="160">
        <f>+Reactivos_[[#This Row],[Cantidad]]*Reactivos_[[#This Row],[Valor de referencia]]</f>
        <v>1181075</v>
      </c>
      <c r="M297" s="254">
        <v>1</v>
      </c>
      <c r="N297" s="255">
        <f>+Reactivos_[[#This Row],[Valor de referencia]]*Reactivos_[[#This Row],[Cantidad LANIP]]</f>
        <v>1181075</v>
      </c>
      <c r="O297" s="256"/>
      <c r="P297" s="255">
        <f>+Reactivos_[[#This Row],[Cantidad 
LDV]]*Reactivos_[[#This Row],[Valor de referencia]]</f>
        <v>0</v>
      </c>
      <c r="Q297" s="257"/>
      <c r="R297" s="255">
        <f>+Reactivos_[[#This Row],[Cantidad LNDV]]*Reactivos_[[#This Row],[Valor de referencia]]</f>
        <v>0</v>
      </c>
      <c r="S297" s="148"/>
      <c r="T297" s="255">
        <f>+Reactivos_[[#This Row],[GGCA]]*Reactivos_[[#This Row],[Valor de referencia]]</f>
        <v>0</v>
      </c>
      <c r="U297" s="254"/>
      <c r="V297" s="255">
        <f>+Reactivos_[[#This Row],[Cantidad LDF]]*Reactivos_[[#This Row],[Valor de referencia]]</f>
        <v>0</v>
      </c>
      <c r="W297" s="254"/>
      <c r="X297" s="255">
        <f>+Reactivos_[[#This Row],[Cantidad LDF&amp;MR]]*Reactivos_[[#This Row],[Valor de referencia]]</f>
        <v>0</v>
      </c>
      <c r="Y297" s="254"/>
      <c r="Z297" s="255">
        <f>+Reactivos_[[#This Row],[Cantidad RED LASE]]*Reactivos_[[#This Row],[Valor de referencia]]</f>
        <v>0</v>
      </c>
      <c r="AA297" s="254"/>
      <c r="AB297" s="255">
        <f>+Reactivos_[[#This Row],[Cantidad LANIA]]*Reactivos_[[#This Row],[Valor de referencia]]</f>
        <v>0</v>
      </c>
      <c r="AC297" s="254"/>
      <c r="AD297" s="255">
        <f>+Reactivos_[[#This Row],[Cantidad SPA]]*Reactivos_[[#This Row],[Valor de referencia]]</f>
        <v>0</v>
      </c>
      <c r="AE297" s="148" t="s">
        <v>76</v>
      </c>
      <c r="AF297" s="148" t="s">
        <v>77</v>
      </c>
    </row>
    <row r="298" spans="1:32" ht="38.25" x14ac:dyDescent="0.25">
      <c r="A298" s="294" t="str">
        <f>IF(B298=Reactivos_[[#This Row],[Cantidad LANIP]],"LANIP",IF(B298=Reactivos_[[#This Row],[Cantidad 
LDV]],"LDV",IF(B298=Reactivos_[[#This Row],[Cantidad LNDV]],"LNDV",IF(B298=Reactivos_[[#This Row],[GGCA]],"GGCA",IF(B298=Reactivos_[[#This Row],[Cantidad LDF]],"LDF",IF(Reactivos_[[#This Row],[Cantidad LDF&amp;MR]],"LDF&amp;MR",IF(B298=Reactivos_[[#This Row],[Cantidad RED LASE]],"LASE",IF(B298=Reactivos_[[#This Row],[Cantidad LANIA]],"LANIA",IF(B298=Reactivos_[[#This Row],[Cantidad SPA]],"SPA"," ")))))))))</f>
        <v>LANIP</v>
      </c>
      <c r="B29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98" s="325">
        <v>296</v>
      </c>
      <c r="D298" s="326">
        <v>402</v>
      </c>
      <c r="E298" s="327" t="s">
        <v>867</v>
      </c>
      <c r="F298" s="244" t="s">
        <v>868</v>
      </c>
      <c r="G298" s="327"/>
      <c r="H298" s="348" t="s">
        <v>870</v>
      </c>
      <c r="I298" s="329" t="s">
        <v>871</v>
      </c>
      <c r="J29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98" s="240">
        <v>10480985</v>
      </c>
      <c r="L298" s="160">
        <f>+Reactivos_[[#This Row],[Cantidad]]*Reactivos_[[#This Row],[Valor de referencia]]</f>
        <v>10480985</v>
      </c>
      <c r="M298" s="254">
        <v>1</v>
      </c>
      <c r="N298" s="255">
        <f>+Reactivos_[[#This Row],[Valor de referencia]]*Reactivos_[[#This Row],[Cantidad LANIP]]</f>
        <v>10480985</v>
      </c>
      <c r="O298" s="256"/>
      <c r="P298" s="255">
        <f>+Reactivos_[[#This Row],[Cantidad 
LDV]]*Reactivos_[[#This Row],[Valor de referencia]]</f>
        <v>0</v>
      </c>
      <c r="Q298" s="257"/>
      <c r="R298" s="255">
        <f>+Reactivos_[[#This Row],[Cantidad LNDV]]*Reactivos_[[#This Row],[Valor de referencia]]</f>
        <v>0</v>
      </c>
      <c r="S298" s="148"/>
      <c r="T298" s="255">
        <f>+Reactivos_[[#This Row],[GGCA]]*Reactivos_[[#This Row],[Valor de referencia]]</f>
        <v>0</v>
      </c>
      <c r="U298" s="254"/>
      <c r="V298" s="255">
        <f>+Reactivos_[[#This Row],[Cantidad LDF]]*Reactivos_[[#This Row],[Valor de referencia]]</f>
        <v>0</v>
      </c>
      <c r="W298" s="254"/>
      <c r="X298" s="255">
        <f>+Reactivos_[[#This Row],[Cantidad LDF&amp;MR]]*Reactivos_[[#This Row],[Valor de referencia]]</f>
        <v>0</v>
      </c>
      <c r="Y298" s="254"/>
      <c r="Z298" s="255">
        <f>+Reactivos_[[#This Row],[Cantidad RED LASE]]*Reactivos_[[#This Row],[Valor de referencia]]</f>
        <v>0</v>
      </c>
      <c r="AA298" s="254"/>
      <c r="AB298" s="255">
        <f>+Reactivos_[[#This Row],[Cantidad LANIA]]*Reactivos_[[#This Row],[Valor de referencia]]</f>
        <v>0</v>
      </c>
      <c r="AC298" s="254"/>
      <c r="AD298" s="255">
        <f>+Reactivos_[[#This Row],[Cantidad SPA]]*Reactivos_[[#This Row],[Valor de referencia]]</f>
        <v>0</v>
      </c>
      <c r="AE298" s="148" t="s">
        <v>76</v>
      </c>
      <c r="AF298" s="148" t="s">
        <v>77</v>
      </c>
    </row>
    <row r="299" spans="1:32" ht="51" x14ac:dyDescent="0.25">
      <c r="A299" s="294" t="str">
        <f>IF(B299=Reactivos_[[#This Row],[Cantidad LANIP]],"LANIP",IF(B299=Reactivos_[[#This Row],[Cantidad 
LDV]],"LDV",IF(B299=Reactivos_[[#This Row],[Cantidad LNDV]],"LNDV",IF(B299=Reactivos_[[#This Row],[GGCA]],"GGCA",IF(B299=Reactivos_[[#This Row],[Cantidad LDF]],"LDF",IF(Reactivos_[[#This Row],[Cantidad LDF&amp;MR]],"LDF&amp;MR",IF(B299=Reactivos_[[#This Row],[Cantidad RED LASE]],"LASE",IF(B299=Reactivos_[[#This Row],[Cantidad LANIA]],"LANIA",IF(B299=Reactivos_[[#This Row],[Cantidad SPA]],"SPA"," ")))))))))</f>
        <v>LANIA</v>
      </c>
      <c r="B29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299" s="325">
        <v>297</v>
      </c>
      <c r="D299" s="326">
        <v>404</v>
      </c>
      <c r="E299" s="245" t="s">
        <v>872</v>
      </c>
      <c r="F299" s="244" t="s">
        <v>873</v>
      </c>
      <c r="G299" s="245" t="s">
        <v>874</v>
      </c>
      <c r="H299" s="346" t="s">
        <v>875</v>
      </c>
      <c r="I299" s="336" t="s">
        <v>876</v>
      </c>
      <c r="J29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299" s="240">
        <v>10071446</v>
      </c>
      <c r="L299" s="160">
        <f>+Reactivos_[[#This Row],[Cantidad]]*Reactivos_[[#This Row],[Valor de referencia]]</f>
        <v>10071446</v>
      </c>
      <c r="M299" s="254">
        <v>0</v>
      </c>
      <c r="N299" s="255">
        <f>+Reactivos_[[#This Row],[Valor de referencia]]*Reactivos_[[#This Row],[Cantidad LANIP]]</f>
        <v>0</v>
      </c>
      <c r="O299" s="256"/>
      <c r="P299" s="255">
        <f>+Reactivos_[[#This Row],[Cantidad 
LDV]]*Reactivos_[[#This Row],[Valor de referencia]]</f>
        <v>0</v>
      </c>
      <c r="Q299" s="257"/>
      <c r="R299" s="255">
        <f>+Reactivos_[[#This Row],[Cantidad LNDV]]*Reactivos_[[#This Row],[Valor de referencia]]</f>
        <v>0</v>
      </c>
      <c r="S299" s="148"/>
      <c r="T299" s="255">
        <f>+Reactivos_[[#This Row],[GGCA]]*Reactivos_[[#This Row],[Valor de referencia]]</f>
        <v>0</v>
      </c>
      <c r="U299" s="254"/>
      <c r="V299" s="255">
        <f>+Reactivos_[[#This Row],[Cantidad LDF]]*Reactivos_[[#This Row],[Valor de referencia]]</f>
        <v>0</v>
      </c>
      <c r="W299" s="254"/>
      <c r="X299" s="255">
        <f>+Reactivos_[[#This Row],[Cantidad LDF&amp;MR]]*Reactivos_[[#This Row],[Valor de referencia]]</f>
        <v>0</v>
      </c>
      <c r="Y299" s="254"/>
      <c r="Z299" s="255">
        <f>+Reactivos_[[#This Row],[Cantidad RED LASE]]*Reactivos_[[#This Row],[Valor de referencia]]</f>
        <v>0</v>
      </c>
      <c r="AA299" s="254">
        <v>1</v>
      </c>
      <c r="AB299" s="255">
        <f>+Reactivos_[[#This Row],[Cantidad LANIA]]*Reactivos_[[#This Row],[Valor de referencia]]</f>
        <v>10071446</v>
      </c>
      <c r="AC299" s="254"/>
      <c r="AD299" s="255">
        <f>+Reactivos_[[#This Row],[Cantidad SPA]]*Reactivos_[[#This Row],[Valor de referencia]]</f>
        <v>0</v>
      </c>
      <c r="AE299" s="148" t="s">
        <v>76</v>
      </c>
      <c r="AF299" s="148" t="s">
        <v>77</v>
      </c>
    </row>
    <row r="300" spans="1:32" ht="22.5" customHeight="1" x14ac:dyDescent="0.25">
      <c r="A300" s="294" t="str">
        <f>IF(B300=Reactivos_[[#This Row],[Cantidad LANIP]],"LANIP",IF(B300=Reactivos_[[#This Row],[Cantidad 
LDV]],"LDV",IF(B300=Reactivos_[[#This Row],[Cantidad LNDV]],"LNDV",IF(B300=Reactivos_[[#This Row],[GGCA]],"GGCA",IF(B300=Reactivos_[[#This Row],[Cantidad LDF]],"LDF",IF(Reactivos_[[#This Row],[Cantidad LDF&amp;MR]],"LDF&amp;MR",IF(B300=Reactivos_[[#This Row],[Cantidad RED LASE]],"LASE",IF(B300=Reactivos_[[#This Row],[Cantidad LANIA]],"LANIA",IF(B300=Reactivos_[[#This Row],[Cantidad SPA]],"SPA"," ")))))))))</f>
        <v>LANIP</v>
      </c>
      <c r="B30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0" s="325">
        <v>298</v>
      </c>
      <c r="D300" s="326">
        <v>411</v>
      </c>
      <c r="E300" s="331" t="s">
        <v>877</v>
      </c>
      <c r="F300" s="332" t="s">
        <v>878</v>
      </c>
      <c r="G300" s="331"/>
      <c r="H300" s="328" t="s">
        <v>879</v>
      </c>
      <c r="I300" s="334" t="s">
        <v>784</v>
      </c>
      <c r="J30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0" s="160">
        <v>2772125</v>
      </c>
      <c r="L300" s="160">
        <f>+Reactivos_[[#This Row],[Cantidad]]*Reactivos_[[#This Row],[Valor de referencia]]</f>
        <v>2772125</v>
      </c>
      <c r="M300" s="254">
        <v>1</v>
      </c>
      <c r="N300" s="255">
        <f>+Reactivos_[[#This Row],[Valor de referencia]]*Reactivos_[[#This Row],[Cantidad LANIP]]</f>
        <v>2772125</v>
      </c>
      <c r="O300" s="256"/>
      <c r="P300" s="255">
        <f>+Reactivos_[[#This Row],[Cantidad 
LDV]]*Reactivos_[[#This Row],[Valor de referencia]]</f>
        <v>0</v>
      </c>
      <c r="Q300" s="257"/>
      <c r="R300" s="255">
        <f>+Reactivos_[[#This Row],[Cantidad LNDV]]*Reactivos_[[#This Row],[Valor de referencia]]</f>
        <v>0</v>
      </c>
      <c r="S300" s="148"/>
      <c r="T300" s="255">
        <f>+Reactivos_[[#This Row],[GGCA]]*Reactivos_[[#This Row],[Valor de referencia]]</f>
        <v>0</v>
      </c>
      <c r="U300" s="254"/>
      <c r="V300" s="255">
        <f>+Reactivos_[[#This Row],[Cantidad LDF]]*Reactivos_[[#This Row],[Valor de referencia]]</f>
        <v>0</v>
      </c>
      <c r="W300" s="254"/>
      <c r="X300" s="255">
        <f>+Reactivos_[[#This Row],[Cantidad LDF&amp;MR]]*Reactivos_[[#This Row],[Valor de referencia]]</f>
        <v>0</v>
      </c>
      <c r="Y300" s="254"/>
      <c r="Z300" s="255">
        <f>+Reactivos_[[#This Row],[Cantidad RED LASE]]*Reactivos_[[#This Row],[Valor de referencia]]</f>
        <v>0</v>
      </c>
      <c r="AA300" s="254"/>
      <c r="AB300" s="255">
        <f>+Reactivos_[[#This Row],[Cantidad LANIA]]*Reactivos_[[#This Row],[Valor de referencia]]</f>
        <v>0</v>
      </c>
      <c r="AC300" s="254"/>
      <c r="AD300" s="255">
        <f>+Reactivos_[[#This Row],[Cantidad SPA]]*Reactivos_[[#This Row],[Valor de referencia]]</f>
        <v>0</v>
      </c>
      <c r="AE300" s="148" t="s">
        <v>76</v>
      </c>
      <c r="AF300" s="148" t="s">
        <v>77</v>
      </c>
    </row>
    <row r="301" spans="1:32" ht="18" customHeight="1" x14ac:dyDescent="0.25">
      <c r="A301" s="294" t="str">
        <f>IF(B301=Reactivos_[[#This Row],[Cantidad LANIP]],"LANIP",IF(B301=Reactivos_[[#This Row],[Cantidad 
LDV]],"LDV",IF(B301=Reactivos_[[#This Row],[Cantidad LNDV]],"LNDV",IF(B301=Reactivos_[[#This Row],[GGCA]],"GGCA",IF(B301=Reactivos_[[#This Row],[Cantidad LDF]],"LDF",IF(Reactivos_[[#This Row],[Cantidad LDF&amp;MR]],"LDF&amp;MR",IF(B301=Reactivos_[[#This Row],[Cantidad RED LASE]],"LASE",IF(B301=Reactivos_[[#This Row],[Cantidad LANIA]],"LANIA",IF(B301=Reactivos_[[#This Row],[Cantidad SPA]],"SPA"," ")))))))))</f>
        <v>LANIP</v>
      </c>
      <c r="B30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1" s="325">
        <v>299</v>
      </c>
      <c r="D301" s="326">
        <v>412</v>
      </c>
      <c r="E301" s="331" t="s">
        <v>880</v>
      </c>
      <c r="F301" s="332" t="s">
        <v>881</v>
      </c>
      <c r="G301" s="331"/>
      <c r="H301" s="328" t="s">
        <v>879</v>
      </c>
      <c r="I301" s="334" t="s">
        <v>784</v>
      </c>
      <c r="J30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1" s="160">
        <v>2758958</v>
      </c>
      <c r="L301" s="160">
        <f>+Reactivos_[[#This Row],[Cantidad]]*Reactivos_[[#This Row],[Valor de referencia]]</f>
        <v>2758958</v>
      </c>
      <c r="M301" s="254">
        <v>1</v>
      </c>
      <c r="N301" s="255">
        <f>+Reactivos_[[#This Row],[Valor de referencia]]*Reactivos_[[#This Row],[Cantidad LANIP]]</f>
        <v>2758958</v>
      </c>
      <c r="O301" s="256"/>
      <c r="P301" s="255">
        <f>+Reactivos_[[#This Row],[Cantidad 
LDV]]*Reactivos_[[#This Row],[Valor de referencia]]</f>
        <v>0</v>
      </c>
      <c r="Q301" s="257"/>
      <c r="R301" s="255">
        <f>+Reactivos_[[#This Row],[Cantidad LNDV]]*Reactivos_[[#This Row],[Valor de referencia]]</f>
        <v>0</v>
      </c>
      <c r="S301" s="148"/>
      <c r="T301" s="255">
        <f>+Reactivos_[[#This Row],[GGCA]]*Reactivos_[[#This Row],[Valor de referencia]]</f>
        <v>0</v>
      </c>
      <c r="U301" s="254"/>
      <c r="V301" s="255">
        <f>+Reactivos_[[#This Row],[Cantidad LDF]]*Reactivos_[[#This Row],[Valor de referencia]]</f>
        <v>0</v>
      </c>
      <c r="W301" s="254"/>
      <c r="X301" s="255">
        <f>+Reactivos_[[#This Row],[Cantidad LDF&amp;MR]]*Reactivos_[[#This Row],[Valor de referencia]]</f>
        <v>0</v>
      </c>
      <c r="Y301" s="254"/>
      <c r="Z301" s="255">
        <f>+Reactivos_[[#This Row],[Cantidad RED LASE]]*Reactivos_[[#This Row],[Valor de referencia]]</f>
        <v>0</v>
      </c>
      <c r="AA301" s="254"/>
      <c r="AB301" s="255">
        <f>+Reactivos_[[#This Row],[Cantidad LANIA]]*Reactivos_[[#This Row],[Valor de referencia]]</f>
        <v>0</v>
      </c>
      <c r="AC301" s="254"/>
      <c r="AD301" s="255">
        <f>+Reactivos_[[#This Row],[Cantidad SPA]]*Reactivos_[[#This Row],[Valor de referencia]]</f>
        <v>0</v>
      </c>
      <c r="AE301" s="148" t="s">
        <v>76</v>
      </c>
      <c r="AF301" s="148" t="s">
        <v>77</v>
      </c>
    </row>
    <row r="302" spans="1:32" ht="22.5" customHeight="1" x14ac:dyDescent="0.25">
      <c r="A302" s="294" t="str">
        <f>IF(B302=Reactivos_[[#This Row],[Cantidad LANIP]],"LANIP",IF(B302=Reactivos_[[#This Row],[Cantidad 
LDV]],"LDV",IF(B302=Reactivos_[[#This Row],[Cantidad LNDV]],"LNDV",IF(B302=Reactivos_[[#This Row],[GGCA]],"GGCA",IF(B302=Reactivos_[[#This Row],[Cantidad LDF]],"LDF",IF(Reactivos_[[#This Row],[Cantidad LDF&amp;MR]],"LDF&amp;MR",IF(B302=Reactivos_[[#This Row],[Cantidad RED LASE]],"LASE",IF(B302=Reactivos_[[#This Row],[Cantidad LANIA]],"LANIA",IF(B302=Reactivos_[[#This Row],[Cantidad SPA]],"SPA"," ")))))))))</f>
        <v>LANIP</v>
      </c>
      <c r="B30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2" s="325">
        <v>300</v>
      </c>
      <c r="D302" s="326">
        <v>413</v>
      </c>
      <c r="E302" s="331" t="s">
        <v>882</v>
      </c>
      <c r="F302" s="332" t="s">
        <v>883</v>
      </c>
      <c r="G302" s="331" t="s">
        <v>884</v>
      </c>
      <c r="H302" s="328" t="s">
        <v>885</v>
      </c>
      <c r="I302" s="334" t="s">
        <v>784</v>
      </c>
      <c r="J30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2" s="160">
        <v>768302</v>
      </c>
      <c r="L302" s="160">
        <f>+Reactivos_[[#This Row],[Cantidad]]*Reactivos_[[#This Row],[Valor de referencia]]</f>
        <v>768302</v>
      </c>
      <c r="M302" s="254">
        <v>1</v>
      </c>
      <c r="N302" s="255">
        <f>+Reactivos_[[#This Row],[Valor de referencia]]*Reactivos_[[#This Row],[Cantidad LANIP]]</f>
        <v>768302</v>
      </c>
      <c r="O302" s="256"/>
      <c r="P302" s="255">
        <f>+Reactivos_[[#This Row],[Cantidad 
LDV]]*Reactivos_[[#This Row],[Valor de referencia]]</f>
        <v>0</v>
      </c>
      <c r="Q302" s="257"/>
      <c r="R302" s="255">
        <f>+Reactivos_[[#This Row],[Cantidad LNDV]]*Reactivos_[[#This Row],[Valor de referencia]]</f>
        <v>0</v>
      </c>
      <c r="S302" s="148"/>
      <c r="T302" s="255">
        <f>+Reactivos_[[#This Row],[GGCA]]*Reactivos_[[#This Row],[Valor de referencia]]</f>
        <v>0</v>
      </c>
      <c r="U302" s="254"/>
      <c r="V302" s="255">
        <f>+Reactivos_[[#This Row],[Cantidad LDF]]*Reactivos_[[#This Row],[Valor de referencia]]</f>
        <v>0</v>
      </c>
      <c r="W302" s="254"/>
      <c r="X302" s="255">
        <f>+Reactivos_[[#This Row],[Cantidad LDF&amp;MR]]*Reactivos_[[#This Row],[Valor de referencia]]</f>
        <v>0</v>
      </c>
      <c r="Y302" s="254"/>
      <c r="Z302" s="255">
        <f>+Reactivos_[[#This Row],[Cantidad RED LASE]]*Reactivos_[[#This Row],[Valor de referencia]]</f>
        <v>0</v>
      </c>
      <c r="AA302" s="254"/>
      <c r="AB302" s="255">
        <f>+Reactivos_[[#This Row],[Cantidad LANIA]]*Reactivos_[[#This Row],[Valor de referencia]]</f>
        <v>0</v>
      </c>
      <c r="AC302" s="254"/>
      <c r="AD302" s="255">
        <f>+Reactivos_[[#This Row],[Cantidad SPA]]*Reactivos_[[#This Row],[Valor de referencia]]</f>
        <v>0</v>
      </c>
      <c r="AE302" s="148" t="s">
        <v>76</v>
      </c>
      <c r="AF302" s="148" t="s">
        <v>77</v>
      </c>
    </row>
    <row r="303" spans="1:32" ht="27" customHeight="1" x14ac:dyDescent="0.25">
      <c r="A303" s="294" t="str">
        <f>IF(B303=Reactivos_[[#This Row],[Cantidad LANIP]],"LANIP",IF(B303=Reactivos_[[#This Row],[Cantidad 
LDV]],"LDV",IF(B303=Reactivos_[[#This Row],[Cantidad LNDV]],"LNDV",IF(B303=Reactivos_[[#This Row],[GGCA]],"GGCA",IF(B303=Reactivos_[[#This Row],[Cantidad LDF]],"LDF",IF(Reactivos_[[#This Row],[Cantidad LDF&amp;MR]],"LDF&amp;MR",IF(B303=Reactivos_[[#This Row],[Cantidad RED LASE]],"LASE",IF(B303=Reactivos_[[#This Row],[Cantidad LANIA]],"LANIA",IF(B303=Reactivos_[[#This Row],[Cantidad SPA]],"SPA"," ")))))))))</f>
        <v>LANIP</v>
      </c>
      <c r="B30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3" s="325">
        <v>301</v>
      </c>
      <c r="D303" s="326">
        <v>415</v>
      </c>
      <c r="E303" s="331" t="s">
        <v>886</v>
      </c>
      <c r="F303" s="332" t="s">
        <v>887</v>
      </c>
      <c r="G303" s="331"/>
      <c r="H303" s="328" t="s">
        <v>879</v>
      </c>
      <c r="I303" s="329" t="s">
        <v>888</v>
      </c>
      <c r="J30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3" s="160">
        <v>1310533</v>
      </c>
      <c r="L303" s="160">
        <f>+Reactivos_[[#This Row],[Cantidad]]*Reactivos_[[#This Row],[Valor de referencia]]</f>
        <v>1310533</v>
      </c>
      <c r="M303" s="254">
        <v>1</v>
      </c>
      <c r="N303" s="255">
        <f>+Reactivos_[[#This Row],[Valor de referencia]]*Reactivos_[[#This Row],[Cantidad LANIP]]</f>
        <v>1310533</v>
      </c>
      <c r="O303" s="256"/>
      <c r="P303" s="255">
        <f>+Reactivos_[[#This Row],[Cantidad 
LDV]]*Reactivos_[[#This Row],[Valor de referencia]]</f>
        <v>0</v>
      </c>
      <c r="Q303" s="257"/>
      <c r="R303" s="255">
        <f>+Reactivos_[[#This Row],[Cantidad LNDV]]*Reactivos_[[#This Row],[Valor de referencia]]</f>
        <v>0</v>
      </c>
      <c r="S303" s="148"/>
      <c r="T303" s="255">
        <f>+Reactivos_[[#This Row],[GGCA]]*Reactivos_[[#This Row],[Valor de referencia]]</f>
        <v>0</v>
      </c>
      <c r="U303" s="254"/>
      <c r="V303" s="255">
        <f>+Reactivos_[[#This Row],[Cantidad LDF]]*Reactivos_[[#This Row],[Valor de referencia]]</f>
        <v>0</v>
      </c>
      <c r="W303" s="254"/>
      <c r="X303" s="255">
        <f>+Reactivos_[[#This Row],[Cantidad LDF&amp;MR]]*Reactivos_[[#This Row],[Valor de referencia]]</f>
        <v>0</v>
      </c>
      <c r="Y303" s="254"/>
      <c r="Z303" s="255">
        <f>+Reactivos_[[#This Row],[Cantidad RED LASE]]*Reactivos_[[#This Row],[Valor de referencia]]</f>
        <v>0</v>
      </c>
      <c r="AA303" s="254"/>
      <c r="AB303" s="255">
        <f>+Reactivos_[[#This Row],[Cantidad LANIA]]*Reactivos_[[#This Row],[Valor de referencia]]</f>
        <v>0</v>
      </c>
      <c r="AC303" s="254"/>
      <c r="AD303" s="255">
        <f>+Reactivos_[[#This Row],[Cantidad SPA]]*Reactivos_[[#This Row],[Valor de referencia]]</f>
        <v>0</v>
      </c>
      <c r="AE303" s="148" t="s">
        <v>76</v>
      </c>
      <c r="AF303" s="148" t="s">
        <v>77</v>
      </c>
    </row>
    <row r="304" spans="1:32" ht="22.5" customHeight="1" x14ac:dyDescent="0.25">
      <c r="A304" s="294" t="str">
        <f>IF(B304=Reactivos_[[#This Row],[Cantidad LANIP]],"LANIP",IF(B304=Reactivos_[[#This Row],[Cantidad 
LDV]],"LDV",IF(B304=Reactivos_[[#This Row],[Cantidad LNDV]],"LNDV",IF(B304=Reactivos_[[#This Row],[GGCA]],"GGCA",IF(B304=Reactivos_[[#This Row],[Cantidad LDF]],"LDF",IF(Reactivos_[[#This Row],[Cantidad LDF&amp;MR]],"LDF&amp;MR",IF(B304=Reactivos_[[#This Row],[Cantidad RED LASE]],"LASE",IF(B304=Reactivos_[[#This Row],[Cantidad LANIA]],"LANIA",IF(B304=Reactivos_[[#This Row],[Cantidad SPA]],"SPA"," ")))))))))</f>
        <v>LANIP</v>
      </c>
      <c r="B30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4" s="325">
        <v>302</v>
      </c>
      <c r="D304" s="326">
        <v>419</v>
      </c>
      <c r="E304" s="331" t="s">
        <v>889</v>
      </c>
      <c r="F304" s="332" t="s">
        <v>890</v>
      </c>
      <c r="G304" s="331"/>
      <c r="H304" s="328" t="s">
        <v>891</v>
      </c>
      <c r="I304" s="334" t="s">
        <v>892</v>
      </c>
      <c r="J30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4" s="160">
        <v>1291611</v>
      </c>
      <c r="L304" s="160">
        <f>+Reactivos_[[#This Row],[Cantidad]]*Reactivos_[[#This Row],[Valor de referencia]]</f>
        <v>1291611</v>
      </c>
      <c r="M304" s="254">
        <v>1</v>
      </c>
      <c r="N304" s="255">
        <f>+Reactivos_[[#This Row],[Valor de referencia]]*Reactivos_[[#This Row],[Cantidad LANIP]]</f>
        <v>1291611</v>
      </c>
      <c r="O304" s="256"/>
      <c r="P304" s="255">
        <f>+Reactivos_[[#This Row],[Cantidad 
LDV]]*Reactivos_[[#This Row],[Valor de referencia]]</f>
        <v>0</v>
      </c>
      <c r="Q304" s="257"/>
      <c r="R304" s="255">
        <f>+Reactivos_[[#This Row],[Cantidad LNDV]]*Reactivos_[[#This Row],[Valor de referencia]]</f>
        <v>0</v>
      </c>
      <c r="S304" s="148"/>
      <c r="T304" s="255">
        <f>+Reactivos_[[#This Row],[GGCA]]*Reactivos_[[#This Row],[Valor de referencia]]</f>
        <v>0</v>
      </c>
      <c r="U304" s="254"/>
      <c r="V304" s="255">
        <f>+Reactivos_[[#This Row],[Cantidad LDF]]*Reactivos_[[#This Row],[Valor de referencia]]</f>
        <v>0</v>
      </c>
      <c r="W304" s="254"/>
      <c r="X304" s="255">
        <f>+Reactivos_[[#This Row],[Cantidad LDF&amp;MR]]*Reactivos_[[#This Row],[Valor de referencia]]</f>
        <v>0</v>
      </c>
      <c r="Y304" s="254"/>
      <c r="Z304" s="255">
        <f>+Reactivos_[[#This Row],[Cantidad RED LASE]]*Reactivos_[[#This Row],[Valor de referencia]]</f>
        <v>0</v>
      </c>
      <c r="AA304" s="254"/>
      <c r="AB304" s="255">
        <f>+Reactivos_[[#This Row],[Cantidad LANIA]]*Reactivos_[[#This Row],[Valor de referencia]]</f>
        <v>0</v>
      </c>
      <c r="AC304" s="254"/>
      <c r="AD304" s="255">
        <f>+Reactivos_[[#This Row],[Cantidad SPA]]*Reactivos_[[#This Row],[Valor de referencia]]</f>
        <v>0</v>
      </c>
      <c r="AE304" s="148" t="s">
        <v>76</v>
      </c>
      <c r="AF304" s="148" t="s">
        <v>77</v>
      </c>
    </row>
    <row r="305" spans="1:32" ht="45" customHeight="1" x14ac:dyDescent="0.25">
      <c r="A305" s="294" t="str">
        <f>IF(B305=Reactivos_[[#This Row],[Cantidad LANIP]],"LANIP",IF(B305=Reactivos_[[#This Row],[Cantidad 
LDV]],"LDV",IF(B305=Reactivos_[[#This Row],[Cantidad LNDV]],"LNDV",IF(B305=Reactivos_[[#This Row],[GGCA]],"GGCA",IF(B305=Reactivos_[[#This Row],[Cantidad LDF]],"LDF",IF(Reactivos_[[#This Row],[Cantidad LDF&amp;MR]],"LDF&amp;MR",IF(B305=Reactivos_[[#This Row],[Cantidad RED LASE]],"LASE",IF(B305=Reactivos_[[#This Row],[Cantidad LANIA]],"LANIA",IF(B305=Reactivos_[[#This Row],[Cantidad SPA]],"SPA"," ")))))))))</f>
        <v>LANIP</v>
      </c>
      <c r="B30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5" s="325">
        <v>303</v>
      </c>
      <c r="D305" s="326">
        <v>421</v>
      </c>
      <c r="E305" s="245" t="s">
        <v>893</v>
      </c>
      <c r="F305" s="244" t="s">
        <v>894</v>
      </c>
      <c r="G305" s="245" t="s">
        <v>895</v>
      </c>
      <c r="H305" s="346" t="s">
        <v>896</v>
      </c>
      <c r="I305" s="336" t="s">
        <v>888</v>
      </c>
      <c r="J30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5" s="160">
        <v>1749776</v>
      </c>
      <c r="L305" s="160">
        <f>+Reactivos_[[#This Row],[Cantidad]]*Reactivos_[[#This Row],[Valor de referencia]]</f>
        <v>1749776</v>
      </c>
      <c r="M305" s="254">
        <v>1</v>
      </c>
      <c r="N305" s="255">
        <f>+Reactivos_[[#This Row],[Valor de referencia]]*Reactivos_[[#This Row],[Cantidad LANIP]]</f>
        <v>1749776</v>
      </c>
      <c r="O305" s="256"/>
      <c r="P305" s="255">
        <f>+Reactivos_[[#This Row],[Cantidad 
LDV]]*Reactivos_[[#This Row],[Valor de referencia]]</f>
        <v>0</v>
      </c>
      <c r="Q305" s="257"/>
      <c r="R305" s="255">
        <f>+Reactivos_[[#This Row],[Cantidad LNDV]]*Reactivos_[[#This Row],[Valor de referencia]]</f>
        <v>0</v>
      </c>
      <c r="S305" s="148"/>
      <c r="T305" s="255">
        <f>+Reactivos_[[#This Row],[GGCA]]*Reactivos_[[#This Row],[Valor de referencia]]</f>
        <v>0</v>
      </c>
      <c r="U305" s="254"/>
      <c r="V305" s="255">
        <f>+Reactivos_[[#This Row],[Cantidad LDF]]*Reactivos_[[#This Row],[Valor de referencia]]</f>
        <v>0</v>
      </c>
      <c r="W305" s="254"/>
      <c r="X305" s="255">
        <f>+Reactivos_[[#This Row],[Cantidad LDF&amp;MR]]*Reactivos_[[#This Row],[Valor de referencia]]</f>
        <v>0</v>
      </c>
      <c r="Y305" s="254"/>
      <c r="Z305" s="255">
        <f>+Reactivos_[[#This Row],[Cantidad RED LASE]]*Reactivos_[[#This Row],[Valor de referencia]]</f>
        <v>0</v>
      </c>
      <c r="AA305" s="254"/>
      <c r="AB305" s="255">
        <f>+Reactivos_[[#This Row],[Cantidad LANIA]]*Reactivos_[[#This Row],[Valor de referencia]]</f>
        <v>0</v>
      </c>
      <c r="AC305" s="254"/>
      <c r="AD305" s="255">
        <f>+Reactivos_[[#This Row],[Cantidad SPA]]*Reactivos_[[#This Row],[Valor de referencia]]</f>
        <v>0</v>
      </c>
      <c r="AE305" s="148" t="s">
        <v>76</v>
      </c>
      <c r="AF305" s="148" t="s">
        <v>77</v>
      </c>
    </row>
    <row r="306" spans="1:32" ht="51" x14ac:dyDescent="0.25">
      <c r="A306" s="294" t="str">
        <f>IF(B306=Reactivos_[[#This Row],[Cantidad LANIP]],"LANIP",IF(B306=Reactivos_[[#This Row],[Cantidad 
LDV]],"LDV",IF(B306=Reactivos_[[#This Row],[Cantidad LNDV]],"LNDV",IF(B306=Reactivos_[[#This Row],[GGCA]],"GGCA",IF(B306=Reactivos_[[#This Row],[Cantidad LDF]],"LDF",IF(Reactivos_[[#This Row],[Cantidad LDF&amp;MR]],"LDF&amp;MR",IF(B306=Reactivos_[[#This Row],[Cantidad RED LASE]],"LASE",IF(B306=Reactivos_[[#This Row],[Cantidad LANIA]],"LANIA",IF(B306=Reactivos_[[#This Row],[Cantidad SPA]],"SPA"," ")))))))))</f>
        <v>LANIP</v>
      </c>
      <c r="B30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6" s="325">
        <v>304</v>
      </c>
      <c r="D306" s="326">
        <v>422</v>
      </c>
      <c r="E306" s="245" t="s">
        <v>897</v>
      </c>
      <c r="F306" s="244" t="s">
        <v>898</v>
      </c>
      <c r="G306" s="245" t="s">
        <v>899</v>
      </c>
      <c r="H306" s="346" t="s">
        <v>900</v>
      </c>
      <c r="I306" s="336" t="s">
        <v>892</v>
      </c>
      <c r="J30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6" s="160">
        <v>1722763</v>
      </c>
      <c r="L306" s="160">
        <f>+Reactivos_[[#This Row],[Cantidad]]*Reactivos_[[#This Row],[Valor de referencia]]</f>
        <v>1722763</v>
      </c>
      <c r="M306" s="254">
        <v>1</v>
      </c>
      <c r="N306" s="255">
        <f>+Reactivos_[[#This Row],[Valor de referencia]]*Reactivos_[[#This Row],[Cantidad LANIP]]</f>
        <v>1722763</v>
      </c>
      <c r="O306" s="256"/>
      <c r="P306" s="255">
        <f>+Reactivos_[[#This Row],[Cantidad 
LDV]]*Reactivos_[[#This Row],[Valor de referencia]]</f>
        <v>0</v>
      </c>
      <c r="Q306" s="257"/>
      <c r="R306" s="255">
        <f>+Reactivos_[[#This Row],[Cantidad LNDV]]*Reactivos_[[#This Row],[Valor de referencia]]</f>
        <v>0</v>
      </c>
      <c r="S306" s="148"/>
      <c r="T306" s="255">
        <f>+Reactivos_[[#This Row],[GGCA]]*Reactivos_[[#This Row],[Valor de referencia]]</f>
        <v>0</v>
      </c>
      <c r="U306" s="254"/>
      <c r="V306" s="255">
        <f>+Reactivos_[[#This Row],[Cantidad LDF]]*Reactivos_[[#This Row],[Valor de referencia]]</f>
        <v>0</v>
      </c>
      <c r="W306" s="254"/>
      <c r="X306" s="255">
        <f>+Reactivos_[[#This Row],[Cantidad LDF&amp;MR]]*Reactivos_[[#This Row],[Valor de referencia]]</f>
        <v>0</v>
      </c>
      <c r="Y306" s="254"/>
      <c r="Z306" s="255">
        <f>+Reactivos_[[#This Row],[Cantidad RED LASE]]*Reactivos_[[#This Row],[Valor de referencia]]</f>
        <v>0</v>
      </c>
      <c r="AA306" s="254"/>
      <c r="AB306" s="255">
        <f>+Reactivos_[[#This Row],[Cantidad LANIA]]*Reactivos_[[#This Row],[Valor de referencia]]</f>
        <v>0</v>
      </c>
      <c r="AC306" s="254"/>
      <c r="AD306" s="255">
        <f>+Reactivos_[[#This Row],[Cantidad SPA]]*Reactivos_[[#This Row],[Valor de referencia]]</f>
        <v>0</v>
      </c>
      <c r="AE306" s="148" t="s">
        <v>76</v>
      </c>
      <c r="AF306" s="148" t="s">
        <v>77</v>
      </c>
    </row>
    <row r="307" spans="1:32" ht="22.5" customHeight="1" x14ac:dyDescent="0.25">
      <c r="A307" s="294" t="str">
        <f>IF(B307=Reactivos_[[#This Row],[Cantidad LANIP]],"LANIP",IF(B307=Reactivos_[[#This Row],[Cantidad 
LDV]],"LDV",IF(B307=Reactivos_[[#This Row],[Cantidad LNDV]],"LNDV",IF(B307=Reactivos_[[#This Row],[GGCA]],"GGCA",IF(B307=Reactivos_[[#This Row],[Cantidad LDF]],"LDF",IF(Reactivos_[[#This Row],[Cantidad LDF&amp;MR]],"LDF&amp;MR",IF(B307=Reactivos_[[#This Row],[Cantidad RED LASE]],"LASE",IF(B307=Reactivos_[[#This Row],[Cantidad LANIA]],"LANIA",IF(B307=Reactivos_[[#This Row],[Cantidad SPA]],"SPA"," ")))))))))</f>
        <v>LANIP</v>
      </c>
      <c r="B30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7" s="325">
        <v>305</v>
      </c>
      <c r="D307" s="326">
        <v>423</v>
      </c>
      <c r="E307" s="331" t="s">
        <v>901</v>
      </c>
      <c r="F307" s="332"/>
      <c r="G307" s="331"/>
      <c r="H307" s="328" t="s">
        <v>902</v>
      </c>
      <c r="I307" s="334" t="s">
        <v>784</v>
      </c>
      <c r="J30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7" s="160">
        <v>1519809</v>
      </c>
      <c r="L307" s="160">
        <f>+Reactivos_[[#This Row],[Cantidad]]*Reactivos_[[#This Row],[Valor de referencia]]</f>
        <v>1519809</v>
      </c>
      <c r="M307" s="254">
        <v>1</v>
      </c>
      <c r="N307" s="255">
        <f>+Reactivos_[[#This Row],[Valor de referencia]]*Reactivos_[[#This Row],[Cantidad LANIP]]</f>
        <v>1519809</v>
      </c>
      <c r="O307" s="256"/>
      <c r="P307" s="255">
        <f>+Reactivos_[[#This Row],[Cantidad 
LDV]]*Reactivos_[[#This Row],[Valor de referencia]]</f>
        <v>0</v>
      </c>
      <c r="Q307" s="257"/>
      <c r="R307" s="255">
        <f>+Reactivos_[[#This Row],[Cantidad LNDV]]*Reactivos_[[#This Row],[Valor de referencia]]</f>
        <v>0</v>
      </c>
      <c r="S307" s="148"/>
      <c r="T307" s="255">
        <f>+Reactivos_[[#This Row],[GGCA]]*Reactivos_[[#This Row],[Valor de referencia]]</f>
        <v>0</v>
      </c>
      <c r="U307" s="254"/>
      <c r="V307" s="255">
        <f>+Reactivos_[[#This Row],[Cantidad LDF]]*Reactivos_[[#This Row],[Valor de referencia]]</f>
        <v>0</v>
      </c>
      <c r="W307" s="254"/>
      <c r="X307" s="255">
        <f>+Reactivos_[[#This Row],[Cantidad LDF&amp;MR]]*Reactivos_[[#This Row],[Valor de referencia]]</f>
        <v>0</v>
      </c>
      <c r="Y307" s="254"/>
      <c r="Z307" s="255">
        <f>+Reactivos_[[#This Row],[Cantidad RED LASE]]*Reactivos_[[#This Row],[Valor de referencia]]</f>
        <v>0</v>
      </c>
      <c r="AA307" s="254"/>
      <c r="AB307" s="255">
        <f>+Reactivos_[[#This Row],[Cantidad LANIA]]*Reactivos_[[#This Row],[Valor de referencia]]</f>
        <v>0</v>
      </c>
      <c r="AC307" s="254"/>
      <c r="AD307" s="255">
        <f>+Reactivos_[[#This Row],[Cantidad SPA]]*Reactivos_[[#This Row],[Valor de referencia]]</f>
        <v>0</v>
      </c>
      <c r="AE307" s="148" t="s">
        <v>76</v>
      </c>
      <c r="AF307" s="148" t="s">
        <v>77</v>
      </c>
    </row>
    <row r="308" spans="1:32" ht="33.75" customHeight="1" x14ac:dyDescent="0.25">
      <c r="A308" s="294" t="str">
        <f>IF(B308=Reactivos_[[#This Row],[Cantidad LANIP]],"LANIP",IF(B308=Reactivos_[[#This Row],[Cantidad 
LDV]],"LDV",IF(B308=Reactivos_[[#This Row],[Cantidad LNDV]],"LNDV",IF(B308=Reactivos_[[#This Row],[GGCA]],"GGCA",IF(B308=Reactivos_[[#This Row],[Cantidad LDF]],"LDF",IF(Reactivos_[[#This Row],[Cantidad LDF&amp;MR]],"LDF&amp;MR",IF(B308=Reactivos_[[#This Row],[Cantidad RED LASE]],"LASE",IF(B308=Reactivos_[[#This Row],[Cantidad LANIA]],"LANIA",IF(B308=Reactivos_[[#This Row],[Cantidad SPA]],"SPA"," ")))))))))</f>
        <v>LANIP</v>
      </c>
      <c r="B30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8" s="325">
        <v>306</v>
      </c>
      <c r="D308" s="326">
        <v>427</v>
      </c>
      <c r="E308" s="331" t="s">
        <v>903</v>
      </c>
      <c r="F308" s="332" t="s">
        <v>904</v>
      </c>
      <c r="G308" s="331"/>
      <c r="H308" s="328" t="s">
        <v>905</v>
      </c>
      <c r="I308" s="329" t="s">
        <v>888</v>
      </c>
      <c r="J30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8" s="160">
        <v>1197084</v>
      </c>
      <c r="L308" s="160">
        <f>+Reactivos_[[#This Row],[Cantidad]]*Reactivos_[[#This Row],[Valor de referencia]]</f>
        <v>1197084</v>
      </c>
      <c r="M308" s="254">
        <v>1</v>
      </c>
      <c r="N308" s="255">
        <f>+Reactivos_[[#This Row],[Valor de referencia]]*Reactivos_[[#This Row],[Cantidad LANIP]]</f>
        <v>1197084</v>
      </c>
      <c r="O308" s="256"/>
      <c r="P308" s="255">
        <f>+Reactivos_[[#This Row],[Cantidad 
LDV]]*Reactivos_[[#This Row],[Valor de referencia]]</f>
        <v>0</v>
      </c>
      <c r="Q308" s="257"/>
      <c r="R308" s="255">
        <f>+Reactivos_[[#This Row],[Cantidad LNDV]]*Reactivos_[[#This Row],[Valor de referencia]]</f>
        <v>0</v>
      </c>
      <c r="S308" s="148"/>
      <c r="T308" s="255">
        <f>+Reactivos_[[#This Row],[GGCA]]*Reactivos_[[#This Row],[Valor de referencia]]</f>
        <v>0</v>
      </c>
      <c r="U308" s="254"/>
      <c r="V308" s="255">
        <f>+Reactivos_[[#This Row],[Cantidad LDF]]*Reactivos_[[#This Row],[Valor de referencia]]</f>
        <v>0</v>
      </c>
      <c r="W308" s="254"/>
      <c r="X308" s="255">
        <f>+Reactivos_[[#This Row],[Cantidad LDF&amp;MR]]*Reactivos_[[#This Row],[Valor de referencia]]</f>
        <v>0</v>
      </c>
      <c r="Y308" s="254"/>
      <c r="Z308" s="255">
        <f>+Reactivos_[[#This Row],[Cantidad RED LASE]]*Reactivos_[[#This Row],[Valor de referencia]]</f>
        <v>0</v>
      </c>
      <c r="AA308" s="254"/>
      <c r="AB308" s="255">
        <f>+Reactivos_[[#This Row],[Cantidad LANIA]]*Reactivos_[[#This Row],[Valor de referencia]]</f>
        <v>0</v>
      </c>
      <c r="AC308" s="254"/>
      <c r="AD308" s="255">
        <f>+Reactivos_[[#This Row],[Cantidad SPA]]*Reactivos_[[#This Row],[Valor de referencia]]</f>
        <v>0</v>
      </c>
      <c r="AE308" s="148" t="s">
        <v>76</v>
      </c>
      <c r="AF308" s="148" t="s">
        <v>77</v>
      </c>
    </row>
    <row r="309" spans="1:32" ht="25.5" x14ac:dyDescent="0.25">
      <c r="A309" s="294" t="str">
        <f>IF(B309=Reactivos_[[#This Row],[Cantidad LANIP]],"LANIP",IF(B309=Reactivos_[[#This Row],[Cantidad 
LDV]],"LDV",IF(B309=Reactivos_[[#This Row],[Cantidad LNDV]],"LNDV",IF(B309=Reactivos_[[#This Row],[GGCA]],"GGCA",IF(B309=Reactivos_[[#This Row],[Cantidad LDF]],"LDF",IF(Reactivos_[[#This Row],[Cantidad LDF&amp;MR]],"LDF&amp;MR",IF(B309=Reactivos_[[#This Row],[Cantidad RED LASE]],"LASE",IF(B309=Reactivos_[[#This Row],[Cantidad LANIA]],"LANIA",IF(B309=Reactivos_[[#This Row],[Cantidad SPA]],"SPA"," ")))))))))</f>
        <v>LANIP</v>
      </c>
      <c r="B30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09" s="325">
        <v>307</v>
      </c>
      <c r="D309" s="326">
        <v>430</v>
      </c>
      <c r="E309" s="327" t="s">
        <v>906</v>
      </c>
      <c r="F309" s="244" t="s">
        <v>907</v>
      </c>
      <c r="G309" s="327"/>
      <c r="H309" s="328" t="s">
        <v>908</v>
      </c>
      <c r="I309" s="329" t="s">
        <v>909</v>
      </c>
      <c r="J30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09" s="160">
        <v>8018108</v>
      </c>
      <c r="L309" s="160">
        <f>+Reactivos_[[#This Row],[Cantidad]]*Reactivos_[[#This Row],[Valor de referencia]]</f>
        <v>8018108</v>
      </c>
      <c r="M309" s="254">
        <v>1</v>
      </c>
      <c r="N309" s="255">
        <f>+Reactivos_[[#This Row],[Valor de referencia]]*Reactivos_[[#This Row],[Cantidad LANIP]]</f>
        <v>8018108</v>
      </c>
      <c r="O309" s="256"/>
      <c r="P309" s="255">
        <f>+Reactivos_[[#This Row],[Cantidad 
LDV]]*Reactivos_[[#This Row],[Valor de referencia]]</f>
        <v>0</v>
      </c>
      <c r="Q309" s="257"/>
      <c r="R309" s="255">
        <f>+Reactivos_[[#This Row],[Cantidad LNDV]]*Reactivos_[[#This Row],[Valor de referencia]]</f>
        <v>0</v>
      </c>
      <c r="S309" s="148"/>
      <c r="T309" s="255">
        <f>+Reactivos_[[#This Row],[GGCA]]*Reactivos_[[#This Row],[Valor de referencia]]</f>
        <v>0</v>
      </c>
      <c r="U309" s="254"/>
      <c r="V309" s="255">
        <f>+Reactivos_[[#This Row],[Cantidad LDF]]*Reactivos_[[#This Row],[Valor de referencia]]</f>
        <v>0</v>
      </c>
      <c r="W309" s="254"/>
      <c r="X309" s="255">
        <f>+Reactivos_[[#This Row],[Cantidad LDF&amp;MR]]*Reactivos_[[#This Row],[Valor de referencia]]</f>
        <v>0</v>
      </c>
      <c r="Y309" s="254"/>
      <c r="Z309" s="255">
        <f>+Reactivos_[[#This Row],[Cantidad RED LASE]]*Reactivos_[[#This Row],[Valor de referencia]]</f>
        <v>0</v>
      </c>
      <c r="AA309" s="254"/>
      <c r="AB309" s="255">
        <f>+Reactivos_[[#This Row],[Cantidad LANIA]]*Reactivos_[[#This Row],[Valor de referencia]]</f>
        <v>0</v>
      </c>
      <c r="AC309" s="254"/>
      <c r="AD309" s="255">
        <f>+Reactivos_[[#This Row],[Cantidad SPA]]*Reactivos_[[#This Row],[Valor de referencia]]</f>
        <v>0</v>
      </c>
      <c r="AE309" s="148" t="s">
        <v>76</v>
      </c>
      <c r="AF309" s="148" t="s">
        <v>77</v>
      </c>
    </row>
    <row r="310" spans="1:32" ht="45" customHeight="1" x14ac:dyDescent="0.25">
      <c r="A310" s="294" t="str">
        <f>IF(B310=Reactivos_[[#This Row],[Cantidad LANIP]],"LANIP",IF(B310=Reactivos_[[#This Row],[Cantidad 
LDV]],"LDV",IF(B310=Reactivos_[[#This Row],[Cantidad LNDV]],"LNDV",IF(B310=Reactivos_[[#This Row],[GGCA]],"GGCA",IF(B310=Reactivos_[[#This Row],[Cantidad LDF]],"LDF",IF(Reactivos_[[#This Row],[Cantidad LDF&amp;MR]],"LDF&amp;MR",IF(B310=Reactivos_[[#This Row],[Cantidad RED LASE]],"LASE",IF(B310=Reactivos_[[#This Row],[Cantidad LANIA]],"LANIA",IF(B310=Reactivos_[[#This Row],[Cantidad SPA]],"SPA"," ")))))))))</f>
        <v>LANIP</v>
      </c>
      <c r="B31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0" s="325">
        <v>308</v>
      </c>
      <c r="D310" s="326">
        <v>431</v>
      </c>
      <c r="E310" s="245" t="s">
        <v>910</v>
      </c>
      <c r="F310" s="244" t="s">
        <v>911</v>
      </c>
      <c r="G310" s="245" t="s">
        <v>912</v>
      </c>
      <c r="H310" s="346" t="s">
        <v>913</v>
      </c>
      <c r="I310" s="336" t="s">
        <v>914</v>
      </c>
      <c r="J31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0" s="160">
        <v>2651261</v>
      </c>
      <c r="L310" s="160">
        <f>+Reactivos_[[#This Row],[Cantidad]]*Reactivos_[[#This Row],[Valor de referencia]]</f>
        <v>2651261</v>
      </c>
      <c r="M310" s="254">
        <v>1</v>
      </c>
      <c r="N310" s="255">
        <f>+Reactivos_[[#This Row],[Valor de referencia]]*Reactivos_[[#This Row],[Cantidad LANIP]]</f>
        <v>2651261</v>
      </c>
      <c r="O310" s="256"/>
      <c r="P310" s="255">
        <f>+Reactivos_[[#This Row],[Cantidad 
LDV]]*Reactivos_[[#This Row],[Valor de referencia]]</f>
        <v>0</v>
      </c>
      <c r="Q310" s="257"/>
      <c r="R310" s="255">
        <f>+Reactivos_[[#This Row],[Cantidad LNDV]]*Reactivos_[[#This Row],[Valor de referencia]]</f>
        <v>0</v>
      </c>
      <c r="S310" s="148"/>
      <c r="T310" s="255">
        <f>+Reactivos_[[#This Row],[GGCA]]*Reactivos_[[#This Row],[Valor de referencia]]</f>
        <v>0</v>
      </c>
      <c r="U310" s="254"/>
      <c r="V310" s="255">
        <f>+Reactivos_[[#This Row],[Cantidad LDF]]*Reactivos_[[#This Row],[Valor de referencia]]</f>
        <v>0</v>
      </c>
      <c r="W310" s="254"/>
      <c r="X310" s="255">
        <f>+Reactivos_[[#This Row],[Cantidad LDF&amp;MR]]*Reactivos_[[#This Row],[Valor de referencia]]</f>
        <v>0</v>
      </c>
      <c r="Y310" s="254"/>
      <c r="Z310" s="255">
        <f>+Reactivos_[[#This Row],[Cantidad RED LASE]]*Reactivos_[[#This Row],[Valor de referencia]]</f>
        <v>0</v>
      </c>
      <c r="AA310" s="254"/>
      <c r="AB310" s="255">
        <f>+Reactivos_[[#This Row],[Cantidad LANIA]]*Reactivos_[[#This Row],[Valor de referencia]]</f>
        <v>0</v>
      </c>
      <c r="AC310" s="254"/>
      <c r="AD310" s="255">
        <f>+Reactivos_[[#This Row],[Cantidad SPA]]*Reactivos_[[#This Row],[Valor de referencia]]</f>
        <v>0</v>
      </c>
      <c r="AE310" s="148" t="s">
        <v>76</v>
      </c>
      <c r="AF310" s="148" t="s">
        <v>77</v>
      </c>
    </row>
    <row r="311" spans="1:32" ht="51" x14ac:dyDescent="0.25">
      <c r="A311" s="294" t="str">
        <f>IF(B311=Reactivos_[[#This Row],[Cantidad LANIP]],"LANIP",IF(B311=Reactivos_[[#This Row],[Cantidad 
LDV]],"LDV",IF(B311=Reactivos_[[#This Row],[Cantidad LNDV]],"LNDV",IF(B311=Reactivos_[[#This Row],[GGCA]],"GGCA",IF(B311=Reactivos_[[#This Row],[Cantidad LDF]],"LDF",IF(Reactivos_[[#This Row],[Cantidad LDF&amp;MR]],"LDF&amp;MR",IF(B311=Reactivos_[[#This Row],[Cantidad RED LASE]],"LASE",IF(B311=Reactivos_[[#This Row],[Cantidad LANIA]],"LANIA",IF(B311=Reactivos_[[#This Row],[Cantidad SPA]],"SPA"," ")))))))))</f>
        <v>LANIP</v>
      </c>
      <c r="B31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1" s="325">
        <v>309</v>
      </c>
      <c r="D311" s="326">
        <v>432</v>
      </c>
      <c r="E311" s="245" t="s">
        <v>915</v>
      </c>
      <c r="F311" s="244" t="s">
        <v>916</v>
      </c>
      <c r="G311" s="245" t="s">
        <v>912</v>
      </c>
      <c r="H311" s="346" t="s">
        <v>917</v>
      </c>
      <c r="I311" s="336" t="s">
        <v>888</v>
      </c>
      <c r="J31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1" s="160">
        <v>4056234</v>
      </c>
      <c r="L311" s="160">
        <f>+Reactivos_[[#This Row],[Cantidad]]*Reactivos_[[#This Row],[Valor de referencia]]</f>
        <v>4056234</v>
      </c>
      <c r="M311" s="254">
        <v>1</v>
      </c>
      <c r="N311" s="255">
        <f>+Reactivos_[[#This Row],[Valor de referencia]]*Reactivos_[[#This Row],[Cantidad LANIP]]</f>
        <v>4056234</v>
      </c>
      <c r="O311" s="256"/>
      <c r="P311" s="255">
        <f>+Reactivos_[[#This Row],[Cantidad 
LDV]]*Reactivos_[[#This Row],[Valor de referencia]]</f>
        <v>0</v>
      </c>
      <c r="Q311" s="257"/>
      <c r="R311" s="255">
        <f>+Reactivos_[[#This Row],[Cantidad LNDV]]*Reactivos_[[#This Row],[Valor de referencia]]</f>
        <v>0</v>
      </c>
      <c r="S311" s="148"/>
      <c r="T311" s="255">
        <f>+Reactivos_[[#This Row],[GGCA]]*Reactivos_[[#This Row],[Valor de referencia]]</f>
        <v>0</v>
      </c>
      <c r="U311" s="254"/>
      <c r="V311" s="255">
        <f>+Reactivos_[[#This Row],[Cantidad LDF]]*Reactivos_[[#This Row],[Valor de referencia]]</f>
        <v>0</v>
      </c>
      <c r="W311" s="254"/>
      <c r="X311" s="255">
        <f>+Reactivos_[[#This Row],[Cantidad LDF&amp;MR]]*Reactivos_[[#This Row],[Valor de referencia]]</f>
        <v>0</v>
      </c>
      <c r="Y311" s="254"/>
      <c r="Z311" s="255">
        <f>+Reactivos_[[#This Row],[Cantidad RED LASE]]*Reactivos_[[#This Row],[Valor de referencia]]</f>
        <v>0</v>
      </c>
      <c r="AA311" s="254"/>
      <c r="AB311" s="255">
        <f>+Reactivos_[[#This Row],[Cantidad LANIA]]*Reactivos_[[#This Row],[Valor de referencia]]</f>
        <v>0</v>
      </c>
      <c r="AC311" s="254"/>
      <c r="AD311" s="255">
        <f>+Reactivos_[[#This Row],[Cantidad SPA]]*Reactivos_[[#This Row],[Valor de referencia]]</f>
        <v>0</v>
      </c>
      <c r="AE311" s="148" t="s">
        <v>76</v>
      </c>
      <c r="AF311" s="148" t="s">
        <v>77</v>
      </c>
    </row>
    <row r="312" spans="1:32" ht="45" customHeight="1" x14ac:dyDescent="0.25">
      <c r="A312" s="294" t="str">
        <f>IF(B312=Reactivos_[[#This Row],[Cantidad LANIP]],"LANIP",IF(B312=Reactivos_[[#This Row],[Cantidad 
LDV]],"LDV",IF(B312=Reactivos_[[#This Row],[Cantidad LNDV]],"LNDV",IF(B312=Reactivos_[[#This Row],[GGCA]],"GGCA",IF(B312=Reactivos_[[#This Row],[Cantidad LDF]],"LDF",IF(Reactivos_[[#This Row],[Cantidad LDF&amp;MR]],"LDF&amp;MR",IF(B312=Reactivos_[[#This Row],[Cantidad RED LASE]],"LASE",IF(B312=Reactivos_[[#This Row],[Cantidad LANIA]],"LANIA",IF(B312=Reactivos_[[#This Row],[Cantidad SPA]],"SPA"," ")))))))))</f>
        <v>LANIP</v>
      </c>
      <c r="B31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2" s="325">
        <v>310</v>
      </c>
      <c r="D312" s="326">
        <v>433</v>
      </c>
      <c r="E312" s="245" t="s">
        <v>918</v>
      </c>
      <c r="F312" s="244" t="s">
        <v>919</v>
      </c>
      <c r="G312" s="245" t="s">
        <v>920</v>
      </c>
      <c r="H312" s="346" t="s">
        <v>921</v>
      </c>
      <c r="I312" s="336" t="s">
        <v>784</v>
      </c>
      <c r="J31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2" s="160">
        <v>4319224</v>
      </c>
      <c r="L312" s="160">
        <f>+Reactivos_[[#This Row],[Cantidad]]*Reactivos_[[#This Row],[Valor de referencia]]</f>
        <v>4319224</v>
      </c>
      <c r="M312" s="254">
        <v>1</v>
      </c>
      <c r="N312" s="255">
        <f>+Reactivos_[[#This Row],[Valor de referencia]]*Reactivos_[[#This Row],[Cantidad LANIP]]</f>
        <v>4319224</v>
      </c>
      <c r="O312" s="256"/>
      <c r="P312" s="255">
        <f>+Reactivos_[[#This Row],[Cantidad 
LDV]]*Reactivos_[[#This Row],[Valor de referencia]]</f>
        <v>0</v>
      </c>
      <c r="Q312" s="257"/>
      <c r="R312" s="255">
        <f>+Reactivos_[[#This Row],[Cantidad LNDV]]*Reactivos_[[#This Row],[Valor de referencia]]</f>
        <v>0</v>
      </c>
      <c r="S312" s="148"/>
      <c r="T312" s="255">
        <f>+Reactivos_[[#This Row],[GGCA]]*Reactivos_[[#This Row],[Valor de referencia]]</f>
        <v>0</v>
      </c>
      <c r="U312" s="254"/>
      <c r="V312" s="255">
        <f>+Reactivos_[[#This Row],[Cantidad LDF]]*Reactivos_[[#This Row],[Valor de referencia]]</f>
        <v>0</v>
      </c>
      <c r="W312" s="254"/>
      <c r="X312" s="255">
        <f>+Reactivos_[[#This Row],[Cantidad LDF&amp;MR]]*Reactivos_[[#This Row],[Valor de referencia]]</f>
        <v>0</v>
      </c>
      <c r="Y312" s="254"/>
      <c r="Z312" s="255">
        <f>+Reactivos_[[#This Row],[Cantidad RED LASE]]*Reactivos_[[#This Row],[Valor de referencia]]</f>
        <v>0</v>
      </c>
      <c r="AA312" s="254"/>
      <c r="AB312" s="255">
        <f>+Reactivos_[[#This Row],[Cantidad LANIA]]*Reactivos_[[#This Row],[Valor de referencia]]</f>
        <v>0</v>
      </c>
      <c r="AC312" s="254"/>
      <c r="AD312" s="255">
        <f>+Reactivos_[[#This Row],[Cantidad SPA]]*Reactivos_[[#This Row],[Valor de referencia]]</f>
        <v>0</v>
      </c>
      <c r="AE312" s="148" t="s">
        <v>76</v>
      </c>
      <c r="AF312" s="148" t="s">
        <v>77</v>
      </c>
    </row>
    <row r="313" spans="1:32" ht="51" x14ac:dyDescent="0.25">
      <c r="A313" s="294" t="str">
        <f>IF(B313=Reactivos_[[#This Row],[Cantidad LANIP]],"LANIP",IF(B313=Reactivos_[[#This Row],[Cantidad 
LDV]],"LDV",IF(B313=Reactivos_[[#This Row],[Cantidad LNDV]],"LNDV",IF(B313=Reactivos_[[#This Row],[GGCA]],"GGCA",IF(B313=Reactivos_[[#This Row],[Cantidad LDF]],"LDF",IF(Reactivos_[[#This Row],[Cantidad LDF&amp;MR]],"LDF&amp;MR",IF(B313=Reactivos_[[#This Row],[Cantidad RED LASE]],"LASE",IF(B313=Reactivos_[[#This Row],[Cantidad LANIA]],"LANIA",IF(B313=Reactivos_[[#This Row],[Cantidad SPA]],"SPA"," ")))))))))</f>
        <v>LANIP</v>
      </c>
      <c r="B31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3" s="325">
        <v>311</v>
      </c>
      <c r="D313" s="326">
        <v>434</v>
      </c>
      <c r="E313" s="245" t="s">
        <v>922</v>
      </c>
      <c r="F313" s="244" t="s">
        <v>923</v>
      </c>
      <c r="G313" s="245" t="s">
        <v>924</v>
      </c>
      <c r="H313" s="346" t="s">
        <v>925</v>
      </c>
      <c r="I313" s="336" t="s">
        <v>888</v>
      </c>
      <c r="J31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3" s="160">
        <v>2127601</v>
      </c>
      <c r="L313" s="160">
        <f>+Reactivos_[[#This Row],[Cantidad]]*Reactivos_[[#This Row],[Valor de referencia]]</f>
        <v>2127601</v>
      </c>
      <c r="M313" s="254">
        <v>1</v>
      </c>
      <c r="N313" s="255">
        <f>+Reactivos_[[#This Row],[Valor de referencia]]*Reactivos_[[#This Row],[Cantidad LANIP]]</f>
        <v>2127601</v>
      </c>
      <c r="O313" s="256"/>
      <c r="P313" s="255">
        <f>+Reactivos_[[#This Row],[Cantidad 
LDV]]*Reactivos_[[#This Row],[Valor de referencia]]</f>
        <v>0</v>
      </c>
      <c r="Q313" s="257"/>
      <c r="R313" s="255">
        <f>+Reactivos_[[#This Row],[Cantidad LNDV]]*Reactivos_[[#This Row],[Valor de referencia]]</f>
        <v>0</v>
      </c>
      <c r="S313" s="148"/>
      <c r="T313" s="255">
        <f>+Reactivos_[[#This Row],[GGCA]]*Reactivos_[[#This Row],[Valor de referencia]]</f>
        <v>0</v>
      </c>
      <c r="U313" s="254"/>
      <c r="V313" s="255">
        <f>+Reactivos_[[#This Row],[Cantidad LDF]]*Reactivos_[[#This Row],[Valor de referencia]]</f>
        <v>0</v>
      </c>
      <c r="W313" s="254"/>
      <c r="X313" s="255">
        <f>+Reactivos_[[#This Row],[Cantidad LDF&amp;MR]]*Reactivos_[[#This Row],[Valor de referencia]]</f>
        <v>0</v>
      </c>
      <c r="Y313" s="254"/>
      <c r="Z313" s="255">
        <f>+Reactivos_[[#This Row],[Cantidad RED LASE]]*Reactivos_[[#This Row],[Valor de referencia]]</f>
        <v>0</v>
      </c>
      <c r="AA313" s="254"/>
      <c r="AB313" s="255">
        <f>+Reactivos_[[#This Row],[Cantidad LANIA]]*Reactivos_[[#This Row],[Valor de referencia]]</f>
        <v>0</v>
      </c>
      <c r="AC313" s="254"/>
      <c r="AD313" s="255">
        <f>+Reactivos_[[#This Row],[Cantidad SPA]]*Reactivos_[[#This Row],[Valor de referencia]]</f>
        <v>0</v>
      </c>
      <c r="AE313" s="148" t="s">
        <v>76</v>
      </c>
      <c r="AF313" s="148" t="s">
        <v>77</v>
      </c>
    </row>
    <row r="314" spans="1:32" ht="63.75" x14ac:dyDescent="0.25">
      <c r="A314" s="294" t="str">
        <f>IF(B314=Reactivos_[[#This Row],[Cantidad LANIP]],"LANIP",IF(B314=Reactivos_[[#This Row],[Cantidad 
LDV]],"LDV",IF(B314=Reactivos_[[#This Row],[Cantidad LNDV]],"LNDV",IF(B314=Reactivos_[[#This Row],[GGCA]],"GGCA",IF(B314=Reactivos_[[#This Row],[Cantidad LDF]],"LDF",IF(Reactivos_[[#This Row],[Cantidad LDF&amp;MR]],"LDF&amp;MR",IF(B314=Reactivos_[[#This Row],[Cantidad RED LASE]],"LASE",IF(B314=Reactivos_[[#This Row],[Cantidad LANIA]],"LANIA",IF(B314=Reactivos_[[#This Row],[Cantidad SPA]],"SPA"," ")))))))))</f>
        <v>LANIP</v>
      </c>
      <c r="B31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4" s="325">
        <v>312</v>
      </c>
      <c r="D314" s="326">
        <v>436</v>
      </c>
      <c r="E314" s="245" t="s">
        <v>926</v>
      </c>
      <c r="F314" s="244" t="s">
        <v>927</v>
      </c>
      <c r="G314" s="245" t="s">
        <v>928</v>
      </c>
      <c r="H314" s="346" t="s">
        <v>929</v>
      </c>
      <c r="I314" s="336" t="s">
        <v>892</v>
      </c>
      <c r="J31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4" s="160">
        <v>1209278</v>
      </c>
      <c r="L314" s="160">
        <f>+Reactivos_[[#This Row],[Cantidad]]*Reactivos_[[#This Row],[Valor de referencia]]</f>
        <v>1209278</v>
      </c>
      <c r="M314" s="254">
        <v>1</v>
      </c>
      <c r="N314" s="255">
        <f>+Reactivos_[[#This Row],[Valor de referencia]]*Reactivos_[[#This Row],[Cantidad LANIP]]</f>
        <v>1209278</v>
      </c>
      <c r="O314" s="256"/>
      <c r="P314" s="255">
        <f>+Reactivos_[[#This Row],[Cantidad 
LDV]]*Reactivos_[[#This Row],[Valor de referencia]]</f>
        <v>0</v>
      </c>
      <c r="Q314" s="257"/>
      <c r="R314" s="255">
        <f>+Reactivos_[[#This Row],[Cantidad LNDV]]*Reactivos_[[#This Row],[Valor de referencia]]</f>
        <v>0</v>
      </c>
      <c r="S314" s="148"/>
      <c r="T314" s="255">
        <f>+Reactivos_[[#This Row],[GGCA]]*Reactivos_[[#This Row],[Valor de referencia]]</f>
        <v>0</v>
      </c>
      <c r="U314" s="254"/>
      <c r="V314" s="255">
        <f>+Reactivos_[[#This Row],[Cantidad LDF]]*Reactivos_[[#This Row],[Valor de referencia]]</f>
        <v>0</v>
      </c>
      <c r="W314" s="254"/>
      <c r="X314" s="255">
        <f>+Reactivos_[[#This Row],[Cantidad LDF&amp;MR]]*Reactivos_[[#This Row],[Valor de referencia]]</f>
        <v>0</v>
      </c>
      <c r="Y314" s="254"/>
      <c r="Z314" s="255">
        <f>+Reactivos_[[#This Row],[Cantidad RED LASE]]*Reactivos_[[#This Row],[Valor de referencia]]</f>
        <v>0</v>
      </c>
      <c r="AA314" s="254"/>
      <c r="AB314" s="255">
        <f>+Reactivos_[[#This Row],[Cantidad LANIA]]*Reactivos_[[#This Row],[Valor de referencia]]</f>
        <v>0</v>
      </c>
      <c r="AC314" s="254"/>
      <c r="AD314" s="255">
        <f>+Reactivos_[[#This Row],[Cantidad SPA]]*Reactivos_[[#This Row],[Valor de referencia]]</f>
        <v>0</v>
      </c>
      <c r="AE314" s="148" t="s">
        <v>76</v>
      </c>
      <c r="AF314" s="148" t="s">
        <v>77</v>
      </c>
    </row>
    <row r="315" spans="1:32" ht="51" x14ac:dyDescent="0.25">
      <c r="A315" s="294" t="str">
        <f>IF(B315=Reactivos_[[#This Row],[Cantidad LANIP]],"LANIP",IF(B315=Reactivos_[[#This Row],[Cantidad 
LDV]],"LDV",IF(B315=Reactivos_[[#This Row],[Cantidad LNDV]],"LNDV",IF(B315=Reactivos_[[#This Row],[GGCA]],"GGCA",IF(B315=Reactivos_[[#This Row],[Cantidad LDF]],"LDF",IF(Reactivos_[[#This Row],[Cantidad LDF&amp;MR]],"LDF&amp;MR",IF(B315=Reactivos_[[#This Row],[Cantidad RED LASE]],"LASE",IF(B315=Reactivos_[[#This Row],[Cantidad LANIA]],"LANIA",IF(B315=Reactivos_[[#This Row],[Cantidad SPA]],"SPA"," ")))))))))</f>
        <v>LANIP</v>
      </c>
      <c r="B31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5" s="325">
        <v>313</v>
      </c>
      <c r="D315" s="326">
        <v>437</v>
      </c>
      <c r="E315" s="327" t="s">
        <v>930</v>
      </c>
      <c r="F315" s="244" t="s">
        <v>931</v>
      </c>
      <c r="G315" s="327"/>
      <c r="H315" s="348" t="s">
        <v>932</v>
      </c>
      <c r="I315" s="329" t="s">
        <v>852</v>
      </c>
      <c r="J31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5" s="160">
        <v>1368773</v>
      </c>
      <c r="L315" s="160">
        <f>+Reactivos_[[#This Row],[Cantidad]]*Reactivos_[[#This Row],[Valor de referencia]]</f>
        <v>1368773</v>
      </c>
      <c r="M315" s="254">
        <v>1</v>
      </c>
      <c r="N315" s="255">
        <f>+Reactivos_[[#This Row],[Valor de referencia]]*Reactivos_[[#This Row],[Cantidad LANIP]]</f>
        <v>1368773</v>
      </c>
      <c r="O315" s="256">
        <v>0</v>
      </c>
      <c r="P315" s="255">
        <f>+Reactivos_[[#This Row],[Cantidad 
LDV]]*Reactivos_[[#This Row],[Valor de referencia]]</f>
        <v>0</v>
      </c>
      <c r="Q315" s="257"/>
      <c r="R315" s="255">
        <f>+Reactivos_[[#This Row],[Cantidad LNDV]]*Reactivos_[[#This Row],[Valor de referencia]]</f>
        <v>0</v>
      </c>
      <c r="S315" s="148"/>
      <c r="T315" s="255">
        <f>+Reactivos_[[#This Row],[GGCA]]*Reactivos_[[#This Row],[Valor de referencia]]</f>
        <v>0</v>
      </c>
      <c r="U315" s="254"/>
      <c r="V315" s="255">
        <f>+Reactivos_[[#This Row],[Cantidad LDF]]*Reactivos_[[#This Row],[Valor de referencia]]</f>
        <v>0</v>
      </c>
      <c r="W315" s="254"/>
      <c r="X315" s="255">
        <f>+Reactivos_[[#This Row],[Cantidad LDF&amp;MR]]*Reactivos_[[#This Row],[Valor de referencia]]</f>
        <v>0</v>
      </c>
      <c r="Y315" s="254"/>
      <c r="Z315" s="255">
        <f>+Reactivos_[[#This Row],[Cantidad RED LASE]]*Reactivos_[[#This Row],[Valor de referencia]]</f>
        <v>0</v>
      </c>
      <c r="AA315" s="254"/>
      <c r="AB315" s="255">
        <f>+Reactivos_[[#This Row],[Cantidad LANIA]]*Reactivos_[[#This Row],[Valor de referencia]]</f>
        <v>0</v>
      </c>
      <c r="AC315" s="254"/>
      <c r="AD315" s="255">
        <f>+Reactivos_[[#This Row],[Cantidad SPA]]*Reactivos_[[#This Row],[Valor de referencia]]</f>
        <v>0</v>
      </c>
      <c r="AE315" s="148" t="s">
        <v>76</v>
      </c>
      <c r="AF315" s="148" t="s">
        <v>77</v>
      </c>
    </row>
    <row r="316" spans="1:32" ht="38.25" x14ac:dyDescent="0.25">
      <c r="A316" s="294" t="str">
        <f>IF(B316=Reactivos_[[#This Row],[Cantidad LANIP]],"LANIP",IF(B316=Reactivos_[[#This Row],[Cantidad 
LDV]],"LDV",IF(B316=Reactivos_[[#This Row],[Cantidad LNDV]],"LNDV",IF(B316=Reactivos_[[#This Row],[GGCA]],"GGCA",IF(B316=Reactivos_[[#This Row],[Cantidad LDF]],"LDF",IF(Reactivos_[[#This Row],[Cantidad LDF&amp;MR]],"LDF&amp;MR",IF(B316=Reactivos_[[#This Row],[Cantidad RED LASE]],"LASE",IF(B316=Reactivos_[[#This Row],[Cantidad LANIA]],"LANIA",IF(B316=Reactivos_[[#This Row],[Cantidad SPA]],"SPA"," ")))))))))</f>
        <v>LANIP</v>
      </c>
      <c r="B31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6" s="325">
        <v>314</v>
      </c>
      <c r="D316" s="326">
        <v>438</v>
      </c>
      <c r="E316" s="331" t="s">
        <v>933</v>
      </c>
      <c r="F316" s="332" t="s">
        <v>934</v>
      </c>
      <c r="G316" s="331"/>
      <c r="H316" s="333" t="s">
        <v>935</v>
      </c>
      <c r="I316" s="334" t="s">
        <v>888</v>
      </c>
      <c r="J31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6" s="160">
        <v>2015704</v>
      </c>
      <c r="L316" s="160">
        <f>+Reactivos_[[#This Row],[Cantidad]]*Reactivos_[[#This Row],[Valor de referencia]]</f>
        <v>2015704</v>
      </c>
      <c r="M316" s="254">
        <v>1</v>
      </c>
      <c r="N316" s="255">
        <f>+Reactivos_[[#This Row],[Valor de referencia]]*Reactivos_[[#This Row],[Cantidad LANIP]]</f>
        <v>2015704</v>
      </c>
      <c r="O316" s="256"/>
      <c r="P316" s="255">
        <f>+Reactivos_[[#This Row],[Cantidad 
LDV]]*Reactivos_[[#This Row],[Valor de referencia]]</f>
        <v>0</v>
      </c>
      <c r="Q316" s="257"/>
      <c r="R316" s="255">
        <f>+Reactivos_[[#This Row],[Cantidad LNDV]]*Reactivos_[[#This Row],[Valor de referencia]]</f>
        <v>0</v>
      </c>
      <c r="S316" s="148"/>
      <c r="T316" s="255">
        <f>+Reactivos_[[#This Row],[GGCA]]*Reactivos_[[#This Row],[Valor de referencia]]</f>
        <v>0</v>
      </c>
      <c r="U316" s="254"/>
      <c r="V316" s="255">
        <f>+Reactivos_[[#This Row],[Cantidad LDF]]*Reactivos_[[#This Row],[Valor de referencia]]</f>
        <v>0</v>
      </c>
      <c r="W316" s="254"/>
      <c r="X316" s="255">
        <f>+Reactivos_[[#This Row],[Cantidad LDF&amp;MR]]*Reactivos_[[#This Row],[Valor de referencia]]</f>
        <v>0</v>
      </c>
      <c r="Y316" s="254"/>
      <c r="Z316" s="255">
        <f>+Reactivos_[[#This Row],[Cantidad RED LASE]]*Reactivos_[[#This Row],[Valor de referencia]]</f>
        <v>0</v>
      </c>
      <c r="AA316" s="254"/>
      <c r="AB316" s="255">
        <f>+Reactivos_[[#This Row],[Cantidad LANIA]]*Reactivos_[[#This Row],[Valor de referencia]]</f>
        <v>0</v>
      </c>
      <c r="AC316" s="254"/>
      <c r="AD316" s="255">
        <f>+Reactivos_[[#This Row],[Cantidad SPA]]*Reactivos_[[#This Row],[Valor de referencia]]</f>
        <v>0</v>
      </c>
      <c r="AE316" s="148" t="s">
        <v>76</v>
      </c>
      <c r="AF316" s="148" t="s">
        <v>77</v>
      </c>
    </row>
    <row r="317" spans="1:32" ht="30" customHeight="1" x14ac:dyDescent="0.25">
      <c r="A317" s="294" t="str">
        <f>IF(B317=Reactivos_[[#This Row],[Cantidad LANIP]],"LANIP",IF(B317=Reactivos_[[#This Row],[Cantidad 
LDV]],"LDV",IF(B317=Reactivos_[[#This Row],[Cantidad LNDV]],"LNDV",IF(B317=Reactivos_[[#This Row],[GGCA]],"GGCA",IF(B317=Reactivos_[[#This Row],[Cantidad LDF]],"LDF",IF(Reactivos_[[#This Row],[Cantidad LDF&amp;MR]],"LDF&amp;MR",IF(B317=Reactivos_[[#This Row],[Cantidad RED LASE]],"LASE",IF(B317=Reactivos_[[#This Row],[Cantidad LANIA]],"LANIA",IF(B317=Reactivos_[[#This Row],[Cantidad SPA]],"SPA"," ")))))))))</f>
        <v>LANIP</v>
      </c>
      <c r="B31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7" s="325">
        <v>315</v>
      </c>
      <c r="D317" s="326">
        <v>439</v>
      </c>
      <c r="E317" s="327" t="s">
        <v>936</v>
      </c>
      <c r="F317" s="244" t="s">
        <v>648</v>
      </c>
      <c r="G317" s="327"/>
      <c r="H317" s="328" t="s">
        <v>937</v>
      </c>
      <c r="I317" s="329" t="s">
        <v>892</v>
      </c>
      <c r="J31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7" s="160">
        <v>1306194</v>
      </c>
      <c r="L317" s="160">
        <f>+Reactivos_[[#This Row],[Cantidad]]*Reactivos_[[#This Row],[Valor de referencia]]</f>
        <v>1306194</v>
      </c>
      <c r="M317" s="254">
        <v>1</v>
      </c>
      <c r="N317" s="255">
        <f>+Reactivos_[[#This Row],[Valor de referencia]]*Reactivos_[[#This Row],[Cantidad LANIP]]</f>
        <v>1306194</v>
      </c>
      <c r="O317" s="256"/>
      <c r="P317" s="255">
        <f>+Reactivos_[[#This Row],[Cantidad 
LDV]]*Reactivos_[[#This Row],[Valor de referencia]]</f>
        <v>0</v>
      </c>
      <c r="Q317" s="257"/>
      <c r="R317" s="255">
        <f>+Reactivos_[[#This Row],[Cantidad LNDV]]*Reactivos_[[#This Row],[Valor de referencia]]</f>
        <v>0</v>
      </c>
      <c r="S317" s="148"/>
      <c r="T317" s="255">
        <f>+Reactivos_[[#This Row],[GGCA]]*Reactivos_[[#This Row],[Valor de referencia]]</f>
        <v>0</v>
      </c>
      <c r="U317" s="254"/>
      <c r="V317" s="255">
        <f>+Reactivos_[[#This Row],[Cantidad LDF]]*Reactivos_[[#This Row],[Valor de referencia]]</f>
        <v>0</v>
      </c>
      <c r="W317" s="254"/>
      <c r="X317" s="255">
        <f>+Reactivos_[[#This Row],[Cantidad LDF&amp;MR]]*Reactivos_[[#This Row],[Valor de referencia]]</f>
        <v>0</v>
      </c>
      <c r="Y317" s="254"/>
      <c r="Z317" s="255">
        <f>+Reactivos_[[#This Row],[Cantidad RED LASE]]*Reactivos_[[#This Row],[Valor de referencia]]</f>
        <v>0</v>
      </c>
      <c r="AA317" s="254"/>
      <c r="AB317" s="255">
        <f>+Reactivos_[[#This Row],[Cantidad LANIA]]*Reactivos_[[#This Row],[Valor de referencia]]</f>
        <v>0</v>
      </c>
      <c r="AC317" s="254"/>
      <c r="AD317" s="255">
        <f>+Reactivos_[[#This Row],[Cantidad SPA]]*Reactivos_[[#This Row],[Valor de referencia]]</f>
        <v>0</v>
      </c>
      <c r="AE317" s="148" t="s">
        <v>76</v>
      </c>
      <c r="AF317" s="148" t="s">
        <v>77</v>
      </c>
    </row>
    <row r="318" spans="1:32" ht="51" x14ac:dyDescent="0.25">
      <c r="A318" s="294" t="str">
        <f>IF(B318=Reactivos_[[#This Row],[Cantidad LANIP]],"LANIP",IF(B318=Reactivos_[[#This Row],[Cantidad 
LDV]],"LDV",IF(B318=Reactivos_[[#This Row],[Cantidad LNDV]],"LNDV",IF(B318=Reactivos_[[#This Row],[GGCA]],"GGCA",IF(B318=Reactivos_[[#This Row],[Cantidad LDF]],"LDF",IF(Reactivos_[[#This Row],[Cantidad LDF&amp;MR]],"LDF&amp;MR",IF(B318=Reactivos_[[#This Row],[Cantidad RED LASE]],"LASE",IF(B318=Reactivos_[[#This Row],[Cantidad LANIA]],"LANIA",IF(B318=Reactivos_[[#This Row],[Cantidad SPA]],"SPA"," ")))))))))</f>
        <v>LANIP</v>
      </c>
      <c r="B31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8" s="325">
        <v>316</v>
      </c>
      <c r="D318" s="326">
        <v>442</v>
      </c>
      <c r="E318" s="343" t="s">
        <v>938</v>
      </c>
      <c r="F318" s="332"/>
      <c r="G318" s="331"/>
      <c r="H318" s="330" t="s">
        <v>939</v>
      </c>
      <c r="I318" s="329" t="s">
        <v>107</v>
      </c>
      <c r="J31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8" s="160">
        <v>500633</v>
      </c>
      <c r="L318" s="160">
        <f>+Reactivos_[[#This Row],[Cantidad]]*Reactivos_[[#This Row],[Valor de referencia]]</f>
        <v>500633</v>
      </c>
      <c r="M318" s="254">
        <v>1</v>
      </c>
      <c r="N318" s="255">
        <f>+Reactivos_[[#This Row],[Valor de referencia]]*Reactivos_[[#This Row],[Cantidad LANIP]]</f>
        <v>500633</v>
      </c>
      <c r="O318" s="256"/>
      <c r="P318" s="255">
        <f>+Reactivos_[[#This Row],[Cantidad 
LDV]]*Reactivos_[[#This Row],[Valor de referencia]]</f>
        <v>0</v>
      </c>
      <c r="Q318" s="257"/>
      <c r="R318" s="255">
        <f>+Reactivos_[[#This Row],[Cantidad LNDV]]*Reactivos_[[#This Row],[Valor de referencia]]</f>
        <v>0</v>
      </c>
      <c r="S318" s="148"/>
      <c r="T318" s="255">
        <f>+Reactivos_[[#This Row],[GGCA]]*Reactivos_[[#This Row],[Valor de referencia]]</f>
        <v>0</v>
      </c>
      <c r="U318" s="254"/>
      <c r="V318" s="255">
        <f>+Reactivos_[[#This Row],[Cantidad LDF]]*Reactivos_[[#This Row],[Valor de referencia]]</f>
        <v>0</v>
      </c>
      <c r="W318" s="254"/>
      <c r="X318" s="255">
        <f>+Reactivos_[[#This Row],[Cantidad LDF&amp;MR]]*Reactivos_[[#This Row],[Valor de referencia]]</f>
        <v>0</v>
      </c>
      <c r="Y318" s="254"/>
      <c r="Z318" s="255">
        <f>+Reactivos_[[#This Row],[Cantidad RED LASE]]*Reactivos_[[#This Row],[Valor de referencia]]</f>
        <v>0</v>
      </c>
      <c r="AA318" s="254"/>
      <c r="AB318" s="255">
        <f>+Reactivos_[[#This Row],[Cantidad LANIA]]*Reactivos_[[#This Row],[Valor de referencia]]</f>
        <v>0</v>
      </c>
      <c r="AC318" s="254"/>
      <c r="AD318" s="255">
        <f>+Reactivos_[[#This Row],[Cantidad SPA]]*Reactivos_[[#This Row],[Valor de referencia]]</f>
        <v>0</v>
      </c>
      <c r="AE318" s="148" t="s">
        <v>76</v>
      </c>
      <c r="AF318" s="148" t="s">
        <v>77</v>
      </c>
    </row>
    <row r="319" spans="1:32" ht="21" customHeight="1" x14ac:dyDescent="0.25">
      <c r="A319" s="294" t="str">
        <f>IF(B319=Reactivos_[[#This Row],[Cantidad LANIP]],"LANIP",IF(B319=Reactivos_[[#This Row],[Cantidad 
LDV]],"LDV",IF(B319=Reactivos_[[#This Row],[Cantidad LNDV]],"LNDV",IF(B319=Reactivos_[[#This Row],[GGCA]],"GGCA",IF(B319=Reactivos_[[#This Row],[Cantidad LDF]],"LDF",IF(Reactivos_[[#This Row],[Cantidad LDF&amp;MR]],"LDF&amp;MR",IF(B319=Reactivos_[[#This Row],[Cantidad RED LASE]],"LASE",IF(B319=Reactivos_[[#This Row],[Cantidad LANIA]],"LANIA",IF(B319=Reactivos_[[#This Row],[Cantidad SPA]],"SPA"," ")))))))))</f>
        <v>LANIP</v>
      </c>
      <c r="B31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19" s="325">
        <v>317</v>
      </c>
      <c r="D319" s="326">
        <v>443</v>
      </c>
      <c r="E319" s="245" t="s">
        <v>940</v>
      </c>
      <c r="F319" s="244" t="s">
        <v>941</v>
      </c>
      <c r="G319" s="245" t="s">
        <v>942</v>
      </c>
      <c r="H319" s="346" t="s">
        <v>943</v>
      </c>
      <c r="I319" s="336" t="s">
        <v>888</v>
      </c>
      <c r="J31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19" s="160">
        <v>1642438</v>
      </c>
      <c r="L319" s="160">
        <f>+Reactivos_[[#This Row],[Cantidad]]*Reactivos_[[#This Row],[Valor de referencia]]</f>
        <v>1642438</v>
      </c>
      <c r="M319" s="254">
        <v>1</v>
      </c>
      <c r="N319" s="255">
        <f>+Reactivos_[[#This Row],[Valor de referencia]]*Reactivos_[[#This Row],[Cantidad LANIP]]</f>
        <v>1642438</v>
      </c>
      <c r="O319" s="256"/>
      <c r="P319" s="255">
        <f>+Reactivos_[[#This Row],[Cantidad 
LDV]]*Reactivos_[[#This Row],[Valor de referencia]]</f>
        <v>0</v>
      </c>
      <c r="Q319" s="257"/>
      <c r="R319" s="255">
        <f>+Reactivos_[[#This Row],[Cantidad LNDV]]*Reactivos_[[#This Row],[Valor de referencia]]</f>
        <v>0</v>
      </c>
      <c r="S319" s="148"/>
      <c r="T319" s="255">
        <f>+Reactivos_[[#This Row],[GGCA]]*Reactivos_[[#This Row],[Valor de referencia]]</f>
        <v>0</v>
      </c>
      <c r="U319" s="254"/>
      <c r="V319" s="255">
        <f>+Reactivos_[[#This Row],[Cantidad LDF]]*Reactivos_[[#This Row],[Valor de referencia]]</f>
        <v>0</v>
      </c>
      <c r="W319" s="254"/>
      <c r="X319" s="255">
        <f>+Reactivos_[[#This Row],[Cantidad LDF&amp;MR]]*Reactivos_[[#This Row],[Valor de referencia]]</f>
        <v>0</v>
      </c>
      <c r="Y319" s="254"/>
      <c r="Z319" s="255">
        <f>+Reactivos_[[#This Row],[Cantidad RED LASE]]*Reactivos_[[#This Row],[Valor de referencia]]</f>
        <v>0</v>
      </c>
      <c r="AA319" s="254"/>
      <c r="AB319" s="255">
        <f>+Reactivos_[[#This Row],[Cantidad LANIA]]*Reactivos_[[#This Row],[Valor de referencia]]</f>
        <v>0</v>
      </c>
      <c r="AC319" s="254"/>
      <c r="AD319" s="255">
        <f>+Reactivos_[[#This Row],[Cantidad SPA]]*Reactivos_[[#This Row],[Valor de referencia]]</f>
        <v>0</v>
      </c>
      <c r="AE319" s="148" t="s">
        <v>76</v>
      </c>
      <c r="AF319" s="148" t="s">
        <v>77</v>
      </c>
    </row>
    <row r="320" spans="1:32" ht="25.5" customHeight="1" x14ac:dyDescent="0.25">
      <c r="A320" s="294" t="str">
        <f>IF(B320=Reactivos_[[#This Row],[Cantidad LANIP]],"LANIP",IF(B320=Reactivos_[[#This Row],[Cantidad 
LDV]],"LDV",IF(B320=Reactivos_[[#This Row],[Cantidad LNDV]],"LNDV",IF(B320=Reactivos_[[#This Row],[GGCA]],"GGCA",IF(B320=Reactivos_[[#This Row],[Cantidad LDF]],"LDF",IF(Reactivos_[[#This Row],[Cantidad LDF&amp;MR]],"LDF&amp;MR",IF(B320=Reactivos_[[#This Row],[Cantidad RED LASE]],"LASE",IF(B320=Reactivos_[[#This Row],[Cantidad LANIA]],"LANIA",IF(B320=Reactivos_[[#This Row],[Cantidad SPA]],"SPA"," ")))))))))</f>
        <v>LANIP</v>
      </c>
      <c r="B32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0" s="325">
        <v>318</v>
      </c>
      <c r="D320" s="326">
        <v>444</v>
      </c>
      <c r="E320" s="245" t="s">
        <v>944</v>
      </c>
      <c r="F320" s="244" t="s">
        <v>945</v>
      </c>
      <c r="G320" s="245" t="s">
        <v>946</v>
      </c>
      <c r="H320" s="346" t="s">
        <v>947</v>
      </c>
      <c r="I320" s="336" t="s">
        <v>892</v>
      </c>
      <c r="J32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0" s="160">
        <v>8536703</v>
      </c>
      <c r="L320" s="160">
        <f>+Reactivos_[[#This Row],[Cantidad]]*Reactivos_[[#This Row],[Valor de referencia]]</f>
        <v>8536703</v>
      </c>
      <c r="M320" s="254">
        <v>1</v>
      </c>
      <c r="N320" s="255">
        <f>+Reactivos_[[#This Row],[Valor de referencia]]*Reactivos_[[#This Row],[Cantidad LANIP]]</f>
        <v>8536703</v>
      </c>
      <c r="O320" s="256"/>
      <c r="P320" s="255">
        <f>+Reactivos_[[#This Row],[Cantidad 
LDV]]*Reactivos_[[#This Row],[Valor de referencia]]</f>
        <v>0</v>
      </c>
      <c r="Q320" s="257"/>
      <c r="R320" s="255">
        <f>+Reactivos_[[#This Row],[Cantidad LNDV]]*Reactivos_[[#This Row],[Valor de referencia]]</f>
        <v>0</v>
      </c>
      <c r="S320" s="148"/>
      <c r="T320" s="255">
        <f>+Reactivos_[[#This Row],[GGCA]]*Reactivos_[[#This Row],[Valor de referencia]]</f>
        <v>0</v>
      </c>
      <c r="U320" s="254"/>
      <c r="V320" s="255">
        <f>+Reactivos_[[#This Row],[Cantidad LDF]]*Reactivos_[[#This Row],[Valor de referencia]]</f>
        <v>0</v>
      </c>
      <c r="W320" s="254"/>
      <c r="X320" s="255">
        <f>+Reactivos_[[#This Row],[Cantidad LDF&amp;MR]]*Reactivos_[[#This Row],[Valor de referencia]]</f>
        <v>0</v>
      </c>
      <c r="Y320" s="254"/>
      <c r="Z320" s="255">
        <f>+Reactivos_[[#This Row],[Cantidad RED LASE]]*Reactivos_[[#This Row],[Valor de referencia]]</f>
        <v>0</v>
      </c>
      <c r="AA320" s="254"/>
      <c r="AB320" s="255">
        <f>+Reactivos_[[#This Row],[Cantidad LANIA]]*Reactivos_[[#This Row],[Valor de referencia]]</f>
        <v>0</v>
      </c>
      <c r="AC320" s="254"/>
      <c r="AD320" s="255">
        <f>+Reactivos_[[#This Row],[Cantidad SPA]]*Reactivos_[[#This Row],[Valor de referencia]]</f>
        <v>0</v>
      </c>
      <c r="AE320" s="148" t="s">
        <v>76</v>
      </c>
      <c r="AF320" s="148" t="s">
        <v>77</v>
      </c>
    </row>
    <row r="321" spans="1:32" ht="28.5" customHeight="1" x14ac:dyDescent="0.25">
      <c r="A321" s="294" t="str">
        <f>IF(B321=Reactivos_[[#This Row],[Cantidad LANIP]],"LANIP",IF(B321=Reactivos_[[#This Row],[Cantidad 
LDV]],"LDV",IF(B321=Reactivos_[[#This Row],[Cantidad LNDV]],"LNDV",IF(B321=Reactivos_[[#This Row],[GGCA]],"GGCA",IF(B321=Reactivos_[[#This Row],[Cantidad LDF]],"LDF",IF(Reactivos_[[#This Row],[Cantidad LDF&amp;MR]],"LDF&amp;MR",IF(B321=Reactivos_[[#This Row],[Cantidad RED LASE]],"LASE",IF(B321=Reactivos_[[#This Row],[Cantidad LANIA]],"LANIA",IF(B321=Reactivos_[[#This Row],[Cantidad SPA]],"SPA"," ")))))))))</f>
        <v>LANIP</v>
      </c>
      <c r="B32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1" s="325">
        <v>319</v>
      </c>
      <c r="D321" s="326">
        <v>446</v>
      </c>
      <c r="E321" s="331" t="s">
        <v>948</v>
      </c>
      <c r="F321" s="332" t="s">
        <v>949</v>
      </c>
      <c r="G321" s="331"/>
      <c r="H321" s="333" t="s">
        <v>950</v>
      </c>
      <c r="I321" s="334" t="s">
        <v>951</v>
      </c>
      <c r="J32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1" s="160">
        <v>1589735</v>
      </c>
      <c r="L321" s="160">
        <f>+Reactivos_[[#This Row],[Cantidad]]*Reactivos_[[#This Row],[Valor de referencia]]</f>
        <v>1589735</v>
      </c>
      <c r="M321" s="254">
        <v>1</v>
      </c>
      <c r="N321" s="255">
        <f>+Reactivos_[[#This Row],[Valor de referencia]]*Reactivos_[[#This Row],[Cantidad LANIP]]</f>
        <v>1589735</v>
      </c>
      <c r="O321" s="256"/>
      <c r="P321" s="255">
        <f>+Reactivos_[[#This Row],[Cantidad 
LDV]]*Reactivos_[[#This Row],[Valor de referencia]]</f>
        <v>0</v>
      </c>
      <c r="Q321" s="257"/>
      <c r="R321" s="255">
        <f>+Reactivos_[[#This Row],[Cantidad LNDV]]*Reactivos_[[#This Row],[Valor de referencia]]</f>
        <v>0</v>
      </c>
      <c r="S321" s="148"/>
      <c r="T321" s="255">
        <f>+Reactivos_[[#This Row],[GGCA]]*Reactivos_[[#This Row],[Valor de referencia]]</f>
        <v>0</v>
      </c>
      <c r="U321" s="254"/>
      <c r="V321" s="255">
        <f>+Reactivos_[[#This Row],[Cantidad LDF]]*Reactivos_[[#This Row],[Valor de referencia]]</f>
        <v>0</v>
      </c>
      <c r="W321" s="254"/>
      <c r="X321" s="255">
        <f>+Reactivos_[[#This Row],[Cantidad LDF&amp;MR]]*Reactivos_[[#This Row],[Valor de referencia]]</f>
        <v>0</v>
      </c>
      <c r="Y321" s="254"/>
      <c r="Z321" s="255">
        <f>+Reactivos_[[#This Row],[Cantidad RED LASE]]*Reactivos_[[#This Row],[Valor de referencia]]</f>
        <v>0</v>
      </c>
      <c r="AA321" s="254"/>
      <c r="AB321" s="255">
        <f>+Reactivos_[[#This Row],[Cantidad LANIA]]*Reactivos_[[#This Row],[Valor de referencia]]</f>
        <v>0</v>
      </c>
      <c r="AC321" s="254"/>
      <c r="AD321" s="255">
        <f>+Reactivos_[[#This Row],[Cantidad SPA]]*Reactivos_[[#This Row],[Valor de referencia]]</f>
        <v>0</v>
      </c>
      <c r="AE321" s="148" t="s">
        <v>76</v>
      </c>
      <c r="AF321" s="148" t="s">
        <v>77</v>
      </c>
    </row>
    <row r="322" spans="1:32" ht="61.5" customHeight="1" x14ac:dyDescent="0.25">
      <c r="A322" s="294" t="str">
        <f>IF(B322=Reactivos_[[#This Row],[Cantidad LANIP]],"LANIP",IF(B322=Reactivos_[[#This Row],[Cantidad 
LDV]],"LDV",IF(B322=Reactivos_[[#This Row],[Cantidad LNDV]],"LNDV",IF(B322=Reactivos_[[#This Row],[GGCA]],"GGCA",IF(B322=Reactivos_[[#This Row],[Cantidad LDF]],"LDF",IF(Reactivos_[[#This Row],[Cantidad LDF&amp;MR]],"LDF&amp;MR",IF(B322=Reactivos_[[#This Row],[Cantidad RED LASE]],"LASE",IF(B322=Reactivos_[[#This Row],[Cantidad LANIA]],"LANIA",IF(B322=Reactivos_[[#This Row],[Cantidad SPA]],"SPA"," ")))))))))</f>
        <v>LANIP</v>
      </c>
      <c r="B32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2" s="325">
        <v>320</v>
      </c>
      <c r="D322" s="326">
        <v>447</v>
      </c>
      <c r="E322" s="327" t="s">
        <v>952</v>
      </c>
      <c r="F322" s="244"/>
      <c r="G322" s="327"/>
      <c r="H322" s="333" t="s">
        <v>953</v>
      </c>
      <c r="I322" s="334" t="s">
        <v>954</v>
      </c>
      <c r="J32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2" s="160">
        <v>751016</v>
      </c>
      <c r="L322" s="160">
        <f>+Reactivos_[[#This Row],[Cantidad]]*Reactivos_[[#This Row],[Valor de referencia]]</f>
        <v>751016</v>
      </c>
      <c r="M322" s="254">
        <v>1</v>
      </c>
      <c r="N322" s="255">
        <f>+Reactivos_[[#This Row],[Valor de referencia]]*Reactivos_[[#This Row],[Cantidad LANIP]]</f>
        <v>751016</v>
      </c>
      <c r="O322" s="256"/>
      <c r="P322" s="255">
        <f>+Reactivos_[[#This Row],[Cantidad 
LDV]]*Reactivos_[[#This Row],[Valor de referencia]]</f>
        <v>0</v>
      </c>
      <c r="Q322" s="257"/>
      <c r="R322" s="255">
        <f>+Reactivos_[[#This Row],[Cantidad LNDV]]*Reactivos_[[#This Row],[Valor de referencia]]</f>
        <v>0</v>
      </c>
      <c r="S322" s="148"/>
      <c r="T322" s="255">
        <f>+Reactivos_[[#This Row],[GGCA]]*Reactivos_[[#This Row],[Valor de referencia]]</f>
        <v>0</v>
      </c>
      <c r="U322" s="254"/>
      <c r="V322" s="255">
        <f>+Reactivos_[[#This Row],[Cantidad LDF]]*Reactivos_[[#This Row],[Valor de referencia]]</f>
        <v>0</v>
      </c>
      <c r="W322" s="254"/>
      <c r="X322" s="255">
        <f>+Reactivos_[[#This Row],[Cantidad LDF&amp;MR]]*Reactivos_[[#This Row],[Valor de referencia]]</f>
        <v>0</v>
      </c>
      <c r="Y322" s="254"/>
      <c r="Z322" s="255">
        <f>+Reactivos_[[#This Row],[Cantidad RED LASE]]*Reactivos_[[#This Row],[Valor de referencia]]</f>
        <v>0</v>
      </c>
      <c r="AA322" s="254"/>
      <c r="AB322" s="255">
        <f>+Reactivos_[[#This Row],[Cantidad LANIA]]*Reactivos_[[#This Row],[Valor de referencia]]</f>
        <v>0</v>
      </c>
      <c r="AC322" s="254"/>
      <c r="AD322" s="255">
        <f>+Reactivos_[[#This Row],[Cantidad SPA]]*Reactivos_[[#This Row],[Valor de referencia]]</f>
        <v>0</v>
      </c>
      <c r="AE322" s="148" t="s">
        <v>76</v>
      </c>
      <c r="AF322" s="148" t="s">
        <v>77</v>
      </c>
    </row>
    <row r="323" spans="1:32" ht="45" customHeight="1" x14ac:dyDescent="0.25">
      <c r="A323" s="294" t="str">
        <f>IF(B323=Reactivos_[[#This Row],[Cantidad LANIP]],"LANIP",IF(B323=Reactivos_[[#This Row],[Cantidad 
LDV]],"LDV",IF(B323=Reactivos_[[#This Row],[Cantidad LNDV]],"LNDV",IF(B323=Reactivos_[[#This Row],[GGCA]],"GGCA",IF(B323=Reactivos_[[#This Row],[Cantidad LDF]],"LDF",IF(Reactivos_[[#This Row],[Cantidad LDF&amp;MR]],"LDF&amp;MR",IF(B323=Reactivos_[[#This Row],[Cantidad RED LASE]],"LASE",IF(B323=Reactivos_[[#This Row],[Cantidad LANIA]],"LANIA",IF(B323=Reactivos_[[#This Row],[Cantidad SPA]],"SPA"," ")))))))))</f>
        <v>LANIP</v>
      </c>
      <c r="B32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3" s="325">
        <v>321</v>
      </c>
      <c r="D323" s="326">
        <v>449</v>
      </c>
      <c r="E323" s="245" t="s">
        <v>955</v>
      </c>
      <c r="F323" s="244" t="s">
        <v>956</v>
      </c>
      <c r="G323" s="245" t="s">
        <v>957</v>
      </c>
      <c r="H323" s="346" t="s">
        <v>958</v>
      </c>
      <c r="I323" s="336" t="s">
        <v>892</v>
      </c>
      <c r="J32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3" s="160">
        <v>714397</v>
      </c>
      <c r="L323" s="160">
        <f>+Reactivos_[[#This Row],[Cantidad]]*Reactivos_[[#This Row],[Valor de referencia]]</f>
        <v>714397</v>
      </c>
      <c r="M323" s="254">
        <v>1</v>
      </c>
      <c r="N323" s="255">
        <f>+Reactivos_[[#This Row],[Valor de referencia]]*Reactivos_[[#This Row],[Cantidad LANIP]]</f>
        <v>714397</v>
      </c>
      <c r="O323" s="256"/>
      <c r="P323" s="255">
        <f>+Reactivos_[[#This Row],[Cantidad 
LDV]]*Reactivos_[[#This Row],[Valor de referencia]]</f>
        <v>0</v>
      </c>
      <c r="Q323" s="257"/>
      <c r="R323" s="255">
        <f>+Reactivos_[[#This Row],[Cantidad LNDV]]*Reactivos_[[#This Row],[Valor de referencia]]</f>
        <v>0</v>
      </c>
      <c r="S323" s="148"/>
      <c r="T323" s="255">
        <f>+Reactivos_[[#This Row],[GGCA]]*Reactivos_[[#This Row],[Valor de referencia]]</f>
        <v>0</v>
      </c>
      <c r="U323" s="254"/>
      <c r="V323" s="255">
        <f>+Reactivos_[[#This Row],[Cantidad LDF]]*Reactivos_[[#This Row],[Valor de referencia]]</f>
        <v>0</v>
      </c>
      <c r="W323" s="254"/>
      <c r="X323" s="255">
        <f>+Reactivos_[[#This Row],[Cantidad LDF&amp;MR]]*Reactivos_[[#This Row],[Valor de referencia]]</f>
        <v>0</v>
      </c>
      <c r="Y323" s="254"/>
      <c r="Z323" s="255">
        <f>+Reactivos_[[#This Row],[Cantidad RED LASE]]*Reactivos_[[#This Row],[Valor de referencia]]</f>
        <v>0</v>
      </c>
      <c r="AA323" s="254"/>
      <c r="AB323" s="255">
        <f>+Reactivos_[[#This Row],[Cantidad LANIA]]*Reactivos_[[#This Row],[Valor de referencia]]</f>
        <v>0</v>
      </c>
      <c r="AC323" s="254"/>
      <c r="AD323" s="255">
        <f>+Reactivos_[[#This Row],[Cantidad SPA]]*Reactivos_[[#This Row],[Valor de referencia]]</f>
        <v>0</v>
      </c>
      <c r="AE323" s="148" t="s">
        <v>76</v>
      </c>
      <c r="AF323" s="148" t="s">
        <v>77</v>
      </c>
    </row>
    <row r="324" spans="1:32" ht="63.75" x14ac:dyDescent="0.25">
      <c r="A324" s="294" t="str">
        <f>IF(B324=Reactivos_[[#This Row],[Cantidad LANIP]],"LANIP",IF(B324=Reactivos_[[#This Row],[Cantidad 
LDV]],"LDV",IF(B324=Reactivos_[[#This Row],[Cantidad LNDV]],"LNDV",IF(B324=Reactivos_[[#This Row],[GGCA]],"GGCA",IF(B324=Reactivos_[[#This Row],[Cantidad LDF]],"LDF",IF(Reactivos_[[#This Row],[Cantidad LDF&amp;MR]],"LDF&amp;MR",IF(B324=Reactivos_[[#This Row],[Cantidad RED LASE]],"LASE",IF(B324=Reactivos_[[#This Row],[Cantidad LANIA]],"LANIA",IF(B324=Reactivos_[[#This Row],[Cantidad SPA]],"SPA"," ")))))))))</f>
        <v>LANIP</v>
      </c>
      <c r="B32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4" s="325">
        <v>322</v>
      </c>
      <c r="D324" s="326">
        <v>450</v>
      </c>
      <c r="E324" s="245" t="s">
        <v>959</v>
      </c>
      <c r="F324" s="244" t="s">
        <v>960</v>
      </c>
      <c r="G324" s="245" t="s">
        <v>961</v>
      </c>
      <c r="H324" s="346" t="s">
        <v>962</v>
      </c>
      <c r="I324" s="336" t="s">
        <v>784</v>
      </c>
      <c r="J32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4" s="160">
        <v>9457446</v>
      </c>
      <c r="L324" s="160">
        <f>+Reactivos_[[#This Row],[Cantidad]]*Reactivos_[[#This Row],[Valor de referencia]]</f>
        <v>9457446</v>
      </c>
      <c r="M324" s="254">
        <v>1</v>
      </c>
      <c r="N324" s="255">
        <f>+Reactivos_[[#This Row],[Valor de referencia]]*Reactivos_[[#This Row],[Cantidad LANIP]]</f>
        <v>9457446</v>
      </c>
      <c r="O324" s="256"/>
      <c r="P324" s="255">
        <f>+Reactivos_[[#This Row],[Cantidad 
LDV]]*Reactivos_[[#This Row],[Valor de referencia]]</f>
        <v>0</v>
      </c>
      <c r="Q324" s="257"/>
      <c r="R324" s="255">
        <f>+Reactivos_[[#This Row],[Cantidad LNDV]]*Reactivos_[[#This Row],[Valor de referencia]]</f>
        <v>0</v>
      </c>
      <c r="S324" s="148"/>
      <c r="T324" s="255">
        <f>+Reactivos_[[#This Row],[GGCA]]*Reactivos_[[#This Row],[Valor de referencia]]</f>
        <v>0</v>
      </c>
      <c r="U324" s="254"/>
      <c r="V324" s="255">
        <f>+Reactivos_[[#This Row],[Cantidad LDF]]*Reactivos_[[#This Row],[Valor de referencia]]</f>
        <v>0</v>
      </c>
      <c r="W324" s="254"/>
      <c r="X324" s="255">
        <f>+Reactivos_[[#This Row],[Cantidad LDF&amp;MR]]*Reactivos_[[#This Row],[Valor de referencia]]</f>
        <v>0</v>
      </c>
      <c r="Y324" s="254"/>
      <c r="Z324" s="255">
        <f>+Reactivos_[[#This Row],[Cantidad RED LASE]]*Reactivos_[[#This Row],[Valor de referencia]]</f>
        <v>0</v>
      </c>
      <c r="AA324" s="254"/>
      <c r="AB324" s="255">
        <f>+Reactivos_[[#This Row],[Cantidad LANIA]]*Reactivos_[[#This Row],[Valor de referencia]]</f>
        <v>0</v>
      </c>
      <c r="AC324" s="254"/>
      <c r="AD324" s="255">
        <f>+Reactivos_[[#This Row],[Cantidad SPA]]*Reactivos_[[#This Row],[Valor de referencia]]</f>
        <v>0</v>
      </c>
      <c r="AE324" s="148" t="s">
        <v>76</v>
      </c>
      <c r="AF324" s="148" t="s">
        <v>77</v>
      </c>
    </row>
    <row r="325" spans="1:32" ht="74.25" customHeight="1" x14ac:dyDescent="0.25">
      <c r="A325" s="294" t="str">
        <f>IF(B325=Reactivos_[[#This Row],[Cantidad LANIP]],"LANIP",IF(B325=Reactivos_[[#This Row],[Cantidad 
LDV]],"LDV",IF(B325=Reactivos_[[#This Row],[Cantidad LNDV]],"LNDV",IF(B325=Reactivos_[[#This Row],[GGCA]],"GGCA",IF(B325=Reactivos_[[#This Row],[Cantidad LDF]],"LDF",IF(Reactivos_[[#This Row],[Cantidad LDF&amp;MR]],"LDF&amp;MR",IF(B325=Reactivos_[[#This Row],[Cantidad RED LASE]],"LASE",IF(B325=Reactivos_[[#This Row],[Cantidad LANIA]],"LANIA",IF(B325=Reactivos_[[#This Row],[Cantidad SPA]],"SPA"," ")))))))))</f>
        <v>LANIP</v>
      </c>
      <c r="B32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5" s="325">
        <v>323</v>
      </c>
      <c r="D325" s="326">
        <v>451</v>
      </c>
      <c r="E325" s="327" t="s">
        <v>963</v>
      </c>
      <c r="F325" s="244"/>
      <c r="G325" s="327"/>
      <c r="H325" s="333" t="s">
        <v>964</v>
      </c>
      <c r="I325" s="334" t="s">
        <v>888</v>
      </c>
      <c r="J32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5" s="160">
        <v>1614814</v>
      </c>
      <c r="L325" s="160">
        <f>+Reactivos_[[#This Row],[Cantidad]]*Reactivos_[[#This Row],[Valor de referencia]]</f>
        <v>1614814</v>
      </c>
      <c r="M325" s="254">
        <v>1</v>
      </c>
      <c r="N325" s="255">
        <f>+Reactivos_[[#This Row],[Valor de referencia]]*Reactivos_[[#This Row],[Cantidad LANIP]]</f>
        <v>1614814</v>
      </c>
      <c r="O325" s="256"/>
      <c r="P325" s="255">
        <f>+Reactivos_[[#This Row],[Cantidad 
LDV]]*Reactivos_[[#This Row],[Valor de referencia]]</f>
        <v>0</v>
      </c>
      <c r="Q325" s="257"/>
      <c r="R325" s="255">
        <f>+Reactivos_[[#This Row],[Cantidad LNDV]]*Reactivos_[[#This Row],[Valor de referencia]]</f>
        <v>0</v>
      </c>
      <c r="S325" s="148"/>
      <c r="T325" s="255">
        <f>+Reactivos_[[#This Row],[GGCA]]*Reactivos_[[#This Row],[Valor de referencia]]</f>
        <v>0</v>
      </c>
      <c r="U325" s="254"/>
      <c r="V325" s="255">
        <f>+Reactivos_[[#This Row],[Cantidad LDF]]*Reactivos_[[#This Row],[Valor de referencia]]</f>
        <v>0</v>
      </c>
      <c r="W325" s="254"/>
      <c r="X325" s="255">
        <f>+Reactivos_[[#This Row],[Cantidad LDF&amp;MR]]*Reactivos_[[#This Row],[Valor de referencia]]</f>
        <v>0</v>
      </c>
      <c r="Y325" s="254"/>
      <c r="Z325" s="255">
        <f>+Reactivos_[[#This Row],[Cantidad RED LASE]]*Reactivos_[[#This Row],[Valor de referencia]]</f>
        <v>0</v>
      </c>
      <c r="AA325" s="254"/>
      <c r="AB325" s="255">
        <f>+Reactivos_[[#This Row],[Cantidad LANIA]]*Reactivos_[[#This Row],[Valor de referencia]]</f>
        <v>0</v>
      </c>
      <c r="AC325" s="254"/>
      <c r="AD325" s="255">
        <f>+Reactivos_[[#This Row],[Cantidad SPA]]*Reactivos_[[#This Row],[Valor de referencia]]</f>
        <v>0</v>
      </c>
      <c r="AE325" s="148" t="s">
        <v>76</v>
      </c>
      <c r="AF325" s="148" t="s">
        <v>77</v>
      </c>
    </row>
    <row r="326" spans="1:32" x14ac:dyDescent="0.25">
      <c r="A326" s="294" t="str">
        <f>IF(B326=Reactivos_[[#This Row],[Cantidad LANIP]],"LANIP",IF(B326=Reactivos_[[#This Row],[Cantidad 
LDV]],"LDV",IF(B326=Reactivos_[[#This Row],[Cantidad LNDV]],"LNDV",IF(B326=Reactivos_[[#This Row],[GGCA]],"GGCA",IF(B326=Reactivos_[[#This Row],[Cantidad LDF]],"LDF",IF(Reactivos_[[#This Row],[Cantidad LDF&amp;MR]],"LDF&amp;MR",IF(B326=Reactivos_[[#This Row],[Cantidad RED LASE]],"LASE",IF(B326=Reactivos_[[#This Row],[Cantidad LANIA]],"LANIA",IF(B326=Reactivos_[[#This Row],[Cantidad SPA]],"SPA"," ")))))))))</f>
        <v>LANIP</v>
      </c>
      <c r="B32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6" s="325">
        <v>324</v>
      </c>
      <c r="D326" s="326">
        <v>454</v>
      </c>
      <c r="E326" s="245" t="s">
        <v>965</v>
      </c>
      <c r="F326" s="244" t="s">
        <v>966</v>
      </c>
      <c r="G326" s="245" t="s">
        <v>967</v>
      </c>
      <c r="H326" s="335"/>
      <c r="I326" s="336" t="s">
        <v>968</v>
      </c>
      <c r="J32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6" s="160">
        <v>1979208</v>
      </c>
      <c r="L326" s="160">
        <f>+Reactivos_[[#This Row],[Cantidad]]*Reactivos_[[#This Row],[Valor de referencia]]</f>
        <v>1979208</v>
      </c>
      <c r="M326" s="254">
        <v>1</v>
      </c>
      <c r="N326" s="255">
        <f>+Reactivos_[[#This Row],[Valor de referencia]]*Reactivos_[[#This Row],[Cantidad LANIP]]</f>
        <v>1979208</v>
      </c>
      <c r="O326" s="256"/>
      <c r="P326" s="255">
        <f>+Reactivos_[[#This Row],[Cantidad 
LDV]]*Reactivos_[[#This Row],[Valor de referencia]]</f>
        <v>0</v>
      </c>
      <c r="Q326" s="257"/>
      <c r="R326" s="255">
        <f>+Reactivos_[[#This Row],[Cantidad LNDV]]*Reactivos_[[#This Row],[Valor de referencia]]</f>
        <v>0</v>
      </c>
      <c r="S326" s="148"/>
      <c r="T326" s="255">
        <f>+Reactivos_[[#This Row],[GGCA]]*Reactivos_[[#This Row],[Valor de referencia]]</f>
        <v>0</v>
      </c>
      <c r="U326" s="254"/>
      <c r="V326" s="255">
        <f>+Reactivos_[[#This Row],[Cantidad LDF]]*Reactivos_[[#This Row],[Valor de referencia]]</f>
        <v>0</v>
      </c>
      <c r="W326" s="254"/>
      <c r="X326" s="255">
        <f>+Reactivos_[[#This Row],[Cantidad LDF&amp;MR]]*Reactivos_[[#This Row],[Valor de referencia]]</f>
        <v>0</v>
      </c>
      <c r="Y326" s="254"/>
      <c r="Z326" s="255">
        <f>+Reactivos_[[#This Row],[Cantidad RED LASE]]*Reactivos_[[#This Row],[Valor de referencia]]</f>
        <v>0</v>
      </c>
      <c r="AA326" s="254"/>
      <c r="AB326" s="255">
        <f>+Reactivos_[[#This Row],[Cantidad LANIA]]*Reactivos_[[#This Row],[Valor de referencia]]</f>
        <v>0</v>
      </c>
      <c r="AC326" s="254"/>
      <c r="AD326" s="255">
        <f>+Reactivos_[[#This Row],[Cantidad SPA]]*Reactivos_[[#This Row],[Valor de referencia]]</f>
        <v>0</v>
      </c>
      <c r="AE326" s="148" t="s">
        <v>76</v>
      </c>
      <c r="AF326" s="148" t="s">
        <v>77</v>
      </c>
    </row>
    <row r="327" spans="1:32" ht="33.75" customHeight="1" x14ac:dyDescent="0.25">
      <c r="A327" s="294" t="str">
        <f>IF(B327=Reactivos_[[#This Row],[Cantidad LANIP]],"LANIP",IF(B327=Reactivos_[[#This Row],[Cantidad 
LDV]],"LDV",IF(B327=Reactivos_[[#This Row],[Cantidad LNDV]],"LNDV",IF(B327=Reactivos_[[#This Row],[GGCA]],"GGCA",IF(B327=Reactivos_[[#This Row],[Cantidad LDF]],"LDF",IF(Reactivos_[[#This Row],[Cantidad LDF&amp;MR]],"LDF&amp;MR",IF(B327=Reactivos_[[#This Row],[Cantidad RED LASE]],"LASE",IF(B327=Reactivos_[[#This Row],[Cantidad LANIA]],"LANIA",IF(B327=Reactivos_[[#This Row],[Cantidad SPA]],"SPA"," ")))))))))</f>
        <v>LANIA</v>
      </c>
      <c r="B32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7" s="325">
        <v>325</v>
      </c>
      <c r="D327" s="326">
        <v>455</v>
      </c>
      <c r="E327" s="327" t="s">
        <v>969</v>
      </c>
      <c r="F327" s="338"/>
      <c r="G327" s="339"/>
      <c r="H327" s="328" t="s">
        <v>970</v>
      </c>
      <c r="I327" s="347" t="s">
        <v>892</v>
      </c>
      <c r="J32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7" s="160">
        <v>2422201</v>
      </c>
      <c r="L327" s="160">
        <f>+Reactivos_[[#This Row],[Cantidad]]*Reactivos_[[#This Row],[Valor de referencia]]</f>
        <v>2422201</v>
      </c>
      <c r="M327" s="254">
        <v>0</v>
      </c>
      <c r="N327" s="255">
        <f>+Reactivos_[[#This Row],[Valor de referencia]]*Reactivos_[[#This Row],[Cantidad LANIP]]</f>
        <v>0</v>
      </c>
      <c r="O327" s="256"/>
      <c r="P327" s="255">
        <f>+Reactivos_[[#This Row],[Cantidad 
LDV]]*Reactivos_[[#This Row],[Valor de referencia]]</f>
        <v>0</v>
      </c>
      <c r="Q327" s="257"/>
      <c r="R327" s="255">
        <f>+Reactivos_[[#This Row],[Cantidad LNDV]]*Reactivos_[[#This Row],[Valor de referencia]]</f>
        <v>0</v>
      </c>
      <c r="S327" s="148"/>
      <c r="T327" s="255">
        <f>+Reactivos_[[#This Row],[GGCA]]*Reactivos_[[#This Row],[Valor de referencia]]</f>
        <v>0</v>
      </c>
      <c r="U327" s="254"/>
      <c r="V327" s="255">
        <f>+Reactivos_[[#This Row],[Cantidad LDF]]*Reactivos_[[#This Row],[Valor de referencia]]</f>
        <v>0</v>
      </c>
      <c r="W327" s="254"/>
      <c r="X327" s="255">
        <f>+Reactivos_[[#This Row],[Cantidad LDF&amp;MR]]*Reactivos_[[#This Row],[Valor de referencia]]</f>
        <v>0</v>
      </c>
      <c r="Y327" s="254"/>
      <c r="Z327" s="255">
        <f>+Reactivos_[[#This Row],[Cantidad RED LASE]]*Reactivos_[[#This Row],[Valor de referencia]]</f>
        <v>0</v>
      </c>
      <c r="AA327" s="254">
        <v>1</v>
      </c>
      <c r="AB327" s="255">
        <f>+Reactivos_[[#This Row],[Cantidad LANIA]]*Reactivos_[[#This Row],[Valor de referencia]]</f>
        <v>2422201</v>
      </c>
      <c r="AC327" s="254"/>
      <c r="AD327" s="255">
        <f>+Reactivos_[[#This Row],[Cantidad SPA]]*Reactivos_[[#This Row],[Valor de referencia]]</f>
        <v>0</v>
      </c>
      <c r="AE327" s="148" t="s">
        <v>76</v>
      </c>
      <c r="AF327" s="148" t="s">
        <v>77</v>
      </c>
    </row>
    <row r="328" spans="1:32" ht="51" x14ac:dyDescent="0.25">
      <c r="A328" s="294" t="str">
        <f>IF(B328=Reactivos_[[#This Row],[Cantidad LANIP]],"LANIP",IF(B328=Reactivos_[[#This Row],[Cantidad 
LDV]],"LDV",IF(B328=Reactivos_[[#This Row],[Cantidad LNDV]],"LNDV",IF(B328=Reactivos_[[#This Row],[GGCA]],"GGCA",IF(B328=Reactivos_[[#This Row],[Cantidad LDF]],"LDF",IF(Reactivos_[[#This Row],[Cantidad LDF&amp;MR]],"LDF&amp;MR",IF(B328=Reactivos_[[#This Row],[Cantidad RED LASE]],"LASE",IF(B328=Reactivos_[[#This Row],[Cantidad LANIA]],"LANIA",IF(B328=Reactivos_[[#This Row],[Cantidad SPA]],"SPA"," ")))))))))</f>
        <v>LANIP</v>
      </c>
      <c r="B32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8" s="325">
        <v>326</v>
      </c>
      <c r="D328" s="326">
        <v>456</v>
      </c>
      <c r="E328" s="331" t="s">
        <v>971</v>
      </c>
      <c r="F328" s="332"/>
      <c r="G328" s="331"/>
      <c r="H328" s="346" t="s">
        <v>972</v>
      </c>
      <c r="I328" s="329" t="s">
        <v>107</v>
      </c>
      <c r="J32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8" s="160">
        <v>615230</v>
      </c>
      <c r="L328" s="160">
        <f>+Reactivos_[[#This Row],[Cantidad]]*Reactivos_[[#This Row],[Valor de referencia]]</f>
        <v>615230</v>
      </c>
      <c r="M328" s="254">
        <v>1</v>
      </c>
      <c r="N328" s="255">
        <f>+Reactivos_[[#This Row],[Valor de referencia]]*Reactivos_[[#This Row],[Cantidad LANIP]]</f>
        <v>615230</v>
      </c>
      <c r="O328" s="256"/>
      <c r="P328" s="255">
        <f>+Reactivos_[[#This Row],[Cantidad 
LDV]]*Reactivos_[[#This Row],[Valor de referencia]]</f>
        <v>0</v>
      </c>
      <c r="Q328" s="257"/>
      <c r="R328" s="255">
        <f>+Reactivos_[[#This Row],[Cantidad LNDV]]*Reactivos_[[#This Row],[Valor de referencia]]</f>
        <v>0</v>
      </c>
      <c r="S328" s="148"/>
      <c r="T328" s="255">
        <f>+Reactivos_[[#This Row],[GGCA]]*Reactivos_[[#This Row],[Valor de referencia]]</f>
        <v>0</v>
      </c>
      <c r="U328" s="254"/>
      <c r="V328" s="255">
        <f>+Reactivos_[[#This Row],[Cantidad LDF]]*Reactivos_[[#This Row],[Valor de referencia]]</f>
        <v>0</v>
      </c>
      <c r="W328" s="254"/>
      <c r="X328" s="255">
        <f>+Reactivos_[[#This Row],[Cantidad LDF&amp;MR]]*Reactivos_[[#This Row],[Valor de referencia]]</f>
        <v>0</v>
      </c>
      <c r="Y328" s="254"/>
      <c r="Z328" s="255">
        <f>+Reactivos_[[#This Row],[Cantidad RED LASE]]*Reactivos_[[#This Row],[Valor de referencia]]</f>
        <v>0</v>
      </c>
      <c r="AA328" s="254"/>
      <c r="AB328" s="255">
        <f>+Reactivos_[[#This Row],[Cantidad LANIA]]*Reactivos_[[#This Row],[Valor de referencia]]</f>
        <v>0</v>
      </c>
      <c r="AC328" s="254"/>
      <c r="AD328" s="255">
        <f>+Reactivos_[[#This Row],[Cantidad SPA]]*Reactivos_[[#This Row],[Valor de referencia]]</f>
        <v>0</v>
      </c>
      <c r="AE328" s="148" t="s">
        <v>76</v>
      </c>
      <c r="AF328" s="148" t="s">
        <v>77</v>
      </c>
    </row>
    <row r="329" spans="1:32" ht="25.5" x14ac:dyDescent="0.25">
      <c r="A329" s="294" t="str">
        <f>IF(B329=Reactivos_[[#This Row],[Cantidad LANIP]],"LANIP",IF(B329=Reactivos_[[#This Row],[Cantidad 
LDV]],"LDV",IF(B329=Reactivos_[[#This Row],[Cantidad LNDV]],"LNDV",IF(B329=Reactivos_[[#This Row],[GGCA]],"GGCA",IF(B329=Reactivos_[[#This Row],[Cantidad LDF]],"LDF",IF(Reactivos_[[#This Row],[Cantidad LDF&amp;MR]],"LDF&amp;MR",IF(B329=Reactivos_[[#This Row],[Cantidad RED LASE]],"LASE",IF(B329=Reactivos_[[#This Row],[Cantidad LANIA]],"LANIA",IF(B329=Reactivos_[[#This Row],[Cantidad SPA]],"SPA"," ")))))))))</f>
        <v>LANIA</v>
      </c>
      <c r="B32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29" s="325">
        <v>327</v>
      </c>
      <c r="D329" s="326">
        <v>458</v>
      </c>
      <c r="E329" s="327" t="s">
        <v>973</v>
      </c>
      <c r="F329" s="338"/>
      <c r="G329" s="339"/>
      <c r="H329" s="328" t="s">
        <v>970</v>
      </c>
      <c r="I329" s="347" t="s">
        <v>888</v>
      </c>
      <c r="J32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29" s="160">
        <v>1107187</v>
      </c>
      <c r="L329" s="160">
        <f>+Reactivos_[[#This Row],[Cantidad]]*Reactivos_[[#This Row],[Valor de referencia]]</f>
        <v>1107187</v>
      </c>
      <c r="M329" s="254">
        <v>0</v>
      </c>
      <c r="N329" s="255">
        <f>+Reactivos_[[#This Row],[Valor de referencia]]*Reactivos_[[#This Row],[Cantidad LANIP]]</f>
        <v>0</v>
      </c>
      <c r="O329" s="256"/>
      <c r="P329" s="255">
        <f>+Reactivos_[[#This Row],[Cantidad 
LDV]]*Reactivos_[[#This Row],[Valor de referencia]]</f>
        <v>0</v>
      </c>
      <c r="Q329" s="257"/>
      <c r="R329" s="255">
        <f>+Reactivos_[[#This Row],[Cantidad LNDV]]*Reactivos_[[#This Row],[Valor de referencia]]</f>
        <v>0</v>
      </c>
      <c r="S329" s="148"/>
      <c r="T329" s="255">
        <f>+Reactivos_[[#This Row],[GGCA]]*Reactivos_[[#This Row],[Valor de referencia]]</f>
        <v>0</v>
      </c>
      <c r="U329" s="254"/>
      <c r="V329" s="255">
        <f>+Reactivos_[[#This Row],[Cantidad LDF]]*Reactivos_[[#This Row],[Valor de referencia]]</f>
        <v>0</v>
      </c>
      <c r="W329" s="254"/>
      <c r="X329" s="255">
        <f>+Reactivos_[[#This Row],[Cantidad LDF&amp;MR]]*Reactivos_[[#This Row],[Valor de referencia]]</f>
        <v>0</v>
      </c>
      <c r="Y329" s="254"/>
      <c r="Z329" s="255">
        <f>+Reactivos_[[#This Row],[Cantidad RED LASE]]*Reactivos_[[#This Row],[Valor de referencia]]</f>
        <v>0</v>
      </c>
      <c r="AA329" s="254">
        <v>1</v>
      </c>
      <c r="AB329" s="255">
        <f>+Reactivos_[[#This Row],[Cantidad LANIA]]*Reactivos_[[#This Row],[Valor de referencia]]</f>
        <v>1107187</v>
      </c>
      <c r="AC329" s="254"/>
      <c r="AD329" s="255">
        <f>+Reactivos_[[#This Row],[Cantidad SPA]]*Reactivos_[[#This Row],[Valor de referencia]]</f>
        <v>0</v>
      </c>
      <c r="AE329" s="148" t="s">
        <v>76</v>
      </c>
      <c r="AF329" s="148" t="s">
        <v>77</v>
      </c>
    </row>
    <row r="330" spans="1:32" ht="22.5" customHeight="1" x14ac:dyDescent="0.25">
      <c r="A330" s="294" t="str">
        <f>IF(B330=Reactivos_[[#This Row],[Cantidad LANIP]],"LANIP",IF(B330=Reactivos_[[#This Row],[Cantidad 
LDV]],"LDV",IF(B330=Reactivos_[[#This Row],[Cantidad LNDV]],"LNDV",IF(B330=Reactivos_[[#This Row],[GGCA]],"GGCA",IF(B330=Reactivos_[[#This Row],[Cantidad LDF]],"LDF",IF(Reactivos_[[#This Row],[Cantidad LDF&amp;MR]],"LDF&amp;MR",IF(B330=Reactivos_[[#This Row],[Cantidad RED LASE]],"LASE",IF(B330=Reactivos_[[#This Row],[Cantidad LANIA]],"LANIA",IF(B330=Reactivos_[[#This Row],[Cantidad SPA]],"SPA"," ")))))))))</f>
        <v>LANIP</v>
      </c>
      <c r="B33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0" s="325">
        <v>328</v>
      </c>
      <c r="D330" s="326">
        <v>459</v>
      </c>
      <c r="E330" s="331" t="s">
        <v>974</v>
      </c>
      <c r="F330" s="332" t="s">
        <v>975</v>
      </c>
      <c r="G330" s="331"/>
      <c r="H330" s="328" t="s">
        <v>976</v>
      </c>
      <c r="I330" s="329" t="s">
        <v>954</v>
      </c>
      <c r="J33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0" s="160">
        <v>1576775</v>
      </c>
      <c r="L330" s="160">
        <f>+Reactivos_[[#This Row],[Cantidad]]*Reactivos_[[#This Row],[Valor de referencia]]</f>
        <v>1576775</v>
      </c>
      <c r="M330" s="254">
        <v>1</v>
      </c>
      <c r="N330" s="255">
        <f>+Reactivos_[[#This Row],[Valor de referencia]]*Reactivos_[[#This Row],[Cantidad LANIP]]</f>
        <v>1576775</v>
      </c>
      <c r="O330" s="256"/>
      <c r="P330" s="255">
        <f>+Reactivos_[[#This Row],[Cantidad 
LDV]]*Reactivos_[[#This Row],[Valor de referencia]]</f>
        <v>0</v>
      </c>
      <c r="Q330" s="257"/>
      <c r="R330" s="255">
        <f>+Reactivos_[[#This Row],[Cantidad LNDV]]*Reactivos_[[#This Row],[Valor de referencia]]</f>
        <v>0</v>
      </c>
      <c r="S330" s="148"/>
      <c r="T330" s="255">
        <f>+Reactivos_[[#This Row],[GGCA]]*Reactivos_[[#This Row],[Valor de referencia]]</f>
        <v>0</v>
      </c>
      <c r="U330" s="254"/>
      <c r="V330" s="255">
        <f>+Reactivos_[[#This Row],[Cantidad LDF]]*Reactivos_[[#This Row],[Valor de referencia]]</f>
        <v>0</v>
      </c>
      <c r="W330" s="254"/>
      <c r="X330" s="255">
        <f>+Reactivos_[[#This Row],[Cantidad LDF&amp;MR]]*Reactivos_[[#This Row],[Valor de referencia]]</f>
        <v>0</v>
      </c>
      <c r="Y330" s="254"/>
      <c r="Z330" s="255">
        <f>+Reactivos_[[#This Row],[Cantidad RED LASE]]*Reactivos_[[#This Row],[Valor de referencia]]</f>
        <v>0</v>
      </c>
      <c r="AA330" s="254"/>
      <c r="AB330" s="255">
        <f>+Reactivos_[[#This Row],[Cantidad LANIA]]*Reactivos_[[#This Row],[Valor de referencia]]</f>
        <v>0</v>
      </c>
      <c r="AC330" s="254"/>
      <c r="AD330" s="255">
        <f>+Reactivos_[[#This Row],[Cantidad SPA]]*Reactivos_[[#This Row],[Valor de referencia]]</f>
        <v>0</v>
      </c>
      <c r="AE330" s="148" t="s">
        <v>76</v>
      </c>
      <c r="AF330" s="148" t="s">
        <v>77</v>
      </c>
    </row>
    <row r="331" spans="1:32" ht="22.5" customHeight="1" x14ac:dyDescent="0.25">
      <c r="A331" s="294" t="str">
        <f>IF(B331=Reactivos_[[#This Row],[Cantidad LANIP]],"LANIP",IF(B331=Reactivos_[[#This Row],[Cantidad 
LDV]],"LDV",IF(B331=Reactivos_[[#This Row],[Cantidad LNDV]],"LNDV",IF(B331=Reactivos_[[#This Row],[GGCA]],"GGCA",IF(B331=Reactivos_[[#This Row],[Cantidad LDF]],"LDF",IF(Reactivos_[[#This Row],[Cantidad LDF&amp;MR]],"LDF&amp;MR",IF(B331=Reactivos_[[#This Row],[Cantidad RED LASE]],"LASE",IF(B331=Reactivos_[[#This Row],[Cantidad LANIA]],"LANIA",IF(B331=Reactivos_[[#This Row],[Cantidad SPA]],"SPA"," ")))))))))</f>
        <v>LANIA</v>
      </c>
      <c r="B33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331" s="325">
        <v>329</v>
      </c>
      <c r="D331" s="326">
        <v>461</v>
      </c>
      <c r="E331" s="327" t="s">
        <v>977</v>
      </c>
      <c r="F331" s="244" t="s">
        <v>978</v>
      </c>
      <c r="G331" s="245"/>
      <c r="H331" s="346" t="s">
        <v>979</v>
      </c>
      <c r="I331" s="336" t="s">
        <v>980</v>
      </c>
      <c r="J33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331" s="160">
        <v>1406293</v>
      </c>
      <c r="L331" s="160">
        <f>+Reactivos_[[#This Row],[Cantidad]]*Reactivos_[[#This Row],[Valor de referencia]]</f>
        <v>7031465</v>
      </c>
      <c r="M331" s="254">
        <v>0</v>
      </c>
      <c r="N331" s="255">
        <f>+Reactivos_[[#This Row],[Valor de referencia]]*Reactivos_[[#This Row],[Cantidad LANIP]]</f>
        <v>0</v>
      </c>
      <c r="O331" s="256"/>
      <c r="P331" s="255">
        <f>+Reactivos_[[#This Row],[Cantidad 
LDV]]*Reactivos_[[#This Row],[Valor de referencia]]</f>
        <v>0</v>
      </c>
      <c r="Q331" s="257"/>
      <c r="R331" s="255">
        <f>+Reactivos_[[#This Row],[Cantidad LNDV]]*Reactivos_[[#This Row],[Valor de referencia]]</f>
        <v>0</v>
      </c>
      <c r="S331" s="148"/>
      <c r="T331" s="255">
        <f>+Reactivos_[[#This Row],[GGCA]]*Reactivos_[[#This Row],[Valor de referencia]]</f>
        <v>0</v>
      </c>
      <c r="U331" s="254"/>
      <c r="V331" s="255">
        <f>+Reactivos_[[#This Row],[Cantidad LDF]]*Reactivos_[[#This Row],[Valor de referencia]]</f>
        <v>0</v>
      </c>
      <c r="W331" s="254"/>
      <c r="X331" s="255">
        <f>+Reactivos_[[#This Row],[Cantidad LDF&amp;MR]]*Reactivos_[[#This Row],[Valor de referencia]]</f>
        <v>0</v>
      </c>
      <c r="Y331" s="254"/>
      <c r="Z331" s="255">
        <f>+Reactivos_[[#This Row],[Cantidad RED LASE]]*Reactivos_[[#This Row],[Valor de referencia]]</f>
        <v>0</v>
      </c>
      <c r="AA331" s="254">
        <v>5</v>
      </c>
      <c r="AB331" s="255">
        <f>+Reactivos_[[#This Row],[Cantidad LANIA]]*Reactivos_[[#This Row],[Valor de referencia]]</f>
        <v>7031465</v>
      </c>
      <c r="AC331" s="254"/>
      <c r="AD331" s="255">
        <f>+Reactivos_[[#This Row],[Cantidad SPA]]*Reactivos_[[#This Row],[Valor de referencia]]</f>
        <v>0</v>
      </c>
      <c r="AE331" s="148" t="s">
        <v>76</v>
      </c>
      <c r="AF331" s="148" t="s">
        <v>77</v>
      </c>
    </row>
    <row r="332" spans="1:32" ht="63.75" x14ac:dyDescent="0.25">
      <c r="A332" s="294" t="str">
        <f>IF(B332=Reactivos_[[#This Row],[Cantidad LANIP]],"LANIP",IF(B332=Reactivos_[[#This Row],[Cantidad 
LDV]],"LDV",IF(B332=Reactivos_[[#This Row],[Cantidad LNDV]],"LNDV",IF(B332=Reactivos_[[#This Row],[GGCA]],"GGCA",IF(B332=Reactivos_[[#This Row],[Cantidad LDF]],"LDF",IF(Reactivos_[[#This Row],[Cantidad LDF&amp;MR]],"LDF&amp;MR",IF(B332=Reactivos_[[#This Row],[Cantidad RED LASE]],"LASE",IF(B332=Reactivos_[[#This Row],[Cantidad LANIA]],"LANIA",IF(B332=Reactivos_[[#This Row],[Cantidad SPA]],"SPA"," ")))))))))</f>
        <v>LANIP</v>
      </c>
      <c r="B33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2" s="325">
        <v>330</v>
      </c>
      <c r="D332" s="326">
        <v>462</v>
      </c>
      <c r="E332" s="245" t="s">
        <v>981</v>
      </c>
      <c r="F332" s="244" t="s">
        <v>982</v>
      </c>
      <c r="G332" s="245" t="s">
        <v>983</v>
      </c>
      <c r="H332" s="346" t="s">
        <v>984</v>
      </c>
      <c r="I332" s="336" t="s">
        <v>784</v>
      </c>
      <c r="J33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2" s="160">
        <v>7086133</v>
      </c>
      <c r="L332" s="160">
        <f>+Reactivos_[[#This Row],[Cantidad]]*Reactivos_[[#This Row],[Valor de referencia]]</f>
        <v>7086133</v>
      </c>
      <c r="M332" s="254">
        <v>1</v>
      </c>
      <c r="N332" s="255">
        <f>+Reactivos_[[#This Row],[Valor de referencia]]*Reactivos_[[#This Row],[Cantidad LANIP]]</f>
        <v>7086133</v>
      </c>
      <c r="O332" s="256"/>
      <c r="P332" s="255">
        <f>+Reactivos_[[#This Row],[Cantidad 
LDV]]*Reactivos_[[#This Row],[Valor de referencia]]</f>
        <v>0</v>
      </c>
      <c r="Q332" s="257"/>
      <c r="R332" s="255">
        <f>+Reactivos_[[#This Row],[Cantidad LNDV]]*Reactivos_[[#This Row],[Valor de referencia]]</f>
        <v>0</v>
      </c>
      <c r="S332" s="148"/>
      <c r="T332" s="255">
        <f>+Reactivos_[[#This Row],[GGCA]]*Reactivos_[[#This Row],[Valor de referencia]]</f>
        <v>0</v>
      </c>
      <c r="U332" s="254"/>
      <c r="V332" s="255">
        <f>+Reactivos_[[#This Row],[Cantidad LDF]]*Reactivos_[[#This Row],[Valor de referencia]]</f>
        <v>0</v>
      </c>
      <c r="W332" s="254"/>
      <c r="X332" s="255">
        <f>+Reactivos_[[#This Row],[Cantidad LDF&amp;MR]]*Reactivos_[[#This Row],[Valor de referencia]]</f>
        <v>0</v>
      </c>
      <c r="Y332" s="254"/>
      <c r="Z332" s="255">
        <f>+Reactivos_[[#This Row],[Cantidad RED LASE]]*Reactivos_[[#This Row],[Valor de referencia]]</f>
        <v>0</v>
      </c>
      <c r="AA332" s="254"/>
      <c r="AB332" s="255">
        <f>+Reactivos_[[#This Row],[Cantidad LANIA]]*Reactivos_[[#This Row],[Valor de referencia]]</f>
        <v>0</v>
      </c>
      <c r="AC332" s="254"/>
      <c r="AD332" s="255">
        <f>+Reactivos_[[#This Row],[Cantidad SPA]]*Reactivos_[[#This Row],[Valor de referencia]]</f>
        <v>0</v>
      </c>
      <c r="AE332" s="148" t="s">
        <v>76</v>
      </c>
      <c r="AF332" s="148" t="s">
        <v>77</v>
      </c>
    </row>
    <row r="333" spans="1:32" ht="45" customHeight="1" x14ac:dyDescent="0.25">
      <c r="A333" s="294" t="str">
        <f>IF(B333=Reactivos_[[#This Row],[Cantidad LANIP]],"LANIP",IF(B333=Reactivos_[[#This Row],[Cantidad 
LDV]],"LDV",IF(B333=Reactivos_[[#This Row],[Cantidad LNDV]],"LNDV",IF(B333=Reactivos_[[#This Row],[GGCA]],"GGCA",IF(B333=Reactivos_[[#This Row],[Cantidad LDF]],"LDF",IF(Reactivos_[[#This Row],[Cantidad LDF&amp;MR]],"LDF&amp;MR",IF(B333=Reactivos_[[#This Row],[Cantidad RED LASE]],"LASE",IF(B333=Reactivos_[[#This Row],[Cantidad LANIA]],"LANIA",IF(B333=Reactivos_[[#This Row],[Cantidad SPA]],"SPA"," ")))))))))</f>
        <v>LANIP</v>
      </c>
      <c r="B33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3" s="325">
        <v>331</v>
      </c>
      <c r="D333" s="326">
        <v>463</v>
      </c>
      <c r="E333" s="245" t="s">
        <v>985</v>
      </c>
      <c r="F333" s="244" t="s">
        <v>986</v>
      </c>
      <c r="G333" s="245" t="s">
        <v>987</v>
      </c>
      <c r="H333" s="346" t="s">
        <v>988</v>
      </c>
      <c r="I333" s="336" t="s">
        <v>888</v>
      </c>
      <c r="J33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3" s="160">
        <v>1979208</v>
      </c>
      <c r="L333" s="160">
        <f>+Reactivos_[[#This Row],[Cantidad]]*Reactivos_[[#This Row],[Valor de referencia]]</f>
        <v>1979208</v>
      </c>
      <c r="M333" s="254">
        <v>1</v>
      </c>
      <c r="N333" s="255">
        <f>+Reactivos_[[#This Row],[Valor de referencia]]*Reactivos_[[#This Row],[Cantidad LANIP]]</f>
        <v>1979208</v>
      </c>
      <c r="O333" s="256"/>
      <c r="P333" s="255">
        <f>+Reactivos_[[#This Row],[Cantidad 
LDV]]*Reactivos_[[#This Row],[Valor de referencia]]</f>
        <v>0</v>
      </c>
      <c r="Q333" s="257"/>
      <c r="R333" s="255">
        <f>+Reactivos_[[#This Row],[Cantidad LNDV]]*Reactivos_[[#This Row],[Valor de referencia]]</f>
        <v>0</v>
      </c>
      <c r="S333" s="148"/>
      <c r="T333" s="255">
        <f>+Reactivos_[[#This Row],[GGCA]]*Reactivos_[[#This Row],[Valor de referencia]]</f>
        <v>0</v>
      </c>
      <c r="U333" s="254"/>
      <c r="V333" s="255">
        <f>+Reactivos_[[#This Row],[Cantidad LDF]]*Reactivos_[[#This Row],[Valor de referencia]]</f>
        <v>0</v>
      </c>
      <c r="W333" s="254"/>
      <c r="X333" s="255">
        <f>+Reactivos_[[#This Row],[Cantidad LDF&amp;MR]]*Reactivos_[[#This Row],[Valor de referencia]]</f>
        <v>0</v>
      </c>
      <c r="Y333" s="254"/>
      <c r="Z333" s="255">
        <f>+Reactivos_[[#This Row],[Cantidad RED LASE]]*Reactivos_[[#This Row],[Valor de referencia]]</f>
        <v>0</v>
      </c>
      <c r="AA333" s="254"/>
      <c r="AB333" s="255">
        <f>+Reactivos_[[#This Row],[Cantidad LANIA]]*Reactivos_[[#This Row],[Valor de referencia]]</f>
        <v>0</v>
      </c>
      <c r="AC333" s="254"/>
      <c r="AD333" s="255">
        <f>+Reactivos_[[#This Row],[Cantidad SPA]]*Reactivos_[[#This Row],[Valor de referencia]]</f>
        <v>0</v>
      </c>
      <c r="AE333" s="148" t="s">
        <v>76</v>
      </c>
      <c r="AF333" s="148" t="s">
        <v>77</v>
      </c>
    </row>
    <row r="334" spans="1:32" ht="63.75" x14ac:dyDescent="0.25">
      <c r="A334" s="294" t="str">
        <f>IF(B334=Reactivos_[[#This Row],[Cantidad LANIP]],"LANIP",IF(B334=Reactivos_[[#This Row],[Cantidad 
LDV]],"LDV",IF(B334=Reactivos_[[#This Row],[Cantidad LNDV]],"LNDV",IF(B334=Reactivos_[[#This Row],[GGCA]],"GGCA",IF(B334=Reactivos_[[#This Row],[Cantidad LDF]],"LDF",IF(Reactivos_[[#This Row],[Cantidad LDF&amp;MR]],"LDF&amp;MR",IF(B334=Reactivos_[[#This Row],[Cantidad RED LASE]],"LASE",IF(B334=Reactivos_[[#This Row],[Cantidad LANIA]],"LANIA",IF(B334=Reactivos_[[#This Row],[Cantidad SPA]],"SPA"," ")))))))))</f>
        <v>LANIP</v>
      </c>
      <c r="B33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4" s="325">
        <v>332</v>
      </c>
      <c r="D334" s="326">
        <v>464</v>
      </c>
      <c r="E334" s="245" t="s">
        <v>989</v>
      </c>
      <c r="F334" s="244" t="s">
        <v>990</v>
      </c>
      <c r="G334" s="245" t="s">
        <v>991</v>
      </c>
      <c r="H334" s="346" t="s">
        <v>992</v>
      </c>
      <c r="I334" s="336" t="s">
        <v>888</v>
      </c>
      <c r="J33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4" s="160">
        <v>697043</v>
      </c>
      <c r="L334" s="160">
        <f>+Reactivos_[[#This Row],[Cantidad]]*Reactivos_[[#This Row],[Valor de referencia]]</f>
        <v>697043</v>
      </c>
      <c r="M334" s="254">
        <v>1</v>
      </c>
      <c r="N334" s="255">
        <f>+Reactivos_[[#This Row],[Valor de referencia]]*Reactivos_[[#This Row],[Cantidad LANIP]]</f>
        <v>697043</v>
      </c>
      <c r="O334" s="256"/>
      <c r="P334" s="255">
        <f>+Reactivos_[[#This Row],[Cantidad 
LDV]]*Reactivos_[[#This Row],[Valor de referencia]]</f>
        <v>0</v>
      </c>
      <c r="Q334" s="257"/>
      <c r="R334" s="255">
        <f>+Reactivos_[[#This Row],[Cantidad LNDV]]*Reactivos_[[#This Row],[Valor de referencia]]</f>
        <v>0</v>
      </c>
      <c r="S334" s="148"/>
      <c r="T334" s="255">
        <f>+Reactivos_[[#This Row],[GGCA]]*Reactivos_[[#This Row],[Valor de referencia]]</f>
        <v>0</v>
      </c>
      <c r="U334" s="254"/>
      <c r="V334" s="255">
        <f>+Reactivos_[[#This Row],[Cantidad LDF]]*Reactivos_[[#This Row],[Valor de referencia]]</f>
        <v>0</v>
      </c>
      <c r="W334" s="254"/>
      <c r="X334" s="255">
        <f>+Reactivos_[[#This Row],[Cantidad LDF&amp;MR]]*Reactivos_[[#This Row],[Valor de referencia]]</f>
        <v>0</v>
      </c>
      <c r="Y334" s="254"/>
      <c r="Z334" s="255">
        <f>+Reactivos_[[#This Row],[Cantidad RED LASE]]*Reactivos_[[#This Row],[Valor de referencia]]</f>
        <v>0</v>
      </c>
      <c r="AA334" s="254"/>
      <c r="AB334" s="255">
        <f>+Reactivos_[[#This Row],[Cantidad LANIA]]*Reactivos_[[#This Row],[Valor de referencia]]</f>
        <v>0</v>
      </c>
      <c r="AC334" s="254"/>
      <c r="AD334" s="255">
        <f>+Reactivos_[[#This Row],[Cantidad SPA]]*Reactivos_[[#This Row],[Valor de referencia]]</f>
        <v>0</v>
      </c>
      <c r="AE334" s="148" t="s">
        <v>76</v>
      </c>
      <c r="AF334" s="148" t="s">
        <v>77</v>
      </c>
    </row>
    <row r="335" spans="1:32" ht="20.25" customHeight="1" x14ac:dyDescent="0.25">
      <c r="A335" s="294" t="str">
        <f>IF(B335=Reactivos_[[#This Row],[Cantidad LANIP]],"LANIP",IF(B335=Reactivos_[[#This Row],[Cantidad 
LDV]],"LDV",IF(B335=Reactivos_[[#This Row],[Cantidad LNDV]],"LNDV",IF(B335=Reactivos_[[#This Row],[GGCA]],"GGCA",IF(B335=Reactivos_[[#This Row],[Cantidad LDF]],"LDF",IF(Reactivos_[[#This Row],[Cantidad LDF&amp;MR]],"LDF&amp;MR",IF(B335=Reactivos_[[#This Row],[Cantidad RED LASE]],"LASE",IF(B335=Reactivos_[[#This Row],[Cantidad LANIA]],"LANIA",IF(B335=Reactivos_[[#This Row],[Cantidad SPA]],"SPA"," ")))))))))</f>
        <v>LANIP</v>
      </c>
      <c r="B33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5" s="325">
        <v>333</v>
      </c>
      <c r="D335" s="326">
        <v>465</v>
      </c>
      <c r="E335" s="245" t="s">
        <v>993</v>
      </c>
      <c r="F335" s="244" t="s">
        <v>994</v>
      </c>
      <c r="G335" s="245" t="s">
        <v>995</v>
      </c>
      <c r="H335" s="346" t="s">
        <v>996</v>
      </c>
      <c r="I335" s="336" t="s">
        <v>784</v>
      </c>
      <c r="J33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5" s="160">
        <v>6087683</v>
      </c>
      <c r="L335" s="160">
        <f>+Reactivos_[[#This Row],[Cantidad]]*Reactivos_[[#This Row],[Valor de referencia]]</f>
        <v>6087683</v>
      </c>
      <c r="M335" s="254">
        <v>1</v>
      </c>
      <c r="N335" s="255">
        <f>+Reactivos_[[#This Row],[Valor de referencia]]*Reactivos_[[#This Row],[Cantidad LANIP]]</f>
        <v>6087683</v>
      </c>
      <c r="O335" s="256"/>
      <c r="P335" s="255">
        <f>+Reactivos_[[#This Row],[Cantidad 
LDV]]*Reactivos_[[#This Row],[Valor de referencia]]</f>
        <v>0</v>
      </c>
      <c r="Q335" s="257"/>
      <c r="R335" s="255">
        <f>+Reactivos_[[#This Row],[Cantidad LNDV]]*Reactivos_[[#This Row],[Valor de referencia]]</f>
        <v>0</v>
      </c>
      <c r="S335" s="148"/>
      <c r="T335" s="255">
        <f>+Reactivos_[[#This Row],[GGCA]]*Reactivos_[[#This Row],[Valor de referencia]]</f>
        <v>0</v>
      </c>
      <c r="U335" s="254"/>
      <c r="V335" s="255">
        <f>+Reactivos_[[#This Row],[Cantidad LDF]]*Reactivos_[[#This Row],[Valor de referencia]]</f>
        <v>0</v>
      </c>
      <c r="W335" s="254"/>
      <c r="X335" s="255">
        <f>+Reactivos_[[#This Row],[Cantidad LDF&amp;MR]]*Reactivos_[[#This Row],[Valor de referencia]]</f>
        <v>0</v>
      </c>
      <c r="Y335" s="254"/>
      <c r="Z335" s="255">
        <f>+Reactivos_[[#This Row],[Cantidad RED LASE]]*Reactivos_[[#This Row],[Valor de referencia]]</f>
        <v>0</v>
      </c>
      <c r="AA335" s="254"/>
      <c r="AB335" s="255">
        <f>+Reactivos_[[#This Row],[Cantidad LANIA]]*Reactivos_[[#This Row],[Valor de referencia]]</f>
        <v>0</v>
      </c>
      <c r="AC335" s="254"/>
      <c r="AD335" s="255">
        <f>+Reactivos_[[#This Row],[Cantidad SPA]]*Reactivos_[[#This Row],[Valor de referencia]]</f>
        <v>0</v>
      </c>
      <c r="AE335" s="148" t="s">
        <v>76</v>
      </c>
      <c r="AF335" s="148" t="s">
        <v>77</v>
      </c>
    </row>
    <row r="336" spans="1:32" ht="63.75" x14ac:dyDescent="0.25">
      <c r="A336" s="294" t="str">
        <f>IF(B336=Reactivos_[[#This Row],[Cantidad LANIP]],"LANIP",IF(B336=Reactivos_[[#This Row],[Cantidad 
LDV]],"LDV",IF(B336=Reactivos_[[#This Row],[Cantidad LNDV]],"LNDV",IF(B336=Reactivos_[[#This Row],[GGCA]],"GGCA",IF(B336=Reactivos_[[#This Row],[Cantidad LDF]],"LDF",IF(Reactivos_[[#This Row],[Cantidad LDF&amp;MR]],"LDF&amp;MR",IF(B336=Reactivos_[[#This Row],[Cantidad RED LASE]],"LASE",IF(B336=Reactivos_[[#This Row],[Cantidad LANIA]],"LANIA",IF(B336=Reactivos_[[#This Row],[Cantidad SPA]],"SPA"," ")))))))))</f>
        <v>LANIP</v>
      </c>
      <c r="B33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6" s="325">
        <v>334</v>
      </c>
      <c r="D336" s="326">
        <v>466</v>
      </c>
      <c r="E336" s="245" t="s">
        <v>997</v>
      </c>
      <c r="F336" s="244" t="s">
        <v>998</v>
      </c>
      <c r="G336" s="245" t="s">
        <v>999</v>
      </c>
      <c r="H336" s="346" t="s">
        <v>1000</v>
      </c>
      <c r="I336" s="336" t="s">
        <v>892</v>
      </c>
      <c r="J33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6" s="160">
        <v>1096347</v>
      </c>
      <c r="L336" s="160">
        <f>+Reactivos_[[#This Row],[Cantidad]]*Reactivos_[[#This Row],[Valor de referencia]]</f>
        <v>1096347</v>
      </c>
      <c r="M336" s="254">
        <v>1</v>
      </c>
      <c r="N336" s="255">
        <f>+Reactivos_[[#This Row],[Valor de referencia]]*Reactivos_[[#This Row],[Cantidad LANIP]]</f>
        <v>1096347</v>
      </c>
      <c r="O336" s="256"/>
      <c r="P336" s="255">
        <f>+Reactivos_[[#This Row],[Cantidad 
LDV]]*Reactivos_[[#This Row],[Valor de referencia]]</f>
        <v>0</v>
      </c>
      <c r="Q336" s="257"/>
      <c r="R336" s="255">
        <f>+Reactivos_[[#This Row],[Cantidad LNDV]]*Reactivos_[[#This Row],[Valor de referencia]]</f>
        <v>0</v>
      </c>
      <c r="S336" s="148"/>
      <c r="T336" s="255">
        <f>+Reactivos_[[#This Row],[GGCA]]*Reactivos_[[#This Row],[Valor de referencia]]</f>
        <v>0</v>
      </c>
      <c r="U336" s="254"/>
      <c r="V336" s="255">
        <f>+Reactivos_[[#This Row],[Cantidad LDF]]*Reactivos_[[#This Row],[Valor de referencia]]</f>
        <v>0</v>
      </c>
      <c r="W336" s="254"/>
      <c r="X336" s="255">
        <f>+Reactivos_[[#This Row],[Cantidad LDF&amp;MR]]*Reactivos_[[#This Row],[Valor de referencia]]</f>
        <v>0</v>
      </c>
      <c r="Y336" s="254"/>
      <c r="Z336" s="255">
        <f>+Reactivos_[[#This Row],[Cantidad RED LASE]]*Reactivos_[[#This Row],[Valor de referencia]]</f>
        <v>0</v>
      </c>
      <c r="AA336" s="254"/>
      <c r="AB336" s="255">
        <f>+Reactivos_[[#This Row],[Cantidad LANIA]]*Reactivos_[[#This Row],[Valor de referencia]]</f>
        <v>0</v>
      </c>
      <c r="AC336" s="254"/>
      <c r="AD336" s="255">
        <f>+Reactivos_[[#This Row],[Cantidad SPA]]*Reactivos_[[#This Row],[Valor de referencia]]</f>
        <v>0</v>
      </c>
      <c r="AE336" s="148" t="s">
        <v>76</v>
      </c>
      <c r="AF336" s="148" t="s">
        <v>77</v>
      </c>
    </row>
    <row r="337" spans="1:32" ht="33.75" customHeight="1" x14ac:dyDescent="0.25">
      <c r="A337" s="294" t="str">
        <f>IF(B337=Reactivos_[[#This Row],[Cantidad LANIP]],"LANIP",IF(B337=Reactivos_[[#This Row],[Cantidad 
LDV]],"LDV",IF(B337=Reactivos_[[#This Row],[Cantidad LNDV]],"LNDV",IF(B337=Reactivos_[[#This Row],[GGCA]],"GGCA",IF(B337=Reactivos_[[#This Row],[Cantidad LDF]],"LDF",IF(Reactivos_[[#This Row],[Cantidad LDF&amp;MR]],"LDF&amp;MR",IF(B337=Reactivos_[[#This Row],[Cantidad RED LASE]],"LASE",IF(B337=Reactivos_[[#This Row],[Cantidad LANIA]],"LANIA",IF(B337=Reactivos_[[#This Row],[Cantidad SPA]],"SPA"," ")))))))))</f>
        <v>LANIA</v>
      </c>
      <c r="B33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7" s="325">
        <v>335</v>
      </c>
      <c r="D337" s="326">
        <v>467</v>
      </c>
      <c r="E337" s="327" t="s">
        <v>1001</v>
      </c>
      <c r="F337" s="338"/>
      <c r="G337" s="339"/>
      <c r="H337" s="328" t="s">
        <v>970</v>
      </c>
      <c r="I337" s="347" t="s">
        <v>888</v>
      </c>
      <c r="J33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7" s="160">
        <v>1159394</v>
      </c>
      <c r="L337" s="160">
        <f>+Reactivos_[[#This Row],[Cantidad]]*Reactivos_[[#This Row],[Valor de referencia]]</f>
        <v>1159394</v>
      </c>
      <c r="M337" s="254">
        <v>0</v>
      </c>
      <c r="N337" s="255">
        <f>+Reactivos_[[#This Row],[Valor de referencia]]*Reactivos_[[#This Row],[Cantidad LANIP]]</f>
        <v>0</v>
      </c>
      <c r="O337" s="256"/>
      <c r="P337" s="255">
        <f>+Reactivos_[[#This Row],[Cantidad 
LDV]]*Reactivos_[[#This Row],[Valor de referencia]]</f>
        <v>0</v>
      </c>
      <c r="Q337" s="257"/>
      <c r="R337" s="255">
        <f>+Reactivos_[[#This Row],[Cantidad LNDV]]*Reactivos_[[#This Row],[Valor de referencia]]</f>
        <v>0</v>
      </c>
      <c r="S337" s="148"/>
      <c r="T337" s="255">
        <f>+Reactivos_[[#This Row],[GGCA]]*Reactivos_[[#This Row],[Valor de referencia]]</f>
        <v>0</v>
      </c>
      <c r="U337" s="254"/>
      <c r="V337" s="255">
        <f>+Reactivos_[[#This Row],[Cantidad LDF]]*Reactivos_[[#This Row],[Valor de referencia]]</f>
        <v>0</v>
      </c>
      <c r="W337" s="254"/>
      <c r="X337" s="255">
        <f>+Reactivos_[[#This Row],[Cantidad LDF&amp;MR]]*Reactivos_[[#This Row],[Valor de referencia]]</f>
        <v>0</v>
      </c>
      <c r="Y337" s="254"/>
      <c r="Z337" s="255">
        <f>+Reactivos_[[#This Row],[Cantidad RED LASE]]*Reactivos_[[#This Row],[Valor de referencia]]</f>
        <v>0</v>
      </c>
      <c r="AA337" s="254">
        <v>1</v>
      </c>
      <c r="AB337" s="255">
        <f>+Reactivos_[[#This Row],[Cantidad LANIA]]*Reactivos_[[#This Row],[Valor de referencia]]</f>
        <v>1159394</v>
      </c>
      <c r="AC337" s="254"/>
      <c r="AD337" s="255">
        <f>+Reactivos_[[#This Row],[Cantidad SPA]]*Reactivos_[[#This Row],[Valor de referencia]]</f>
        <v>0</v>
      </c>
      <c r="AE337" s="148" t="s">
        <v>76</v>
      </c>
      <c r="AF337" s="148" t="s">
        <v>77</v>
      </c>
    </row>
    <row r="338" spans="1:32" ht="24.75" customHeight="1" x14ac:dyDescent="0.25">
      <c r="A338" s="294" t="str">
        <f>IF(B338=Reactivos_[[#This Row],[Cantidad LANIP]],"LANIP",IF(B338=Reactivos_[[#This Row],[Cantidad 
LDV]],"LDV",IF(B338=Reactivos_[[#This Row],[Cantidad LNDV]],"LNDV",IF(B338=Reactivos_[[#This Row],[GGCA]],"GGCA",IF(B338=Reactivos_[[#This Row],[Cantidad LDF]],"LDF",IF(Reactivos_[[#This Row],[Cantidad LDF&amp;MR]],"LDF&amp;MR",IF(B338=Reactivos_[[#This Row],[Cantidad RED LASE]],"LASE",IF(B338=Reactivos_[[#This Row],[Cantidad LANIA]],"LANIA",IF(B338=Reactivos_[[#This Row],[Cantidad SPA]],"SPA"," ")))))))))</f>
        <v>LANIA</v>
      </c>
      <c r="B33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8" s="325">
        <v>336</v>
      </c>
      <c r="D338" s="326">
        <v>468</v>
      </c>
      <c r="E338" s="327" t="s">
        <v>1002</v>
      </c>
      <c r="F338" s="338"/>
      <c r="G338" s="339"/>
      <c r="H338" s="328" t="s">
        <v>970</v>
      </c>
      <c r="I338" s="347" t="s">
        <v>892</v>
      </c>
      <c r="J33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8" s="160">
        <v>862071</v>
      </c>
      <c r="L338" s="160">
        <f>+Reactivos_[[#This Row],[Cantidad]]*Reactivos_[[#This Row],[Valor de referencia]]</f>
        <v>862071</v>
      </c>
      <c r="M338" s="254">
        <v>0</v>
      </c>
      <c r="N338" s="255">
        <f>+Reactivos_[[#This Row],[Valor de referencia]]*Reactivos_[[#This Row],[Cantidad LANIP]]</f>
        <v>0</v>
      </c>
      <c r="O338" s="256"/>
      <c r="P338" s="255">
        <f>+Reactivos_[[#This Row],[Cantidad 
LDV]]*Reactivos_[[#This Row],[Valor de referencia]]</f>
        <v>0</v>
      </c>
      <c r="Q338" s="257"/>
      <c r="R338" s="255">
        <f>+Reactivos_[[#This Row],[Cantidad LNDV]]*Reactivos_[[#This Row],[Valor de referencia]]</f>
        <v>0</v>
      </c>
      <c r="S338" s="148"/>
      <c r="T338" s="255">
        <f>+Reactivos_[[#This Row],[GGCA]]*Reactivos_[[#This Row],[Valor de referencia]]</f>
        <v>0</v>
      </c>
      <c r="U338" s="254"/>
      <c r="V338" s="255">
        <f>+Reactivos_[[#This Row],[Cantidad LDF]]*Reactivos_[[#This Row],[Valor de referencia]]</f>
        <v>0</v>
      </c>
      <c r="W338" s="254"/>
      <c r="X338" s="255">
        <f>+Reactivos_[[#This Row],[Cantidad LDF&amp;MR]]*Reactivos_[[#This Row],[Valor de referencia]]</f>
        <v>0</v>
      </c>
      <c r="Y338" s="254"/>
      <c r="Z338" s="255">
        <f>+Reactivos_[[#This Row],[Cantidad RED LASE]]*Reactivos_[[#This Row],[Valor de referencia]]</f>
        <v>0</v>
      </c>
      <c r="AA338" s="254">
        <v>1</v>
      </c>
      <c r="AB338" s="255">
        <f>+Reactivos_[[#This Row],[Cantidad LANIA]]*Reactivos_[[#This Row],[Valor de referencia]]</f>
        <v>862071</v>
      </c>
      <c r="AC338" s="254"/>
      <c r="AD338" s="255">
        <f>+Reactivos_[[#This Row],[Cantidad SPA]]*Reactivos_[[#This Row],[Valor de referencia]]</f>
        <v>0</v>
      </c>
      <c r="AE338" s="148" t="s">
        <v>76</v>
      </c>
      <c r="AF338" s="148" t="s">
        <v>77</v>
      </c>
    </row>
    <row r="339" spans="1:32" ht="18" customHeight="1" x14ac:dyDescent="0.25">
      <c r="A339" s="294" t="str">
        <f>IF(B339=Reactivos_[[#This Row],[Cantidad LANIP]],"LANIP",IF(B339=Reactivos_[[#This Row],[Cantidad 
LDV]],"LDV",IF(B339=Reactivos_[[#This Row],[Cantidad LNDV]],"LNDV",IF(B339=Reactivos_[[#This Row],[GGCA]],"GGCA",IF(B339=Reactivos_[[#This Row],[Cantidad LDF]],"LDF",IF(Reactivos_[[#This Row],[Cantidad LDF&amp;MR]],"LDF&amp;MR",IF(B339=Reactivos_[[#This Row],[Cantidad RED LASE]],"LASE",IF(B339=Reactivos_[[#This Row],[Cantidad LANIA]],"LANIA",IF(B339=Reactivos_[[#This Row],[Cantidad SPA]],"SPA"," ")))))))))</f>
        <v>LANIA</v>
      </c>
      <c r="B33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39" s="325">
        <v>337</v>
      </c>
      <c r="D339" s="326">
        <v>470</v>
      </c>
      <c r="E339" s="327" t="s">
        <v>1003</v>
      </c>
      <c r="F339" s="338"/>
      <c r="G339" s="339"/>
      <c r="H339" s="328" t="s">
        <v>970</v>
      </c>
      <c r="I339" s="347" t="s">
        <v>892</v>
      </c>
      <c r="J33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39" s="160">
        <v>1157889</v>
      </c>
      <c r="L339" s="160">
        <f>+Reactivos_[[#This Row],[Cantidad]]*Reactivos_[[#This Row],[Valor de referencia]]</f>
        <v>1157889</v>
      </c>
      <c r="M339" s="254">
        <v>0</v>
      </c>
      <c r="N339" s="255">
        <f>+Reactivos_[[#This Row],[Valor de referencia]]*Reactivos_[[#This Row],[Cantidad LANIP]]</f>
        <v>0</v>
      </c>
      <c r="O339" s="256"/>
      <c r="P339" s="255">
        <f>+Reactivos_[[#This Row],[Cantidad 
LDV]]*Reactivos_[[#This Row],[Valor de referencia]]</f>
        <v>0</v>
      </c>
      <c r="Q339" s="257"/>
      <c r="R339" s="255">
        <f>+Reactivos_[[#This Row],[Cantidad LNDV]]*Reactivos_[[#This Row],[Valor de referencia]]</f>
        <v>0</v>
      </c>
      <c r="S339" s="148"/>
      <c r="T339" s="255">
        <f>+Reactivos_[[#This Row],[GGCA]]*Reactivos_[[#This Row],[Valor de referencia]]</f>
        <v>0</v>
      </c>
      <c r="U339" s="254"/>
      <c r="V339" s="255">
        <f>+Reactivos_[[#This Row],[Cantidad LDF]]*Reactivos_[[#This Row],[Valor de referencia]]</f>
        <v>0</v>
      </c>
      <c r="W339" s="254"/>
      <c r="X339" s="255">
        <f>+Reactivos_[[#This Row],[Cantidad LDF&amp;MR]]*Reactivos_[[#This Row],[Valor de referencia]]</f>
        <v>0</v>
      </c>
      <c r="Y339" s="254"/>
      <c r="Z339" s="255">
        <f>+Reactivos_[[#This Row],[Cantidad RED LASE]]*Reactivos_[[#This Row],[Valor de referencia]]</f>
        <v>0</v>
      </c>
      <c r="AA339" s="254">
        <v>1</v>
      </c>
      <c r="AB339" s="255">
        <f>+Reactivos_[[#This Row],[Cantidad LANIA]]*Reactivos_[[#This Row],[Valor de referencia]]</f>
        <v>1157889</v>
      </c>
      <c r="AC339" s="254"/>
      <c r="AD339" s="255">
        <f>+Reactivos_[[#This Row],[Cantidad SPA]]*Reactivos_[[#This Row],[Valor de referencia]]</f>
        <v>0</v>
      </c>
      <c r="AE339" s="148" t="s">
        <v>76</v>
      </c>
      <c r="AF339" s="148" t="s">
        <v>77</v>
      </c>
    </row>
    <row r="340" spans="1:32" ht="45" customHeight="1" x14ac:dyDescent="0.25">
      <c r="A340" s="294" t="str">
        <f>IF(B340=Reactivos_[[#This Row],[Cantidad LANIP]],"LANIP",IF(B340=Reactivos_[[#This Row],[Cantidad 
LDV]],"LDV",IF(B340=Reactivos_[[#This Row],[Cantidad LNDV]],"LNDV",IF(B340=Reactivos_[[#This Row],[GGCA]],"GGCA",IF(B340=Reactivos_[[#This Row],[Cantidad LDF]],"LDF",IF(Reactivos_[[#This Row],[Cantidad LDF&amp;MR]],"LDF&amp;MR",IF(B340=Reactivos_[[#This Row],[Cantidad RED LASE]],"LASE",IF(B340=Reactivos_[[#This Row],[Cantidad LANIA]],"LANIA",IF(B340=Reactivos_[[#This Row],[Cantidad SPA]],"SPA"," ")))))))))</f>
        <v>LANIP</v>
      </c>
      <c r="B34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0" s="325">
        <v>338</v>
      </c>
      <c r="D340" s="326">
        <v>471</v>
      </c>
      <c r="E340" s="245" t="s">
        <v>1004</v>
      </c>
      <c r="F340" s="244" t="s">
        <v>1005</v>
      </c>
      <c r="G340" s="245" t="s">
        <v>1006</v>
      </c>
      <c r="H340" s="346" t="s">
        <v>1007</v>
      </c>
      <c r="I340" s="336" t="s">
        <v>892</v>
      </c>
      <c r="J34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0" s="160">
        <v>1208921</v>
      </c>
      <c r="L340" s="160">
        <f>+Reactivos_[[#This Row],[Cantidad]]*Reactivos_[[#This Row],[Valor de referencia]]</f>
        <v>1208921</v>
      </c>
      <c r="M340" s="254">
        <v>1</v>
      </c>
      <c r="N340" s="255">
        <f>+Reactivos_[[#This Row],[Valor de referencia]]*Reactivos_[[#This Row],[Cantidad LANIP]]</f>
        <v>1208921</v>
      </c>
      <c r="O340" s="256"/>
      <c r="P340" s="255">
        <f>+Reactivos_[[#This Row],[Cantidad 
LDV]]*Reactivos_[[#This Row],[Valor de referencia]]</f>
        <v>0</v>
      </c>
      <c r="Q340" s="257"/>
      <c r="R340" s="255">
        <f>+Reactivos_[[#This Row],[Cantidad LNDV]]*Reactivos_[[#This Row],[Valor de referencia]]</f>
        <v>0</v>
      </c>
      <c r="S340" s="148"/>
      <c r="T340" s="255">
        <f>+Reactivos_[[#This Row],[GGCA]]*Reactivos_[[#This Row],[Valor de referencia]]</f>
        <v>0</v>
      </c>
      <c r="U340" s="254"/>
      <c r="V340" s="255">
        <f>+Reactivos_[[#This Row],[Cantidad LDF]]*Reactivos_[[#This Row],[Valor de referencia]]</f>
        <v>0</v>
      </c>
      <c r="W340" s="254"/>
      <c r="X340" s="255">
        <f>+Reactivos_[[#This Row],[Cantidad LDF&amp;MR]]*Reactivos_[[#This Row],[Valor de referencia]]</f>
        <v>0</v>
      </c>
      <c r="Y340" s="254"/>
      <c r="Z340" s="255">
        <f>+Reactivos_[[#This Row],[Cantidad RED LASE]]*Reactivos_[[#This Row],[Valor de referencia]]</f>
        <v>0</v>
      </c>
      <c r="AA340" s="254"/>
      <c r="AB340" s="255">
        <f>+Reactivos_[[#This Row],[Cantidad LANIA]]*Reactivos_[[#This Row],[Valor de referencia]]</f>
        <v>0</v>
      </c>
      <c r="AC340" s="254"/>
      <c r="AD340" s="255">
        <f>+Reactivos_[[#This Row],[Cantidad SPA]]*Reactivos_[[#This Row],[Valor de referencia]]</f>
        <v>0</v>
      </c>
      <c r="AE340" s="148" t="s">
        <v>76</v>
      </c>
      <c r="AF340" s="148" t="s">
        <v>77</v>
      </c>
    </row>
    <row r="341" spans="1:32" ht="39" customHeight="1" x14ac:dyDescent="0.25">
      <c r="A341" s="294" t="str">
        <f>IF(B341=Reactivos_[[#This Row],[Cantidad LANIP]],"LANIP",IF(B341=Reactivos_[[#This Row],[Cantidad 
LDV]],"LDV",IF(B341=Reactivos_[[#This Row],[Cantidad LNDV]],"LNDV",IF(B341=Reactivos_[[#This Row],[GGCA]],"GGCA",IF(B341=Reactivos_[[#This Row],[Cantidad LDF]],"LDF",IF(Reactivos_[[#This Row],[Cantidad LDF&amp;MR]],"LDF&amp;MR",IF(B341=Reactivos_[[#This Row],[Cantidad RED LASE]],"LASE",IF(B341=Reactivos_[[#This Row],[Cantidad LANIA]],"LANIA",IF(B341=Reactivos_[[#This Row],[Cantidad SPA]],"SPA"," ")))))))))</f>
        <v>LANIP</v>
      </c>
      <c r="B34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1" s="325">
        <v>339</v>
      </c>
      <c r="D341" s="326">
        <v>472</v>
      </c>
      <c r="E341" s="245" t="s">
        <v>1008</v>
      </c>
      <c r="F341" s="244" t="s">
        <v>1009</v>
      </c>
      <c r="G341" s="245" t="s">
        <v>1010</v>
      </c>
      <c r="H341" s="346" t="s">
        <v>1011</v>
      </c>
      <c r="I341" s="336" t="s">
        <v>784</v>
      </c>
      <c r="J34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1" s="160">
        <v>4897604</v>
      </c>
      <c r="L341" s="160">
        <f>+Reactivos_[[#This Row],[Cantidad]]*Reactivos_[[#This Row],[Valor de referencia]]</f>
        <v>4897604</v>
      </c>
      <c r="M341" s="254">
        <v>1</v>
      </c>
      <c r="N341" s="255">
        <f>+Reactivos_[[#This Row],[Valor de referencia]]*Reactivos_[[#This Row],[Cantidad LANIP]]</f>
        <v>4897604</v>
      </c>
      <c r="O341" s="256"/>
      <c r="P341" s="255">
        <f>+Reactivos_[[#This Row],[Cantidad 
LDV]]*Reactivos_[[#This Row],[Valor de referencia]]</f>
        <v>0</v>
      </c>
      <c r="Q341" s="257"/>
      <c r="R341" s="255">
        <f>+Reactivos_[[#This Row],[Cantidad LNDV]]*Reactivos_[[#This Row],[Valor de referencia]]</f>
        <v>0</v>
      </c>
      <c r="S341" s="148"/>
      <c r="T341" s="255">
        <f>+Reactivos_[[#This Row],[GGCA]]*Reactivos_[[#This Row],[Valor de referencia]]</f>
        <v>0</v>
      </c>
      <c r="U341" s="254"/>
      <c r="V341" s="255">
        <f>+Reactivos_[[#This Row],[Cantidad LDF]]*Reactivos_[[#This Row],[Valor de referencia]]</f>
        <v>0</v>
      </c>
      <c r="W341" s="254"/>
      <c r="X341" s="255">
        <f>+Reactivos_[[#This Row],[Cantidad LDF&amp;MR]]*Reactivos_[[#This Row],[Valor de referencia]]</f>
        <v>0</v>
      </c>
      <c r="Y341" s="254"/>
      <c r="Z341" s="255">
        <f>+Reactivos_[[#This Row],[Cantidad RED LASE]]*Reactivos_[[#This Row],[Valor de referencia]]</f>
        <v>0</v>
      </c>
      <c r="AA341" s="254"/>
      <c r="AB341" s="255">
        <f>+Reactivos_[[#This Row],[Cantidad LANIA]]*Reactivos_[[#This Row],[Valor de referencia]]</f>
        <v>0</v>
      </c>
      <c r="AC341" s="254"/>
      <c r="AD341" s="255">
        <f>+Reactivos_[[#This Row],[Cantidad SPA]]*Reactivos_[[#This Row],[Valor de referencia]]</f>
        <v>0</v>
      </c>
      <c r="AE341" s="148" t="s">
        <v>76</v>
      </c>
      <c r="AF341" s="148" t="s">
        <v>77</v>
      </c>
    </row>
    <row r="342" spans="1:32" ht="33.75" customHeight="1" x14ac:dyDescent="0.25">
      <c r="A342" s="294" t="str">
        <f>IF(B342=Reactivos_[[#This Row],[Cantidad LANIP]],"LANIP",IF(B342=Reactivos_[[#This Row],[Cantidad 
LDV]],"LDV",IF(B342=Reactivos_[[#This Row],[Cantidad LNDV]],"LNDV",IF(B342=Reactivos_[[#This Row],[GGCA]],"GGCA",IF(B342=Reactivos_[[#This Row],[Cantidad LDF]],"LDF",IF(Reactivos_[[#This Row],[Cantidad LDF&amp;MR]],"LDF&amp;MR",IF(B342=Reactivos_[[#This Row],[Cantidad RED LASE]],"LASE",IF(B342=Reactivos_[[#This Row],[Cantidad LANIA]],"LANIA",IF(B342=Reactivos_[[#This Row],[Cantidad SPA]],"SPA"," ")))))))))</f>
        <v>LANIA</v>
      </c>
      <c r="B34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2" s="325">
        <v>340</v>
      </c>
      <c r="D342" s="326">
        <v>477</v>
      </c>
      <c r="E342" s="327" t="s">
        <v>1012</v>
      </c>
      <c r="F342" s="338"/>
      <c r="G342" s="339"/>
      <c r="H342" s="328" t="s">
        <v>970</v>
      </c>
      <c r="I342" s="347" t="s">
        <v>892</v>
      </c>
      <c r="J34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2" s="160">
        <v>767016</v>
      </c>
      <c r="L342" s="160">
        <f>+Reactivos_[[#This Row],[Cantidad]]*Reactivos_[[#This Row],[Valor de referencia]]</f>
        <v>767016</v>
      </c>
      <c r="M342" s="254">
        <v>0</v>
      </c>
      <c r="N342" s="255">
        <f>+Reactivos_[[#This Row],[Valor de referencia]]*Reactivos_[[#This Row],[Cantidad LANIP]]</f>
        <v>0</v>
      </c>
      <c r="O342" s="256"/>
      <c r="P342" s="255">
        <f>+Reactivos_[[#This Row],[Cantidad 
LDV]]*Reactivos_[[#This Row],[Valor de referencia]]</f>
        <v>0</v>
      </c>
      <c r="Q342" s="257"/>
      <c r="R342" s="255">
        <f>+Reactivos_[[#This Row],[Cantidad LNDV]]*Reactivos_[[#This Row],[Valor de referencia]]</f>
        <v>0</v>
      </c>
      <c r="S342" s="148"/>
      <c r="T342" s="255">
        <f>+Reactivos_[[#This Row],[GGCA]]*Reactivos_[[#This Row],[Valor de referencia]]</f>
        <v>0</v>
      </c>
      <c r="U342" s="254"/>
      <c r="V342" s="255">
        <f>+Reactivos_[[#This Row],[Cantidad LDF]]*Reactivos_[[#This Row],[Valor de referencia]]</f>
        <v>0</v>
      </c>
      <c r="W342" s="254"/>
      <c r="X342" s="255">
        <f>+Reactivos_[[#This Row],[Cantidad LDF&amp;MR]]*Reactivos_[[#This Row],[Valor de referencia]]</f>
        <v>0</v>
      </c>
      <c r="Y342" s="254"/>
      <c r="Z342" s="255">
        <f>+Reactivos_[[#This Row],[Cantidad RED LASE]]*Reactivos_[[#This Row],[Valor de referencia]]</f>
        <v>0</v>
      </c>
      <c r="AA342" s="254">
        <v>1</v>
      </c>
      <c r="AB342" s="255">
        <f>+Reactivos_[[#This Row],[Cantidad LANIA]]*Reactivos_[[#This Row],[Valor de referencia]]</f>
        <v>767016</v>
      </c>
      <c r="AC342" s="254"/>
      <c r="AD342" s="255">
        <f>+Reactivos_[[#This Row],[Cantidad SPA]]*Reactivos_[[#This Row],[Valor de referencia]]</f>
        <v>0</v>
      </c>
      <c r="AE342" s="148" t="s">
        <v>76</v>
      </c>
      <c r="AF342" s="148" t="s">
        <v>77</v>
      </c>
    </row>
    <row r="343" spans="1:32" ht="38.25" x14ac:dyDescent="0.25">
      <c r="A343" s="294" t="str">
        <f>IF(B343=Reactivos_[[#This Row],[Cantidad LANIP]],"LANIP",IF(B343=Reactivos_[[#This Row],[Cantidad 
LDV]],"LDV",IF(B343=Reactivos_[[#This Row],[Cantidad LNDV]],"LNDV",IF(B343=Reactivos_[[#This Row],[GGCA]],"GGCA",IF(B343=Reactivos_[[#This Row],[Cantidad LDF]],"LDF",IF(Reactivos_[[#This Row],[Cantidad LDF&amp;MR]],"LDF&amp;MR",IF(B343=Reactivos_[[#This Row],[Cantidad RED LASE]],"LASE",IF(B343=Reactivos_[[#This Row],[Cantidad LANIA]],"LANIA",IF(B343=Reactivos_[[#This Row],[Cantidad SPA]],"SPA"," ")))))))))</f>
        <v>LANIP</v>
      </c>
      <c r="B34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3" s="325">
        <v>341</v>
      </c>
      <c r="D343" s="326">
        <v>478</v>
      </c>
      <c r="E343" s="331" t="s">
        <v>1013</v>
      </c>
      <c r="F343" s="332" t="s">
        <v>1014</v>
      </c>
      <c r="G343" s="331"/>
      <c r="H343" s="328" t="s">
        <v>1015</v>
      </c>
      <c r="I343" s="352" t="s">
        <v>866</v>
      </c>
      <c r="J34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3" s="160">
        <v>2133950</v>
      </c>
      <c r="L343" s="160">
        <f>+Reactivos_[[#This Row],[Cantidad]]*Reactivos_[[#This Row],[Valor de referencia]]</f>
        <v>2133950</v>
      </c>
      <c r="M343" s="254">
        <v>1</v>
      </c>
      <c r="N343" s="255">
        <f>+Reactivos_[[#This Row],[Valor de referencia]]*Reactivos_[[#This Row],[Cantidad LANIP]]</f>
        <v>2133950</v>
      </c>
      <c r="O343" s="256"/>
      <c r="P343" s="255">
        <f>+Reactivos_[[#This Row],[Cantidad 
LDV]]*Reactivos_[[#This Row],[Valor de referencia]]</f>
        <v>0</v>
      </c>
      <c r="Q343" s="257"/>
      <c r="R343" s="255">
        <f>+Reactivos_[[#This Row],[Cantidad LNDV]]*Reactivos_[[#This Row],[Valor de referencia]]</f>
        <v>0</v>
      </c>
      <c r="S343" s="148"/>
      <c r="T343" s="255">
        <f>+Reactivos_[[#This Row],[GGCA]]*Reactivos_[[#This Row],[Valor de referencia]]</f>
        <v>0</v>
      </c>
      <c r="U343" s="254"/>
      <c r="V343" s="255">
        <f>+Reactivos_[[#This Row],[Cantidad LDF]]*Reactivos_[[#This Row],[Valor de referencia]]</f>
        <v>0</v>
      </c>
      <c r="W343" s="254"/>
      <c r="X343" s="255">
        <f>+Reactivos_[[#This Row],[Cantidad LDF&amp;MR]]*Reactivos_[[#This Row],[Valor de referencia]]</f>
        <v>0</v>
      </c>
      <c r="Y343" s="254"/>
      <c r="Z343" s="255">
        <f>+Reactivos_[[#This Row],[Cantidad RED LASE]]*Reactivos_[[#This Row],[Valor de referencia]]</f>
        <v>0</v>
      </c>
      <c r="AA343" s="254"/>
      <c r="AB343" s="255">
        <f>+Reactivos_[[#This Row],[Cantidad LANIA]]*Reactivos_[[#This Row],[Valor de referencia]]</f>
        <v>0</v>
      </c>
      <c r="AC343" s="254"/>
      <c r="AD343" s="255">
        <f>+Reactivos_[[#This Row],[Cantidad SPA]]*Reactivos_[[#This Row],[Valor de referencia]]</f>
        <v>0</v>
      </c>
      <c r="AE343" s="148" t="s">
        <v>76</v>
      </c>
      <c r="AF343" s="148" t="s">
        <v>77</v>
      </c>
    </row>
    <row r="344" spans="1:32" ht="45" customHeight="1" x14ac:dyDescent="0.25">
      <c r="A344" s="294" t="str">
        <f>IF(B344=Reactivos_[[#This Row],[Cantidad LANIP]],"LANIP",IF(B344=Reactivos_[[#This Row],[Cantidad 
LDV]],"LDV",IF(B344=Reactivos_[[#This Row],[Cantidad LNDV]],"LNDV",IF(B344=Reactivos_[[#This Row],[GGCA]],"GGCA",IF(B344=Reactivos_[[#This Row],[Cantidad LDF]],"LDF",IF(Reactivos_[[#This Row],[Cantidad LDF&amp;MR]],"LDF&amp;MR",IF(B344=Reactivos_[[#This Row],[Cantidad RED LASE]],"LASE",IF(B344=Reactivos_[[#This Row],[Cantidad LANIA]],"LANIA",IF(B344=Reactivos_[[#This Row],[Cantidad SPA]],"SPA"," ")))))))))</f>
        <v>LANIP</v>
      </c>
      <c r="B34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4" s="325">
        <v>342</v>
      </c>
      <c r="D344" s="326">
        <v>479</v>
      </c>
      <c r="E344" s="245" t="s">
        <v>1016</v>
      </c>
      <c r="F344" s="244" t="s">
        <v>1017</v>
      </c>
      <c r="G344" s="245" t="s">
        <v>1018</v>
      </c>
      <c r="H344" s="346" t="s">
        <v>1019</v>
      </c>
      <c r="I344" s="336" t="s">
        <v>784</v>
      </c>
      <c r="J34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4" s="160">
        <v>6836669</v>
      </c>
      <c r="L344" s="160">
        <f>+Reactivos_[[#This Row],[Cantidad]]*Reactivos_[[#This Row],[Valor de referencia]]</f>
        <v>6836669</v>
      </c>
      <c r="M344" s="254">
        <v>1</v>
      </c>
      <c r="N344" s="255">
        <f>+Reactivos_[[#This Row],[Valor de referencia]]*Reactivos_[[#This Row],[Cantidad LANIP]]</f>
        <v>6836669</v>
      </c>
      <c r="O344" s="256"/>
      <c r="P344" s="255">
        <f>+Reactivos_[[#This Row],[Cantidad 
LDV]]*Reactivos_[[#This Row],[Valor de referencia]]</f>
        <v>0</v>
      </c>
      <c r="Q344" s="257"/>
      <c r="R344" s="255">
        <f>+Reactivos_[[#This Row],[Cantidad LNDV]]*Reactivos_[[#This Row],[Valor de referencia]]</f>
        <v>0</v>
      </c>
      <c r="S344" s="148"/>
      <c r="T344" s="255">
        <f>+Reactivos_[[#This Row],[GGCA]]*Reactivos_[[#This Row],[Valor de referencia]]</f>
        <v>0</v>
      </c>
      <c r="U344" s="254"/>
      <c r="V344" s="255">
        <f>+Reactivos_[[#This Row],[Cantidad LDF]]*Reactivos_[[#This Row],[Valor de referencia]]</f>
        <v>0</v>
      </c>
      <c r="W344" s="254"/>
      <c r="X344" s="255">
        <f>+Reactivos_[[#This Row],[Cantidad LDF&amp;MR]]*Reactivos_[[#This Row],[Valor de referencia]]</f>
        <v>0</v>
      </c>
      <c r="Y344" s="254"/>
      <c r="Z344" s="255">
        <f>+Reactivos_[[#This Row],[Cantidad RED LASE]]*Reactivos_[[#This Row],[Valor de referencia]]</f>
        <v>0</v>
      </c>
      <c r="AA344" s="254"/>
      <c r="AB344" s="255">
        <f>+Reactivos_[[#This Row],[Cantidad LANIA]]*Reactivos_[[#This Row],[Valor de referencia]]</f>
        <v>0</v>
      </c>
      <c r="AC344" s="254"/>
      <c r="AD344" s="255">
        <f>+Reactivos_[[#This Row],[Cantidad SPA]]*Reactivos_[[#This Row],[Valor de referencia]]</f>
        <v>0</v>
      </c>
      <c r="AE344" s="148" t="s">
        <v>76</v>
      </c>
      <c r="AF344" s="148" t="s">
        <v>77</v>
      </c>
    </row>
    <row r="345" spans="1:32" ht="51" x14ac:dyDescent="0.25">
      <c r="A345" s="294" t="str">
        <f>IF(B345=Reactivos_[[#This Row],[Cantidad LANIP]],"LANIP",IF(B345=Reactivos_[[#This Row],[Cantidad 
LDV]],"LDV",IF(B345=Reactivos_[[#This Row],[Cantidad LNDV]],"LNDV",IF(B345=Reactivos_[[#This Row],[GGCA]],"GGCA",IF(B345=Reactivos_[[#This Row],[Cantidad LDF]],"LDF",IF(Reactivos_[[#This Row],[Cantidad LDF&amp;MR]],"LDF&amp;MR",IF(B345=Reactivos_[[#This Row],[Cantidad RED LASE]],"LASE",IF(B345=Reactivos_[[#This Row],[Cantidad LANIA]],"LANIA",IF(B345=Reactivos_[[#This Row],[Cantidad SPA]],"SPA"," ")))))))))</f>
        <v>LANIP</v>
      </c>
      <c r="B34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5" s="325">
        <v>343</v>
      </c>
      <c r="D345" s="326">
        <v>480</v>
      </c>
      <c r="E345" s="245" t="s">
        <v>1020</v>
      </c>
      <c r="F345" s="244" t="s">
        <v>1021</v>
      </c>
      <c r="G345" s="245" t="s">
        <v>1022</v>
      </c>
      <c r="H345" s="346" t="s">
        <v>1023</v>
      </c>
      <c r="I345" s="336" t="s">
        <v>888</v>
      </c>
      <c r="J34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5" s="160">
        <v>907216</v>
      </c>
      <c r="L345" s="160">
        <f>+Reactivos_[[#This Row],[Cantidad]]*Reactivos_[[#This Row],[Valor de referencia]]</f>
        <v>907216</v>
      </c>
      <c r="M345" s="254">
        <v>1</v>
      </c>
      <c r="N345" s="255">
        <f>+Reactivos_[[#This Row],[Valor de referencia]]*Reactivos_[[#This Row],[Cantidad LANIP]]</f>
        <v>907216</v>
      </c>
      <c r="O345" s="256"/>
      <c r="P345" s="255">
        <f>+Reactivos_[[#This Row],[Cantidad 
LDV]]*Reactivos_[[#This Row],[Valor de referencia]]</f>
        <v>0</v>
      </c>
      <c r="Q345" s="257"/>
      <c r="R345" s="255">
        <f>+Reactivos_[[#This Row],[Cantidad LNDV]]*Reactivos_[[#This Row],[Valor de referencia]]</f>
        <v>0</v>
      </c>
      <c r="S345" s="148"/>
      <c r="T345" s="255">
        <f>+Reactivos_[[#This Row],[GGCA]]*Reactivos_[[#This Row],[Valor de referencia]]</f>
        <v>0</v>
      </c>
      <c r="U345" s="254"/>
      <c r="V345" s="255">
        <f>+Reactivos_[[#This Row],[Cantidad LDF]]*Reactivos_[[#This Row],[Valor de referencia]]</f>
        <v>0</v>
      </c>
      <c r="W345" s="254"/>
      <c r="X345" s="255">
        <f>+Reactivos_[[#This Row],[Cantidad LDF&amp;MR]]*Reactivos_[[#This Row],[Valor de referencia]]</f>
        <v>0</v>
      </c>
      <c r="Y345" s="254"/>
      <c r="Z345" s="255">
        <f>+Reactivos_[[#This Row],[Cantidad RED LASE]]*Reactivos_[[#This Row],[Valor de referencia]]</f>
        <v>0</v>
      </c>
      <c r="AA345" s="254"/>
      <c r="AB345" s="255">
        <f>+Reactivos_[[#This Row],[Cantidad LANIA]]*Reactivos_[[#This Row],[Valor de referencia]]</f>
        <v>0</v>
      </c>
      <c r="AC345" s="254"/>
      <c r="AD345" s="255">
        <f>+Reactivos_[[#This Row],[Cantidad SPA]]*Reactivos_[[#This Row],[Valor de referencia]]</f>
        <v>0</v>
      </c>
      <c r="AE345" s="148" t="s">
        <v>76</v>
      </c>
      <c r="AF345" s="148" t="s">
        <v>77</v>
      </c>
    </row>
    <row r="346" spans="1:32" ht="38.25" x14ac:dyDescent="0.25">
      <c r="A346" s="294" t="str">
        <f>IF(B346=Reactivos_[[#This Row],[Cantidad LANIP]],"LANIP",IF(B346=Reactivos_[[#This Row],[Cantidad 
LDV]],"LDV",IF(B346=Reactivos_[[#This Row],[Cantidad LNDV]],"LNDV",IF(B346=Reactivos_[[#This Row],[GGCA]],"GGCA",IF(B346=Reactivos_[[#This Row],[Cantidad LDF]],"LDF",IF(Reactivos_[[#This Row],[Cantidad LDF&amp;MR]],"LDF&amp;MR",IF(B346=Reactivos_[[#This Row],[Cantidad RED LASE]],"LASE",IF(B346=Reactivos_[[#This Row],[Cantidad LANIA]],"LANIA",IF(B346=Reactivos_[[#This Row],[Cantidad SPA]],"SPA"," ")))))))))</f>
        <v>LANIP</v>
      </c>
      <c r="B34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6" s="325">
        <v>344</v>
      </c>
      <c r="D346" s="326">
        <v>482</v>
      </c>
      <c r="E346" s="327" t="s">
        <v>1024</v>
      </c>
      <c r="F346" s="244" t="s">
        <v>1025</v>
      </c>
      <c r="G346" s="327"/>
      <c r="H346" s="348" t="s">
        <v>1026</v>
      </c>
      <c r="I346" s="329" t="s">
        <v>1027</v>
      </c>
      <c r="J34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6" s="160">
        <v>5968442</v>
      </c>
      <c r="L346" s="160">
        <f>+Reactivos_[[#This Row],[Cantidad]]*Reactivos_[[#This Row],[Valor de referencia]]</f>
        <v>5968442</v>
      </c>
      <c r="M346" s="254">
        <v>1</v>
      </c>
      <c r="N346" s="255">
        <f>+Reactivos_[[#This Row],[Valor de referencia]]*Reactivos_[[#This Row],[Cantidad LANIP]]</f>
        <v>5968442</v>
      </c>
      <c r="O346" s="256"/>
      <c r="P346" s="255">
        <f>+Reactivos_[[#This Row],[Cantidad 
LDV]]*Reactivos_[[#This Row],[Valor de referencia]]</f>
        <v>0</v>
      </c>
      <c r="Q346" s="257"/>
      <c r="R346" s="255">
        <f>+Reactivos_[[#This Row],[Cantidad LNDV]]*Reactivos_[[#This Row],[Valor de referencia]]</f>
        <v>0</v>
      </c>
      <c r="S346" s="148"/>
      <c r="T346" s="255">
        <f>+Reactivos_[[#This Row],[GGCA]]*Reactivos_[[#This Row],[Valor de referencia]]</f>
        <v>0</v>
      </c>
      <c r="U346" s="254"/>
      <c r="V346" s="255">
        <f>+Reactivos_[[#This Row],[Cantidad LDF]]*Reactivos_[[#This Row],[Valor de referencia]]</f>
        <v>0</v>
      </c>
      <c r="W346" s="254"/>
      <c r="X346" s="255">
        <f>+Reactivos_[[#This Row],[Cantidad LDF&amp;MR]]*Reactivos_[[#This Row],[Valor de referencia]]</f>
        <v>0</v>
      </c>
      <c r="Y346" s="254"/>
      <c r="Z346" s="255">
        <f>+Reactivos_[[#This Row],[Cantidad RED LASE]]*Reactivos_[[#This Row],[Valor de referencia]]</f>
        <v>0</v>
      </c>
      <c r="AA346" s="254"/>
      <c r="AB346" s="255">
        <f>+Reactivos_[[#This Row],[Cantidad LANIA]]*Reactivos_[[#This Row],[Valor de referencia]]</f>
        <v>0</v>
      </c>
      <c r="AC346" s="254"/>
      <c r="AD346" s="255">
        <f>+Reactivos_[[#This Row],[Cantidad SPA]]*Reactivos_[[#This Row],[Valor de referencia]]</f>
        <v>0</v>
      </c>
      <c r="AE346" s="148" t="s">
        <v>76</v>
      </c>
      <c r="AF346" s="148" t="s">
        <v>77</v>
      </c>
    </row>
    <row r="347" spans="1:32" ht="45" customHeight="1" x14ac:dyDescent="0.25">
      <c r="A347" s="294" t="str">
        <f>IF(B347=Reactivos_[[#This Row],[Cantidad LANIP]],"LANIP",IF(B347=Reactivos_[[#This Row],[Cantidad 
LDV]],"LDV",IF(B347=Reactivos_[[#This Row],[Cantidad LNDV]],"LNDV",IF(B347=Reactivos_[[#This Row],[GGCA]],"GGCA",IF(B347=Reactivos_[[#This Row],[Cantidad LDF]],"LDF",IF(Reactivos_[[#This Row],[Cantidad LDF&amp;MR]],"LDF&amp;MR",IF(B347=Reactivos_[[#This Row],[Cantidad RED LASE]],"LASE",IF(B347=Reactivos_[[#This Row],[Cantidad LANIA]],"LANIA",IF(B347=Reactivos_[[#This Row],[Cantidad SPA]],"SPA"," ")))))))))</f>
        <v>LANIP</v>
      </c>
      <c r="B34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7" s="325">
        <v>345</v>
      </c>
      <c r="D347" s="326">
        <v>483</v>
      </c>
      <c r="E347" s="331" t="s">
        <v>1028</v>
      </c>
      <c r="F347" s="332" t="s">
        <v>1029</v>
      </c>
      <c r="G347" s="331"/>
      <c r="H347" s="348" t="s">
        <v>1030</v>
      </c>
      <c r="I347" s="334" t="s">
        <v>888</v>
      </c>
      <c r="J34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7" s="160">
        <v>1614497</v>
      </c>
      <c r="L347" s="160">
        <f>+Reactivos_[[#This Row],[Cantidad]]*Reactivos_[[#This Row],[Valor de referencia]]</f>
        <v>1614497</v>
      </c>
      <c r="M347" s="254">
        <v>1</v>
      </c>
      <c r="N347" s="255">
        <f>+Reactivos_[[#This Row],[Valor de referencia]]*Reactivos_[[#This Row],[Cantidad LANIP]]</f>
        <v>1614497</v>
      </c>
      <c r="O347" s="256"/>
      <c r="P347" s="255">
        <f>+Reactivos_[[#This Row],[Cantidad 
LDV]]*Reactivos_[[#This Row],[Valor de referencia]]</f>
        <v>0</v>
      </c>
      <c r="Q347" s="257"/>
      <c r="R347" s="255">
        <f>+Reactivos_[[#This Row],[Cantidad LNDV]]*Reactivos_[[#This Row],[Valor de referencia]]</f>
        <v>0</v>
      </c>
      <c r="S347" s="148"/>
      <c r="T347" s="255">
        <f>+Reactivos_[[#This Row],[GGCA]]*Reactivos_[[#This Row],[Valor de referencia]]</f>
        <v>0</v>
      </c>
      <c r="U347" s="254"/>
      <c r="V347" s="255">
        <f>+Reactivos_[[#This Row],[Cantidad LDF]]*Reactivos_[[#This Row],[Valor de referencia]]</f>
        <v>0</v>
      </c>
      <c r="W347" s="254"/>
      <c r="X347" s="255">
        <f>+Reactivos_[[#This Row],[Cantidad LDF&amp;MR]]*Reactivos_[[#This Row],[Valor de referencia]]</f>
        <v>0</v>
      </c>
      <c r="Y347" s="254"/>
      <c r="Z347" s="255">
        <f>+Reactivos_[[#This Row],[Cantidad RED LASE]]*Reactivos_[[#This Row],[Valor de referencia]]</f>
        <v>0</v>
      </c>
      <c r="AA347" s="254"/>
      <c r="AB347" s="255">
        <f>+Reactivos_[[#This Row],[Cantidad LANIA]]*Reactivos_[[#This Row],[Valor de referencia]]</f>
        <v>0</v>
      </c>
      <c r="AC347" s="254"/>
      <c r="AD347" s="255">
        <f>+Reactivos_[[#This Row],[Cantidad SPA]]*Reactivos_[[#This Row],[Valor de referencia]]</f>
        <v>0</v>
      </c>
      <c r="AE347" s="148" t="s">
        <v>76</v>
      </c>
      <c r="AF347" s="148" t="s">
        <v>77</v>
      </c>
    </row>
    <row r="348" spans="1:32" ht="25.5" x14ac:dyDescent="0.25">
      <c r="A348" s="294" t="str">
        <f>IF(B348=Reactivos_[[#This Row],[Cantidad LANIP]],"LANIP",IF(B348=Reactivos_[[#This Row],[Cantidad 
LDV]],"LDV",IF(B348=Reactivos_[[#This Row],[Cantidad LNDV]],"LNDV",IF(B348=Reactivos_[[#This Row],[GGCA]],"GGCA",IF(B348=Reactivos_[[#This Row],[Cantidad LDF]],"LDF",IF(Reactivos_[[#This Row],[Cantidad LDF&amp;MR]],"LDF&amp;MR",IF(B348=Reactivos_[[#This Row],[Cantidad RED LASE]],"LASE",IF(B348=Reactivos_[[#This Row],[Cantidad LANIA]],"LANIA",IF(B348=Reactivos_[[#This Row],[Cantidad SPA]],"SPA"," ")))))))))</f>
        <v>LANIA</v>
      </c>
      <c r="B34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8" s="325">
        <v>346</v>
      </c>
      <c r="D348" s="326">
        <v>484</v>
      </c>
      <c r="E348" s="327" t="s">
        <v>1031</v>
      </c>
      <c r="F348" s="338"/>
      <c r="G348" s="339"/>
      <c r="H348" s="328" t="s">
        <v>970</v>
      </c>
      <c r="I348" s="347" t="s">
        <v>892</v>
      </c>
      <c r="J34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8" s="160">
        <v>906903</v>
      </c>
      <c r="L348" s="160">
        <f>+Reactivos_[[#This Row],[Cantidad]]*Reactivos_[[#This Row],[Valor de referencia]]</f>
        <v>906903</v>
      </c>
      <c r="M348" s="254">
        <v>0</v>
      </c>
      <c r="N348" s="255">
        <f>+Reactivos_[[#This Row],[Valor de referencia]]*Reactivos_[[#This Row],[Cantidad LANIP]]</f>
        <v>0</v>
      </c>
      <c r="O348" s="256"/>
      <c r="P348" s="255">
        <f>+Reactivos_[[#This Row],[Cantidad 
LDV]]*Reactivos_[[#This Row],[Valor de referencia]]</f>
        <v>0</v>
      </c>
      <c r="Q348" s="257"/>
      <c r="R348" s="255">
        <f>+Reactivos_[[#This Row],[Cantidad LNDV]]*Reactivos_[[#This Row],[Valor de referencia]]</f>
        <v>0</v>
      </c>
      <c r="S348" s="148"/>
      <c r="T348" s="255">
        <f>+Reactivos_[[#This Row],[GGCA]]*Reactivos_[[#This Row],[Valor de referencia]]</f>
        <v>0</v>
      </c>
      <c r="U348" s="254"/>
      <c r="V348" s="255">
        <f>+Reactivos_[[#This Row],[Cantidad LDF]]*Reactivos_[[#This Row],[Valor de referencia]]</f>
        <v>0</v>
      </c>
      <c r="W348" s="254"/>
      <c r="X348" s="255">
        <f>+Reactivos_[[#This Row],[Cantidad LDF&amp;MR]]*Reactivos_[[#This Row],[Valor de referencia]]</f>
        <v>0</v>
      </c>
      <c r="Y348" s="254"/>
      <c r="Z348" s="255">
        <f>+Reactivos_[[#This Row],[Cantidad RED LASE]]*Reactivos_[[#This Row],[Valor de referencia]]</f>
        <v>0</v>
      </c>
      <c r="AA348" s="254">
        <v>1</v>
      </c>
      <c r="AB348" s="255">
        <f>+Reactivos_[[#This Row],[Cantidad LANIA]]*Reactivos_[[#This Row],[Valor de referencia]]</f>
        <v>906903</v>
      </c>
      <c r="AC348" s="254"/>
      <c r="AD348" s="255">
        <f>+Reactivos_[[#This Row],[Cantidad SPA]]*Reactivos_[[#This Row],[Valor de referencia]]</f>
        <v>0</v>
      </c>
      <c r="AE348" s="148" t="s">
        <v>76</v>
      </c>
      <c r="AF348" s="148" t="s">
        <v>77</v>
      </c>
    </row>
    <row r="349" spans="1:32" ht="22.5" customHeight="1" x14ac:dyDescent="0.25">
      <c r="A349" s="294" t="str">
        <f>IF(B349=Reactivos_[[#This Row],[Cantidad LANIP]],"LANIP",IF(B349=Reactivos_[[#This Row],[Cantidad 
LDV]],"LDV",IF(B349=Reactivos_[[#This Row],[Cantidad LNDV]],"LNDV",IF(B349=Reactivos_[[#This Row],[GGCA]],"GGCA",IF(B349=Reactivos_[[#This Row],[Cantidad LDF]],"LDF",IF(Reactivos_[[#This Row],[Cantidad LDF&amp;MR]],"LDF&amp;MR",IF(B349=Reactivos_[[#This Row],[Cantidad RED LASE]],"LASE",IF(B349=Reactivos_[[#This Row],[Cantidad LANIA]],"LANIA",IF(B349=Reactivos_[[#This Row],[Cantidad SPA]],"SPA"," ")))))))))</f>
        <v>LANIP</v>
      </c>
      <c r="B34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49" s="325">
        <v>347</v>
      </c>
      <c r="D349" s="326">
        <v>485</v>
      </c>
      <c r="E349" s="327" t="s">
        <v>1032</v>
      </c>
      <c r="F349" s="244" t="s">
        <v>1033</v>
      </c>
      <c r="G349" s="327"/>
      <c r="H349" s="328" t="s">
        <v>1034</v>
      </c>
      <c r="I349" s="329" t="s">
        <v>1035</v>
      </c>
      <c r="J34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49" s="160">
        <v>2214697</v>
      </c>
      <c r="L349" s="160">
        <f>+Reactivos_[[#This Row],[Cantidad]]*Reactivos_[[#This Row],[Valor de referencia]]</f>
        <v>2214697</v>
      </c>
      <c r="M349" s="254">
        <v>1</v>
      </c>
      <c r="N349" s="255">
        <f>+Reactivos_[[#This Row],[Valor de referencia]]*Reactivos_[[#This Row],[Cantidad LANIP]]</f>
        <v>2214697</v>
      </c>
      <c r="O349" s="256"/>
      <c r="P349" s="255">
        <f>+Reactivos_[[#This Row],[Cantidad 
LDV]]*Reactivos_[[#This Row],[Valor de referencia]]</f>
        <v>0</v>
      </c>
      <c r="Q349" s="257"/>
      <c r="R349" s="255">
        <f>+Reactivos_[[#This Row],[Cantidad LNDV]]*Reactivos_[[#This Row],[Valor de referencia]]</f>
        <v>0</v>
      </c>
      <c r="S349" s="148"/>
      <c r="T349" s="255">
        <f>+Reactivos_[[#This Row],[GGCA]]*Reactivos_[[#This Row],[Valor de referencia]]</f>
        <v>0</v>
      </c>
      <c r="U349" s="254"/>
      <c r="V349" s="255">
        <f>+Reactivos_[[#This Row],[Cantidad LDF]]*Reactivos_[[#This Row],[Valor de referencia]]</f>
        <v>0</v>
      </c>
      <c r="W349" s="254"/>
      <c r="X349" s="255">
        <f>+Reactivos_[[#This Row],[Cantidad LDF&amp;MR]]*Reactivos_[[#This Row],[Valor de referencia]]</f>
        <v>0</v>
      </c>
      <c r="Y349" s="254"/>
      <c r="Z349" s="255">
        <f>+Reactivos_[[#This Row],[Cantidad RED LASE]]*Reactivos_[[#This Row],[Valor de referencia]]</f>
        <v>0</v>
      </c>
      <c r="AA349" s="254"/>
      <c r="AB349" s="255">
        <f>+Reactivos_[[#This Row],[Cantidad LANIA]]*Reactivos_[[#This Row],[Valor de referencia]]</f>
        <v>0</v>
      </c>
      <c r="AC349" s="254"/>
      <c r="AD349" s="255">
        <f>+Reactivos_[[#This Row],[Cantidad SPA]]*Reactivos_[[#This Row],[Valor de referencia]]</f>
        <v>0</v>
      </c>
      <c r="AE349" s="148" t="s">
        <v>76</v>
      </c>
      <c r="AF349" s="148" t="s">
        <v>77</v>
      </c>
    </row>
    <row r="350" spans="1:32" ht="38.25" customHeight="1" x14ac:dyDescent="0.25">
      <c r="A350" s="294" t="str">
        <f>IF(B350=Reactivos_[[#This Row],[Cantidad LANIP]],"LANIP",IF(B350=Reactivos_[[#This Row],[Cantidad 
LDV]],"LDV",IF(B350=Reactivos_[[#This Row],[Cantidad LNDV]],"LNDV",IF(B350=Reactivos_[[#This Row],[GGCA]],"GGCA",IF(B350=Reactivos_[[#This Row],[Cantidad LDF]],"LDF",IF(Reactivos_[[#This Row],[Cantidad LDF&amp;MR]],"LDF&amp;MR",IF(B350=Reactivos_[[#This Row],[Cantidad RED LASE]],"LASE",IF(B350=Reactivos_[[#This Row],[Cantidad LANIA]],"LANIA",IF(B350=Reactivos_[[#This Row],[Cantidad SPA]],"SPA"," ")))))))))</f>
        <v>LANIP</v>
      </c>
      <c r="B35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350" s="325">
        <v>348</v>
      </c>
      <c r="D350" s="326">
        <v>486</v>
      </c>
      <c r="E350" s="331" t="s">
        <v>1036</v>
      </c>
      <c r="F350" s="332" t="s">
        <v>1037</v>
      </c>
      <c r="G350" s="331"/>
      <c r="H350" s="348" t="s">
        <v>1038</v>
      </c>
      <c r="I350" s="363" t="s">
        <v>1039</v>
      </c>
      <c r="J35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350" s="160">
        <v>2244580</v>
      </c>
      <c r="L350" s="160">
        <f>+Reactivos_[[#This Row],[Cantidad]]*Reactivos_[[#This Row],[Valor de referencia]]</f>
        <v>8978320</v>
      </c>
      <c r="M350" s="254">
        <v>4</v>
      </c>
      <c r="N350" s="255">
        <f>+Reactivos_[[#This Row],[Valor de referencia]]*Reactivos_[[#This Row],[Cantidad LANIP]]</f>
        <v>8978320</v>
      </c>
      <c r="O350" s="256"/>
      <c r="P350" s="255">
        <f>+Reactivos_[[#This Row],[Cantidad 
LDV]]*Reactivos_[[#This Row],[Valor de referencia]]</f>
        <v>0</v>
      </c>
      <c r="Q350" s="257"/>
      <c r="R350" s="255">
        <f>+Reactivos_[[#This Row],[Cantidad LNDV]]*Reactivos_[[#This Row],[Valor de referencia]]</f>
        <v>0</v>
      </c>
      <c r="S350" s="148"/>
      <c r="T350" s="255">
        <f>+Reactivos_[[#This Row],[GGCA]]*Reactivos_[[#This Row],[Valor de referencia]]</f>
        <v>0</v>
      </c>
      <c r="U350" s="254"/>
      <c r="V350" s="255">
        <f>+Reactivos_[[#This Row],[Cantidad LDF]]*Reactivos_[[#This Row],[Valor de referencia]]</f>
        <v>0</v>
      </c>
      <c r="W350" s="254"/>
      <c r="X350" s="255">
        <f>+Reactivos_[[#This Row],[Cantidad LDF&amp;MR]]*Reactivos_[[#This Row],[Valor de referencia]]</f>
        <v>0</v>
      </c>
      <c r="Y350" s="254"/>
      <c r="Z350" s="255">
        <f>+Reactivos_[[#This Row],[Cantidad RED LASE]]*Reactivos_[[#This Row],[Valor de referencia]]</f>
        <v>0</v>
      </c>
      <c r="AA350" s="254"/>
      <c r="AB350" s="255">
        <f>+Reactivos_[[#This Row],[Cantidad LANIA]]*Reactivos_[[#This Row],[Valor de referencia]]</f>
        <v>0</v>
      </c>
      <c r="AC350" s="254"/>
      <c r="AD350" s="255">
        <f>+Reactivos_[[#This Row],[Cantidad SPA]]*Reactivos_[[#This Row],[Valor de referencia]]</f>
        <v>0</v>
      </c>
      <c r="AE350" s="148" t="s">
        <v>76</v>
      </c>
      <c r="AF350" s="148" t="s">
        <v>77</v>
      </c>
    </row>
    <row r="351" spans="1:32" ht="45" customHeight="1" x14ac:dyDescent="0.25">
      <c r="A351" s="294" t="str">
        <f>IF(B351=Reactivos_[[#This Row],[Cantidad LANIP]],"LANIP",IF(B351=Reactivos_[[#This Row],[Cantidad 
LDV]],"LDV",IF(B351=Reactivos_[[#This Row],[Cantidad LNDV]],"LNDV",IF(B351=Reactivos_[[#This Row],[GGCA]],"GGCA",IF(B351=Reactivos_[[#This Row],[Cantidad LDF]],"LDF",IF(Reactivos_[[#This Row],[Cantidad LDF&amp;MR]],"LDF&amp;MR",IF(B351=Reactivos_[[#This Row],[Cantidad RED LASE]],"LASE",IF(B351=Reactivos_[[#This Row],[Cantidad LANIA]],"LANIA",IF(B351=Reactivos_[[#This Row],[Cantidad SPA]],"SPA"," ")))))))))</f>
        <v>LANIP</v>
      </c>
      <c r="B35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351" s="325">
        <v>349</v>
      </c>
      <c r="D351" s="326">
        <v>487</v>
      </c>
      <c r="E351" s="331" t="s">
        <v>1040</v>
      </c>
      <c r="F351" s="332" t="s">
        <v>1041</v>
      </c>
      <c r="G351" s="331"/>
      <c r="H351" s="348" t="s">
        <v>1042</v>
      </c>
      <c r="I351" s="352" t="s">
        <v>1043</v>
      </c>
      <c r="J35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351" s="160">
        <v>1535924</v>
      </c>
      <c r="L351" s="160">
        <f>+Reactivos_[[#This Row],[Cantidad]]*Reactivos_[[#This Row],[Valor de referencia]]</f>
        <v>6143696</v>
      </c>
      <c r="M351" s="254">
        <v>4</v>
      </c>
      <c r="N351" s="255">
        <f>+Reactivos_[[#This Row],[Valor de referencia]]*Reactivos_[[#This Row],[Cantidad LANIP]]</f>
        <v>6143696</v>
      </c>
      <c r="O351" s="256"/>
      <c r="P351" s="255">
        <f>+Reactivos_[[#This Row],[Cantidad 
LDV]]*Reactivos_[[#This Row],[Valor de referencia]]</f>
        <v>0</v>
      </c>
      <c r="Q351" s="257"/>
      <c r="R351" s="255">
        <f>+Reactivos_[[#This Row],[Cantidad LNDV]]*Reactivos_[[#This Row],[Valor de referencia]]</f>
        <v>0</v>
      </c>
      <c r="S351" s="148"/>
      <c r="T351" s="255">
        <f>+Reactivos_[[#This Row],[GGCA]]*Reactivos_[[#This Row],[Valor de referencia]]</f>
        <v>0</v>
      </c>
      <c r="U351" s="254"/>
      <c r="V351" s="255">
        <f>+Reactivos_[[#This Row],[Cantidad LDF]]*Reactivos_[[#This Row],[Valor de referencia]]</f>
        <v>0</v>
      </c>
      <c r="W351" s="254"/>
      <c r="X351" s="255">
        <f>+Reactivos_[[#This Row],[Cantidad LDF&amp;MR]]*Reactivos_[[#This Row],[Valor de referencia]]</f>
        <v>0</v>
      </c>
      <c r="Y351" s="254"/>
      <c r="Z351" s="255">
        <f>+Reactivos_[[#This Row],[Cantidad RED LASE]]*Reactivos_[[#This Row],[Valor de referencia]]</f>
        <v>0</v>
      </c>
      <c r="AA351" s="254"/>
      <c r="AB351" s="255">
        <f>+Reactivos_[[#This Row],[Cantidad LANIA]]*Reactivos_[[#This Row],[Valor de referencia]]</f>
        <v>0</v>
      </c>
      <c r="AC351" s="254"/>
      <c r="AD351" s="255">
        <f>+Reactivos_[[#This Row],[Cantidad SPA]]*Reactivos_[[#This Row],[Valor de referencia]]</f>
        <v>0</v>
      </c>
      <c r="AE351" s="148" t="s">
        <v>76</v>
      </c>
      <c r="AF351" s="148" t="s">
        <v>77</v>
      </c>
    </row>
    <row r="352" spans="1:32" ht="84" customHeight="1" x14ac:dyDescent="0.25">
      <c r="A352" s="294" t="str">
        <f>IF(B352=Reactivos_[[#This Row],[Cantidad LANIP]],"LANIP",IF(B352=Reactivos_[[#This Row],[Cantidad 
LDV]],"LDV",IF(B352=Reactivos_[[#This Row],[Cantidad LNDV]],"LNDV",IF(B352=Reactivos_[[#This Row],[GGCA]],"GGCA",IF(B352=Reactivos_[[#This Row],[Cantidad LDF]],"LDF",IF(Reactivos_[[#This Row],[Cantidad LDF&amp;MR]],"LDF&amp;MR",IF(B352=Reactivos_[[#This Row],[Cantidad RED LASE]],"LASE",IF(B352=Reactivos_[[#This Row],[Cantidad LANIA]],"LANIA",IF(B352=Reactivos_[[#This Row],[Cantidad SPA]],"SPA"," ")))))))))</f>
        <v>LANIP</v>
      </c>
      <c r="B35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52" s="325">
        <v>350</v>
      </c>
      <c r="D352" s="326">
        <v>488</v>
      </c>
      <c r="E352" s="327" t="s">
        <v>1044</v>
      </c>
      <c r="F352" s="244" t="s">
        <v>1045</v>
      </c>
      <c r="G352" s="327"/>
      <c r="H352" s="348" t="s">
        <v>1046</v>
      </c>
      <c r="I352" s="329" t="s">
        <v>1047</v>
      </c>
      <c r="J35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52" s="160">
        <v>6625801</v>
      </c>
      <c r="L352" s="160">
        <f>+Reactivos_[[#This Row],[Cantidad]]*Reactivos_[[#This Row],[Valor de referencia]]</f>
        <v>6625801</v>
      </c>
      <c r="M352" s="254">
        <v>1</v>
      </c>
      <c r="N352" s="255">
        <f>+Reactivos_[[#This Row],[Valor de referencia]]*Reactivos_[[#This Row],[Cantidad LANIP]]</f>
        <v>6625801</v>
      </c>
      <c r="O352" s="256"/>
      <c r="P352" s="255">
        <f>+Reactivos_[[#This Row],[Cantidad 
LDV]]*Reactivos_[[#This Row],[Valor de referencia]]</f>
        <v>0</v>
      </c>
      <c r="Q352" s="257"/>
      <c r="R352" s="255">
        <f>+Reactivos_[[#This Row],[Cantidad LNDV]]*Reactivos_[[#This Row],[Valor de referencia]]</f>
        <v>0</v>
      </c>
      <c r="S352" s="148"/>
      <c r="T352" s="255">
        <f>+Reactivos_[[#This Row],[GGCA]]*Reactivos_[[#This Row],[Valor de referencia]]</f>
        <v>0</v>
      </c>
      <c r="U352" s="254"/>
      <c r="V352" s="255">
        <f>+Reactivos_[[#This Row],[Cantidad LDF]]*Reactivos_[[#This Row],[Valor de referencia]]</f>
        <v>0</v>
      </c>
      <c r="W352" s="254"/>
      <c r="X352" s="255">
        <f>+Reactivos_[[#This Row],[Cantidad LDF&amp;MR]]*Reactivos_[[#This Row],[Valor de referencia]]</f>
        <v>0</v>
      </c>
      <c r="Y352" s="254"/>
      <c r="Z352" s="255">
        <f>+Reactivos_[[#This Row],[Cantidad RED LASE]]*Reactivos_[[#This Row],[Valor de referencia]]</f>
        <v>0</v>
      </c>
      <c r="AA352" s="254"/>
      <c r="AB352" s="255">
        <f>+Reactivos_[[#This Row],[Cantidad LANIA]]*Reactivos_[[#This Row],[Valor de referencia]]</f>
        <v>0</v>
      </c>
      <c r="AC352" s="254"/>
      <c r="AD352" s="255">
        <f>+Reactivos_[[#This Row],[Cantidad SPA]]*Reactivos_[[#This Row],[Valor de referencia]]</f>
        <v>0</v>
      </c>
      <c r="AE352" s="148" t="s">
        <v>76</v>
      </c>
      <c r="AF352" s="148" t="s">
        <v>77</v>
      </c>
    </row>
    <row r="353" spans="1:32" ht="22.5" customHeight="1" x14ac:dyDescent="0.25">
      <c r="A353" s="294" t="str">
        <f>IF(B353=Reactivos_[[#This Row],[Cantidad LANIP]],"LANIP",IF(B353=Reactivos_[[#This Row],[Cantidad 
LDV]],"LDV",IF(B353=Reactivos_[[#This Row],[Cantidad LNDV]],"LNDV",IF(B353=Reactivos_[[#This Row],[GGCA]],"GGCA",IF(B353=Reactivos_[[#This Row],[Cantidad LDF]],"LDF",IF(Reactivos_[[#This Row],[Cantidad LDF&amp;MR]],"LDF&amp;MR",IF(B353=Reactivos_[[#This Row],[Cantidad RED LASE]],"LASE",IF(B353=Reactivos_[[#This Row],[Cantidad LANIA]],"LANIA",IF(B353=Reactivos_[[#This Row],[Cantidad SPA]],"SPA"," ")))))))))</f>
        <v>LANIP</v>
      </c>
      <c r="B35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53" s="325">
        <v>351</v>
      </c>
      <c r="D353" s="326">
        <v>489</v>
      </c>
      <c r="E353" s="327" t="s">
        <v>1048</v>
      </c>
      <c r="F353" s="244" t="s">
        <v>1049</v>
      </c>
      <c r="G353" s="327"/>
      <c r="H353" s="348" t="s">
        <v>1050</v>
      </c>
      <c r="I353" s="329" t="s">
        <v>1051</v>
      </c>
      <c r="J35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53" s="160">
        <v>6361534</v>
      </c>
      <c r="L353" s="160">
        <f>+Reactivos_[[#This Row],[Cantidad]]*Reactivos_[[#This Row],[Valor de referencia]]</f>
        <v>6361534</v>
      </c>
      <c r="M353" s="254">
        <v>1</v>
      </c>
      <c r="N353" s="255">
        <f>+Reactivos_[[#This Row],[Valor de referencia]]*Reactivos_[[#This Row],[Cantidad LANIP]]</f>
        <v>6361534</v>
      </c>
      <c r="O353" s="256"/>
      <c r="P353" s="255">
        <f>+Reactivos_[[#This Row],[Cantidad 
LDV]]*Reactivos_[[#This Row],[Valor de referencia]]</f>
        <v>0</v>
      </c>
      <c r="Q353" s="257"/>
      <c r="R353" s="255">
        <f>+Reactivos_[[#This Row],[Cantidad LNDV]]*Reactivos_[[#This Row],[Valor de referencia]]</f>
        <v>0</v>
      </c>
      <c r="S353" s="148"/>
      <c r="T353" s="255">
        <f>+Reactivos_[[#This Row],[GGCA]]*Reactivos_[[#This Row],[Valor de referencia]]</f>
        <v>0</v>
      </c>
      <c r="U353" s="254"/>
      <c r="V353" s="255">
        <f>+Reactivos_[[#This Row],[Cantidad LDF]]*Reactivos_[[#This Row],[Valor de referencia]]</f>
        <v>0</v>
      </c>
      <c r="W353" s="254"/>
      <c r="X353" s="255">
        <f>+Reactivos_[[#This Row],[Cantidad LDF&amp;MR]]*Reactivos_[[#This Row],[Valor de referencia]]</f>
        <v>0</v>
      </c>
      <c r="Y353" s="254"/>
      <c r="Z353" s="255">
        <f>+Reactivos_[[#This Row],[Cantidad RED LASE]]*Reactivos_[[#This Row],[Valor de referencia]]</f>
        <v>0</v>
      </c>
      <c r="AA353" s="254"/>
      <c r="AB353" s="255">
        <f>+Reactivos_[[#This Row],[Cantidad LANIA]]*Reactivos_[[#This Row],[Valor de referencia]]</f>
        <v>0</v>
      </c>
      <c r="AC353" s="254"/>
      <c r="AD353" s="255">
        <f>+Reactivos_[[#This Row],[Cantidad SPA]]*Reactivos_[[#This Row],[Valor de referencia]]</f>
        <v>0</v>
      </c>
      <c r="AE353" s="148" t="s">
        <v>76</v>
      </c>
      <c r="AF353" s="148" t="s">
        <v>77</v>
      </c>
    </row>
    <row r="354" spans="1:32" ht="25.5" x14ac:dyDescent="0.25">
      <c r="A354" s="294" t="str">
        <f>IF(B354=Reactivos_[[#This Row],[Cantidad LANIP]],"LANIP",IF(B354=Reactivos_[[#This Row],[Cantidad 
LDV]],"LDV",IF(B354=Reactivos_[[#This Row],[Cantidad LNDV]],"LNDV",IF(B354=Reactivos_[[#This Row],[GGCA]],"GGCA",IF(B354=Reactivos_[[#This Row],[Cantidad LDF]],"LDF",IF(Reactivos_[[#This Row],[Cantidad LDF&amp;MR]],"LDF&amp;MR",IF(B354=Reactivos_[[#This Row],[Cantidad RED LASE]],"LASE",IF(B354=Reactivos_[[#This Row],[Cantidad LANIA]],"LANIA",IF(B354=Reactivos_[[#This Row],[Cantidad SPA]],"SPA"," ")))))))))</f>
        <v>LANIA</v>
      </c>
      <c r="B35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54" s="325">
        <v>352</v>
      </c>
      <c r="D354" s="326">
        <v>490</v>
      </c>
      <c r="E354" s="327" t="s">
        <v>1052</v>
      </c>
      <c r="F354" s="338"/>
      <c r="G354" s="339"/>
      <c r="H354" s="328" t="s">
        <v>970</v>
      </c>
      <c r="I354" s="347" t="s">
        <v>892</v>
      </c>
      <c r="J35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54" s="160">
        <v>899840</v>
      </c>
      <c r="L354" s="160">
        <f>+Reactivos_[[#This Row],[Cantidad]]*Reactivos_[[#This Row],[Valor de referencia]]</f>
        <v>899840</v>
      </c>
      <c r="M354" s="254">
        <v>0</v>
      </c>
      <c r="N354" s="255">
        <f>+Reactivos_[[#This Row],[Valor de referencia]]*Reactivos_[[#This Row],[Cantidad LANIP]]</f>
        <v>0</v>
      </c>
      <c r="O354" s="256"/>
      <c r="P354" s="255">
        <f>+Reactivos_[[#This Row],[Cantidad 
LDV]]*Reactivos_[[#This Row],[Valor de referencia]]</f>
        <v>0</v>
      </c>
      <c r="Q354" s="257"/>
      <c r="R354" s="255">
        <f>+Reactivos_[[#This Row],[Cantidad LNDV]]*Reactivos_[[#This Row],[Valor de referencia]]</f>
        <v>0</v>
      </c>
      <c r="S354" s="148"/>
      <c r="T354" s="255">
        <f>+Reactivos_[[#This Row],[GGCA]]*Reactivos_[[#This Row],[Valor de referencia]]</f>
        <v>0</v>
      </c>
      <c r="U354" s="254"/>
      <c r="V354" s="255">
        <f>+Reactivos_[[#This Row],[Cantidad LDF]]*Reactivos_[[#This Row],[Valor de referencia]]</f>
        <v>0</v>
      </c>
      <c r="W354" s="254"/>
      <c r="X354" s="255">
        <f>+Reactivos_[[#This Row],[Cantidad LDF&amp;MR]]*Reactivos_[[#This Row],[Valor de referencia]]</f>
        <v>0</v>
      </c>
      <c r="Y354" s="254"/>
      <c r="Z354" s="255">
        <f>+Reactivos_[[#This Row],[Cantidad RED LASE]]*Reactivos_[[#This Row],[Valor de referencia]]</f>
        <v>0</v>
      </c>
      <c r="AA354" s="254">
        <v>1</v>
      </c>
      <c r="AB354" s="255">
        <f>+Reactivos_[[#This Row],[Cantidad LANIA]]*Reactivos_[[#This Row],[Valor de referencia]]</f>
        <v>899840</v>
      </c>
      <c r="AC354" s="254"/>
      <c r="AD354" s="255">
        <f>+Reactivos_[[#This Row],[Cantidad SPA]]*Reactivos_[[#This Row],[Valor de referencia]]</f>
        <v>0</v>
      </c>
      <c r="AE354" s="148" t="s">
        <v>76</v>
      </c>
      <c r="AF354" s="148" t="s">
        <v>77</v>
      </c>
    </row>
    <row r="355" spans="1:32" ht="33.75" customHeight="1" x14ac:dyDescent="0.25">
      <c r="A355" s="294" t="str">
        <f>IF(B355=Reactivos_[[#This Row],[Cantidad LANIP]],"LANIP",IF(B355=Reactivos_[[#This Row],[Cantidad 
LDV]],"LDV",IF(B355=Reactivos_[[#This Row],[Cantidad LNDV]],"LNDV",IF(B355=Reactivos_[[#This Row],[GGCA]],"GGCA",IF(B355=Reactivos_[[#This Row],[Cantidad LDF]],"LDF",IF(Reactivos_[[#This Row],[Cantidad LDF&amp;MR]],"LDF&amp;MR",IF(B355=Reactivos_[[#This Row],[Cantidad RED LASE]],"LASE",IF(B355=Reactivos_[[#This Row],[Cantidad LANIA]],"LANIA",IF(B355=Reactivos_[[#This Row],[Cantidad SPA]],"SPA"," ")))))))))</f>
        <v>LANIP</v>
      </c>
      <c r="B35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55" s="325">
        <v>353</v>
      </c>
      <c r="D355" s="326">
        <v>491</v>
      </c>
      <c r="E355" s="331" t="s">
        <v>1053</v>
      </c>
      <c r="F355" s="332" t="s">
        <v>1054</v>
      </c>
      <c r="G355" s="331"/>
      <c r="H355" s="348" t="s">
        <v>1055</v>
      </c>
      <c r="I355" s="329" t="s">
        <v>888</v>
      </c>
      <c r="J35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55" s="160">
        <v>2694228</v>
      </c>
      <c r="L355" s="160">
        <f>+Reactivos_[[#This Row],[Cantidad]]*Reactivos_[[#This Row],[Valor de referencia]]</f>
        <v>2694228</v>
      </c>
      <c r="M355" s="254">
        <v>1</v>
      </c>
      <c r="N355" s="255">
        <f>+Reactivos_[[#This Row],[Valor de referencia]]*Reactivos_[[#This Row],[Cantidad LANIP]]</f>
        <v>2694228</v>
      </c>
      <c r="O355" s="256"/>
      <c r="P355" s="255">
        <f>+Reactivos_[[#This Row],[Cantidad 
LDV]]*Reactivos_[[#This Row],[Valor de referencia]]</f>
        <v>0</v>
      </c>
      <c r="Q355" s="257"/>
      <c r="R355" s="255">
        <f>+Reactivos_[[#This Row],[Cantidad LNDV]]*Reactivos_[[#This Row],[Valor de referencia]]</f>
        <v>0</v>
      </c>
      <c r="S355" s="148"/>
      <c r="T355" s="255">
        <f>+Reactivos_[[#This Row],[GGCA]]*Reactivos_[[#This Row],[Valor de referencia]]</f>
        <v>0</v>
      </c>
      <c r="U355" s="254"/>
      <c r="V355" s="255">
        <f>+Reactivos_[[#This Row],[Cantidad LDF]]*Reactivos_[[#This Row],[Valor de referencia]]</f>
        <v>0</v>
      </c>
      <c r="W355" s="254"/>
      <c r="X355" s="255">
        <f>+Reactivos_[[#This Row],[Cantidad LDF&amp;MR]]*Reactivos_[[#This Row],[Valor de referencia]]</f>
        <v>0</v>
      </c>
      <c r="Y355" s="254"/>
      <c r="Z355" s="255">
        <f>+Reactivos_[[#This Row],[Cantidad RED LASE]]*Reactivos_[[#This Row],[Valor de referencia]]</f>
        <v>0</v>
      </c>
      <c r="AA355" s="254"/>
      <c r="AB355" s="255">
        <f>+Reactivos_[[#This Row],[Cantidad LANIA]]*Reactivos_[[#This Row],[Valor de referencia]]</f>
        <v>0</v>
      </c>
      <c r="AC355" s="254"/>
      <c r="AD355" s="255">
        <f>+Reactivos_[[#This Row],[Cantidad SPA]]*Reactivos_[[#This Row],[Valor de referencia]]</f>
        <v>0</v>
      </c>
      <c r="AE355" s="148" t="s">
        <v>76</v>
      </c>
      <c r="AF355" s="148" t="s">
        <v>77</v>
      </c>
    </row>
    <row r="356" spans="1:32" ht="38.25" x14ac:dyDescent="0.25">
      <c r="A356" s="294" t="str">
        <f>IF(B356=Reactivos_[[#This Row],[Cantidad LANIP]],"LANIP",IF(B356=Reactivos_[[#This Row],[Cantidad 
LDV]],"LDV",IF(B356=Reactivos_[[#This Row],[Cantidad LNDV]],"LNDV",IF(B356=Reactivos_[[#This Row],[GGCA]],"GGCA",IF(B356=Reactivos_[[#This Row],[Cantidad LDF]],"LDF",IF(Reactivos_[[#This Row],[Cantidad LDF&amp;MR]],"LDF&amp;MR",IF(B356=Reactivos_[[#This Row],[Cantidad RED LASE]],"LASE",IF(B356=Reactivos_[[#This Row],[Cantidad LANIA]],"LANIA",IF(B356=Reactivos_[[#This Row],[Cantidad SPA]],"SPA"," ")))))))))</f>
        <v>LANIP</v>
      </c>
      <c r="B35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56" s="325">
        <v>354</v>
      </c>
      <c r="D356" s="326">
        <v>492</v>
      </c>
      <c r="E356" s="327" t="s">
        <v>1056</v>
      </c>
      <c r="F356" s="244" t="s">
        <v>1057</v>
      </c>
      <c r="G356" s="327"/>
      <c r="H356" s="328" t="s">
        <v>1058</v>
      </c>
      <c r="I356" s="329" t="s">
        <v>888</v>
      </c>
      <c r="J35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56" s="160">
        <v>1822912</v>
      </c>
      <c r="L356" s="160">
        <f>+Reactivos_[[#This Row],[Cantidad]]*Reactivos_[[#This Row],[Valor de referencia]]</f>
        <v>1822912</v>
      </c>
      <c r="M356" s="254">
        <v>1</v>
      </c>
      <c r="N356" s="255">
        <f>+Reactivos_[[#This Row],[Valor de referencia]]*Reactivos_[[#This Row],[Cantidad LANIP]]</f>
        <v>1822912</v>
      </c>
      <c r="O356" s="256"/>
      <c r="P356" s="255">
        <f>+Reactivos_[[#This Row],[Cantidad 
LDV]]*Reactivos_[[#This Row],[Valor de referencia]]</f>
        <v>0</v>
      </c>
      <c r="Q356" s="257"/>
      <c r="R356" s="255">
        <f>+Reactivos_[[#This Row],[Cantidad LNDV]]*Reactivos_[[#This Row],[Valor de referencia]]</f>
        <v>0</v>
      </c>
      <c r="S356" s="148"/>
      <c r="T356" s="255">
        <f>+Reactivos_[[#This Row],[GGCA]]*Reactivos_[[#This Row],[Valor de referencia]]</f>
        <v>0</v>
      </c>
      <c r="U356" s="254"/>
      <c r="V356" s="255">
        <f>+Reactivos_[[#This Row],[Cantidad LDF]]*Reactivos_[[#This Row],[Valor de referencia]]</f>
        <v>0</v>
      </c>
      <c r="W356" s="254"/>
      <c r="X356" s="255">
        <f>+Reactivos_[[#This Row],[Cantidad LDF&amp;MR]]*Reactivos_[[#This Row],[Valor de referencia]]</f>
        <v>0</v>
      </c>
      <c r="Y356" s="254"/>
      <c r="Z356" s="255">
        <f>+Reactivos_[[#This Row],[Cantidad RED LASE]]*Reactivos_[[#This Row],[Valor de referencia]]</f>
        <v>0</v>
      </c>
      <c r="AA356" s="254"/>
      <c r="AB356" s="255">
        <f>+Reactivos_[[#This Row],[Cantidad LANIA]]*Reactivos_[[#This Row],[Valor de referencia]]</f>
        <v>0</v>
      </c>
      <c r="AC356" s="254"/>
      <c r="AD356" s="255">
        <f>+Reactivos_[[#This Row],[Cantidad SPA]]*Reactivos_[[#This Row],[Valor de referencia]]</f>
        <v>0</v>
      </c>
      <c r="AE356" s="148" t="s">
        <v>76</v>
      </c>
      <c r="AF356" s="148" t="s">
        <v>77</v>
      </c>
    </row>
    <row r="357" spans="1:32" ht="18" customHeight="1" x14ac:dyDescent="0.25">
      <c r="A357" s="294" t="str">
        <f>IF(B357=Reactivos_[[#This Row],[Cantidad LANIP]],"LANIP",IF(B357=Reactivos_[[#This Row],[Cantidad 
LDV]],"LDV",IF(B357=Reactivos_[[#This Row],[Cantidad LNDV]],"LNDV",IF(B357=Reactivos_[[#This Row],[GGCA]],"GGCA",IF(B357=Reactivos_[[#This Row],[Cantidad LDF]],"LDF",IF(Reactivos_[[#This Row],[Cantidad LDF&amp;MR]],"LDF&amp;MR",IF(B357=Reactivos_[[#This Row],[Cantidad RED LASE]],"LASE",IF(B357=Reactivos_[[#This Row],[Cantidad LANIA]],"LANIA",IF(B357=Reactivos_[[#This Row],[Cantidad SPA]],"SPA"," ")))))))))</f>
        <v>LANIP</v>
      </c>
      <c r="B35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57" s="325">
        <v>355</v>
      </c>
      <c r="D357" s="326">
        <v>493</v>
      </c>
      <c r="E357" s="327" t="s">
        <v>1056</v>
      </c>
      <c r="F357" s="244" t="s">
        <v>1057</v>
      </c>
      <c r="G357" s="327"/>
      <c r="H357" s="328" t="s">
        <v>1059</v>
      </c>
      <c r="I357" s="347" t="s">
        <v>1060</v>
      </c>
      <c r="J35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57" s="160">
        <v>1049234</v>
      </c>
      <c r="L357" s="160">
        <f>+Reactivos_[[#This Row],[Cantidad]]*Reactivos_[[#This Row],[Valor de referencia]]</f>
        <v>1049234</v>
      </c>
      <c r="M357" s="254">
        <v>1</v>
      </c>
      <c r="N357" s="255">
        <f>+Reactivos_[[#This Row],[Valor de referencia]]*Reactivos_[[#This Row],[Cantidad LANIP]]</f>
        <v>1049234</v>
      </c>
      <c r="O357" s="256"/>
      <c r="P357" s="255">
        <f>+Reactivos_[[#This Row],[Cantidad 
LDV]]*Reactivos_[[#This Row],[Valor de referencia]]</f>
        <v>0</v>
      </c>
      <c r="Q357" s="257"/>
      <c r="R357" s="255">
        <f>+Reactivos_[[#This Row],[Cantidad LNDV]]*Reactivos_[[#This Row],[Valor de referencia]]</f>
        <v>0</v>
      </c>
      <c r="S357" s="148"/>
      <c r="T357" s="255">
        <f>+Reactivos_[[#This Row],[GGCA]]*Reactivos_[[#This Row],[Valor de referencia]]</f>
        <v>0</v>
      </c>
      <c r="U357" s="254"/>
      <c r="V357" s="255">
        <f>+Reactivos_[[#This Row],[Cantidad LDF]]*Reactivos_[[#This Row],[Valor de referencia]]</f>
        <v>0</v>
      </c>
      <c r="W357" s="254"/>
      <c r="X357" s="255">
        <f>+Reactivos_[[#This Row],[Cantidad LDF&amp;MR]]*Reactivos_[[#This Row],[Valor de referencia]]</f>
        <v>0</v>
      </c>
      <c r="Y357" s="254"/>
      <c r="Z357" s="255">
        <f>+Reactivos_[[#This Row],[Cantidad RED LASE]]*Reactivos_[[#This Row],[Valor de referencia]]</f>
        <v>0</v>
      </c>
      <c r="AA357" s="254"/>
      <c r="AB357" s="255">
        <f>+Reactivos_[[#This Row],[Cantidad LANIA]]*Reactivos_[[#This Row],[Valor de referencia]]</f>
        <v>0</v>
      </c>
      <c r="AC357" s="254"/>
      <c r="AD357" s="255">
        <f>+Reactivos_[[#This Row],[Cantidad SPA]]*Reactivos_[[#This Row],[Valor de referencia]]</f>
        <v>0</v>
      </c>
      <c r="AE357" s="148" t="s">
        <v>76</v>
      </c>
      <c r="AF357" s="148" t="s">
        <v>77</v>
      </c>
    </row>
    <row r="358" spans="1:32" ht="38.25" x14ac:dyDescent="0.25">
      <c r="A358" s="294" t="str">
        <f>IF(B358=Reactivos_[[#This Row],[Cantidad LANIP]],"LANIP",IF(B358=Reactivos_[[#This Row],[Cantidad 
LDV]],"LDV",IF(B358=Reactivos_[[#This Row],[Cantidad LNDV]],"LNDV",IF(B358=Reactivos_[[#This Row],[GGCA]],"GGCA",IF(B358=Reactivos_[[#This Row],[Cantidad LDF]],"LDF",IF(Reactivos_[[#This Row],[Cantidad LDF&amp;MR]],"LDF&amp;MR",IF(B358=Reactivos_[[#This Row],[Cantidad RED LASE]],"LASE",IF(B358=Reactivos_[[#This Row],[Cantidad LANIA]],"LANIA",IF(B358=Reactivos_[[#This Row],[Cantidad SPA]],"SPA"," ")))))))))</f>
        <v>LANIP</v>
      </c>
      <c r="B35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58" s="325">
        <v>356</v>
      </c>
      <c r="D358" s="326">
        <v>494</v>
      </c>
      <c r="E358" s="327" t="s">
        <v>1056</v>
      </c>
      <c r="F358" s="244" t="s">
        <v>1057</v>
      </c>
      <c r="G358" s="327"/>
      <c r="H358" s="328" t="s">
        <v>1061</v>
      </c>
      <c r="I358" s="347" t="s">
        <v>855</v>
      </c>
      <c r="J35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58" s="160">
        <v>2965893</v>
      </c>
      <c r="L358" s="160">
        <f>+Reactivos_[[#This Row],[Cantidad]]*Reactivos_[[#This Row],[Valor de referencia]]</f>
        <v>2965893</v>
      </c>
      <c r="M358" s="254">
        <v>1</v>
      </c>
      <c r="N358" s="255">
        <f>+Reactivos_[[#This Row],[Valor de referencia]]*Reactivos_[[#This Row],[Cantidad LANIP]]</f>
        <v>2965893</v>
      </c>
      <c r="O358" s="256"/>
      <c r="P358" s="255">
        <f>+Reactivos_[[#This Row],[Cantidad 
LDV]]*Reactivos_[[#This Row],[Valor de referencia]]</f>
        <v>0</v>
      </c>
      <c r="Q358" s="257"/>
      <c r="R358" s="255">
        <f>+Reactivos_[[#This Row],[Cantidad LNDV]]*Reactivos_[[#This Row],[Valor de referencia]]</f>
        <v>0</v>
      </c>
      <c r="S358" s="148"/>
      <c r="T358" s="255">
        <f>+Reactivos_[[#This Row],[GGCA]]*Reactivos_[[#This Row],[Valor de referencia]]</f>
        <v>0</v>
      </c>
      <c r="U358" s="254"/>
      <c r="V358" s="255">
        <f>+Reactivos_[[#This Row],[Cantidad LDF]]*Reactivos_[[#This Row],[Valor de referencia]]</f>
        <v>0</v>
      </c>
      <c r="W358" s="254"/>
      <c r="X358" s="255">
        <f>+Reactivos_[[#This Row],[Cantidad LDF&amp;MR]]*Reactivos_[[#This Row],[Valor de referencia]]</f>
        <v>0</v>
      </c>
      <c r="Y358" s="254"/>
      <c r="Z358" s="255">
        <f>+Reactivos_[[#This Row],[Cantidad RED LASE]]*Reactivos_[[#This Row],[Valor de referencia]]</f>
        <v>0</v>
      </c>
      <c r="AA358" s="254"/>
      <c r="AB358" s="255">
        <f>+Reactivos_[[#This Row],[Cantidad LANIA]]*Reactivos_[[#This Row],[Valor de referencia]]</f>
        <v>0</v>
      </c>
      <c r="AC358" s="254"/>
      <c r="AD358" s="255">
        <f>+Reactivos_[[#This Row],[Cantidad SPA]]*Reactivos_[[#This Row],[Valor de referencia]]</f>
        <v>0</v>
      </c>
      <c r="AE358" s="148" t="s">
        <v>76</v>
      </c>
      <c r="AF358" s="148" t="s">
        <v>77</v>
      </c>
    </row>
    <row r="359" spans="1:32" ht="33.75" customHeight="1" x14ac:dyDescent="0.25">
      <c r="A359" s="294" t="str">
        <f>IF(B359=Reactivos_[[#This Row],[Cantidad LANIP]],"LANIP",IF(B359=Reactivos_[[#This Row],[Cantidad 
LDV]],"LDV",IF(B359=Reactivos_[[#This Row],[Cantidad LNDV]],"LNDV",IF(B359=Reactivos_[[#This Row],[GGCA]],"GGCA",IF(B359=Reactivos_[[#This Row],[Cantidad LDF]],"LDF",IF(Reactivos_[[#This Row],[Cantidad LDF&amp;MR]],"LDF&amp;MR",IF(B359=Reactivos_[[#This Row],[Cantidad RED LASE]],"LASE",IF(B359=Reactivos_[[#This Row],[Cantidad LANIA]],"LANIA",IF(B359=Reactivos_[[#This Row],[Cantidad SPA]],"SPA"," ")))))))))</f>
        <v>LANIP</v>
      </c>
      <c r="B35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59" s="325">
        <v>357</v>
      </c>
      <c r="D359" s="326">
        <v>495</v>
      </c>
      <c r="E359" s="327" t="s">
        <v>1062</v>
      </c>
      <c r="F359" s="244" t="s">
        <v>1063</v>
      </c>
      <c r="G359" s="327"/>
      <c r="H359" s="328" t="s">
        <v>1064</v>
      </c>
      <c r="I359" s="347" t="s">
        <v>892</v>
      </c>
      <c r="J35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59" s="160">
        <v>2132767</v>
      </c>
      <c r="L359" s="160">
        <f>+Reactivos_[[#This Row],[Cantidad]]*Reactivos_[[#This Row],[Valor de referencia]]</f>
        <v>2132767</v>
      </c>
      <c r="M359" s="254">
        <v>1</v>
      </c>
      <c r="N359" s="255">
        <f>+Reactivos_[[#This Row],[Valor de referencia]]*Reactivos_[[#This Row],[Cantidad LANIP]]</f>
        <v>2132767</v>
      </c>
      <c r="O359" s="256"/>
      <c r="P359" s="255">
        <f>+Reactivos_[[#This Row],[Cantidad 
LDV]]*Reactivos_[[#This Row],[Valor de referencia]]</f>
        <v>0</v>
      </c>
      <c r="Q359" s="257"/>
      <c r="R359" s="255">
        <f>+Reactivos_[[#This Row],[Cantidad LNDV]]*Reactivos_[[#This Row],[Valor de referencia]]</f>
        <v>0</v>
      </c>
      <c r="S359" s="148"/>
      <c r="T359" s="255">
        <f>+Reactivos_[[#This Row],[GGCA]]*Reactivos_[[#This Row],[Valor de referencia]]</f>
        <v>0</v>
      </c>
      <c r="U359" s="254"/>
      <c r="V359" s="255">
        <f>+Reactivos_[[#This Row],[Cantidad LDF]]*Reactivos_[[#This Row],[Valor de referencia]]</f>
        <v>0</v>
      </c>
      <c r="W359" s="254"/>
      <c r="X359" s="255">
        <f>+Reactivos_[[#This Row],[Cantidad LDF&amp;MR]]*Reactivos_[[#This Row],[Valor de referencia]]</f>
        <v>0</v>
      </c>
      <c r="Y359" s="254"/>
      <c r="Z359" s="255">
        <f>+Reactivos_[[#This Row],[Cantidad RED LASE]]*Reactivos_[[#This Row],[Valor de referencia]]</f>
        <v>0</v>
      </c>
      <c r="AA359" s="254"/>
      <c r="AB359" s="255">
        <f>+Reactivos_[[#This Row],[Cantidad LANIA]]*Reactivos_[[#This Row],[Valor de referencia]]</f>
        <v>0</v>
      </c>
      <c r="AC359" s="254"/>
      <c r="AD359" s="255">
        <f>+Reactivos_[[#This Row],[Cantidad SPA]]*Reactivos_[[#This Row],[Valor de referencia]]</f>
        <v>0</v>
      </c>
      <c r="AE359" s="148" t="s">
        <v>76</v>
      </c>
      <c r="AF359" s="148" t="s">
        <v>77</v>
      </c>
    </row>
    <row r="360" spans="1:32" ht="24.75" customHeight="1" x14ac:dyDescent="0.25">
      <c r="A360" s="294" t="str">
        <f>IF(B360=Reactivos_[[#This Row],[Cantidad LANIP]],"LANIP",IF(B360=Reactivos_[[#This Row],[Cantidad 
LDV]],"LDV",IF(B360=Reactivos_[[#This Row],[Cantidad LNDV]],"LNDV",IF(B360=Reactivos_[[#This Row],[GGCA]],"GGCA",IF(B360=Reactivos_[[#This Row],[Cantidad LDF]],"LDF",IF(Reactivos_[[#This Row],[Cantidad LDF&amp;MR]],"LDF&amp;MR",IF(B360=Reactivos_[[#This Row],[Cantidad RED LASE]],"LASE",IF(B360=Reactivos_[[#This Row],[Cantidad LANIA]],"LANIA",IF(B360=Reactivos_[[#This Row],[Cantidad SPA]],"SPA"," ")))))))))</f>
        <v>LANIP</v>
      </c>
      <c r="B36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60" s="325">
        <v>358</v>
      </c>
      <c r="D360" s="326">
        <v>496</v>
      </c>
      <c r="E360" s="327" t="s">
        <v>1062</v>
      </c>
      <c r="F360" s="244" t="s">
        <v>1063</v>
      </c>
      <c r="G360" s="327"/>
      <c r="H360" s="328" t="s">
        <v>1065</v>
      </c>
      <c r="I360" s="347" t="s">
        <v>1066</v>
      </c>
      <c r="J36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60" s="160">
        <v>1235656</v>
      </c>
      <c r="L360" s="160">
        <f>+Reactivos_[[#This Row],[Cantidad]]*Reactivos_[[#This Row],[Valor de referencia]]</f>
        <v>1235656</v>
      </c>
      <c r="M360" s="254">
        <v>1</v>
      </c>
      <c r="N360" s="255">
        <f>+Reactivos_[[#This Row],[Valor de referencia]]*Reactivos_[[#This Row],[Cantidad LANIP]]</f>
        <v>1235656</v>
      </c>
      <c r="O360" s="256"/>
      <c r="P360" s="255">
        <f>+Reactivos_[[#This Row],[Cantidad 
LDV]]*Reactivos_[[#This Row],[Valor de referencia]]</f>
        <v>0</v>
      </c>
      <c r="Q360" s="257"/>
      <c r="R360" s="255">
        <f>+Reactivos_[[#This Row],[Cantidad LNDV]]*Reactivos_[[#This Row],[Valor de referencia]]</f>
        <v>0</v>
      </c>
      <c r="S360" s="148"/>
      <c r="T360" s="255">
        <f>+Reactivos_[[#This Row],[GGCA]]*Reactivos_[[#This Row],[Valor de referencia]]</f>
        <v>0</v>
      </c>
      <c r="U360" s="254"/>
      <c r="V360" s="255">
        <f>+Reactivos_[[#This Row],[Cantidad LDF]]*Reactivos_[[#This Row],[Valor de referencia]]</f>
        <v>0</v>
      </c>
      <c r="W360" s="254"/>
      <c r="X360" s="255">
        <f>+Reactivos_[[#This Row],[Cantidad LDF&amp;MR]]*Reactivos_[[#This Row],[Valor de referencia]]</f>
        <v>0</v>
      </c>
      <c r="Y360" s="254"/>
      <c r="Z360" s="255">
        <f>+Reactivos_[[#This Row],[Cantidad RED LASE]]*Reactivos_[[#This Row],[Valor de referencia]]</f>
        <v>0</v>
      </c>
      <c r="AA360" s="254"/>
      <c r="AB360" s="255">
        <f>+Reactivos_[[#This Row],[Cantidad LANIA]]*Reactivos_[[#This Row],[Valor de referencia]]</f>
        <v>0</v>
      </c>
      <c r="AC360" s="254"/>
      <c r="AD360" s="255">
        <f>+Reactivos_[[#This Row],[Cantidad SPA]]*Reactivos_[[#This Row],[Valor de referencia]]</f>
        <v>0</v>
      </c>
      <c r="AE360" s="148" t="s">
        <v>76</v>
      </c>
      <c r="AF360" s="148" t="s">
        <v>77</v>
      </c>
    </row>
    <row r="361" spans="1:32" ht="33.75" customHeight="1" x14ac:dyDescent="0.25">
      <c r="A361" s="294" t="str">
        <f>IF(B361=Reactivos_[[#This Row],[Cantidad LANIP]],"LANIP",IF(B361=Reactivos_[[#This Row],[Cantidad 
LDV]],"LDV",IF(B361=Reactivos_[[#This Row],[Cantidad LNDV]],"LNDV",IF(B361=Reactivos_[[#This Row],[GGCA]],"GGCA",IF(B361=Reactivos_[[#This Row],[Cantidad LDF]],"LDF",IF(Reactivos_[[#This Row],[Cantidad LDF&amp;MR]],"LDF&amp;MR",IF(B361=Reactivos_[[#This Row],[Cantidad RED LASE]],"LASE",IF(B361=Reactivos_[[#This Row],[Cantidad LANIA]],"LANIA",IF(B361=Reactivos_[[#This Row],[Cantidad SPA]],"SPA"," ")))))))))</f>
        <v>LANIP</v>
      </c>
      <c r="B36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61" s="325">
        <v>359</v>
      </c>
      <c r="D361" s="326">
        <v>497</v>
      </c>
      <c r="E361" s="327" t="s">
        <v>1062</v>
      </c>
      <c r="F361" s="244" t="s">
        <v>1063</v>
      </c>
      <c r="G361" s="327"/>
      <c r="H361" s="328" t="s">
        <v>1067</v>
      </c>
      <c r="I361" s="347" t="s">
        <v>1068</v>
      </c>
      <c r="J36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61" s="160">
        <v>3030113</v>
      </c>
      <c r="L361" s="160">
        <f>+Reactivos_[[#This Row],[Cantidad]]*Reactivos_[[#This Row],[Valor de referencia]]</f>
        <v>3030113</v>
      </c>
      <c r="M361" s="254">
        <v>1</v>
      </c>
      <c r="N361" s="255">
        <f>+Reactivos_[[#This Row],[Valor de referencia]]*Reactivos_[[#This Row],[Cantidad LANIP]]</f>
        <v>3030113</v>
      </c>
      <c r="O361" s="256"/>
      <c r="P361" s="255">
        <f>+Reactivos_[[#This Row],[Cantidad 
LDV]]*Reactivos_[[#This Row],[Valor de referencia]]</f>
        <v>0</v>
      </c>
      <c r="Q361" s="257"/>
      <c r="R361" s="255">
        <f>+Reactivos_[[#This Row],[Cantidad LNDV]]*Reactivos_[[#This Row],[Valor de referencia]]</f>
        <v>0</v>
      </c>
      <c r="S361" s="148"/>
      <c r="T361" s="255">
        <f>+Reactivos_[[#This Row],[GGCA]]*Reactivos_[[#This Row],[Valor de referencia]]</f>
        <v>0</v>
      </c>
      <c r="U361" s="254"/>
      <c r="V361" s="255">
        <f>+Reactivos_[[#This Row],[Cantidad LDF]]*Reactivos_[[#This Row],[Valor de referencia]]</f>
        <v>0</v>
      </c>
      <c r="W361" s="254"/>
      <c r="X361" s="255">
        <f>+Reactivos_[[#This Row],[Cantidad LDF&amp;MR]]*Reactivos_[[#This Row],[Valor de referencia]]</f>
        <v>0</v>
      </c>
      <c r="Y361" s="254"/>
      <c r="Z361" s="255">
        <f>+Reactivos_[[#This Row],[Cantidad RED LASE]]*Reactivos_[[#This Row],[Valor de referencia]]</f>
        <v>0</v>
      </c>
      <c r="AA361" s="254"/>
      <c r="AB361" s="255">
        <f>+Reactivos_[[#This Row],[Cantidad LANIA]]*Reactivos_[[#This Row],[Valor de referencia]]</f>
        <v>0</v>
      </c>
      <c r="AC361" s="254"/>
      <c r="AD361" s="255">
        <f>+Reactivos_[[#This Row],[Cantidad SPA]]*Reactivos_[[#This Row],[Valor de referencia]]</f>
        <v>0</v>
      </c>
      <c r="AE361" s="148" t="s">
        <v>76</v>
      </c>
      <c r="AF361" s="148" t="s">
        <v>77</v>
      </c>
    </row>
    <row r="362" spans="1:32" ht="24.75" customHeight="1" x14ac:dyDescent="0.25">
      <c r="A362" s="294" t="str">
        <f>IF(B362=Reactivos_[[#This Row],[Cantidad LANIP]],"LANIP",IF(B362=Reactivos_[[#This Row],[Cantidad 
LDV]],"LDV",IF(B362=Reactivos_[[#This Row],[Cantidad LNDV]],"LNDV",IF(B362=Reactivos_[[#This Row],[GGCA]],"GGCA",IF(B362=Reactivos_[[#This Row],[Cantidad LDF]],"LDF",IF(Reactivos_[[#This Row],[Cantidad LDF&amp;MR]],"LDF&amp;MR",IF(B362=Reactivos_[[#This Row],[Cantidad RED LASE]],"LASE",IF(B362=Reactivos_[[#This Row],[Cantidad LANIA]],"LANIA",IF(B362=Reactivos_[[#This Row],[Cantidad SPA]],"SPA"," ")))))))))</f>
        <v>LANIP</v>
      </c>
      <c r="B36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62" s="325">
        <v>360</v>
      </c>
      <c r="D362" s="326">
        <v>502</v>
      </c>
      <c r="E362" s="327" t="s">
        <v>1069</v>
      </c>
      <c r="F362" s="244" t="s">
        <v>1070</v>
      </c>
      <c r="G362" s="327"/>
      <c r="H362" s="328" t="s">
        <v>1071</v>
      </c>
      <c r="I362" s="329" t="s">
        <v>888</v>
      </c>
      <c r="J36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62" s="160">
        <v>1646904</v>
      </c>
      <c r="L362" s="160">
        <f>+Reactivos_[[#This Row],[Cantidad]]*Reactivos_[[#This Row],[Valor de referencia]]</f>
        <v>1646904</v>
      </c>
      <c r="M362" s="254">
        <v>1</v>
      </c>
      <c r="N362" s="255">
        <f>+Reactivos_[[#This Row],[Valor de referencia]]*Reactivos_[[#This Row],[Cantidad LANIP]]</f>
        <v>1646904</v>
      </c>
      <c r="O362" s="256"/>
      <c r="P362" s="255">
        <f>+Reactivos_[[#This Row],[Cantidad 
LDV]]*Reactivos_[[#This Row],[Valor de referencia]]</f>
        <v>0</v>
      </c>
      <c r="Q362" s="257"/>
      <c r="R362" s="255">
        <f>+Reactivos_[[#This Row],[Cantidad LNDV]]*Reactivos_[[#This Row],[Valor de referencia]]</f>
        <v>0</v>
      </c>
      <c r="S362" s="148"/>
      <c r="T362" s="255">
        <f>+Reactivos_[[#This Row],[GGCA]]*Reactivos_[[#This Row],[Valor de referencia]]</f>
        <v>0</v>
      </c>
      <c r="U362" s="254"/>
      <c r="V362" s="255">
        <f>+Reactivos_[[#This Row],[Cantidad LDF]]*Reactivos_[[#This Row],[Valor de referencia]]</f>
        <v>0</v>
      </c>
      <c r="W362" s="254"/>
      <c r="X362" s="255">
        <f>+Reactivos_[[#This Row],[Cantidad LDF&amp;MR]]*Reactivos_[[#This Row],[Valor de referencia]]</f>
        <v>0</v>
      </c>
      <c r="Y362" s="254"/>
      <c r="Z362" s="255">
        <f>+Reactivos_[[#This Row],[Cantidad RED LASE]]*Reactivos_[[#This Row],[Valor de referencia]]</f>
        <v>0</v>
      </c>
      <c r="AA362" s="254"/>
      <c r="AB362" s="255">
        <f>+Reactivos_[[#This Row],[Cantidad LANIA]]*Reactivos_[[#This Row],[Valor de referencia]]</f>
        <v>0</v>
      </c>
      <c r="AC362" s="254"/>
      <c r="AD362" s="255">
        <f>+Reactivos_[[#This Row],[Cantidad SPA]]*Reactivos_[[#This Row],[Valor de referencia]]</f>
        <v>0</v>
      </c>
      <c r="AE362" s="148" t="s">
        <v>76</v>
      </c>
      <c r="AF362" s="148" t="s">
        <v>77</v>
      </c>
    </row>
    <row r="363" spans="1:32" ht="25.5" customHeight="1" x14ac:dyDescent="0.25">
      <c r="A363" s="294" t="str">
        <f>IF(B363=Reactivos_[[#This Row],[Cantidad LANIP]],"LANIP",IF(B363=Reactivos_[[#This Row],[Cantidad 
LDV]],"LDV",IF(B363=Reactivos_[[#This Row],[Cantidad LNDV]],"LNDV",IF(B363=Reactivos_[[#This Row],[GGCA]],"GGCA",IF(B363=Reactivos_[[#This Row],[Cantidad LDF]],"LDF",IF(Reactivos_[[#This Row],[Cantidad LDF&amp;MR]],"LDF&amp;MR",IF(B363=Reactivos_[[#This Row],[Cantidad RED LASE]],"LASE",IF(B363=Reactivos_[[#This Row],[Cantidad LANIA]],"LANIA",IF(B363=Reactivos_[[#This Row],[Cantidad SPA]],"SPA"," ")))))))))</f>
        <v>LANIP</v>
      </c>
      <c r="B36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63" s="325">
        <v>361</v>
      </c>
      <c r="D363" s="326">
        <v>503</v>
      </c>
      <c r="E363" s="327" t="s">
        <v>1069</v>
      </c>
      <c r="F363" s="244" t="s">
        <v>1072</v>
      </c>
      <c r="G363" s="327"/>
      <c r="H363" s="348" t="s">
        <v>1073</v>
      </c>
      <c r="I363" s="329" t="s">
        <v>1060</v>
      </c>
      <c r="J36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63" s="160">
        <v>863613</v>
      </c>
      <c r="L363" s="160">
        <f>+Reactivos_[[#This Row],[Cantidad]]*Reactivos_[[#This Row],[Valor de referencia]]</f>
        <v>863613</v>
      </c>
      <c r="M363" s="254">
        <v>1</v>
      </c>
      <c r="N363" s="255">
        <f>+Reactivos_[[#This Row],[Valor de referencia]]*Reactivos_[[#This Row],[Cantidad LANIP]]</f>
        <v>863613</v>
      </c>
      <c r="O363" s="256"/>
      <c r="P363" s="255">
        <f>+Reactivos_[[#This Row],[Cantidad 
LDV]]*Reactivos_[[#This Row],[Valor de referencia]]</f>
        <v>0</v>
      </c>
      <c r="Q363" s="257"/>
      <c r="R363" s="255">
        <f>+Reactivos_[[#This Row],[Cantidad LNDV]]*Reactivos_[[#This Row],[Valor de referencia]]</f>
        <v>0</v>
      </c>
      <c r="S363" s="148"/>
      <c r="T363" s="255">
        <f>+Reactivos_[[#This Row],[GGCA]]*Reactivos_[[#This Row],[Valor de referencia]]</f>
        <v>0</v>
      </c>
      <c r="U363" s="254"/>
      <c r="V363" s="255">
        <f>+Reactivos_[[#This Row],[Cantidad LDF]]*Reactivos_[[#This Row],[Valor de referencia]]</f>
        <v>0</v>
      </c>
      <c r="W363" s="254"/>
      <c r="X363" s="255">
        <f>+Reactivos_[[#This Row],[Cantidad LDF&amp;MR]]*Reactivos_[[#This Row],[Valor de referencia]]</f>
        <v>0</v>
      </c>
      <c r="Y363" s="254"/>
      <c r="Z363" s="255">
        <f>+Reactivos_[[#This Row],[Cantidad RED LASE]]*Reactivos_[[#This Row],[Valor de referencia]]</f>
        <v>0</v>
      </c>
      <c r="AA363" s="254"/>
      <c r="AB363" s="255">
        <f>+Reactivos_[[#This Row],[Cantidad LANIA]]*Reactivos_[[#This Row],[Valor de referencia]]</f>
        <v>0</v>
      </c>
      <c r="AC363" s="254"/>
      <c r="AD363" s="255">
        <f>+Reactivos_[[#This Row],[Cantidad SPA]]*Reactivos_[[#This Row],[Valor de referencia]]</f>
        <v>0</v>
      </c>
      <c r="AE363" s="148" t="s">
        <v>76</v>
      </c>
      <c r="AF363" s="148" t="s">
        <v>77</v>
      </c>
    </row>
    <row r="364" spans="1:32" ht="38.25" x14ac:dyDescent="0.25">
      <c r="A364" s="294" t="str">
        <f>IF(B364=Reactivos_[[#This Row],[Cantidad LANIP]],"LANIP",IF(B364=Reactivos_[[#This Row],[Cantidad 
LDV]],"LDV",IF(B364=Reactivos_[[#This Row],[Cantidad LNDV]],"LNDV",IF(B364=Reactivos_[[#This Row],[GGCA]],"GGCA",IF(B364=Reactivos_[[#This Row],[Cantidad LDF]],"LDF",IF(Reactivos_[[#This Row],[Cantidad LDF&amp;MR]],"LDF&amp;MR",IF(B364=Reactivos_[[#This Row],[Cantidad RED LASE]],"LASE",IF(B364=Reactivos_[[#This Row],[Cantidad LANIA]],"LANIA",IF(B364=Reactivos_[[#This Row],[Cantidad SPA]],"SPA"," ")))))))))</f>
        <v>LANIP</v>
      </c>
      <c r="B36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64" s="325">
        <v>362</v>
      </c>
      <c r="D364" s="326">
        <v>504</v>
      </c>
      <c r="E364" s="327" t="s">
        <v>1069</v>
      </c>
      <c r="F364" s="338" t="s">
        <v>1072</v>
      </c>
      <c r="G364" s="339"/>
      <c r="H364" s="328" t="s">
        <v>1074</v>
      </c>
      <c r="I364" s="364" t="s">
        <v>1075</v>
      </c>
      <c r="J36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64" s="160">
        <v>2840677</v>
      </c>
      <c r="L364" s="160">
        <f>+Reactivos_[[#This Row],[Cantidad]]*Reactivos_[[#This Row],[Valor de referencia]]</f>
        <v>2840677</v>
      </c>
      <c r="M364" s="254">
        <v>1</v>
      </c>
      <c r="N364" s="255">
        <f>+Reactivos_[[#This Row],[Valor de referencia]]*Reactivos_[[#This Row],[Cantidad LANIP]]</f>
        <v>2840677</v>
      </c>
      <c r="O364" s="256"/>
      <c r="P364" s="255">
        <f>+Reactivos_[[#This Row],[Cantidad 
LDV]]*Reactivos_[[#This Row],[Valor de referencia]]</f>
        <v>0</v>
      </c>
      <c r="Q364" s="257"/>
      <c r="R364" s="255">
        <f>+Reactivos_[[#This Row],[Cantidad LNDV]]*Reactivos_[[#This Row],[Valor de referencia]]</f>
        <v>0</v>
      </c>
      <c r="S364" s="148"/>
      <c r="T364" s="255">
        <f>+Reactivos_[[#This Row],[GGCA]]*Reactivos_[[#This Row],[Valor de referencia]]</f>
        <v>0</v>
      </c>
      <c r="U364" s="254"/>
      <c r="V364" s="255">
        <f>+Reactivos_[[#This Row],[Cantidad LDF]]*Reactivos_[[#This Row],[Valor de referencia]]</f>
        <v>0</v>
      </c>
      <c r="W364" s="254"/>
      <c r="X364" s="255">
        <f>+Reactivos_[[#This Row],[Cantidad LDF&amp;MR]]*Reactivos_[[#This Row],[Valor de referencia]]</f>
        <v>0</v>
      </c>
      <c r="Y364" s="254"/>
      <c r="Z364" s="255">
        <f>+Reactivos_[[#This Row],[Cantidad RED LASE]]*Reactivos_[[#This Row],[Valor de referencia]]</f>
        <v>0</v>
      </c>
      <c r="AA364" s="254"/>
      <c r="AB364" s="255">
        <f>+Reactivos_[[#This Row],[Cantidad LANIA]]*Reactivos_[[#This Row],[Valor de referencia]]</f>
        <v>0</v>
      </c>
      <c r="AC364" s="254"/>
      <c r="AD364" s="255">
        <f>+Reactivos_[[#This Row],[Cantidad SPA]]*Reactivos_[[#This Row],[Valor de referencia]]</f>
        <v>0</v>
      </c>
      <c r="AE364" s="148" t="s">
        <v>76</v>
      </c>
      <c r="AF364" s="148" t="s">
        <v>77</v>
      </c>
    </row>
    <row r="365" spans="1:32" ht="48.75" customHeight="1" x14ac:dyDescent="0.25">
      <c r="A365" s="294" t="str">
        <f>IF(B365=Reactivos_[[#This Row],[Cantidad LANIP]],"LANIP",IF(B365=Reactivos_[[#This Row],[Cantidad 
LDV]],"LDV",IF(B365=Reactivos_[[#This Row],[Cantidad LNDV]],"LNDV",IF(B365=Reactivos_[[#This Row],[GGCA]],"GGCA",IF(B365=Reactivos_[[#This Row],[Cantidad LDF]],"LDF",IF(Reactivos_[[#This Row],[Cantidad LDF&amp;MR]],"LDF&amp;MR",IF(B365=Reactivos_[[#This Row],[Cantidad RED LASE]],"LASE",IF(B365=Reactivos_[[#This Row],[Cantidad LANIA]],"LANIA",IF(B365=Reactivos_[[#This Row],[Cantidad SPA]],"SPA"," ")))))))))</f>
        <v>LANIP</v>
      </c>
      <c r="B36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65" s="325">
        <v>363</v>
      </c>
      <c r="D365" s="326">
        <v>506</v>
      </c>
      <c r="E365" s="327" t="s">
        <v>1076</v>
      </c>
      <c r="F365" s="244" t="s">
        <v>1077</v>
      </c>
      <c r="G365" s="327"/>
      <c r="H365" s="328" t="s">
        <v>1078</v>
      </c>
      <c r="I365" s="329" t="s">
        <v>888</v>
      </c>
      <c r="J36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65" s="160">
        <v>1670182</v>
      </c>
      <c r="L365" s="160">
        <f>+Reactivos_[[#This Row],[Cantidad]]*Reactivos_[[#This Row],[Valor de referencia]]</f>
        <v>1670182</v>
      </c>
      <c r="M365" s="254">
        <v>1</v>
      </c>
      <c r="N365" s="255">
        <f>+Reactivos_[[#This Row],[Valor de referencia]]*Reactivos_[[#This Row],[Cantidad LANIP]]</f>
        <v>1670182</v>
      </c>
      <c r="O365" s="256"/>
      <c r="P365" s="255">
        <f>+Reactivos_[[#This Row],[Cantidad 
LDV]]*Reactivos_[[#This Row],[Valor de referencia]]</f>
        <v>0</v>
      </c>
      <c r="Q365" s="257"/>
      <c r="R365" s="255">
        <f>+Reactivos_[[#This Row],[Cantidad LNDV]]*Reactivos_[[#This Row],[Valor de referencia]]</f>
        <v>0</v>
      </c>
      <c r="S365" s="148"/>
      <c r="T365" s="255">
        <f>+Reactivos_[[#This Row],[GGCA]]*Reactivos_[[#This Row],[Valor de referencia]]</f>
        <v>0</v>
      </c>
      <c r="U365" s="254"/>
      <c r="V365" s="255">
        <f>+Reactivos_[[#This Row],[Cantidad LDF]]*Reactivos_[[#This Row],[Valor de referencia]]</f>
        <v>0</v>
      </c>
      <c r="W365" s="254"/>
      <c r="X365" s="255">
        <f>+Reactivos_[[#This Row],[Cantidad LDF&amp;MR]]*Reactivos_[[#This Row],[Valor de referencia]]</f>
        <v>0</v>
      </c>
      <c r="Y365" s="254"/>
      <c r="Z365" s="255">
        <f>+Reactivos_[[#This Row],[Cantidad RED LASE]]*Reactivos_[[#This Row],[Valor de referencia]]</f>
        <v>0</v>
      </c>
      <c r="AA365" s="254"/>
      <c r="AB365" s="255">
        <f>+Reactivos_[[#This Row],[Cantidad LANIA]]*Reactivos_[[#This Row],[Valor de referencia]]</f>
        <v>0</v>
      </c>
      <c r="AC365" s="254"/>
      <c r="AD365" s="255">
        <f>+Reactivos_[[#This Row],[Cantidad SPA]]*Reactivos_[[#This Row],[Valor de referencia]]</f>
        <v>0</v>
      </c>
      <c r="AE365" s="148" t="s">
        <v>76</v>
      </c>
      <c r="AF365" s="148" t="s">
        <v>77</v>
      </c>
    </row>
    <row r="366" spans="1:32" ht="22.5" customHeight="1" x14ac:dyDescent="0.25">
      <c r="A366" s="294" t="str">
        <f>IF(B366=Reactivos_[[#This Row],[Cantidad LANIP]],"LANIP",IF(B366=Reactivos_[[#This Row],[Cantidad 
LDV]],"LDV",IF(B366=Reactivos_[[#This Row],[Cantidad LNDV]],"LNDV",IF(B366=Reactivos_[[#This Row],[GGCA]],"GGCA",IF(B366=Reactivos_[[#This Row],[Cantidad LDF]],"LDF",IF(Reactivos_[[#This Row],[Cantidad LDF&amp;MR]],"LDF&amp;MR",IF(B366=Reactivos_[[#This Row],[Cantidad RED LASE]],"LASE",IF(B366=Reactivos_[[#This Row],[Cantidad LANIA]],"LANIA",IF(B366=Reactivos_[[#This Row],[Cantidad SPA]],"SPA"," ")))))))))</f>
        <v>LANIP</v>
      </c>
      <c r="B36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366" s="325">
        <v>364</v>
      </c>
      <c r="D366" s="326">
        <v>507</v>
      </c>
      <c r="E366" s="327" t="s">
        <v>1076</v>
      </c>
      <c r="F366" s="244" t="s">
        <v>1077</v>
      </c>
      <c r="G366" s="327"/>
      <c r="H366" s="328" t="s">
        <v>1079</v>
      </c>
      <c r="I366" s="347" t="s">
        <v>1080</v>
      </c>
      <c r="J36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366" s="160">
        <v>997058</v>
      </c>
      <c r="L366" s="160">
        <f>+Reactivos_[[#This Row],[Cantidad]]*Reactivos_[[#This Row],[Valor de referencia]]</f>
        <v>1994116</v>
      </c>
      <c r="M366" s="254">
        <v>2</v>
      </c>
      <c r="N366" s="255">
        <f>+Reactivos_[[#This Row],[Valor de referencia]]*Reactivos_[[#This Row],[Cantidad LANIP]]</f>
        <v>1994116</v>
      </c>
      <c r="O366" s="256"/>
      <c r="P366" s="255">
        <f>+Reactivos_[[#This Row],[Cantidad 
LDV]]*Reactivos_[[#This Row],[Valor de referencia]]</f>
        <v>0</v>
      </c>
      <c r="Q366" s="257"/>
      <c r="R366" s="255">
        <f>+Reactivos_[[#This Row],[Cantidad LNDV]]*Reactivos_[[#This Row],[Valor de referencia]]</f>
        <v>0</v>
      </c>
      <c r="S366" s="148"/>
      <c r="T366" s="255">
        <f>+Reactivos_[[#This Row],[GGCA]]*Reactivos_[[#This Row],[Valor de referencia]]</f>
        <v>0</v>
      </c>
      <c r="U366" s="254"/>
      <c r="V366" s="255">
        <f>+Reactivos_[[#This Row],[Cantidad LDF]]*Reactivos_[[#This Row],[Valor de referencia]]</f>
        <v>0</v>
      </c>
      <c r="W366" s="254"/>
      <c r="X366" s="255">
        <f>+Reactivos_[[#This Row],[Cantidad LDF&amp;MR]]*Reactivos_[[#This Row],[Valor de referencia]]</f>
        <v>0</v>
      </c>
      <c r="Y366" s="254"/>
      <c r="Z366" s="255">
        <f>+Reactivos_[[#This Row],[Cantidad RED LASE]]*Reactivos_[[#This Row],[Valor de referencia]]</f>
        <v>0</v>
      </c>
      <c r="AA366" s="254"/>
      <c r="AB366" s="255">
        <f>+Reactivos_[[#This Row],[Cantidad LANIA]]*Reactivos_[[#This Row],[Valor de referencia]]</f>
        <v>0</v>
      </c>
      <c r="AC366" s="254"/>
      <c r="AD366" s="255">
        <f>+Reactivos_[[#This Row],[Cantidad SPA]]*Reactivos_[[#This Row],[Valor de referencia]]</f>
        <v>0</v>
      </c>
      <c r="AE366" s="148" t="s">
        <v>76</v>
      </c>
      <c r="AF366" s="148" t="s">
        <v>77</v>
      </c>
    </row>
    <row r="367" spans="1:32" ht="32.25" customHeight="1" x14ac:dyDescent="0.25">
      <c r="A367" s="294" t="str">
        <f>IF(B367=Reactivos_[[#This Row],[Cantidad LANIP]],"LANIP",IF(B367=Reactivos_[[#This Row],[Cantidad 
LDV]],"LDV",IF(B367=Reactivos_[[#This Row],[Cantidad LNDV]],"LNDV",IF(B367=Reactivos_[[#This Row],[GGCA]],"GGCA",IF(B367=Reactivos_[[#This Row],[Cantidad LDF]],"LDF",IF(Reactivos_[[#This Row],[Cantidad LDF&amp;MR]],"LDF&amp;MR",IF(B367=Reactivos_[[#This Row],[Cantidad RED LASE]],"LASE",IF(B367=Reactivos_[[#This Row],[Cantidad LANIA]],"LANIA",IF(B367=Reactivos_[[#This Row],[Cantidad SPA]],"SPA"," ")))))))))</f>
        <v>LANIP</v>
      </c>
      <c r="B36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67" s="325">
        <v>365</v>
      </c>
      <c r="D367" s="326">
        <v>508</v>
      </c>
      <c r="E367" s="327" t="s">
        <v>1076</v>
      </c>
      <c r="F367" s="244" t="s">
        <v>1077</v>
      </c>
      <c r="G367" s="327"/>
      <c r="H367" s="328" t="s">
        <v>1081</v>
      </c>
      <c r="I367" s="347" t="s">
        <v>1082</v>
      </c>
      <c r="J36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67" s="160">
        <v>2799105</v>
      </c>
      <c r="L367" s="160">
        <f>+Reactivos_[[#This Row],[Cantidad]]*Reactivos_[[#This Row],[Valor de referencia]]</f>
        <v>2799105</v>
      </c>
      <c r="M367" s="254">
        <v>1</v>
      </c>
      <c r="N367" s="255">
        <f>+Reactivos_[[#This Row],[Valor de referencia]]*Reactivos_[[#This Row],[Cantidad LANIP]]</f>
        <v>2799105</v>
      </c>
      <c r="O367" s="256"/>
      <c r="P367" s="255">
        <f>+Reactivos_[[#This Row],[Cantidad 
LDV]]*Reactivos_[[#This Row],[Valor de referencia]]</f>
        <v>0</v>
      </c>
      <c r="Q367" s="257"/>
      <c r="R367" s="255">
        <f>+Reactivos_[[#This Row],[Cantidad LNDV]]*Reactivos_[[#This Row],[Valor de referencia]]</f>
        <v>0</v>
      </c>
      <c r="S367" s="148"/>
      <c r="T367" s="255">
        <f>+Reactivos_[[#This Row],[GGCA]]*Reactivos_[[#This Row],[Valor de referencia]]</f>
        <v>0</v>
      </c>
      <c r="U367" s="254"/>
      <c r="V367" s="255">
        <f>+Reactivos_[[#This Row],[Cantidad LDF]]*Reactivos_[[#This Row],[Valor de referencia]]</f>
        <v>0</v>
      </c>
      <c r="W367" s="254"/>
      <c r="X367" s="255">
        <f>+Reactivos_[[#This Row],[Cantidad LDF&amp;MR]]*Reactivos_[[#This Row],[Valor de referencia]]</f>
        <v>0</v>
      </c>
      <c r="Y367" s="254"/>
      <c r="Z367" s="255">
        <f>+Reactivos_[[#This Row],[Cantidad RED LASE]]*Reactivos_[[#This Row],[Valor de referencia]]</f>
        <v>0</v>
      </c>
      <c r="AA367" s="254"/>
      <c r="AB367" s="255">
        <f>+Reactivos_[[#This Row],[Cantidad LANIA]]*Reactivos_[[#This Row],[Valor de referencia]]</f>
        <v>0</v>
      </c>
      <c r="AC367" s="254"/>
      <c r="AD367" s="255">
        <f>+Reactivos_[[#This Row],[Cantidad SPA]]*Reactivos_[[#This Row],[Valor de referencia]]</f>
        <v>0</v>
      </c>
      <c r="AE367" s="148" t="s">
        <v>76</v>
      </c>
      <c r="AF367" s="148" t="s">
        <v>77</v>
      </c>
    </row>
    <row r="368" spans="1:32" ht="25.5" x14ac:dyDescent="0.25">
      <c r="A368" s="294" t="str">
        <f>IF(B368=Reactivos_[[#This Row],[Cantidad LANIP]],"LANIP",IF(B368=Reactivos_[[#This Row],[Cantidad 
LDV]],"LDV",IF(B368=Reactivos_[[#This Row],[Cantidad LNDV]],"LNDV",IF(B368=Reactivos_[[#This Row],[GGCA]],"GGCA",IF(B368=Reactivos_[[#This Row],[Cantidad LDF]],"LDF",IF(Reactivos_[[#This Row],[Cantidad LDF&amp;MR]],"LDF&amp;MR",IF(B368=Reactivos_[[#This Row],[Cantidad RED LASE]],"LASE",IF(B368=Reactivos_[[#This Row],[Cantidad LANIA]],"LANIA",IF(B368=Reactivos_[[#This Row],[Cantidad SPA]],"SPA"," ")))))))))</f>
        <v>LANIP</v>
      </c>
      <c r="B36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68" s="325">
        <v>366</v>
      </c>
      <c r="D368" s="326">
        <v>512</v>
      </c>
      <c r="E368" s="327" t="s">
        <v>1083</v>
      </c>
      <c r="F368" s="244" t="s">
        <v>1084</v>
      </c>
      <c r="G368" s="327"/>
      <c r="H368" s="328" t="s">
        <v>1085</v>
      </c>
      <c r="I368" s="329" t="s">
        <v>1086</v>
      </c>
      <c r="J36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68" s="160">
        <v>3414239</v>
      </c>
      <c r="L368" s="160">
        <f>+Reactivos_[[#This Row],[Cantidad]]*Reactivos_[[#This Row],[Valor de referencia]]</f>
        <v>3414239</v>
      </c>
      <c r="M368" s="254">
        <v>1</v>
      </c>
      <c r="N368" s="255">
        <f>+Reactivos_[[#This Row],[Valor de referencia]]*Reactivos_[[#This Row],[Cantidad LANIP]]</f>
        <v>3414239</v>
      </c>
      <c r="O368" s="256"/>
      <c r="P368" s="255">
        <f>+Reactivos_[[#This Row],[Cantidad 
LDV]]*Reactivos_[[#This Row],[Valor de referencia]]</f>
        <v>0</v>
      </c>
      <c r="Q368" s="257"/>
      <c r="R368" s="255">
        <f>+Reactivos_[[#This Row],[Cantidad LNDV]]*Reactivos_[[#This Row],[Valor de referencia]]</f>
        <v>0</v>
      </c>
      <c r="S368" s="148"/>
      <c r="T368" s="255">
        <f>+Reactivos_[[#This Row],[GGCA]]*Reactivos_[[#This Row],[Valor de referencia]]</f>
        <v>0</v>
      </c>
      <c r="U368" s="254"/>
      <c r="V368" s="255">
        <f>+Reactivos_[[#This Row],[Cantidad LDF]]*Reactivos_[[#This Row],[Valor de referencia]]</f>
        <v>0</v>
      </c>
      <c r="W368" s="254"/>
      <c r="X368" s="255">
        <f>+Reactivos_[[#This Row],[Cantidad LDF&amp;MR]]*Reactivos_[[#This Row],[Valor de referencia]]</f>
        <v>0</v>
      </c>
      <c r="Y368" s="254"/>
      <c r="Z368" s="255">
        <f>+Reactivos_[[#This Row],[Cantidad RED LASE]]*Reactivos_[[#This Row],[Valor de referencia]]</f>
        <v>0</v>
      </c>
      <c r="AA368" s="254"/>
      <c r="AB368" s="255">
        <f>+Reactivos_[[#This Row],[Cantidad LANIA]]*Reactivos_[[#This Row],[Valor de referencia]]</f>
        <v>0</v>
      </c>
      <c r="AC368" s="254"/>
      <c r="AD368" s="255">
        <f>+Reactivos_[[#This Row],[Cantidad SPA]]*Reactivos_[[#This Row],[Valor de referencia]]</f>
        <v>0</v>
      </c>
      <c r="AE368" s="148" t="s">
        <v>76</v>
      </c>
      <c r="AF368" s="148" t="s">
        <v>77</v>
      </c>
    </row>
    <row r="369" spans="1:32" ht="38.25" x14ac:dyDescent="0.25">
      <c r="A369" s="294" t="str">
        <f>IF(B369=Reactivos_[[#This Row],[Cantidad LANIP]],"LANIP",IF(B369=Reactivos_[[#This Row],[Cantidad 
LDV]],"LDV",IF(B369=Reactivos_[[#This Row],[Cantidad LNDV]],"LNDV",IF(B369=Reactivos_[[#This Row],[GGCA]],"GGCA",IF(B369=Reactivos_[[#This Row],[Cantidad LDF]],"LDF",IF(Reactivos_[[#This Row],[Cantidad LDF&amp;MR]],"LDF&amp;MR",IF(B369=Reactivos_[[#This Row],[Cantidad RED LASE]],"LASE",IF(B369=Reactivos_[[#This Row],[Cantidad LANIA]],"LANIA",IF(B369=Reactivos_[[#This Row],[Cantidad SPA]],"SPA"," ")))))))))</f>
        <v>LANIA</v>
      </c>
      <c r="B36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369" s="325">
        <v>367</v>
      </c>
      <c r="D369" s="326">
        <v>516</v>
      </c>
      <c r="E369" s="245" t="s">
        <v>1087</v>
      </c>
      <c r="F369" s="244"/>
      <c r="G369" s="245"/>
      <c r="H369" s="346" t="s">
        <v>1088</v>
      </c>
      <c r="I369" s="334" t="s">
        <v>784</v>
      </c>
      <c r="J36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369" s="160">
        <v>5859335</v>
      </c>
      <c r="L369" s="160">
        <f>+Reactivos_[[#This Row],[Cantidad]]*Reactivos_[[#This Row],[Valor de referencia]]</f>
        <v>11718670</v>
      </c>
      <c r="M369" s="254">
        <v>0</v>
      </c>
      <c r="N369" s="255">
        <f>+Reactivos_[[#This Row],[Valor de referencia]]*Reactivos_[[#This Row],[Cantidad LANIP]]</f>
        <v>0</v>
      </c>
      <c r="O369" s="256"/>
      <c r="P369" s="255">
        <f>+Reactivos_[[#This Row],[Cantidad 
LDV]]*Reactivos_[[#This Row],[Valor de referencia]]</f>
        <v>0</v>
      </c>
      <c r="Q369" s="257"/>
      <c r="R369" s="255">
        <f>+Reactivos_[[#This Row],[Cantidad LNDV]]*Reactivos_[[#This Row],[Valor de referencia]]</f>
        <v>0</v>
      </c>
      <c r="S369" s="148"/>
      <c r="T369" s="255">
        <f>+Reactivos_[[#This Row],[GGCA]]*Reactivos_[[#This Row],[Valor de referencia]]</f>
        <v>0</v>
      </c>
      <c r="U369" s="254"/>
      <c r="V369" s="255">
        <f>+Reactivos_[[#This Row],[Cantidad LDF]]*Reactivos_[[#This Row],[Valor de referencia]]</f>
        <v>0</v>
      </c>
      <c r="W369" s="254"/>
      <c r="X369" s="255">
        <f>+Reactivos_[[#This Row],[Cantidad LDF&amp;MR]]*Reactivos_[[#This Row],[Valor de referencia]]</f>
        <v>0</v>
      </c>
      <c r="Y369" s="254"/>
      <c r="Z369" s="255">
        <f>+Reactivos_[[#This Row],[Cantidad RED LASE]]*Reactivos_[[#This Row],[Valor de referencia]]</f>
        <v>0</v>
      </c>
      <c r="AA369" s="254">
        <v>2</v>
      </c>
      <c r="AB369" s="255">
        <f>+Reactivos_[[#This Row],[Cantidad LANIA]]*Reactivos_[[#This Row],[Valor de referencia]]</f>
        <v>11718670</v>
      </c>
      <c r="AC369" s="254"/>
      <c r="AD369" s="255">
        <f>+Reactivos_[[#This Row],[Cantidad SPA]]*Reactivos_[[#This Row],[Valor de referencia]]</f>
        <v>0</v>
      </c>
      <c r="AE369" s="148" t="s">
        <v>76</v>
      </c>
      <c r="AF369" s="148" t="s">
        <v>77</v>
      </c>
    </row>
    <row r="370" spans="1:32" ht="28.5" customHeight="1" x14ac:dyDescent="0.25">
      <c r="A370" s="294" t="str">
        <f>IF(B370=Reactivos_[[#This Row],[Cantidad LANIP]],"LANIP",IF(B370=Reactivos_[[#This Row],[Cantidad 
LDV]],"LDV",IF(B370=Reactivos_[[#This Row],[Cantidad LNDV]],"LNDV",IF(B370=Reactivos_[[#This Row],[GGCA]],"GGCA",IF(B370=Reactivos_[[#This Row],[Cantidad LDF]],"LDF",IF(Reactivos_[[#This Row],[Cantidad LDF&amp;MR]],"LDF&amp;MR",IF(B370=Reactivos_[[#This Row],[Cantidad RED LASE]],"LASE",IF(B370=Reactivos_[[#This Row],[Cantidad LANIA]],"LANIA",IF(B370=Reactivos_[[#This Row],[Cantidad SPA]],"SPA"," ")))))))))</f>
        <v>LANIP</v>
      </c>
      <c r="B37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0" s="325">
        <v>368</v>
      </c>
      <c r="D370" s="326">
        <v>517</v>
      </c>
      <c r="E370" s="327" t="s">
        <v>1089</v>
      </c>
      <c r="F370" s="244" t="s">
        <v>1090</v>
      </c>
      <c r="G370" s="245"/>
      <c r="H370" s="346" t="s">
        <v>1091</v>
      </c>
      <c r="I370" s="336" t="s">
        <v>888</v>
      </c>
      <c r="J37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370" s="160">
        <v>3536799</v>
      </c>
      <c r="L370" s="160">
        <f>+Reactivos_[[#This Row],[Cantidad]]*Reactivos_[[#This Row],[Valor de referencia]]</f>
        <v>7073598</v>
      </c>
      <c r="M370" s="254">
        <v>1</v>
      </c>
      <c r="N370" s="255">
        <f>+Reactivos_[[#This Row],[Valor de referencia]]*Reactivos_[[#This Row],[Cantidad LANIP]]</f>
        <v>3536799</v>
      </c>
      <c r="O370" s="256"/>
      <c r="P370" s="255">
        <f>+Reactivos_[[#This Row],[Cantidad 
LDV]]*Reactivos_[[#This Row],[Valor de referencia]]</f>
        <v>0</v>
      </c>
      <c r="Q370" s="257"/>
      <c r="R370" s="255">
        <f>+Reactivos_[[#This Row],[Cantidad LNDV]]*Reactivos_[[#This Row],[Valor de referencia]]</f>
        <v>0</v>
      </c>
      <c r="S370" s="148"/>
      <c r="T370" s="255">
        <f>+Reactivos_[[#This Row],[GGCA]]*Reactivos_[[#This Row],[Valor de referencia]]</f>
        <v>0</v>
      </c>
      <c r="U370" s="254"/>
      <c r="V370" s="255">
        <f>+Reactivos_[[#This Row],[Cantidad LDF]]*Reactivos_[[#This Row],[Valor de referencia]]</f>
        <v>0</v>
      </c>
      <c r="W370" s="254"/>
      <c r="X370" s="255">
        <f>+Reactivos_[[#This Row],[Cantidad LDF&amp;MR]]*Reactivos_[[#This Row],[Valor de referencia]]</f>
        <v>0</v>
      </c>
      <c r="Y370" s="254"/>
      <c r="Z370" s="255">
        <f>+Reactivos_[[#This Row],[Cantidad RED LASE]]*Reactivos_[[#This Row],[Valor de referencia]]</f>
        <v>0</v>
      </c>
      <c r="AA370" s="254">
        <v>1</v>
      </c>
      <c r="AB370" s="255">
        <f>+Reactivos_[[#This Row],[Cantidad LANIA]]*Reactivos_[[#This Row],[Valor de referencia]]</f>
        <v>3536799</v>
      </c>
      <c r="AC370" s="254"/>
      <c r="AD370" s="255">
        <f>+Reactivos_[[#This Row],[Cantidad SPA]]*Reactivos_[[#This Row],[Valor de referencia]]</f>
        <v>0</v>
      </c>
      <c r="AE370" s="148" t="s">
        <v>76</v>
      </c>
      <c r="AF370" s="148" t="s">
        <v>77</v>
      </c>
    </row>
    <row r="371" spans="1:32" ht="28.5" customHeight="1" x14ac:dyDescent="0.25">
      <c r="A371" s="294" t="str">
        <f>IF(B371=Reactivos_[[#This Row],[Cantidad LANIP]],"LANIP",IF(B371=Reactivos_[[#This Row],[Cantidad 
LDV]],"LDV",IF(B371=Reactivos_[[#This Row],[Cantidad LNDV]],"LNDV",IF(B371=Reactivos_[[#This Row],[GGCA]],"GGCA",IF(B371=Reactivos_[[#This Row],[Cantidad LDF]],"LDF",IF(Reactivos_[[#This Row],[Cantidad LDF&amp;MR]],"LDF&amp;MR",IF(B371=Reactivos_[[#This Row],[Cantidad RED LASE]],"LASE",IF(B371=Reactivos_[[#This Row],[Cantidad LANIA]],"LANIA",IF(B371=Reactivos_[[#This Row],[Cantidad SPA]],"SPA"," ")))))))))</f>
        <v>LANIP</v>
      </c>
      <c r="B37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1" s="325">
        <v>369</v>
      </c>
      <c r="D371" s="326">
        <v>518</v>
      </c>
      <c r="E371" s="327" t="s">
        <v>1092</v>
      </c>
      <c r="F371" s="244" t="s">
        <v>1090</v>
      </c>
      <c r="G371" s="245"/>
      <c r="H371" s="346" t="s">
        <v>1093</v>
      </c>
      <c r="I371" s="336" t="s">
        <v>888</v>
      </c>
      <c r="J37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71" s="160">
        <v>1214871</v>
      </c>
      <c r="L371" s="160">
        <f>+Reactivos_[[#This Row],[Cantidad]]*Reactivos_[[#This Row],[Valor de referencia]]</f>
        <v>1214871</v>
      </c>
      <c r="M371" s="254">
        <v>1</v>
      </c>
      <c r="N371" s="255">
        <f>+Reactivos_[[#This Row],[Valor de referencia]]*Reactivos_[[#This Row],[Cantidad LANIP]]</f>
        <v>1214871</v>
      </c>
      <c r="O371" s="256"/>
      <c r="P371" s="255">
        <f>+Reactivos_[[#This Row],[Cantidad 
LDV]]*Reactivos_[[#This Row],[Valor de referencia]]</f>
        <v>0</v>
      </c>
      <c r="Q371" s="257"/>
      <c r="R371" s="255">
        <f>+Reactivos_[[#This Row],[Cantidad LNDV]]*Reactivos_[[#This Row],[Valor de referencia]]</f>
        <v>0</v>
      </c>
      <c r="S371" s="148"/>
      <c r="T371" s="255">
        <f>+Reactivos_[[#This Row],[GGCA]]*Reactivos_[[#This Row],[Valor de referencia]]</f>
        <v>0</v>
      </c>
      <c r="U371" s="254"/>
      <c r="V371" s="255">
        <f>+Reactivos_[[#This Row],[Cantidad LDF]]*Reactivos_[[#This Row],[Valor de referencia]]</f>
        <v>0</v>
      </c>
      <c r="W371" s="254"/>
      <c r="X371" s="255">
        <f>+Reactivos_[[#This Row],[Cantidad LDF&amp;MR]]*Reactivos_[[#This Row],[Valor de referencia]]</f>
        <v>0</v>
      </c>
      <c r="Y371" s="254"/>
      <c r="Z371" s="255">
        <f>+Reactivos_[[#This Row],[Cantidad RED LASE]]*Reactivos_[[#This Row],[Valor de referencia]]</f>
        <v>0</v>
      </c>
      <c r="AA371" s="254"/>
      <c r="AB371" s="255">
        <f>+Reactivos_[[#This Row],[Cantidad LANIA]]*Reactivos_[[#This Row],[Valor de referencia]]</f>
        <v>0</v>
      </c>
      <c r="AC371" s="254"/>
      <c r="AD371" s="255">
        <f>+Reactivos_[[#This Row],[Cantidad SPA]]*Reactivos_[[#This Row],[Valor de referencia]]</f>
        <v>0</v>
      </c>
      <c r="AE371" s="148" t="s">
        <v>76</v>
      </c>
      <c r="AF371" s="148" t="s">
        <v>77</v>
      </c>
    </row>
    <row r="372" spans="1:32" x14ac:dyDescent="0.25">
      <c r="A372" s="294" t="str">
        <f>IF(B372=Reactivos_[[#This Row],[Cantidad LANIP]],"LANIP",IF(B372=Reactivos_[[#This Row],[Cantidad 
LDV]],"LDV",IF(B372=Reactivos_[[#This Row],[Cantidad LNDV]],"LNDV",IF(B372=Reactivos_[[#This Row],[GGCA]],"GGCA",IF(B372=Reactivos_[[#This Row],[Cantidad LDF]],"LDF",IF(Reactivos_[[#This Row],[Cantidad LDF&amp;MR]],"LDF&amp;MR",IF(B372=Reactivos_[[#This Row],[Cantidad RED LASE]],"LASE",IF(B372=Reactivos_[[#This Row],[Cantidad LANIA]],"LANIA",IF(B372=Reactivos_[[#This Row],[Cantidad SPA]],"SPA"," ")))))))))</f>
        <v>LANIP</v>
      </c>
      <c r="B37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2" s="325">
        <v>370</v>
      </c>
      <c r="D372" s="326">
        <v>524</v>
      </c>
      <c r="E372" s="327" t="s">
        <v>1094</v>
      </c>
      <c r="F372" s="244" t="s">
        <v>1095</v>
      </c>
      <c r="G372" s="327"/>
      <c r="H372" s="348" t="s">
        <v>1096</v>
      </c>
      <c r="I372" s="329" t="s">
        <v>888</v>
      </c>
      <c r="J37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72" s="160">
        <v>1832354</v>
      </c>
      <c r="L372" s="160">
        <f>+Reactivos_[[#This Row],[Cantidad]]*Reactivos_[[#This Row],[Valor de referencia]]</f>
        <v>1832354</v>
      </c>
      <c r="M372" s="254">
        <v>1</v>
      </c>
      <c r="N372" s="255">
        <f>+Reactivos_[[#This Row],[Valor de referencia]]*Reactivos_[[#This Row],[Cantidad LANIP]]</f>
        <v>1832354</v>
      </c>
      <c r="O372" s="256"/>
      <c r="P372" s="255">
        <f>+Reactivos_[[#This Row],[Cantidad 
LDV]]*Reactivos_[[#This Row],[Valor de referencia]]</f>
        <v>0</v>
      </c>
      <c r="Q372" s="257"/>
      <c r="R372" s="255">
        <f>+Reactivos_[[#This Row],[Cantidad LNDV]]*Reactivos_[[#This Row],[Valor de referencia]]</f>
        <v>0</v>
      </c>
      <c r="S372" s="148"/>
      <c r="T372" s="255">
        <f>+Reactivos_[[#This Row],[GGCA]]*Reactivos_[[#This Row],[Valor de referencia]]</f>
        <v>0</v>
      </c>
      <c r="U372" s="254"/>
      <c r="V372" s="255">
        <f>+Reactivos_[[#This Row],[Cantidad LDF]]*Reactivos_[[#This Row],[Valor de referencia]]</f>
        <v>0</v>
      </c>
      <c r="W372" s="254"/>
      <c r="X372" s="255">
        <f>+Reactivos_[[#This Row],[Cantidad LDF&amp;MR]]*Reactivos_[[#This Row],[Valor de referencia]]</f>
        <v>0</v>
      </c>
      <c r="Y372" s="254"/>
      <c r="Z372" s="255">
        <f>+Reactivos_[[#This Row],[Cantidad RED LASE]]*Reactivos_[[#This Row],[Valor de referencia]]</f>
        <v>0</v>
      </c>
      <c r="AA372" s="254"/>
      <c r="AB372" s="255">
        <f>+Reactivos_[[#This Row],[Cantidad LANIA]]*Reactivos_[[#This Row],[Valor de referencia]]</f>
        <v>0</v>
      </c>
      <c r="AC372" s="254"/>
      <c r="AD372" s="255">
        <f>+Reactivos_[[#This Row],[Cantidad SPA]]*Reactivos_[[#This Row],[Valor de referencia]]</f>
        <v>0</v>
      </c>
      <c r="AE372" s="148" t="s">
        <v>76</v>
      </c>
      <c r="AF372" s="148" t="s">
        <v>77</v>
      </c>
    </row>
    <row r="373" spans="1:32" ht="22.5" customHeight="1" x14ac:dyDescent="0.25">
      <c r="A373" s="294" t="str">
        <f>IF(B373=Reactivos_[[#This Row],[Cantidad LANIP]],"LANIP",IF(B373=Reactivos_[[#This Row],[Cantidad 
LDV]],"LDV",IF(B373=Reactivos_[[#This Row],[Cantidad LNDV]],"LNDV",IF(B373=Reactivos_[[#This Row],[GGCA]],"GGCA",IF(B373=Reactivos_[[#This Row],[Cantidad LDF]],"LDF",IF(Reactivos_[[#This Row],[Cantidad LDF&amp;MR]],"LDF&amp;MR",IF(B373=Reactivos_[[#This Row],[Cantidad RED LASE]],"LASE",IF(B373=Reactivos_[[#This Row],[Cantidad LANIA]],"LANIA",IF(B373=Reactivos_[[#This Row],[Cantidad SPA]],"SPA"," ")))))))))</f>
        <v>LANIP</v>
      </c>
      <c r="B37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3" s="325">
        <v>371</v>
      </c>
      <c r="D373" s="326">
        <v>525</v>
      </c>
      <c r="E373" s="327" t="s">
        <v>1097</v>
      </c>
      <c r="F373" s="244"/>
      <c r="G373" s="327"/>
      <c r="H373" s="328" t="s">
        <v>1098</v>
      </c>
      <c r="I373" s="363" t="s">
        <v>1099</v>
      </c>
      <c r="J37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73" s="160">
        <v>968003</v>
      </c>
      <c r="L373" s="160">
        <f>+Reactivos_[[#This Row],[Cantidad]]*Reactivos_[[#This Row],[Valor de referencia]]</f>
        <v>968003</v>
      </c>
      <c r="M373" s="254">
        <v>1</v>
      </c>
      <c r="N373" s="255">
        <f>+Reactivos_[[#This Row],[Valor de referencia]]*Reactivos_[[#This Row],[Cantidad LANIP]]</f>
        <v>968003</v>
      </c>
      <c r="O373" s="256"/>
      <c r="P373" s="255">
        <f>+Reactivos_[[#This Row],[Cantidad 
LDV]]*Reactivos_[[#This Row],[Valor de referencia]]</f>
        <v>0</v>
      </c>
      <c r="Q373" s="257"/>
      <c r="R373" s="255">
        <f>+Reactivos_[[#This Row],[Cantidad LNDV]]*Reactivos_[[#This Row],[Valor de referencia]]</f>
        <v>0</v>
      </c>
      <c r="S373" s="148"/>
      <c r="T373" s="255">
        <f>+Reactivos_[[#This Row],[GGCA]]*Reactivos_[[#This Row],[Valor de referencia]]</f>
        <v>0</v>
      </c>
      <c r="U373" s="254"/>
      <c r="V373" s="255">
        <f>+Reactivos_[[#This Row],[Cantidad LDF]]*Reactivos_[[#This Row],[Valor de referencia]]</f>
        <v>0</v>
      </c>
      <c r="W373" s="254"/>
      <c r="X373" s="255">
        <f>+Reactivos_[[#This Row],[Cantidad LDF&amp;MR]]*Reactivos_[[#This Row],[Valor de referencia]]</f>
        <v>0</v>
      </c>
      <c r="Y373" s="254"/>
      <c r="Z373" s="255">
        <f>+Reactivos_[[#This Row],[Cantidad RED LASE]]*Reactivos_[[#This Row],[Valor de referencia]]</f>
        <v>0</v>
      </c>
      <c r="AA373" s="254"/>
      <c r="AB373" s="255">
        <f>+Reactivos_[[#This Row],[Cantidad LANIA]]*Reactivos_[[#This Row],[Valor de referencia]]</f>
        <v>0</v>
      </c>
      <c r="AC373" s="254"/>
      <c r="AD373" s="255">
        <f>+Reactivos_[[#This Row],[Cantidad SPA]]*Reactivos_[[#This Row],[Valor de referencia]]</f>
        <v>0</v>
      </c>
      <c r="AE373" s="148" t="s">
        <v>76</v>
      </c>
      <c r="AF373" s="148" t="s">
        <v>77</v>
      </c>
    </row>
    <row r="374" spans="1:32" ht="51" x14ac:dyDescent="0.25">
      <c r="A374" s="294" t="str">
        <f>IF(B374=Reactivos_[[#This Row],[Cantidad LANIP]],"LANIP",IF(B374=Reactivos_[[#This Row],[Cantidad 
LDV]],"LDV",IF(B374=Reactivos_[[#This Row],[Cantidad LNDV]],"LNDV",IF(B374=Reactivos_[[#This Row],[GGCA]],"GGCA",IF(B374=Reactivos_[[#This Row],[Cantidad LDF]],"LDF",IF(Reactivos_[[#This Row],[Cantidad LDF&amp;MR]],"LDF&amp;MR",IF(B374=Reactivos_[[#This Row],[Cantidad RED LASE]],"LASE",IF(B374=Reactivos_[[#This Row],[Cantidad LANIA]],"LANIA",IF(B374=Reactivos_[[#This Row],[Cantidad SPA]],"SPA"," ")))))))))</f>
        <v>LANIP</v>
      </c>
      <c r="B37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4" s="325">
        <v>372</v>
      </c>
      <c r="D374" s="326">
        <v>526</v>
      </c>
      <c r="E374" s="327" t="s">
        <v>1100</v>
      </c>
      <c r="F374" s="244" t="s">
        <v>1101</v>
      </c>
      <c r="G374" s="245"/>
      <c r="H374" s="346" t="s">
        <v>1102</v>
      </c>
      <c r="I374" s="336" t="s">
        <v>892</v>
      </c>
      <c r="J37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74" s="160">
        <v>1763342</v>
      </c>
      <c r="L374" s="160">
        <f>+Reactivos_[[#This Row],[Cantidad]]*Reactivos_[[#This Row],[Valor de referencia]]</f>
        <v>1763342</v>
      </c>
      <c r="M374" s="254">
        <v>1</v>
      </c>
      <c r="N374" s="255">
        <f>+Reactivos_[[#This Row],[Valor de referencia]]*Reactivos_[[#This Row],[Cantidad LANIP]]</f>
        <v>1763342</v>
      </c>
      <c r="O374" s="256"/>
      <c r="P374" s="255">
        <f>+Reactivos_[[#This Row],[Cantidad 
LDV]]*Reactivos_[[#This Row],[Valor de referencia]]</f>
        <v>0</v>
      </c>
      <c r="Q374" s="257"/>
      <c r="R374" s="255">
        <f>+Reactivos_[[#This Row],[Cantidad LNDV]]*Reactivos_[[#This Row],[Valor de referencia]]</f>
        <v>0</v>
      </c>
      <c r="S374" s="148"/>
      <c r="T374" s="255">
        <f>+Reactivos_[[#This Row],[GGCA]]*Reactivos_[[#This Row],[Valor de referencia]]</f>
        <v>0</v>
      </c>
      <c r="U374" s="254"/>
      <c r="V374" s="255">
        <f>+Reactivos_[[#This Row],[Cantidad LDF]]*Reactivos_[[#This Row],[Valor de referencia]]</f>
        <v>0</v>
      </c>
      <c r="W374" s="254"/>
      <c r="X374" s="255">
        <f>+Reactivos_[[#This Row],[Cantidad LDF&amp;MR]]*Reactivos_[[#This Row],[Valor de referencia]]</f>
        <v>0</v>
      </c>
      <c r="Y374" s="254"/>
      <c r="Z374" s="255">
        <f>+Reactivos_[[#This Row],[Cantidad RED LASE]]*Reactivos_[[#This Row],[Valor de referencia]]</f>
        <v>0</v>
      </c>
      <c r="AA374" s="254"/>
      <c r="AB374" s="255">
        <f>+Reactivos_[[#This Row],[Cantidad LANIA]]*Reactivos_[[#This Row],[Valor de referencia]]</f>
        <v>0</v>
      </c>
      <c r="AC374" s="254"/>
      <c r="AD374" s="255">
        <f>+Reactivos_[[#This Row],[Cantidad SPA]]*Reactivos_[[#This Row],[Valor de referencia]]</f>
        <v>0</v>
      </c>
      <c r="AE374" s="148" t="s">
        <v>76</v>
      </c>
      <c r="AF374" s="148" t="s">
        <v>77</v>
      </c>
    </row>
    <row r="375" spans="1:32" ht="45" customHeight="1" x14ac:dyDescent="0.25">
      <c r="A375" s="294" t="str">
        <f>IF(B375=Reactivos_[[#This Row],[Cantidad LANIP]],"LANIP",IF(B375=Reactivos_[[#This Row],[Cantidad 
LDV]],"LDV",IF(B375=Reactivos_[[#This Row],[Cantidad LNDV]],"LNDV",IF(B375=Reactivos_[[#This Row],[GGCA]],"GGCA",IF(B375=Reactivos_[[#This Row],[Cantidad LDF]],"LDF",IF(Reactivos_[[#This Row],[Cantidad LDF&amp;MR]],"LDF&amp;MR",IF(B375=Reactivos_[[#This Row],[Cantidad RED LASE]],"LASE",IF(B375=Reactivos_[[#This Row],[Cantidad LANIA]],"LANIA",IF(B375=Reactivos_[[#This Row],[Cantidad SPA]],"SPA"," ")))))))))</f>
        <v>LANIP</v>
      </c>
      <c r="B37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5" s="325">
        <v>373</v>
      </c>
      <c r="D375" s="326">
        <v>527</v>
      </c>
      <c r="E375" s="327" t="s">
        <v>1100</v>
      </c>
      <c r="F375" s="244" t="s">
        <v>1101</v>
      </c>
      <c r="G375" s="245"/>
      <c r="H375" s="346" t="s">
        <v>1103</v>
      </c>
      <c r="I375" s="336" t="s">
        <v>1060</v>
      </c>
      <c r="J37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75" s="160">
        <v>797022</v>
      </c>
      <c r="L375" s="160">
        <f>+Reactivos_[[#This Row],[Cantidad]]*Reactivos_[[#This Row],[Valor de referencia]]</f>
        <v>797022</v>
      </c>
      <c r="M375" s="254">
        <v>1</v>
      </c>
      <c r="N375" s="255">
        <f>+Reactivos_[[#This Row],[Valor de referencia]]*Reactivos_[[#This Row],[Cantidad LANIP]]</f>
        <v>797022</v>
      </c>
      <c r="O375" s="256"/>
      <c r="P375" s="255">
        <f>+Reactivos_[[#This Row],[Cantidad 
LDV]]*Reactivos_[[#This Row],[Valor de referencia]]</f>
        <v>0</v>
      </c>
      <c r="Q375" s="257"/>
      <c r="R375" s="255">
        <f>+Reactivos_[[#This Row],[Cantidad LNDV]]*Reactivos_[[#This Row],[Valor de referencia]]</f>
        <v>0</v>
      </c>
      <c r="S375" s="148"/>
      <c r="T375" s="255">
        <f>+Reactivos_[[#This Row],[GGCA]]*Reactivos_[[#This Row],[Valor de referencia]]</f>
        <v>0</v>
      </c>
      <c r="U375" s="254"/>
      <c r="V375" s="255">
        <f>+Reactivos_[[#This Row],[Cantidad LDF]]*Reactivos_[[#This Row],[Valor de referencia]]</f>
        <v>0</v>
      </c>
      <c r="W375" s="254"/>
      <c r="X375" s="255">
        <f>+Reactivos_[[#This Row],[Cantidad LDF&amp;MR]]*Reactivos_[[#This Row],[Valor de referencia]]</f>
        <v>0</v>
      </c>
      <c r="Y375" s="254"/>
      <c r="Z375" s="255">
        <f>+Reactivos_[[#This Row],[Cantidad RED LASE]]*Reactivos_[[#This Row],[Valor de referencia]]</f>
        <v>0</v>
      </c>
      <c r="AA375" s="254"/>
      <c r="AB375" s="255">
        <f>+Reactivos_[[#This Row],[Cantidad LANIA]]*Reactivos_[[#This Row],[Valor de referencia]]</f>
        <v>0</v>
      </c>
      <c r="AC375" s="254"/>
      <c r="AD375" s="255">
        <f>+Reactivos_[[#This Row],[Cantidad SPA]]*Reactivos_[[#This Row],[Valor de referencia]]</f>
        <v>0</v>
      </c>
      <c r="AE375" s="148" t="s">
        <v>76</v>
      </c>
      <c r="AF375" s="148" t="s">
        <v>77</v>
      </c>
    </row>
    <row r="376" spans="1:32" ht="51" x14ac:dyDescent="0.25">
      <c r="A376" s="294" t="str">
        <f>IF(B376=Reactivos_[[#This Row],[Cantidad LANIP]],"LANIP",IF(B376=Reactivos_[[#This Row],[Cantidad 
LDV]],"LDV",IF(B376=Reactivos_[[#This Row],[Cantidad LNDV]],"LNDV",IF(B376=Reactivos_[[#This Row],[GGCA]],"GGCA",IF(B376=Reactivos_[[#This Row],[Cantidad LDF]],"LDF",IF(Reactivos_[[#This Row],[Cantidad LDF&amp;MR]],"LDF&amp;MR",IF(B376=Reactivos_[[#This Row],[Cantidad RED LASE]],"LASE",IF(B376=Reactivos_[[#This Row],[Cantidad LANIA]],"LANIA",IF(B376=Reactivos_[[#This Row],[Cantidad SPA]],"SPA"," ")))))))))</f>
        <v>LANIP</v>
      </c>
      <c r="B37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6" s="325">
        <v>374</v>
      </c>
      <c r="D376" s="326">
        <v>528</v>
      </c>
      <c r="E376" s="327" t="s">
        <v>1100</v>
      </c>
      <c r="F376" s="244" t="s">
        <v>1101</v>
      </c>
      <c r="G376" s="245"/>
      <c r="H376" s="346" t="s">
        <v>1104</v>
      </c>
      <c r="I376" s="353" t="s">
        <v>855</v>
      </c>
      <c r="J37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76" s="160">
        <v>3346399</v>
      </c>
      <c r="L376" s="160">
        <f>+Reactivos_[[#This Row],[Cantidad]]*Reactivos_[[#This Row],[Valor de referencia]]</f>
        <v>3346399</v>
      </c>
      <c r="M376" s="254">
        <v>1</v>
      </c>
      <c r="N376" s="255">
        <f>+Reactivos_[[#This Row],[Valor de referencia]]*Reactivos_[[#This Row],[Cantidad LANIP]]</f>
        <v>3346399</v>
      </c>
      <c r="O376" s="256"/>
      <c r="P376" s="255">
        <f>+Reactivos_[[#This Row],[Cantidad 
LDV]]*Reactivos_[[#This Row],[Valor de referencia]]</f>
        <v>0</v>
      </c>
      <c r="Q376" s="257"/>
      <c r="R376" s="255">
        <f>+Reactivos_[[#This Row],[Cantidad LNDV]]*Reactivos_[[#This Row],[Valor de referencia]]</f>
        <v>0</v>
      </c>
      <c r="S376" s="148"/>
      <c r="T376" s="255">
        <f>+Reactivos_[[#This Row],[GGCA]]*Reactivos_[[#This Row],[Valor de referencia]]</f>
        <v>0</v>
      </c>
      <c r="U376" s="254"/>
      <c r="V376" s="255">
        <f>+Reactivos_[[#This Row],[Cantidad LDF]]*Reactivos_[[#This Row],[Valor de referencia]]</f>
        <v>0</v>
      </c>
      <c r="W376" s="254"/>
      <c r="X376" s="255">
        <f>+Reactivos_[[#This Row],[Cantidad LDF&amp;MR]]*Reactivos_[[#This Row],[Valor de referencia]]</f>
        <v>0</v>
      </c>
      <c r="Y376" s="254"/>
      <c r="Z376" s="255">
        <f>+Reactivos_[[#This Row],[Cantidad RED LASE]]*Reactivos_[[#This Row],[Valor de referencia]]</f>
        <v>0</v>
      </c>
      <c r="AA376" s="254"/>
      <c r="AB376" s="255">
        <f>+Reactivos_[[#This Row],[Cantidad LANIA]]*Reactivos_[[#This Row],[Valor de referencia]]</f>
        <v>0</v>
      </c>
      <c r="AC376" s="254"/>
      <c r="AD376" s="255">
        <f>+Reactivos_[[#This Row],[Cantidad SPA]]*Reactivos_[[#This Row],[Valor de referencia]]</f>
        <v>0</v>
      </c>
      <c r="AE376" s="148" t="s">
        <v>76</v>
      </c>
      <c r="AF376" s="148" t="s">
        <v>77</v>
      </c>
    </row>
    <row r="377" spans="1:32" ht="38.25" x14ac:dyDescent="0.25">
      <c r="A377" s="294" t="str">
        <f>IF(B377=Reactivos_[[#This Row],[Cantidad LANIP]],"LANIP",IF(B377=Reactivos_[[#This Row],[Cantidad 
LDV]],"LDV",IF(B377=Reactivos_[[#This Row],[Cantidad LNDV]],"LNDV",IF(B377=Reactivos_[[#This Row],[GGCA]],"GGCA",IF(B377=Reactivos_[[#This Row],[Cantidad LDF]],"LDF",IF(Reactivos_[[#This Row],[Cantidad LDF&amp;MR]],"LDF&amp;MR",IF(B377=Reactivos_[[#This Row],[Cantidad RED LASE]],"LASE",IF(B377=Reactivos_[[#This Row],[Cantidad LANIA]],"LANIA",IF(B377=Reactivos_[[#This Row],[Cantidad SPA]],"SPA"," ")))))))))</f>
        <v>LANIP</v>
      </c>
      <c r="B37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7" s="325">
        <v>375</v>
      </c>
      <c r="D377" s="326">
        <v>532</v>
      </c>
      <c r="E377" s="327" t="s">
        <v>1105</v>
      </c>
      <c r="F377" s="244" t="s">
        <v>1106</v>
      </c>
      <c r="G377" s="327"/>
      <c r="H377" s="328" t="s">
        <v>1107</v>
      </c>
      <c r="I377" s="334" t="s">
        <v>1108</v>
      </c>
      <c r="J37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77" s="160">
        <v>1670194</v>
      </c>
      <c r="L377" s="160">
        <f>+Reactivos_[[#This Row],[Cantidad]]*Reactivos_[[#This Row],[Valor de referencia]]</f>
        <v>1670194</v>
      </c>
      <c r="M377" s="254">
        <v>1</v>
      </c>
      <c r="N377" s="255">
        <f>+Reactivos_[[#This Row],[Valor de referencia]]*Reactivos_[[#This Row],[Cantidad LANIP]]</f>
        <v>1670194</v>
      </c>
      <c r="O377" s="256"/>
      <c r="P377" s="255">
        <f>+Reactivos_[[#This Row],[Cantidad 
LDV]]*Reactivos_[[#This Row],[Valor de referencia]]</f>
        <v>0</v>
      </c>
      <c r="Q377" s="257"/>
      <c r="R377" s="255">
        <f>+Reactivos_[[#This Row],[Cantidad LNDV]]*Reactivos_[[#This Row],[Valor de referencia]]</f>
        <v>0</v>
      </c>
      <c r="S377" s="148"/>
      <c r="T377" s="255">
        <f>+Reactivos_[[#This Row],[GGCA]]*Reactivos_[[#This Row],[Valor de referencia]]</f>
        <v>0</v>
      </c>
      <c r="U377" s="254"/>
      <c r="V377" s="255">
        <f>+Reactivos_[[#This Row],[Cantidad LDF]]*Reactivos_[[#This Row],[Valor de referencia]]</f>
        <v>0</v>
      </c>
      <c r="W377" s="254"/>
      <c r="X377" s="255">
        <f>+Reactivos_[[#This Row],[Cantidad LDF&amp;MR]]*Reactivos_[[#This Row],[Valor de referencia]]</f>
        <v>0</v>
      </c>
      <c r="Y377" s="254"/>
      <c r="Z377" s="255">
        <f>+Reactivos_[[#This Row],[Cantidad RED LASE]]*Reactivos_[[#This Row],[Valor de referencia]]</f>
        <v>0</v>
      </c>
      <c r="AA377" s="254"/>
      <c r="AB377" s="255">
        <f>+Reactivos_[[#This Row],[Cantidad LANIA]]*Reactivos_[[#This Row],[Valor de referencia]]</f>
        <v>0</v>
      </c>
      <c r="AC377" s="254"/>
      <c r="AD377" s="255">
        <f>+Reactivos_[[#This Row],[Cantidad SPA]]*Reactivos_[[#This Row],[Valor de referencia]]</f>
        <v>0</v>
      </c>
      <c r="AE377" s="148" t="s">
        <v>76</v>
      </c>
      <c r="AF377" s="148" t="s">
        <v>77</v>
      </c>
    </row>
    <row r="378" spans="1:32" ht="22.5" customHeight="1" x14ac:dyDescent="0.25">
      <c r="A378" s="294" t="str">
        <f>IF(B378=Reactivos_[[#This Row],[Cantidad LANIP]],"LANIP",IF(B378=Reactivos_[[#This Row],[Cantidad 
LDV]],"LDV",IF(B378=Reactivos_[[#This Row],[Cantidad LNDV]],"LNDV",IF(B378=Reactivos_[[#This Row],[GGCA]],"GGCA",IF(B378=Reactivos_[[#This Row],[Cantidad LDF]],"LDF",IF(Reactivos_[[#This Row],[Cantidad LDF&amp;MR]],"LDF&amp;MR",IF(B378=Reactivos_[[#This Row],[Cantidad RED LASE]],"LASE",IF(B378=Reactivos_[[#This Row],[Cantidad LANIA]],"LANIA",IF(B378=Reactivos_[[#This Row],[Cantidad SPA]],"SPA"," ")))))))))</f>
        <v>LANIP</v>
      </c>
      <c r="B37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8" s="325">
        <v>376</v>
      </c>
      <c r="D378" s="326">
        <v>533</v>
      </c>
      <c r="E378" s="327" t="s">
        <v>1105</v>
      </c>
      <c r="F378" s="244" t="s">
        <v>1106</v>
      </c>
      <c r="G378" s="327"/>
      <c r="H378" s="328" t="s">
        <v>1109</v>
      </c>
      <c r="I378" s="362" t="s">
        <v>855</v>
      </c>
      <c r="J37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78" s="160">
        <v>2966241</v>
      </c>
      <c r="L378" s="160">
        <f>+Reactivos_[[#This Row],[Cantidad]]*Reactivos_[[#This Row],[Valor de referencia]]</f>
        <v>2966241</v>
      </c>
      <c r="M378" s="254">
        <v>1</v>
      </c>
      <c r="N378" s="255">
        <f>+Reactivos_[[#This Row],[Valor de referencia]]*Reactivos_[[#This Row],[Cantidad LANIP]]</f>
        <v>2966241</v>
      </c>
      <c r="O378" s="256"/>
      <c r="P378" s="255">
        <f>+Reactivos_[[#This Row],[Cantidad 
LDV]]*Reactivos_[[#This Row],[Valor de referencia]]</f>
        <v>0</v>
      </c>
      <c r="Q378" s="257"/>
      <c r="R378" s="255">
        <f>+Reactivos_[[#This Row],[Cantidad LNDV]]*Reactivos_[[#This Row],[Valor de referencia]]</f>
        <v>0</v>
      </c>
      <c r="S378" s="148"/>
      <c r="T378" s="255">
        <f>+Reactivos_[[#This Row],[GGCA]]*Reactivos_[[#This Row],[Valor de referencia]]</f>
        <v>0</v>
      </c>
      <c r="U378" s="254"/>
      <c r="V378" s="255">
        <f>+Reactivos_[[#This Row],[Cantidad LDF]]*Reactivos_[[#This Row],[Valor de referencia]]</f>
        <v>0</v>
      </c>
      <c r="W378" s="254"/>
      <c r="X378" s="255">
        <f>+Reactivos_[[#This Row],[Cantidad LDF&amp;MR]]*Reactivos_[[#This Row],[Valor de referencia]]</f>
        <v>0</v>
      </c>
      <c r="Y378" s="254"/>
      <c r="Z378" s="255">
        <f>+Reactivos_[[#This Row],[Cantidad RED LASE]]*Reactivos_[[#This Row],[Valor de referencia]]</f>
        <v>0</v>
      </c>
      <c r="AA378" s="254"/>
      <c r="AB378" s="255">
        <f>+Reactivos_[[#This Row],[Cantidad LANIA]]*Reactivos_[[#This Row],[Valor de referencia]]</f>
        <v>0</v>
      </c>
      <c r="AC378" s="254"/>
      <c r="AD378" s="255">
        <f>+Reactivos_[[#This Row],[Cantidad SPA]]*Reactivos_[[#This Row],[Valor de referencia]]</f>
        <v>0</v>
      </c>
      <c r="AE378" s="148" t="s">
        <v>76</v>
      </c>
      <c r="AF378" s="148" t="s">
        <v>77</v>
      </c>
    </row>
    <row r="379" spans="1:32" ht="33.75" customHeight="1" x14ac:dyDescent="0.25">
      <c r="A379" s="294" t="str">
        <f>IF(B379=Reactivos_[[#This Row],[Cantidad LANIP]],"LANIP",IF(B379=Reactivos_[[#This Row],[Cantidad 
LDV]],"LDV",IF(B379=Reactivos_[[#This Row],[Cantidad LNDV]],"LNDV",IF(B379=Reactivos_[[#This Row],[GGCA]],"GGCA",IF(B379=Reactivos_[[#This Row],[Cantidad LDF]],"LDF",IF(Reactivos_[[#This Row],[Cantidad LDF&amp;MR]],"LDF&amp;MR",IF(B379=Reactivos_[[#This Row],[Cantidad RED LASE]],"LASE",IF(B379=Reactivos_[[#This Row],[Cantidad LANIA]],"LANIA",IF(B379=Reactivos_[[#This Row],[Cantidad SPA]],"SPA"," ")))))))))</f>
        <v>LANIP</v>
      </c>
      <c r="B37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79" s="325">
        <v>377</v>
      </c>
      <c r="D379" s="326">
        <v>535</v>
      </c>
      <c r="E379" s="327" t="s">
        <v>1110</v>
      </c>
      <c r="F379" s="244" t="s">
        <v>1111</v>
      </c>
      <c r="G379" s="327"/>
      <c r="H379" s="417" t="s">
        <v>1112</v>
      </c>
      <c r="I379" s="334" t="s">
        <v>1113</v>
      </c>
      <c r="J37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79" s="160">
        <v>1721087</v>
      </c>
      <c r="L379" s="160">
        <f>+Reactivos_[[#This Row],[Cantidad]]*Reactivos_[[#This Row],[Valor de referencia]]</f>
        <v>1721087</v>
      </c>
      <c r="M379" s="254">
        <v>1</v>
      </c>
      <c r="N379" s="255">
        <f>+Reactivos_[[#This Row],[Valor de referencia]]*Reactivos_[[#This Row],[Cantidad LANIP]]</f>
        <v>1721087</v>
      </c>
      <c r="O379" s="256"/>
      <c r="P379" s="255">
        <f>+Reactivos_[[#This Row],[Cantidad 
LDV]]*Reactivos_[[#This Row],[Valor de referencia]]</f>
        <v>0</v>
      </c>
      <c r="Q379" s="257"/>
      <c r="R379" s="255">
        <f>+Reactivos_[[#This Row],[Cantidad LNDV]]*Reactivos_[[#This Row],[Valor de referencia]]</f>
        <v>0</v>
      </c>
      <c r="S379" s="148"/>
      <c r="T379" s="255">
        <f>+Reactivos_[[#This Row],[GGCA]]*Reactivos_[[#This Row],[Valor de referencia]]</f>
        <v>0</v>
      </c>
      <c r="U379" s="254"/>
      <c r="V379" s="255">
        <f>+Reactivos_[[#This Row],[Cantidad LDF]]*Reactivos_[[#This Row],[Valor de referencia]]</f>
        <v>0</v>
      </c>
      <c r="W379" s="254"/>
      <c r="X379" s="255">
        <f>+Reactivos_[[#This Row],[Cantidad LDF&amp;MR]]*Reactivos_[[#This Row],[Valor de referencia]]</f>
        <v>0</v>
      </c>
      <c r="Y379" s="254"/>
      <c r="Z379" s="255">
        <f>+Reactivos_[[#This Row],[Cantidad RED LASE]]*Reactivos_[[#This Row],[Valor de referencia]]</f>
        <v>0</v>
      </c>
      <c r="AA379" s="254"/>
      <c r="AB379" s="255">
        <f>+Reactivos_[[#This Row],[Cantidad LANIA]]*Reactivos_[[#This Row],[Valor de referencia]]</f>
        <v>0</v>
      </c>
      <c r="AC379" s="254"/>
      <c r="AD379" s="255">
        <f>+Reactivos_[[#This Row],[Cantidad SPA]]*Reactivos_[[#This Row],[Valor de referencia]]</f>
        <v>0</v>
      </c>
      <c r="AE379" s="148" t="s">
        <v>76</v>
      </c>
      <c r="AF379" s="148" t="s">
        <v>77</v>
      </c>
    </row>
    <row r="380" spans="1:32" ht="38.25" x14ac:dyDescent="0.25">
      <c r="A380" s="294" t="str">
        <f>IF(B380=Reactivos_[[#This Row],[Cantidad LANIP]],"LANIP",IF(B380=Reactivos_[[#This Row],[Cantidad 
LDV]],"LDV",IF(B380=Reactivos_[[#This Row],[Cantidad LNDV]],"LNDV",IF(B380=Reactivos_[[#This Row],[GGCA]],"GGCA",IF(B380=Reactivos_[[#This Row],[Cantidad LDF]],"LDF",IF(Reactivos_[[#This Row],[Cantidad LDF&amp;MR]],"LDF&amp;MR",IF(B380=Reactivos_[[#This Row],[Cantidad RED LASE]],"LASE",IF(B380=Reactivos_[[#This Row],[Cantidad LANIA]],"LANIA",IF(B380=Reactivos_[[#This Row],[Cantidad SPA]],"SPA"," ")))))))))</f>
        <v>LANIP</v>
      </c>
      <c r="B38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0" s="325">
        <v>378</v>
      </c>
      <c r="D380" s="326">
        <v>536</v>
      </c>
      <c r="E380" s="358" t="s">
        <v>1110</v>
      </c>
      <c r="F380" s="357" t="s">
        <v>1111</v>
      </c>
      <c r="G380" s="358"/>
      <c r="H380" s="328" t="s">
        <v>1114</v>
      </c>
      <c r="I380" s="334" t="s">
        <v>888</v>
      </c>
      <c r="J38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0" s="160">
        <v>2391952</v>
      </c>
      <c r="L380" s="160">
        <f>+Reactivos_[[#This Row],[Cantidad]]*Reactivos_[[#This Row],[Valor de referencia]]</f>
        <v>2391952</v>
      </c>
      <c r="M380" s="254">
        <v>1</v>
      </c>
      <c r="N380" s="255">
        <f>+Reactivos_[[#This Row],[Valor de referencia]]*Reactivos_[[#This Row],[Cantidad LANIP]]</f>
        <v>2391952</v>
      </c>
      <c r="O380" s="256"/>
      <c r="P380" s="255">
        <f>+Reactivos_[[#This Row],[Cantidad 
LDV]]*Reactivos_[[#This Row],[Valor de referencia]]</f>
        <v>0</v>
      </c>
      <c r="Q380" s="257"/>
      <c r="R380" s="255">
        <f>+Reactivos_[[#This Row],[Cantidad LNDV]]*Reactivos_[[#This Row],[Valor de referencia]]</f>
        <v>0</v>
      </c>
      <c r="S380" s="148"/>
      <c r="T380" s="255">
        <f>+Reactivos_[[#This Row],[GGCA]]*Reactivos_[[#This Row],[Valor de referencia]]</f>
        <v>0</v>
      </c>
      <c r="U380" s="254"/>
      <c r="V380" s="255">
        <f>+Reactivos_[[#This Row],[Cantidad LDF]]*Reactivos_[[#This Row],[Valor de referencia]]</f>
        <v>0</v>
      </c>
      <c r="W380" s="254"/>
      <c r="X380" s="255">
        <f>+Reactivos_[[#This Row],[Cantidad LDF&amp;MR]]*Reactivos_[[#This Row],[Valor de referencia]]</f>
        <v>0</v>
      </c>
      <c r="Y380" s="254"/>
      <c r="Z380" s="255">
        <f>+Reactivos_[[#This Row],[Cantidad RED LASE]]*Reactivos_[[#This Row],[Valor de referencia]]</f>
        <v>0</v>
      </c>
      <c r="AA380" s="254"/>
      <c r="AB380" s="255">
        <f>+Reactivos_[[#This Row],[Cantidad LANIA]]*Reactivos_[[#This Row],[Valor de referencia]]</f>
        <v>0</v>
      </c>
      <c r="AC380" s="254"/>
      <c r="AD380" s="255">
        <f>+Reactivos_[[#This Row],[Cantidad SPA]]*Reactivos_[[#This Row],[Valor de referencia]]</f>
        <v>0</v>
      </c>
      <c r="AE380" s="148" t="s">
        <v>76</v>
      </c>
      <c r="AF380" s="148" t="s">
        <v>77</v>
      </c>
    </row>
    <row r="381" spans="1:32" ht="33.75" customHeight="1" x14ac:dyDescent="0.25">
      <c r="A381" s="294" t="str">
        <f>IF(B381=Reactivos_[[#This Row],[Cantidad LANIP]],"LANIP",IF(B381=Reactivos_[[#This Row],[Cantidad 
LDV]],"LDV",IF(B381=Reactivos_[[#This Row],[Cantidad LNDV]],"LNDV",IF(B381=Reactivos_[[#This Row],[GGCA]],"GGCA",IF(B381=Reactivos_[[#This Row],[Cantidad LDF]],"LDF",IF(Reactivos_[[#This Row],[Cantidad LDF&amp;MR]],"LDF&amp;MR",IF(B381=Reactivos_[[#This Row],[Cantidad RED LASE]],"LASE",IF(B381=Reactivos_[[#This Row],[Cantidad LANIA]],"LANIA",IF(B381=Reactivos_[[#This Row],[Cantidad SPA]],"SPA"," ")))))))))</f>
        <v>LANIP</v>
      </c>
      <c r="B38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1" s="325">
        <v>379</v>
      </c>
      <c r="D381" s="326">
        <v>537</v>
      </c>
      <c r="E381" s="358" t="s">
        <v>1110</v>
      </c>
      <c r="F381" s="357" t="s">
        <v>1111</v>
      </c>
      <c r="G381" s="358"/>
      <c r="H381" s="328" t="s">
        <v>1115</v>
      </c>
      <c r="I381" s="347" t="s">
        <v>1116</v>
      </c>
      <c r="J38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1" s="160">
        <v>3952696</v>
      </c>
      <c r="L381" s="160">
        <f>+Reactivos_[[#This Row],[Cantidad]]*Reactivos_[[#This Row],[Valor de referencia]]</f>
        <v>3952696</v>
      </c>
      <c r="M381" s="254">
        <v>1</v>
      </c>
      <c r="N381" s="255">
        <f>+Reactivos_[[#This Row],[Valor de referencia]]*Reactivos_[[#This Row],[Cantidad LANIP]]</f>
        <v>3952696</v>
      </c>
      <c r="O381" s="256"/>
      <c r="P381" s="255">
        <f>+Reactivos_[[#This Row],[Cantidad 
LDV]]*Reactivos_[[#This Row],[Valor de referencia]]</f>
        <v>0</v>
      </c>
      <c r="Q381" s="257"/>
      <c r="R381" s="255">
        <f>+Reactivos_[[#This Row],[Cantidad LNDV]]*Reactivos_[[#This Row],[Valor de referencia]]</f>
        <v>0</v>
      </c>
      <c r="S381" s="148"/>
      <c r="T381" s="255">
        <f>+Reactivos_[[#This Row],[GGCA]]*Reactivos_[[#This Row],[Valor de referencia]]</f>
        <v>0</v>
      </c>
      <c r="U381" s="254"/>
      <c r="V381" s="255">
        <f>+Reactivos_[[#This Row],[Cantidad LDF]]*Reactivos_[[#This Row],[Valor de referencia]]</f>
        <v>0</v>
      </c>
      <c r="W381" s="254"/>
      <c r="X381" s="255">
        <f>+Reactivos_[[#This Row],[Cantidad LDF&amp;MR]]*Reactivos_[[#This Row],[Valor de referencia]]</f>
        <v>0</v>
      </c>
      <c r="Y381" s="254"/>
      <c r="Z381" s="255">
        <f>+Reactivos_[[#This Row],[Cantidad RED LASE]]*Reactivos_[[#This Row],[Valor de referencia]]</f>
        <v>0</v>
      </c>
      <c r="AA381" s="254"/>
      <c r="AB381" s="255">
        <f>+Reactivos_[[#This Row],[Cantidad LANIA]]*Reactivos_[[#This Row],[Valor de referencia]]</f>
        <v>0</v>
      </c>
      <c r="AC381" s="254"/>
      <c r="AD381" s="255">
        <f>+Reactivos_[[#This Row],[Cantidad SPA]]*Reactivos_[[#This Row],[Valor de referencia]]</f>
        <v>0</v>
      </c>
      <c r="AE381" s="148" t="s">
        <v>76</v>
      </c>
      <c r="AF381" s="148" t="s">
        <v>77</v>
      </c>
    </row>
    <row r="382" spans="1:32" ht="38.25" x14ac:dyDescent="0.25">
      <c r="A382" s="294" t="str">
        <f>IF(B382=Reactivos_[[#This Row],[Cantidad LANIP]],"LANIP",IF(B382=Reactivos_[[#This Row],[Cantidad 
LDV]],"LDV",IF(B382=Reactivos_[[#This Row],[Cantidad LNDV]],"LNDV",IF(B382=Reactivos_[[#This Row],[GGCA]],"GGCA",IF(B382=Reactivos_[[#This Row],[Cantidad LDF]],"LDF",IF(Reactivos_[[#This Row],[Cantidad LDF&amp;MR]],"LDF&amp;MR",IF(B382=Reactivos_[[#This Row],[Cantidad RED LASE]],"LASE",IF(B382=Reactivos_[[#This Row],[Cantidad LANIA]],"LANIA",IF(B382=Reactivos_[[#This Row],[Cantidad SPA]],"SPA"," ")))))))))</f>
        <v>LANIP</v>
      </c>
      <c r="B38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2" s="325">
        <v>380</v>
      </c>
      <c r="D382" s="326">
        <v>544</v>
      </c>
      <c r="E382" s="327" t="s">
        <v>1117</v>
      </c>
      <c r="F382" s="244" t="s">
        <v>1118</v>
      </c>
      <c r="G382" s="327"/>
      <c r="H382" s="328" t="s">
        <v>1119</v>
      </c>
      <c r="I382" s="334" t="s">
        <v>888</v>
      </c>
      <c r="J38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2" s="160">
        <v>1247162</v>
      </c>
      <c r="L382" s="160">
        <f>+Reactivos_[[#This Row],[Cantidad]]*Reactivos_[[#This Row],[Valor de referencia]]</f>
        <v>1247162</v>
      </c>
      <c r="M382" s="254">
        <v>1</v>
      </c>
      <c r="N382" s="255">
        <f>+Reactivos_[[#This Row],[Valor de referencia]]*Reactivos_[[#This Row],[Cantidad LANIP]]</f>
        <v>1247162</v>
      </c>
      <c r="O382" s="256"/>
      <c r="P382" s="255">
        <f>+Reactivos_[[#This Row],[Cantidad 
LDV]]*Reactivos_[[#This Row],[Valor de referencia]]</f>
        <v>0</v>
      </c>
      <c r="Q382" s="257"/>
      <c r="R382" s="255">
        <f>+Reactivos_[[#This Row],[Cantidad LNDV]]*Reactivos_[[#This Row],[Valor de referencia]]</f>
        <v>0</v>
      </c>
      <c r="S382" s="148"/>
      <c r="T382" s="255">
        <f>+Reactivos_[[#This Row],[GGCA]]*Reactivos_[[#This Row],[Valor de referencia]]</f>
        <v>0</v>
      </c>
      <c r="U382" s="254"/>
      <c r="V382" s="255">
        <f>+Reactivos_[[#This Row],[Cantidad LDF]]*Reactivos_[[#This Row],[Valor de referencia]]</f>
        <v>0</v>
      </c>
      <c r="W382" s="254"/>
      <c r="X382" s="255">
        <f>+Reactivos_[[#This Row],[Cantidad LDF&amp;MR]]*Reactivos_[[#This Row],[Valor de referencia]]</f>
        <v>0</v>
      </c>
      <c r="Y382" s="254"/>
      <c r="Z382" s="255">
        <f>+Reactivos_[[#This Row],[Cantidad RED LASE]]*Reactivos_[[#This Row],[Valor de referencia]]</f>
        <v>0</v>
      </c>
      <c r="AA382" s="254"/>
      <c r="AB382" s="255">
        <f>+Reactivos_[[#This Row],[Cantidad LANIA]]*Reactivos_[[#This Row],[Valor de referencia]]</f>
        <v>0</v>
      </c>
      <c r="AC382" s="254"/>
      <c r="AD382" s="255">
        <f>+Reactivos_[[#This Row],[Cantidad SPA]]*Reactivos_[[#This Row],[Valor de referencia]]</f>
        <v>0</v>
      </c>
      <c r="AE382" s="148" t="s">
        <v>76</v>
      </c>
      <c r="AF382" s="148" t="s">
        <v>77</v>
      </c>
    </row>
    <row r="383" spans="1:32" ht="33.75" customHeight="1" x14ac:dyDescent="0.25">
      <c r="A383" s="294" t="str">
        <f>IF(B383=Reactivos_[[#This Row],[Cantidad LANIP]],"LANIP",IF(B383=Reactivos_[[#This Row],[Cantidad 
LDV]],"LDV",IF(B383=Reactivos_[[#This Row],[Cantidad LNDV]],"LNDV",IF(B383=Reactivos_[[#This Row],[GGCA]],"GGCA",IF(B383=Reactivos_[[#This Row],[Cantidad LDF]],"LDF",IF(Reactivos_[[#This Row],[Cantidad LDF&amp;MR]],"LDF&amp;MR",IF(B383=Reactivos_[[#This Row],[Cantidad RED LASE]],"LASE",IF(B383=Reactivos_[[#This Row],[Cantidad LANIA]],"LANIA",IF(B383=Reactivos_[[#This Row],[Cantidad SPA]],"SPA"," ")))))))))</f>
        <v>LANIP</v>
      </c>
      <c r="B38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3" s="325">
        <v>381</v>
      </c>
      <c r="D383" s="326">
        <v>545</v>
      </c>
      <c r="E383" s="327" t="s">
        <v>1117</v>
      </c>
      <c r="F383" s="244" t="s">
        <v>1118</v>
      </c>
      <c r="G383" s="327"/>
      <c r="H383" s="328" t="s">
        <v>1120</v>
      </c>
      <c r="I383" s="334" t="s">
        <v>1121</v>
      </c>
      <c r="J38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3" s="160">
        <v>2114749</v>
      </c>
      <c r="L383" s="160">
        <f>+Reactivos_[[#This Row],[Cantidad]]*Reactivos_[[#This Row],[Valor de referencia]]</f>
        <v>2114749</v>
      </c>
      <c r="M383" s="254">
        <v>1</v>
      </c>
      <c r="N383" s="255">
        <f>+Reactivos_[[#This Row],[Valor de referencia]]*Reactivos_[[#This Row],[Cantidad LANIP]]</f>
        <v>2114749</v>
      </c>
      <c r="O383" s="256"/>
      <c r="P383" s="255">
        <f>+Reactivos_[[#This Row],[Cantidad 
LDV]]*Reactivos_[[#This Row],[Valor de referencia]]</f>
        <v>0</v>
      </c>
      <c r="Q383" s="257"/>
      <c r="R383" s="255">
        <f>+Reactivos_[[#This Row],[Cantidad LNDV]]*Reactivos_[[#This Row],[Valor de referencia]]</f>
        <v>0</v>
      </c>
      <c r="S383" s="148"/>
      <c r="T383" s="255">
        <f>+Reactivos_[[#This Row],[GGCA]]*Reactivos_[[#This Row],[Valor de referencia]]</f>
        <v>0</v>
      </c>
      <c r="U383" s="254"/>
      <c r="V383" s="255">
        <f>+Reactivos_[[#This Row],[Cantidad LDF]]*Reactivos_[[#This Row],[Valor de referencia]]</f>
        <v>0</v>
      </c>
      <c r="W383" s="254"/>
      <c r="X383" s="255">
        <f>+Reactivos_[[#This Row],[Cantidad LDF&amp;MR]]*Reactivos_[[#This Row],[Valor de referencia]]</f>
        <v>0</v>
      </c>
      <c r="Y383" s="254"/>
      <c r="Z383" s="255">
        <f>+Reactivos_[[#This Row],[Cantidad RED LASE]]*Reactivos_[[#This Row],[Valor de referencia]]</f>
        <v>0</v>
      </c>
      <c r="AA383" s="254"/>
      <c r="AB383" s="255">
        <f>+Reactivos_[[#This Row],[Cantidad LANIA]]*Reactivos_[[#This Row],[Valor de referencia]]</f>
        <v>0</v>
      </c>
      <c r="AC383" s="254"/>
      <c r="AD383" s="255">
        <f>+Reactivos_[[#This Row],[Cantidad SPA]]*Reactivos_[[#This Row],[Valor de referencia]]</f>
        <v>0</v>
      </c>
      <c r="AE383" s="148" t="s">
        <v>76</v>
      </c>
      <c r="AF383" s="148" t="s">
        <v>77</v>
      </c>
    </row>
    <row r="384" spans="1:32" ht="38.25" x14ac:dyDescent="0.25">
      <c r="A384" s="294" t="str">
        <f>IF(B384=Reactivos_[[#This Row],[Cantidad LANIP]],"LANIP",IF(B384=Reactivos_[[#This Row],[Cantidad 
LDV]],"LDV",IF(B384=Reactivos_[[#This Row],[Cantidad LNDV]],"LNDV",IF(B384=Reactivos_[[#This Row],[GGCA]],"GGCA",IF(B384=Reactivos_[[#This Row],[Cantidad LDF]],"LDF",IF(Reactivos_[[#This Row],[Cantidad LDF&amp;MR]],"LDF&amp;MR",IF(B384=Reactivos_[[#This Row],[Cantidad RED LASE]],"LASE",IF(B384=Reactivos_[[#This Row],[Cantidad LANIA]],"LANIA",IF(B384=Reactivos_[[#This Row],[Cantidad SPA]],"SPA"," ")))))))))</f>
        <v>LANIP</v>
      </c>
      <c r="B38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4" s="325">
        <v>382</v>
      </c>
      <c r="D384" s="326">
        <v>546</v>
      </c>
      <c r="E384" s="327" t="s">
        <v>1117</v>
      </c>
      <c r="F384" s="244" t="s">
        <v>1118</v>
      </c>
      <c r="G384" s="327"/>
      <c r="H384" s="330" t="s">
        <v>1122</v>
      </c>
      <c r="I384" s="362" t="s">
        <v>855</v>
      </c>
      <c r="J38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4" s="160">
        <v>2974058</v>
      </c>
      <c r="L384" s="160">
        <f>+Reactivos_[[#This Row],[Cantidad]]*Reactivos_[[#This Row],[Valor de referencia]]</f>
        <v>2974058</v>
      </c>
      <c r="M384" s="254">
        <v>1</v>
      </c>
      <c r="N384" s="255">
        <f>+Reactivos_[[#This Row],[Valor de referencia]]*Reactivos_[[#This Row],[Cantidad LANIP]]</f>
        <v>2974058</v>
      </c>
      <c r="O384" s="256"/>
      <c r="P384" s="255">
        <f>+Reactivos_[[#This Row],[Cantidad 
LDV]]*Reactivos_[[#This Row],[Valor de referencia]]</f>
        <v>0</v>
      </c>
      <c r="Q384" s="257"/>
      <c r="R384" s="255">
        <f>+Reactivos_[[#This Row],[Cantidad LNDV]]*Reactivos_[[#This Row],[Valor de referencia]]</f>
        <v>0</v>
      </c>
      <c r="S384" s="148"/>
      <c r="T384" s="255">
        <f>+Reactivos_[[#This Row],[GGCA]]*Reactivos_[[#This Row],[Valor de referencia]]</f>
        <v>0</v>
      </c>
      <c r="U384" s="254"/>
      <c r="V384" s="255">
        <f>+Reactivos_[[#This Row],[Cantidad LDF]]*Reactivos_[[#This Row],[Valor de referencia]]</f>
        <v>0</v>
      </c>
      <c r="W384" s="254"/>
      <c r="X384" s="255">
        <f>+Reactivos_[[#This Row],[Cantidad LDF&amp;MR]]*Reactivos_[[#This Row],[Valor de referencia]]</f>
        <v>0</v>
      </c>
      <c r="Y384" s="254"/>
      <c r="Z384" s="255">
        <f>+Reactivos_[[#This Row],[Cantidad RED LASE]]*Reactivos_[[#This Row],[Valor de referencia]]</f>
        <v>0</v>
      </c>
      <c r="AA384" s="254"/>
      <c r="AB384" s="255">
        <f>+Reactivos_[[#This Row],[Cantidad LANIA]]*Reactivos_[[#This Row],[Valor de referencia]]</f>
        <v>0</v>
      </c>
      <c r="AC384" s="254"/>
      <c r="AD384" s="255">
        <f>+Reactivos_[[#This Row],[Cantidad SPA]]*Reactivos_[[#This Row],[Valor de referencia]]</f>
        <v>0</v>
      </c>
      <c r="AE384" s="148" t="s">
        <v>76</v>
      </c>
      <c r="AF384" s="148" t="s">
        <v>77</v>
      </c>
    </row>
    <row r="385" spans="1:32" ht="38.25" x14ac:dyDescent="0.25">
      <c r="A385" s="294" t="str">
        <f>IF(B385=Reactivos_[[#This Row],[Cantidad LANIP]],"LANIP",IF(B385=Reactivos_[[#This Row],[Cantidad 
LDV]],"LDV",IF(B385=Reactivos_[[#This Row],[Cantidad LNDV]],"LNDV",IF(B385=Reactivos_[[#This Row],[GGCA]],"GGCA",IF(B385=Reactivos_[[#This Row],[Cantidad LDF]],"LDF",IF(Reactivos_[[#This Row],[Cantidad LDF&amp;MR]],"LDF&amp;MR",IF(B385=Reactivos_[[#This Row],[Cantidad RED LASE]],"LASE",IF(B385=Reactivos_[[#This Row],[Cantidad LANIA]],"LANIA",IF(B385=Reactivos_[[#This Row],[Cantidad SPA]],"SPA"," ")))))))))</f>
        <v>LANIA</v>
      </c>
      <c r="B38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5" s="325">
        <v>383</v>
      </c>
      <c r="D385" s="326">
        <v>552</v>
      </c>
      <c r="E385" s="327" t="s">
        <v>1123</v>
      </c>
      <c r="F385" s="244"/>
      <c r="G385" s="327"/>
      <c r="H385" s="328" t="s">
        <v>1124</v>
      </c>
      <c r="I385" s="347" t="s">
        <v>1125</v>
      </c>
      <c r="J38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5" s="160">
        <v>2676450</v>
      </c>
      <c r="L385" s="160">
        <f>+Reactivos_[[#This Row],[Cantidad]]*Reactivos_[[#This Row],[Valor de referencia]]</f>
        <v>2676450</v>
      </c>
      <c r="M385" s="254">
        <v>0</v>
      </c>
      <c r="N385" s="255">
        <f>+Reactivos_[[#This Row],[Valor de referencia]]*Reactivos_[[#This Row],[Cantidad LANIP]]</f>
        <v>0</v>
      </c>
      <c r="O385" s="256"/>
      <c r="P385" s="255">
        <f>+Reactivos_[[#This Row],[Cantidad 
LDV]]*Reactivos_[[#This Row],[Valor de referencia]]</f>
        <v>0</v>
      </c>
      <c r="Q385" s="257"/>
      <c r="R385" s="255">
        <f>+Reactivos_[[#This Row],[Cantidad LNDV]]*Reactivos_[[#This Row],[Valor de referencia]]</f>
        <v>0</v>
      </c>
      <c r="S385" s="148"/>
      <c r="T385" s="255">
        <f>+Reactivos_[[#This Row],[GGCA]]*Reactivos_[[#This Row],[Valor de referencia]]</f>
        <v>0</v>
      </c>
      <c r="U385" s="254"/>
      <c r="V385" s="255">
        <f>+Reactivos_[[#This Row],[Cantidad LDF]]*Reactivos_[[#This Row],[Valor de referencia]]</f>
        <v>0</v>
      </c>
      <c r="W385" s="254"/>
      <c r="X385" s="255">
        <f>+Reactivos_[[#This Row],[Cantidad LDF&amp;MR]]*Reactivos_[[#This Row],[Valor de referencia]]</f>
        <v>0</v>
      </c>
      <c r="Y385" s="254"/>
      <c r="Z385" s="255">
        <f>+Reactivos_[[#This Row],[Cantidad RED LASE]]*Reactivos_[[#This Row],[Valor de referencia]]</f>
        <v>0</v>
      </c>
      <c r="AA385" s="254">
        <v>1</v>
      </c>
      <c r="AB385" s="255">
        <f>+Reactivos_[[#This Row],[Cantidad LANIA]]*Reactivos_[[#This Row],[Valor de referencia]]</f>
        <v>2676450</v>
      </c>
      <c r="AC385" s="254"/>
      <c r="AD385" s="255">
        <f>+Reactivos_[[#This Row],[Cantidad SPA]]*Reactivos_[[#This Row],[Valor de referencia]]</f>
        <v>0</v>
      </c>
      <c r="AE385" s="148" t="s">
        <v>76</v>
      </c>
      <c r="AF385" s="148" t="s">
        <v>77</v>
      </c>
    </row>
    <row r="386" spans="1:32" ht="26.25" customHeight="1" x14ac:dyDescent="0.25">
      <c r="A386" s="294" t="str">
        <f>IF(B386=Reactivos_[[#This Row],[Cantidad LANIP]],"LANIP",IF(B386=Reactivos_[[#This Row],[Cantidad 
LDV]],"LDV",IF(B386=Reactivos_[[#This Row],[Cantidad LNDV]],"LNDV",IF(B386=Reactivos_[[#This Row],[GGCA]],"GGCA",IF(B386=Reactivos_[[#This Row],[Cantidad LDF]],"LDF",IF(Reactivos_[[#This Row],[Cantidad LDF&amp;MR]],"LDF&amp;MR",IF(B386=Reactivos_[[#This Row],[Cantidad RED LASE]],"LASE",IF(B386=Reactivos_[[#This Row],[Cantidad LANIA]],"LANIA",IF(B386=Reactivos_[[#This Row],[Cantidad SPA]],"SPA"," ")))))))))</f>
        <v>LANIP</v>
      </c>
      <c r="B38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6" s="325">
        <v>384</v>
      </c>
      <c r="D386" s="326">
        <v>561</v>
      </c>
      <c r="E386" s="327" t="s">
        <v>1126</v>
      </c>
      <c r="F386" s="338"/>
      <c r="G386" s="339"/>
      <c r="H386" s="328" t="s">
        <v>1127</v>
      </c>
      <c r="I386" s="329" t="s">
        <v>1128</v>
      </c>
      <c r="J38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6" s="160">
        <v>758297</v>
      </c>
      <c r="L386" s="160">
        <f>+Reactivos_[[#This Row],[Cantidad]]*Reactivos_[[#This Row],[Valor de referencia]]</f>
        <v>758297</v>
      </c>
      <c r="M386" s="254">
        <v>1</v>
      </c>
      <c r="N386" s="255">
        <f>+Reactivos_[[#This Row],[Valor de referencia]]*Reactivos_[[#This Row],[Cantidad LANIP]]</f>
        <v>758297</v>
      </c>
      <c r="O386" s="256"/>
      <c r="P386" s="255">
        <f>+Reactivos_[[#This Row],[Cantidad 
LDV]]*Reactivos_[[#This Row],[Valor de referencia]]</f>
        <v>0</v>
      </c>
      <c r="Q386" s="257"/>
      <c r="R386" s="255">
        <f>+Reactivos_[[#This Row],[Cantidad LNDV]]*Reactivos_[[#This Row],[Valor de referencia]]</f>
        <v>0</v>
      </c>
      <c r="S386" s="148"/>
      <c r="T386" s="255">
        <f>+Reactivos_[[#This Row],[GGCA]]*Reactivos_[[#This Row],[Valor de referencia]]</f>
        <v>0</v>
      </c>
      <c r="U386" s="254"/>
      <c r="V386" s="255">
        <f>+Reactivos_[[#This Row],[Cantidad LDF]]*Reactivos_[[#This Row],[Valor de referencia]]</f>
        <v>0</v>
      </c>
      <c r="W386" s="254"/>
      <c r="X386" s="255">
        <f>+Reactivos_[[#This Row],[Cantidad LDF&amp;MR]]*Reactivos_[[#This Row],[Valor de referencia]]</f>
        <v>0</v>
      </c>
      <c r="Y386" s="254"/>
      <c r="Z386" s="255">
        <f>+Reactivos_[[#This Row],[Cantidad RED LASE]]*Reactivos_[[#This Row],[Valor de referencia]]</f>
        <v>0</v>
      </c>
      <c r="AA386" s="254"/>
      <c r="AB386" s="255">
        <f>+Reactivos_[[#This Row],[Cantidad LANIA]]*Reactivos_[[#This Row],[Valor de referencia]]</f>
        <v>0</v>
      </c>
      <c r="AC386" s="254"/>
      <c r="AD386" s="255">
        <f>+Reactivos_[[#This Row],[Cantidad SPA]]*Reactivos_[[#This Row],[Valor de referencia]]</f>
        <v>0</v>
      </c>
      <c r="AE386" s="148" t="s">
        <v>76</v>
      </c>
      <c r="AF386" s="148" t="s">
        <v>77</v>
      </c>
    </row>
    <row r="387" spans="1:32" ht="25.5" x14ac:dyDescent="0.25">
      <c r="A387" s="294" t="str">
        <f>IF(B387=Reactivos_[[#This Row],[Cantidad LANIP]],"LANIP",IF(B387=Reactivos_[[#This Row],[Cantidad 
LDV]],"LDV",IF(B387=Reactivos_[[#This Row],[Cantidad LNDV]],"LNDV",IF(B387=Reactivos_[[#This Row],[GGCA]],"GGCA",IF(B387=Reactivos_[[#This Row],[Cantidad LDF]],"LDF",IF(Reactivos_[[#This Row],[Cantidad LDF&amp;MR]],"LDF&amp;MR",IF(B387=Reactivos_[[#This Row],[Cantidad RED LASE]],"LASE",IF(B387=Reactivos_[[#This Row],[Cantidad LANIA]],"LANIA",IF(B387=Reactivos_[[#This Row],[Cantidad SPA]],"SPA"," ")))))))))</f>
        <v>LANIP</v>
      </c>
      <c r="B38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7" s="325">
        <v>385</v>
      </c>
      <c r="D387" s="326">
        <v>562</v>
      </c>
      <c r="E387" s="327" t="s">
        <v>1129</v>
      </c>
      <c r="F387" s="244"/>
      <c r="G387" s="327"/>
      <c r="H387" s="328" t="s">
        <v>1130</v>
      </c>
      <c r="I387" s="363" t="s">
        <v>1099</v>
      </c>
      <c r="J38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7" s="160">
        <v>735304</v>
      </c>
      <c r="L387" s="160">
        <f>+Reactivos_[[#This Row],[Cantidad]]*Reactivos_[[#This Row],[Valor de referencia]]</f>
        <v>735304</v>
      </c>
      <c r="M387" s="254">
        <v>1</v>
      </c>
      <c r="N387" s="255">
        <f>+Reactivos_[[#This Row],[Valor de referencia]]*Reactivos_[[#This Row],[Cantidad LANIP]]</f>
        <v>735304</v>
      </c>
      <c r="O387" s="256"/>
      <c r="P387" s="255">
        <f>+Reactivos_[[#This Row],[Cantidad 
LDV]]*Reactivos_[[#This Row],[Valor de referencia]]</f>
        <v>0</v>
      </c>
      <c r="Q387" s="257"/>
      <c r="R387" s="255">
        <f>+Reactivos_[[#This Row],[Cantidad LNDV]]*Reactivos_[[#This Row],[Valor de referencia]]</f>
        <v>0</v>
      </c>
      <c r="S387" s="148"/>
      <c r="T387" s="255">
        <f>+Reactivos_[[#This Row],[GGCA]]*Reactivos_[[#This Row],[Valor de referencia]]</f>
        <v>0</v>
      </c>
      <c r="U387" s="254"/>
      <c r="V387" s="255">
        <f>+Reactivos_[[#This Row],[Cantidad LDF]]*Reactivos_[[#This Row],[Valor de referencia]]</f>
        <v>0</v>
      </c>
      <c r="W387" s="254"/>
      <c r="X387" s="255">
        <f>+Reactivos_[[#This Row],[Cantidad LDF&amp;MR]]*Reactivos_[[#This Row],[Valor de referencia]]</f>
        <v>0</v>
      </c>
      <c r="Y387" s="254"/>
      <c r="Z387" s="255">
        <f>+Reactivos_[[#This Row],[Cantidad RED LASE]]*Reactivos_[[#This Row],[Valor de referencia]]</f>
        <v>0</v>
      </c>
      <c r="AA387" s="254"/>
      <c r="AB387" s="255">
        <f>+Reactivos_[[#This Row],[Cantidad LANIA]]*Reactivos_[[#This Row],[Valor de referencia]]</f>
        <v>0</v>
      </c>
      <c r="AC387" s="254"/>
      <c r="AD387" s="255">
        <f>+Reactivos_[[#This Row],[Cantidad SPA]]*Reactivos_[[#This Row],[Valor de referencia]]</f>
        <v>0</v>
      </c>
      <c r="AE387" s="148" t="s">
        <v>76</v>
      </c>
      <c r="AF387" s="148" t="s">
        <v>77</v>
      </c>
    </row>
    <row r="388" spans="1:32" ht="22.5" customHeight="1" x14ac:dyDescent="0.25">
      <c r="A388" s="294" t="str">
        <f>IF(B388=Reactivos_[[#This Row],[Cantidad LANIP]],"LANIP",IF(B388=Reactivos_[[#This Row],[Cantidad 
LDV]],"LDV",IF(B388=Reactivos_[[#This Row],[Cantidad LNDV]],"LNDV",IF(B388=Reactivos_[[#This Row],[GGCA]],"GGCA",IF(B388=Reactivos_[[#This Row],[Cantidad LDF]],"LDF",IF(Reactivos_[[#This Row],[Cantidad LDF&amp;MR]],"LDF&amp;MR",IF(B388=Reactivos_[[#This Row],[Cantidad RED LASE]],"LASE",IF(B388=Reactivos_[[#This Row],[Cantidad LANIA]],"LANIA",IF(B388=Reactivos_[[#This Row],[Cantidad SPA]],"SPA"," ")))))))))</f>
        <v>LANIP</v>
      </c>
      <c r="B38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8" s="325">
        <v>386</v>
      </c>
      <c r="D388" s="326">
        <v>563</v>
      </c>
      <c r="E388" s="327" t="s">
        <v>1131</v>
      </c>
      <c r="F388" s="244"/>
      <c r="G388" s="327"/>
      <c r="H388" s="348" t="s">
        <v>1132</v>
      </c>
      <c r="I388" s="336" t="s">
        <v>888</v>
      </c>
      <c r="J38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8" s="160">
        <v>813277</v>
      </c>
      <c r="L388" s="160">
        <f>+Reactivos_[[#This Row],[Cantidad]]*Reactivos_[[#This Row],[Valor de referencia]]</f>
        <v>813277</v>
      </c>
      <c r="M388" s="254">
        <v>1</v>
      </c>
      <c r="N388" s="255">
        <f>+Reactivos_[[#This Row],[Valor de referencia]]*Reactivos_[[#This Row],[Cantidad LANIP]]</f>
        <v>813277</v>
      </c>
      <c r="O388" s="256"/>
      <c r="P388" s="255">
        <f>+Reactivos_[[#This Row],[Cantidad 
LDV]]*Reactivos_[[#This Row],[Valor de referencia]]</f>
        <v>0</v>
      </c>
      <c r="Q388" s="257"/>
      <c r="R388" s="255">
        <f>+Reactivos_[[#This Row],[Cantidad LNDV]]*Reactivos_[[#This Row],[Valor de referencia]]</f>
        <v>0</v>
      </c>
      <c r="S388" s="148"/>
      <c r="T388" s="255">
        <f>+Reactivos_[[#This Row],[GGCA]]*Reactivos_[[#This Row],[Valor de referencia]]</f>
        <v>0</v>
      </c>
      <c r="U388" s="254"/>
      <c r="V388" s="255">
        <f>+Reactivos_[[#This Row],[Cantidad LDF]]*Reactivos_[[#This Row],[Valor de referencia]]</f>
        <v>0</v>
      </c>
      <c r="W388" s="254"/>
      <c r="X388" s="255">
        <f>+Reactivos_[[#This Row],[Cantidad LDF&amp;MR]]*Reactivos_[[#This Row],[Valor de referencia]]</f>
        <v>0</v>
      </c>
      <c r="Y388" s="254"/>
      <c r="Z388" s="255">
        <f>+Reactivos_[[#This Row],[Cantidad RED LASE]]*Reactivos_[[#This Row],[Valor de referencia]]</f>
        <v>0</v>
      </c>
      <c r="AA388" s="254"/>
      <c r="AB388" s="255">
        <f>+Reactivos_[[#This Row],[Cantidad LANIA]]*Reactivos_[[#This Row],[Valor de referencia]]</f>
        <v>0</v>
      </c>
      <c r="AC388" s="254"/>
      <c r="AD388" s="255">
        <f>+Reactivos_[[#This Row],[Cantidad SPA]]*Reactivos_[[#This Row],[Valor de referencia]]</f>
        <v>0</v>
      </c>
      <c r="AE388" s="148" t="s">
        <v>76</v>
      </c>
      <c r="AF388" s="148" t="s">
        <v>77</v>
      </c>
    </row>
    <row r="389" spans="1:32" ht="51" x14ac:dyDescent="0.25">
      <c r="A389" s="294" t="str">
        <f>IF(B389=Reactivos_[[#This Row],[Cantidad LANIP]],"LANIP",IF(B389=Reactivos_[[#This Row],[Cantidad 
LDV]],"LDV",IF(B389=Reactivos_[[#This Row],[Cantidad LNDV]],"LNDV",IF(B389=Reactivos_[[#This Row],[GGCA]],"GGCA",IF(B389=Reactivos_[[#This Row],[Cantidad LDF]],"LDF",IF(Reactivos_[[#This Row],[Cantidad LDF&amp;MR]],"LDF&amp;MR",IF(B389=Reactivos_[[#This Row],[Cantidad RED LASE]],"LASE",IF(B389=Reactivos_[[#This Row],[Cantidad LANIA]],"LANIA",IF(B389=Reactivos_[[#This Row],[Cantidad SPA]],"SPA"," ")))))))))</f>
        <v>LANIP</v>
      </c>
      <c r="B38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89" s="325">
        <v>387</v>
      </c>
      <c r="D389" s="326">
        <v>564</v>
      </c>
      <c r="E389" s="327" t="s">
        <v>1133</v>
      </c>
      <c r="F389" s="244" t="s">
        <v>1134</v>
      </c>
      <c r="G389" s="327"/>
      <c r="H389" s="330" t="s">
        <v>1135</v>
      </c>
      <c r="I389" s="362" t="s">
        <v>1136</v>
      </c>
      <c r="J38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89" s="160">
        <v>2828549</v>
      </c>
      <c r="L389" s="160">
        <f>+Reactivos_[[#This Row],[Cantidad]]*Reactivos_[[#This Row],[Valor de referencia]]</f>
        <v>2828549</v>
      </c>
      <c r="M389" s="254">
        <v>1</v>
      </c>
      <c r="N389" s="255">
        <f>+Reactivos_[[#This Row],[Valor de referencia]]*Reactivos_[[#This Row],[Cantidad LANIP]]</f>
        <v>2828549</v>
      </c>
      <c r="O389" s="256"/>
      <c r="P389" s="255">
        <f>+Reactivos_[[#This Row],[Cantidad 
LDV]]*Reactivos_[[#This Row],[Valor de referencia]]</f>
        <v>0</v>
      </c>
      <c r="Q389" s="257"/>
      <c r="R389" s="255">
        <f>+Reactivos_[[#This Row],[Cantidad LNDV]]*Reactivos_[[#This Row],[Valor de referencia]]</f>
        <v>0</v>
      </c>
      <c r="S389" s="148"/>
      <c r="T389" s="255">
        <f>+Reactivos_[[#This Row],[GGCA]]*Reactivos_[[#This Row],[Valor de referencia]]</f>
        <v>0</v>
      </c>
      <c r="U389" s="254"/>
      <c r="V389" s="255">
        <f>+Reactivos_[[#This Row],[Cantidad LDF]]*Reactivos_[[#This Row],[Valor de referencia]]</f>
        <v>0</v>
      </c>
      <c r="W389" s="254"/>
      <c r="X389" s="255">
        <f>+Reactivos_[[#This Row],[Cantidad LDF&amp;MR]]*Reactivos_[[#This Row],[Valor de referencia]]</f>
        <v>0</v>
      </c>
      <c r="Y389" s="254"/>
      <c r="Z389" s="255">
        <f>+Reactivos_[[#This Row],[Cantidad RED LASE]]*Reactivos_[[#This Row],[Valor de referencia]]</f>
        <v>0</v>
      </c>
      <c r="AA389" s="254"/>
      <c r="AB389" s="255">
        <f>+Reactivos_[[#This Row],[Cantidad LANIA]]*Reactivos_[[#This Row],[Valor de referencia]]</f>
        <v>0</v>
      </c>
      <c r="AC389" s="254"/>
      <c r="AD389" s="255">
        <f>+Reactivos_[[#This Row],[Cantidad SPA]]*Reactivos_[[#This Row],[Valor de referencia]]</f>
        <v>0</v>
      </c>
      <c r="AE389" s="148" t="s">
        <v>76</v>
      </c>
      <c r="AF389" s="148" t="s">
        <v>77</v>
      </c>
    </row>
    <row r="390" spans="1:32" ht="26.25" customHeight="1" x14ac:dyDescent="0.25">
      <c r="A390" s="294" t="str">
        <f>IF(B390=Reactivos_[[#This Row],[Cantidad LANIP]],"LANIP",IF(B390=Reactivos_[[#This Row],[Cantidad 
LDV]],"LDV",IF(B390=Reactivos_[[#This Row],[Cantidad LNDV]],"LNDV",IF(B390=Reactivos_[[#This Row],[GGCA]],"GGCA",IF(B390=Reactivos_[[#This Row],[Cantidad LDF]],"LDF",IF(Reactivos_[[#This Row],[Cantidad LDF&amp;MR]],"LDF&amp;MR",IF(B390=Reactivos_[[#This Row],[Cantidad RED LASE]],"LASE",IF(B390=Reactivos_[[#This Row],[Cantidad LANIA]],"LANIA",IF(B390=Reactivos_[[#This Row],[Cantidad SPA]],"SPA"," ")))))))))</f>
        <v>LANIP</v>
      </c>
      <c r="B39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0" s="325">
        <v>388</v>
      </c>
      <c r="D390" s="326">
        <v>565</v>
      </c>
      <c r="E390" s="327" t="s">
        <v>1137</v>
      </c>
      <c r="F390" s="244" t="s">
        <v>1134</v>
      </c>
      <c r="G390" s="327"/>
      <c r="H390" s="328" t="s">
        <v>1138</v>
      </c>
      <c r="I390" s="329" t="s">
        <v>892</v>
      </c>
      <c r="J39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90" s="160">
        <v>1469140</v>
      </c>
      <c r="L390" s="160">
        <f>+Reactivos_[[#This Row],[Cantidad]]*Reactivos_[[#This Row],[Valor de referencia]]</f>
        <v>1469140</v>
      </c>
      <c r="M390" s="254">
        <v>1</v>
      </c>
      <c r="N390" s="255">
        <f>+Reactivos_[[#This Row],[Valor de referencia]]*Reactivos_[[#This Row],[Cantidad LANIP]]</f>
        <v>1469140</v>
      </c>
      <c r="O390" s="256"/>
      <c r="P390" s="255">
        <f>+Reactivos_[[#This Row],[Cantidad 
LDV]]*Reactivos_[[#This Row],[Valor de referencia]]</f>
        <v>0</v>
      </c>
      <c r="Q390" s="257"/>
      <c r="R390" s="255">
        <f>+Reactivos_[[#This Row],[Cantidad LNDV]]*Reactivos_[[#This Row],[Valor de referencia]]</f>
        <v>0</v>
      </c>
      <c r="S390" s="148"/>
      <c r="T390" s="255">
        <f>+Reactivos_[[#This Row],[GGCA]]*Reactivos_[[#This Row],[Valor de referencia]]</f>
        <v>0</v>
      </c>
      <c r="U390" s="254"/>
      <c r="V390" s="255">
        <f>+Reactivos_[[#This Row],[Cantidad LDF]]*Reactivos_[[#This Row],[Valor de referencia]]</f>
        <v>0</v>
      </c>
      <c r="W390" s="254"/>
      <c r="X390" s="255">
        <f>+Reactivos_[[#This Row],[Cantidad LDF&amp;MR]]*Reactivos_[[#This Row],[Valor de referencia]]</f>
        <v>0</v>
      </c>
      <c r="Y390" s="254"/>
      <c r="Z390" s="255">
        <f>+Reactivos_[[#This Row],[Cantidad RED LASE]]*Reactivos_[[#This Row],[Valor de referencia]]</f>
        <v>0</v>
      </c>
      <c r="AA390" s="254"/>
      <c r="AB390" s="255">
        <f>+Reactivos_[[#This Row],[Cantidad LANIA]]*Reactivos_[[#This Row],[Valor de referencia]]</f>
        <v>0</v>
      </c>
      <c r="AC390" s="254"/>
      <c r="AD390" s="255">
        <f>+Reactivos_[[#This Row],[Cantidad SPA]]*Reactivos_[[#This Row],[Valor de referencia]]</f>
        <v>0</v>
      </c>
      <c r="AE390" s="148" t="s">
        <v>76</v>
      </c>
      <c r="AF390" s="148" t="s">
        <v>77</v>
      </c>
    </row>
    <row r="391" spans="1:32" ht="51" x14ac:dyDescent="0.25">
      <c r="A391" s="294" t="str">
        <f>IF(B391=Reactivos_[[#This Row],[Cantidad LANIP]],"LANIP",IF(B391=Reactivos_[[#This Row],[Cantidad 
LDV]],"LDV",IF(B391=Reactivos_[[#This Row],[Cantidad LNDV]],"LNDV",IF(B391=Reactivos_[[#This Row],[GGCA]],"GGCA",IF(B391=Reactivos_[[#This Row],[Cantidad LDF]],"LDF",IF(Reactivos_[[#This Row],[Cantidad LDF&amp;MR]],"LDF&amp;MR",IF(B391=Reactivos_[[#This Row],[Cantidad RED LASE]],"LASE",IF(B391=Reactivos_[[#This Row],[Cantidad LANIA]],"LANIA",IF(B391=Reactivos_[[#This Row],[Cantidad SPA]],"SPA"," ")))))))))</f>
        <v>LANIP</v>
      </c>
      <c r="B39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391" s="325">
        <v>389</v>
      </c>
      <c r="D391" s="326">
        <v>566</v>
      </c>
      <c r="E391" s="327" t="s">
        <v>1137</v>
      </c>
      <c r="F391" s="244" t="s">
        <v>1134</v>
      </c>
      <c r="G391" s="327"/>
      <c r="H391" s="328" t="s">
        <v>1139</v>
      </c>
      <c r="I391" s="334" t="s">
        <v>1140</v>
      </c>
      <c r="J39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391" s="160">
        <v>810499</v>
      </c>
      <c r="L391" s="160">
        <f>+Reactivos_[[#This Row],[Cantidad]]*Reactivos_[[#This Row],[Valor de referencia]]</f>
        <v>1620998</v>
      </c>
      <c r="M391" s="254">
        <v>2</v>
      </c>
      <c r="N391" s="255">
        <f>+Reactivos_[[#This Row],[Valor de referencia]]*Reactivos_[[#This Row],[Cantidad LANIP]]</f>
        <v>1620998</v>
      </c>
      <c r="O391" s="256"/>
      <c r="P391" s="255">
        <f>+Reactivos_[[#This Row],[Cantidad 
LDV]]*Reactivos_[[#This Row],[Valor de referencia]]</f>
        <v>0</v>
      </c>
      <c r="Q391" s="257"/>
      <c r="R391" s="255">
        <f>+Reactivos_[[#This Row],[Cantidad LNDV]]*Reactivos_[[#This Row],[Valor de referencia]]</f>
        <v>0</v>
      </c>
      <c r="S391" s="148"/>
      <c r="T391" s="255">
        <f>+Reactivos_[[#This Row],[GGCA]]*Reactivos_[[#This Row],[Valor de referencia]]</f>
        <v>0</v>
      </c>
      <c r="U391" s="254"/>
      <c r="V391" s="255">
        <f>+Reactivos_[[#This Row],[Cantidad LDF]]*Reactivos_[[#This Row],[Valor de referencia]]</f>
        <v>0</v>
      </c>
      <c r="W391" s="254"/>
      <c r="X391" s="255">
        <f>+Reactivos_[[#This Row],[Cantidad LDF&amp;MR]]*Reactivos_[[#This Row],[Valor de referencia]]</f>
        <v>0</v>
      </c>
      <c r="Y391" s="254"/>
      <c r="Z391" s="255">
        <f>+Reactivos_[[#This Row],[Cantidad RED LASE]]*Reactivos_[[#This Row],[Valor de referencia]]</f>
        <v>0</v>
      </c>
      <c r="AA391" s="254"/>
      <c r="AB391" s="255">
        <f>+Reactivos_[[#This Row],[Cantidad LANIA]]*Reactivos_[[#This Row],[Valor de referencia]]</f>
        <v>0</v>
      </c>
      <c r="AC391" s="254"/>
      <c r="AD391" s="255">
        <f>+Reactivos_[[#This Row],[Cantidad SPA]]*Reactivos_[[#This Row],[Valor de referencia]]</f>
        <v>0</v>
      </c>
      <c r="AE391" s="148" t="s">
        <v>76</v>
      </c>
      <c r="AF391" s="148" t="s">
        <v>77</v>
      </c>
    </row>
    <row r="392" spans="1:32" ht="33.75" customHeight="1" x14ac:dyDescent="0.25">
      <c r="A392" s="294" t="str">
        <f>IF(B392=Reactivos_[[#This Row],[Cantidad LANIP]],"LANIP",IF(B392=Reactivos_[[#This Row],[Cantidad 
LDV]],"LDV",IF(B392=Reactivos_[[#This Row],[Cantidad LNDV]],"LNDV",IF(B392=Reactivos_[[#This Row],[GGCA]],"GGCA",IF(B392=Reactivos_[[#This Row],[Cantidad LDF]],"LDF",IF(Reactivos_[[#This Row],[Cantidad LDF&amp;MR]],"LDF&amp;MR",IF(B392=Reactivos_[[#This Row],[Cantidad RED LASE]],"LASE",IF(B392=Reactivos_[[#This Row],[Cantidad LANIA]],"LANIA",IF(B392=Reactivos_[[#This Row],[Cantidad SPA]],"SPA"," ")))))))))</f>
        <v>LANIP</v>
      </c>
      <c r="B39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2" s="325">
        <v>390</v>
      </c>
      <c r="D392" s="326">
        <v>567</v>
      </c>
      <c r="E392" s="327" t="s">
        <v>1141</v>
      </c>
      <c r="F392" s="244" t="s">
        <v>1142</v>
      </c>
      <c r="G392" s="327"/>
      <c r="H392" s="328" t="s">
        <v>1143</v>
      </c>
      <c r="I392" s="334" t="s">
        <v>1060</v>
      </c>
      <c r="J39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92" s="160">
        <v>693676</v>
      </c>
      <c r="L392" s="160">
        <f>+Reactivos_[[#This Row],[Cantidad]]*Reactivos_[[#This Row],[Valor de referencia]]</f>
        <v>693676</v>
      </c>
      <c r="M392" s="254">
        <v>1</v>
      </c>
      <c r="N392" s="255">
        <f>+Reactivos_[[#This Row],[Valor de referencia]]*Reactivos_[[#This Row],[Cantidad LANIP]]</f>
        <v>693676</v>
      </c>
      <c r="O392" s="256"/>
      <c r="P392" s="255">
        <f>+Reactivos_[[#This Row],[Cantidad 
LDV]]*Reactivos_[[#This Row],[Valor de referencia]]</f>
        <v>0</v>
      </c>
      <c r="Q392" s="257"/>
      <c r="R392" s="255">
        <f>+Reactivos_[[#This Row],[Cantidad LNDV]]*Reactivos_[[#This Row],[Valor de referencia]]</f>
        <v>0</v>
      </c>
      <c r="S392" s="148"/>
      <c r="T392" s="255">
        <f>+Reactivos_[[#This Row],[GGCA]]*Reactivos_[[#This Row],[Valor de referencia]]</f>
        <v>0</v>
      </c>
      <c r="U392" s="254"/>
      <c r="V392" s="255">
        <f>+Reactivos_[[#This Row],[Cantidad LDF]]*Reactivos_[[#This Row],[Valor de referencia]]</f>
        <v>0</v>
      </c>
      <c r="W392" s="254"/>
      <c r="X392" s="255">
        <f>+Reactivos_[[#This Row],[Cantidad LDF&amp;MR]]*Reactivos_[[#This Row],[Valor de referencia]]</f>
        <v>0</v>
      </c>
      <c r="Y392" s="254"/>
      <c r="Z392" s="255">
        <f>+Reactivos_[[#This Row],[Cantidad RED LASE]]*Reactivos_[[#This Row],[Valor de referencia]]</f>
        <v>0</v>
      </c>
      <c r="AA392" s="254"/>
      <c r="AB392" s="255">
        <f>+Reactivos_[[#This Row],[Cantidad LANIA]]*Reactivos_[[#This Row],[Valor de referencia]]</f>
        <v>0</v>
      </c>
      <c r="AC392" s="254"/>
      <c r="AD392" s="255">
        <f>+Reactivos_[[#This Row],[Cantidad SPA]]*Reactivos_[[#This Row],[Valor de referencia]]</f>
        <v>0</v>
      </c>
      <c r="AE392" s="148" t="s">
        <v>76</v>
      </c>
      <c r="AF392" s="148" t="s">
        <v>77</v>
      </c>
    </row>
    <row r="393" spans="1:32" ht="51" x14ac:dyDescent="0.25">
      <c r="A393" s="294" t="str">
        <f>IF(B393=Reactivos_[[#This Row],[Cantidad LANIP]],"LANIP",IF(B393=Reactivos_[[#This Row],[Cantidad 
LDV]],"LDV",IF(B393=Reactivos_[[#This Row],[Cantidad LNDV]],"LNDV",IF(B393=Reactivos_[[#This Row],[GGCA]],"GGCA",IF(B393=Reactivos_[[#This Row],[Cantidad LDF]],"LDF",IF(Reactivos_[[#This Row],[Cantidad LDF&amp;MR]],"LDF&amp;MR",IF(B393=Reactivos_[[#This Row],[Cantidad RED LASE]],"LASE",IF(B393=Reactivos_[[#This Row],[Cantidad LANIA]],"LANIA",IF(B393=Reactivos_[[#This Row],[Cantidad SPA]],"SPA"," ")))))))))</f>
        <v>LANIP</v>
      </c>
      <c r="B39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3" s="325">
        <v>391</v>
      </c>
      <c r="D393" s="326">
        <v>568</v>
      </c>
      <c r="E393" s="327" t="s">
        <v>1141</v>
      </c>
      <c r="F393" s="244" t="s">
        <v>1144</v>
      </c>
      <c r="G393" s="327"/>
      <c r="H393" s="328" t="s">
        <v>1145</v>
      </c>
      <c r="I393" s="347" t="s">
        <v>892</v>
      </c>
      <c r="J39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93" s="160">
        <v>789902</v>
      </c>
      <c r="L393" s="160">
        <f>+Reactivos_[[#This Row],[Cantidad]]*Reactivos_[[#This Row],[Valor de referencia]]</f>
        <v>789902</v>
      </c>
      <c r="M393" s="254">
        <v>1</v>
      </c>
      <c r="N393" s="255">
        <f>+Reactivos_[[#This Row],[Valor de referencia]]*Reactivos_[[#This Row],[Cantidad LANIP]]</f>
        <v>789902</v>
      </c>
      <c r="O393" s="256"/>
      <c r="P393" s="255">
        <f>+Reactivos_[[#This Row],[Cantidad 
LDV]]*Reactivos_[[#This Row],[Valor de referencia]]</f>
        <v>0</v>
      </c>
      <c r="Q393" s="257"/>
      <c r="R393" s="255">
        <f>+Reactivos_[[#This Row],[Cantidad LNDV]]*Reactivos_[[#This Row],[Valor de referencia]]</f>
        <v>0</v>
      </c>
      <c r="S393" s="148"/>
      <c r="T393" s="255">
        <f>+Reactivos_[[#This Row],[GGCA]]*Reactivos_[[#This Row],[Valor de referencia]]</f>
        <v>0</v>
      </c>
      <c r="U393" s="254"/>
      <c r="V393" s="255">
        <f>+Reactivos_[[#This Row],[Cantidad LDF]]*Reactivos_[[#This Row],[Valor de referencia]]</f>
        <v>0</v>
      </c>
      <c r="W393" s="254"/>
      <c r="X393" s="255">
        <f>+Reactivos_[[#This Row],[Cantidad LDF&amp;MR]]*Reactivos_[[#This Row],[Valor de referencia]]</f>
        <v>0</v>
      </c>
      <c r="Y393" s="254"/>
      <c r="Z393" s="255">
        <f>+Reactivos_[[#This Row],[Cantidad RED LASE]]*Reactivos_[[#This Row],[Valor de referencia]]</f>
        <v>0</v>
      </c>
      <c r="AA393" s="254"/>
      <c r="AB393" s="255">
        <f>+Reactivos_[[#This Row],[Cantidad LANIA]]*Reactivos_[[#This Row],[Valor de referencia]]</f>
        <v>0</v>
      </c>
      <c r="AC393" s="254"/>
      <c r="AD393" s="255">
        <f>+Reactivos_[[#This Row],[Cantidad SPA]]*Reactivos_[[#This Row],[Valor de referencia]]</f>
        <v>0</v>
      </c>
      <c r="AE393" s="148" t="s">
        <v>76</v>
      </c>
      <c r="AF393" s="148" t="s">
        <v>77</v>
      </c>
    </row>
    <row r="394" spans="1:32" ht="33.75" customHeight="1" x14ac:dyDescent="0.25">
      <c r="A394" s="294" t="str">
        <f>IF(B394=Reactivos_[[#This Row],[Cantidad LANIP]],"LANIP",IF(B394=Reactivos_[[#This Row],[Cantidad 
LDV]],"LDV",IF(B394=Reactivos_[[#This Row],[Cantidad LNDV]],"LNDV",IF(B394=Reactivos_[[#This Row],[GGCA]],"GGCA",IF(B394=Reactivos_[[#This Row],[Cantidad LDF]],"LDF",IF(Reactivos_[[#This Row],[Cantidad LDF&amp;MR]],"LDF&amp;MR",IF(B394=Reactivos_[[#This Row],[Cantidad RED LASE]],"LASE",IF(B394=Reactivos_[[#This Row],[Cantidad LANIA]],"LANIA",IF(B394=Reactivos_[[#This Row],[Cantidad SPA]],"SPA"," ")))))))))</f>
        <v>LANIP</v>
      </c>
      <c r="B39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4" s="325">
        <v>392</v>
      </c>
      <c r="D394" s="326">
        <v>569</v>
      </c>
      <c r="E394" s="327" t="s">
        <v>1141</v>
      </c>
      <c r="F394" s="244" t="s">
        <v>1142</v>
      </c>
      <c r="G394" s="327"/>
      <c r="H394" s="328" t="s">
        <v>1146</v>
      </c>
      <c r="I394" s="334" t="s">
        <v>888</v>
      </c>
      <c r="J39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94" s="160">
        <v>2535400</v>
      </c>
      <c r="L394" s="160">
        <f>+Reactivos_[[#This Row],[Cantidad]]*Reactivos_[[#This Row],[Valor de referencia]]</f>
        <v>2535400</v>
      </c>
      <c r="M394" s="254">
        <v>1</v>
      </c>
      <c r="N394" s="255">
        <f>+Reactivos_[[#This Row],[Valor de referencia]]*Reactivos_[[#This Row],[Cantidad LANIP]]</f>
        <v>2535400</v>
      </c>
      <c r="O394" s="256"/>
      <c r="P394" s="255">
        <f>+Reactivos_[[#This Row],[Cantidad 
LDV]]*Reactivos_[[#This Row],[Valor de referencia]]</f>
        <v>0</v>
      </c>
      <c r="Q394" s="257"/>
      <c r="R394" s="255">
        <f>+Reactivos_[[#This Row],[Cantidad LNDV]]*Reactivos_[[#This Row],[Valor de referencia]]</f>
        <v>0</v>
      </c>
      <c r="S394" s="148"/>
      <c r="T394" s="255">
        <f>+Reactivos_[[#This Row],[GGCA]]*Reactivos_[[#This Row],[Valor de referencia]]</f>
        <v>0</v>
      </c>
      <c r="U394" s="254"/>
      <c r="V394" s="255">
        <f>+Reactivos_[[#This Row],[Cantidad LDF]]*Reactivos_[[#This Row],[Valor de referencia]]</f>
        <v>0</v>
      </c>
      <c r="W394" s="254"/>
      <c r="X394" s="255">
        <f>+Reactivos_[[#This Row],[Cantidad LDF&amp;MR]]*Reactivos_[[#This Row],[Valor de referencia]]</f>
        <v>0</v>
      </c>
      <c r="Y394" s="254"/>
      <c r="Z394" s="255">
        <f>+Reactivos_[[#This Row],[Cantidad RED LASE]]*Reactivos_[[#This Row],[Valor de referencia]]</f>
        <v>0</v>
      </c>
      <c r="AA394" s="254"/>
      <c r="AB394" s="255">
        <f>+Reactivos_[[#This Row],[Cantidad LANIA]]*Reactivos_[[#This Row],[Valor de referencia]]</f>
        <v>0</v>
      </c>
      <c r="AC394" s="254"/>
      <c r="AD394" s="255">
        <f>+Reactivos_[[#This Row],[Cantidad SPA]]*Reactivos_[[#This Row],[Valor de referencia]]</f>
        <v>0</v>
      </c>
      <c r="AE394" s="148" t="s">
        <v>76</v>
      </c>
      <c r="AF394" s="148" t="s">
        <v>77</v>
      </c>
    </row>
    <row r="395" spans="1:32" ht="22.5" customHeight="1" x14ac:dyDescent="0.25">
      <c r="A395" s="294" t="str">
        <f>IF(B395=Reactivos_[[#This Row],[Cantidad LANIP]],"LANIP",IF(B395=Reactivos_[[#This Row],[Cantidad 
LDV]],"LDV",IF(B395=Reactivos_[[#This Row],[Cantidad LNDV]],"LNDV",IF(B395=Reactivos_[[#This Row],[GGCA]],"GGCA",IF(B395=Reactivos_[[#This Row],[Cantidad LDF]],"LDF",IF(Reactivos_[[#This Row],[Cantidad LDF&amp;MR]],"LDF&amp;MR",IF(B395=Reactivos_[[#This Row],[Cantidad RED LASE]],"LASE",IF(B395=Reactivos_[[#This Row],[Cantidad LANIA]],"LANIA",IF(B395=Reactivos_[[#This Row],[Cantidad SPA]],"SPA"," ")))))))))</f>
        <v>LANIP</v>
      </c>
      <c r="B39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5" s="325">
        <v>393</v>
      </c>
      <c r="D395" s="326">
        <v>570</v>
      </c>
      <c r="E395" s="327" t="s">
        <v>1147</v>
      </c>
      <c r="F395" s="244" t="s">
        <v>1148</v>
      </c>
      <c r="G395" s="327"/>
      <c r="H395" s="328" t="s">
        <v>1149</v>
      </c>
      <c r="I395" s="347" t="s">
        <v>892</v>
      </c>
      <c r="J39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395" s="160">
        <v>1968925</v>
      </c>
      <c r="L395" s="160">
        <f>+Reactivos_[[#This Row],[Cantidad]]*Reactivos_[[#This Row],[Valor de referencia]]</f>
        <v>3937850</v>
      </c>
      <c r="M395" s="254">
        <v>1</v>
      </c>
      <c r="N395" s="255">
        <f>+Reactivos_[[#This Row],[Valor de referencia]]*Reactivos_[[#This Row],[Cantidad LANIP]]</f>
        <v>1968925</v>
      </c>
      <c r="O395" s="256"/>
      <c r="P395" s="255">
        <f>+Reactivos_[[#This Row],[Cantidad 
LDV]]*Reactivos_[[#This Row],[Valor de referencia]]</f>
        <v>0</v>
      </c>
      <c r="Q395" s="257"/>
      <c r="R395" s="255">
        <f>+Reactivos_[[#This Row],[Cantidad LNDV]]*Reactivos_[[#This Row],[Valor de referencia]]</f>
        <v>0</v>
      </c>
      <c r="S395" s="148"/>
      <c r="T395" s="255">
        <f>+Reactivos_[[#This Row],[GGCA]]*Reactivos_[[#This Row],[Valor de referencia]]</f>
        <v>0</v>
      </c>
      <c r="U395" s="254"/>
      <c r="V395" s="255">
        <f>+Reactivos_[[#This Row],[Cantidad LDF]]*Reactivos_[[#This Row],[Valor de referencia]]</f>
        <v>0</v>
      </c>
      <c r="W395" s="254"/>
      <c r="X395" s="255">
        <f>+Reactivos_[[#This Row],[Cantidad LDF&amp;MR]]*Reactivos_[[#This Row],[Valor de referencia]]</f>
        <v>0</v>
      </c>
      <c r="Y395" s="254"/>
      <c r="Z395" s="255">
        <f>+Reactivos_[[#This Row],[Cantidad RED LASE]]*Reactivos_[[#This Row],[Valor de referencia]]</f>
        <v>0</v>
      </c>
      <c r="AA395" s="254">
        <v>1</v>
      </c>
      <c r="AB395" s="255">
        <f>+Reactivos_[[#This Row],[Cantidad LANIA]]*Reactivos_[[#This Row],[Valor de referencia]]</f>
        <v>1968925</v>
      </c>
      <c r="AC395" s="254"/>
      <c r="AD395" s="255">
        <f>+Reactivos_[[#This Row],[Cantidad SPA]]*Reactivos_[[#This Row],[Valor de referencia]]</f>
        <v>0</v>
      </c>
      <c r="AE395" s="148" t="s">
        <v>76</v>
      </c>
      <c r="AF395" s="148" t="s">
        <v>77</v>
      </c>
    </row>
    <row r="396" spans="1:32" ht="33.75" customHeight="1" x14ac:dyDescent="0.25">
      <c r="A396" s="294" t="str">
        <f>IF(B396=Reactivos_[[#This Row],[Cantidad LANIP]],"LANIP",IF(B396=Reactivos_[[#This Row],[Cantidad 
LDV]],"LDV",IF(B396=Reactivos_[[#This Row],[Cantidad LNDV]],"LNDV",IF(B396=Reactivos_[[#This Row],[GGCA]],"GGCA",IF(B396=Reactivos_[[#This Row],[Cantidad LDF]],"LDF",IF(Reactivos_[[#This Row],[Cantidad LDF&amp;MR]],"LDF&amp;MR",IF(B396=Reactivos_[[#This Row],[Cantidad RED LASE]],"LASE",IF(B396=Reactivos_[[#This Row],[Cantidad LANIA]],"LANIA",IF(B396=Reactivos_[[#This Row],[Cantidad SPA]],"SPA"," ")))))))))</f>
        <v>LANIP</v>
      </c>
      <c r="B39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6" s="325">
        <v>394</v>
      </c>
      <c r="D396" s="326">
        <v>571</v>
      </c>
      <c r="E396" s="327" t="s">
        <v>1147</v>
      </c>
      <c r="F396" s="244" t="s">
        <v>1148</v>
      </c>
      <c r="G396" s="327"/>
      <c r="H396" s="328" t="s">
        <v>1150</v>
      </c>
      <c r="I396" s="334" t="s">
        <v>1151</v>
      </c>
      <c r="J39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96" s="160">
        <v>1347031</v>
      </c>
      <c r="L396" s="160">
        <f>+Reactivos_[[#This Row],[Cantidad]]*Reactivos_[[#This Row],[Valor de referencia]]</f>
        <v>1347031</v>
      </c>
      <c r="M396" s="254">
        <v>1</v>
      </c>
      <c r="N396" s="255">
        <f>+Reactivos_[[#This Row],[Valor de referencia]]*Reactivos_[[#This Row],[Cantidad LANIP]]</f>
        <v>1347031</v>
      </c>
      <c r="O396" s="256"/>
      <c r="P396" s="255">
        <f>+Reactivos_[[#This Row],[Cantidad 
LDV]]*Reactivos_[[#This Row],[Valor de referencia]]</f>
        <v>0</v>
      </c>
      <c r="Q396" s="257"/>
      <c r="R396" s="255">
        <f>+Reactivos_[[#This Row],[Cantidad LNDV]]*Reactivos_[[#This Row],[Valor de referencia]]</f>
        <v>0</v>
      </c>
      <c r="S396" s="148"/>
      <c r="T396" s="255">
        <f>+Reactivos_[[#This Row],[GGCA]]*Reactivos_[[#This Row],[Valor de referencia]]</f>
        <v>0</v>
      </c>
      <c r="U396" s="254"/>
      <c r="V396" s="255">
        <f>+Reactivos_[[#This Row],[Cantidad LDF]]*Reactivos_[[#This Row],[Valor de referencia]]</f>
        <v>0</v>
      </c>
      <c r="W396" s="254"/>
      <c r="X396" s="255">
        <f>+Reactivos_[[#This Row],[Cantidad LDF&amp;MR]]*Reactivos_[[#This Row],[Valor de referencia]]</f>
        <v>0</v>
      </c>
      <c r="Y396" s="254"/>
      <c r="Z396" s="255">
        <f>+Reactivos_[[#This Row],[Cantidad RED LASE]]*Reactivos_[[#This Row],[Valor de referencia]]</f>
        <v>0</v>
      </c>
      <c r="AA396" s="254"/>
      <c r="AB396" s="255">
        <f>+Reactivos_[[#This Row],[Cantidad LANIA]]*Reactivos_[[#This Row],[Valor de referencia]]</f>
        <v>0</v>
      </c>
      <c r="AC396" s="254"/>
      <c r="AD396" s="255">
        <f>+Reactivos_[[#This Row],[Cantidad SPA]]*Reactivos_[[#This Row],[Valor de referencia]]</f>
        <v>0</v>
      </c>
      <c r="AE396" s="148" t="s">
        <v>76</v>
      </c>
      <c r="AF396" s="148" t="s">
        <v>77</v>
      </c>
    </row>
    <row r="397" spans="1:32" ht="25.5" customHeight="1" x14ac:dyDescent="0.25">
      <c r="A397" s="294" t="str">
        <f>IF(B397=Reactivos_[[#This Row],[Cantidad LANIP]],"LANIP",IF(B397=Reactivos_[[#This Row],[Cantidad 
LDV]],"LDV",IF(B397=Reactivos_[[#This Row],[Cantidad LNDV]],"LNDV",IF(B397=Reactivos_[[#This Row],[GGCA]],"GGCA",IF(B397=Reactivos_[[#This Row],[Cantidad LDF]],"LDF",IF(Reactivos_[[#This Row],[Cantidad LDF&amp;MR]],"LDF&amp;MR",IF(B397=Reactivos_[[#This Row],[Cantidad RED LASE]],"LASE",IF(B397=Reactivos_[[#This Row],[Cantidad LANIA]],"LANIA",IF(B397=Reactivos_[[#This Row],[Cantidad SPA]],"SPA"," ")))))))))</f>
        <v>LANIP</v>
      </c>
      <c r="B39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7" s="325">
        <v>395</v>
      </c>
      <c r="D397" s="326">
        <v>572</v>
      </c>
      <c r="E397" s="327" t="s">
        <v>1147</v>
      </c>
      <c r="F397" s="244" t="s">
        <v>1148</v>
      </c>
      <c r="G397" s="327"/>
      <c r="H397" s="330" t="s">
        <v>1152</v>
      </c>
      <c r="I397" s="352" t="s">
        <v>1153</v>
      </c>
      <c r="J39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97" s="160">
        <v>3062307</v>
      </c>
      <c r="L397" s="160">
        <f>+Reactivos_[[#This Row],[Cantidad]]*Reactivos_[[#This Row],[Valor de referencia]]</f>
        <v>3062307</v>
      </c>
      <c r="M397" s="254">
        <v>1</v>
      </c>
      <c r="N397" s="255">
        <f>+Reactivos_[[#This Row],[Valor de referencia]]*Reactivos_[[#This Row],[Cantidad LANIP]]</f>
        <v>3062307</v>
      </c>
      <c r="O397" s="256"/>
      <c r="P397" s="255">
        <f>+Reactivos_[[#This Row],[Cantidad 
LDV]]*Reactivos_[[#This Row],[Valor de referencia]]</f>
        <v>0</v>
      </c>
      <c r="Q397" s="257"/>
      <c r="R397" s="255">
        <f>+Reactivos_[[#This Row],[Cantidad LNDV]]*Reactivos_[[#This Row],[Valor de referencia]]</f>
        <v>0</v>
      </c>
      <c r="S397" s="148"/>
      <c r="T397" s="255">
        <f>+Reactivos_[[#This Row],[GGCA]]*Reactivos_[[#This Row],[Valor de referencia]]</f>
        <v>0</v>
      </c>
      <c r="U397" s="254"/>
      <c r="V397" s="255">
        <f>+Reactivos_[[#This Row],[Cantidad LDF]]*Reactivos_[[#This Row],[Valor de referencia]]</f>
        <v>0</v>
      </c>
      <c r="W397" s="254"/>
      <c r="X397" s="255">
        <f>+Reactivos_[[#This Row],[Cantidad LDF&amp;MR]]*Reactivos_[[#This Row],[Valor de referencia]]</f>
        <v>0</v>
      </c>
      <c r="Y397" s="254"/>
      <c r="Z397" s="255">
        <f>+Reactivos_[[#This Row],[Cantidad RED LASE]]*Reactivos_[[#This Row],[Valor de referencia]]</f>
        <v>0</v>
      </c>
      <c r="AA397" s="254"/>
      <c r="AB397" s="255">
        <f>+Reactivos_[[#This Row],[Cantidad LANIA]]*Reactivos_[[#This Row],[Valor de referencia]]</f>
        <v>0</v>
      </c>
      <c r="AC397" s="254"/>
      <c r="AD397" s="255">
        <f>+Reactivos_[[#This Row],[Cantidad SPA]]*Reactivos_[[#This Row],[Valor de referencia]]</f>
        <v>0</v>
      </c>
      <c r="AE397" s="148" t="s">
        <v>76</v>
      </c>
      <c r="AF397" s="148" t="s">
        <v>77</v>
      </c>
    </row>
    <row r="398" spans="1:32" ht="22.5" customHeight="1" x14ac:dyDescent="0.25">
      <c r="A398" s="294" t="str">
        <f>IF(B398=Reactivos_[[#This Row],[Cantidad LANIP]],"LANIP",IF(B398=Reactivos_[[#This Row],[Cantidad 
LDV]],"LDV",IF(B398=Reactivos_[[#This Row],[Cantidad LNDV]],"LNDV",IF(B398=Reactivos_[[#This Row],[GGCA]],"GGCA",IF(B398=Reactivos_[[#This Row],[Cantidad LDF]],"LDF",IF(Reactivos_[[#This Row],[Cantidad LDF&amp;MR]],"LDF&amp;MR",IF(B398=Reactivos_[[#This Row],[Cantidad RED LASE]],"LASE",IF(B398=Reactivos_[[#This Row],[Cantidad LANIA]],"LANIA",IF(B398=Reactivos_[[#This Row],[Cantidad SPA]],"SPA"," ")))))))))</f>
        <v>LANIP</v>
      </c>
      <c r="B39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8" s="325">
        <v>396</v>
      </c>
      <c r="D398" s="326">
        <v>573</v>
      </c>
      <c r="E398" s="327" t="s">
        <v>1154</v>
      </c>
      <c r="F398" s="244" t="s">
        <v>1155</v>
      </c>
      <c r="G398" s="327"/>
      <c r="H398" s="328" t="s">
        <v>1156</v>
      </c>
      <c r="I398" s="347" t="s">
        <v>892</v>
      </c>
      <c r="J39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98" s="160">
        <v>1666390</v>
      </c>
      <c r="L398" s="160">
        <f>+Reactivos_[[#This Row],[Cantidad]]*Reactivos_[[#This Row],[Valor de referencia]]</f>
        <v>1666390</v>
      </c>
      <c r="M398" s="254">
        <v>1</v>
      </c>
      <c r="N398" s="255">
        <f>+Reactivos_[[#This Row],[Valor de referencia]]*Reactivos_[[#This Row],[Cantidad LANIP]]</f>
        <v>1666390</v>
      </c>
      <c r="O398" s="256"/>
      <c r="P398" s="255">
        <f>+Reactivos_[[#This Row],[Cantidad 
LDV]]*Reactivos_[[#This Row],[Valor de referencia]]</f>
        <v>0</v>
      </c>
      <c r="Q398" s="257"/>
      <c r="R398" s="255">
        <f>+Reactivos_[[#This Row],[Cantidad LNDV]]*Reactivos_[[#This Row],[Valor de referencia]]</f>
        <v>0</v>
      </c>
      <c r="S398" s="148"/>
      <c r="T398" s="255">
        <f>+Reactivos_[[#This Row],[GGCA]]*Reactivos_[[#This Row],[Valor de referencia]]</f>
        <v>0</v>
      </c>
      <c r="U398" s="254"/>
      <c r="V398" s="255">
        <f>+Reactivos_[[#This Row],[Cantidad LDF]]*Reactivos_[[#This Row],[Valor de referencia]]</f>
        <v>0</v>
      </c>
      <c r="W398" s="254"/>
      <c r="X398" s="255">
        <f>+Reactivos_[[#This Row],[Cantidad LDF&amp;MR]]*Reactivos_[[#This Row],[Valor de referencia]]</f>
        <v>0</v>
      </c>
      <c r="Y398" s="254"/>
      <c r="Z398" s="255">
        <f>+Reactivos_[[#This Row],[Cantidad RED LASE]]*Reactivos_[[#This Row],[Valor de referencia]]</f>
        <v>0</v>
      </c>
      <c r="AA398" s="254"/>
      <c r="AB398" s="255">
        <f>+Reactivos_[[#This Row],[Cantidad LANIA]]*Reactivos_[[#This Row],[Valor de referencia]]</f>
        <v>0</v>
      </c>
      <c r="AC398" s="254"/>
      <c r="AD398" s="255">
        <f>+Reactivos_[[#This Row],[Cantidad SPA]]*Reactivos_[[#This Row],[Valor de referencia]]</f>
        <v>0</v>
      </c>
      <c r="AE398" s="148" t="s">
        <v>76</v>
      </c>
      <c r="AF398" s="148" t="s">
        <v>77</v>
      </c>
    </row>
    <row r="399" spans="1:32" ht="38.25" x14ac:dyDescent="0.25">
      <c r="A399" s="294" t="str">
        <f>IF(B399=Reactivos_[[#This Row],[Cantidad LANIP]],"LANIP",IF(B399=Reactivos_[[#This Row],[Cantidad 
LDV]],"LDV",IF(B399=Reactivos_[[#This Row],[Cantidad LNDV]],"LNDV",IF(B399=Reactivos_[[#This Row],[GGCA]],"GGCA",IF(B399=Reactivos_[[#This Row],[Cantidad LDF]],"LDF",IF(Reactivos_[[#This Row],[Cantidad LDF&amp;MR]],"LDF&amp;MR",IF(B399=Reactivos_[[#This Row],[Cantidad RED LASE]],"LASE",IF(B399=Reactivos_[[#This Row],[Cantidad LANIA]],"LANIA",IF(B399=Reactivos_[[#This Row],[Cantidad SPA]],"SPA"," ")))))))))</f>
        <v>LANIP</v>
      </c>
      <c r="B39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399" s="325">
        <v>397</v>
      </c>
      <c r="D399" s="326">
        <v>574</v>
      </c>
      <c r="E399" s="327" t="s">
        <v>1154</v>
      </c>
      <c r="F399" s="244" t="s">
        <v>1155</v>
      </c>
      <c r="G399" s="327"/>
      <c r="H399" s="328" t="s">
        <v>1157</v>
      </c>
      <c r="I399" s="334" t="s">
        <v>1060</v>
      </c>
      <c r="J39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399" s="160">
        <v>890553</v>
      </c>
      <c r="L399" s="160">
        <f>+Reactivos_[[#This Row],[Cantidad]]*Reactivos_[[#This Row],[Valor de referencia]]</f>
        <v>890553</v>
      </c>
      <c r="M399" s="254">
        <v>1</v>
      </c>
      <c r="N399" s="255">
        <f>+Reactivos_[[#This Row],[Valor de referencia]]*Reactivos_[[#This Row],[Cantidad LANIP]]</f>
        <v>890553</v>
      </c>
      <c r="O399" s="256"/>
      <c r="P399" s="255">
        <f>+Reactivos_[[#This Row],[Cantidad 
LDV]]*Reactivos_[[#This Row],[Valor de referencia]]</f>
        <v>0</v>
      </c>
      <c r="Q399" s="257"/>
      <c r="R399" s="255">
        <f>+Reactivos_[[#This Row],[Cantidad LNDV]]*Reactivos_[[#This Row],[Valor de referencia]]</f>
        <v>0</v>
      </c>
      <c r="S399" s="148"/>
      <c r="T399" s="255">
        <f>+Reactivos_[[#This Row],[GGCA]]*Reactivos_[[#This Row],[Valor de referencia]]</f>
        <v>0</v>
      </c>
      <c r="U399" s="254"/>
      <c r="V399" s="255">
        <f>+Reactivos_[[#This Row],[Cantidad LDF]]*Reactivos_[[#This Row],[Valor de referencia]]</f>
        <v>0</v>
      </c>
      <c r="W399" s="254"/>
      <c r="X399" s="255">
        <f>+Reactivos_[[#This Row],[Cantidad LDF&amp;MR]]*Reactivos_[[#This Row],[Valor de referencia]]</f>
        <v>0</v>
      </c>
      <c r="Y399" s="254"/>
      <c r="Z399" s="255">
        <f>+Reactivos_[[#This Row],[Cantidad RED LASE]]*Reactivos_[[#This Row],[Valor de referencia]]</f>
        <v>0</v>
      </c>
      <c r="AA399" s="254"/>
      <c r="AB399" s="255">
        <f>+Reactivos_[[#This Row],[Cantidad LANIA]]*Reactivos_[[#This Row],[Valor de referencia]]</f>
        <v>0</v>
      </c>
      <c r="AC399" s="254"/>
      <c r="AD399" s="255">
        <f>+Reactivos_[[#This Row],[Cantidad SPA]]*Reactivos_[[#This Row],[Valor de referencia]]</f>
        <v>0</v>
      </c>
      <c r="AE399" s="148" t="s">
        <v>76</v>
      </c>
      <c r="AF399" s="148" t="s">
        <v>77</v>
      </c>
    </row>
    <row r="400" spans="1:32" ht="43.5" customHeight="1" x14ac:dyDescent="0.25">
      <c r="A400" s="294" t="str">
        <f>IF(B400=Reactivos_[[#This Row],[Cantidad LANIP]],"LANIP",IF(B400=Reactivos_[[#This Row],[Cantidad 
LDV]],"LDV",IF(B400=Reactivos_[[#This Row],[Cantidad LNDV]],"LNDV",IF(B400=Reactivos_[[#This Row],[GGCA]],"GGCA",IF(B400=Reactivos_[[#This Row],[Cantidad LDF]],"LDF",IF(Reactivos_[[#This Row],[Cantidad LDF&amp;MR]],"LDF&amp;MR",IF(B400=Reactivos_[[#This Row],[Cantidad RED LASE]],"LASE",IF(B400=Reactivos_[[#This Row],[Cantidad LANIA]],"LANIA",IF(B400=Reactivos_[[#This Row],[Cantidad SPA]],"SPA"," ")))))))))</f>
        <v>LANIP</v>
      </c>
      <c r="B40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0" s="325">
        <v>398</v>
      </c>
      <c r="D400" s="326">
        <v>575</v>
      </c>
      <c r="E400" s="327" t="s">
        <v>1154</v>
      </c>
      <c r="F400" s="244" t="s">
        <v>1155</v>
      </c>
      <c r="G400" s="327"/>
      <c r="H400" s="330" t="s">
        <v>1158</v>
      </c>
      <c r="I400" s="352" t="s">
        <v>1075</v>
      </c>
      <c r="J40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0" s="160">
        <v>2896817</v>
      </c>
      <c r="L400" s="160">
        <f>+Reactivos_[[#This Row],[Cantidad]]*Reactivos_[[#This Row],[Valor de referencia]]</f>
        <v>2896817</v>
      </c>
      <c r="M400" s="254">
        <v>1</v>
      </c>
      <c r="N400" s="255">
        <f>+Reactivos_[[#This Row],[Valor de referencia]]*Reactivos_[[#This Row],[Cantidad LANIP]]</f>
        <v>2896817</v>
      </c>
      <c r="O400" s="256"/>
      <c r="P400" s="255">
        <f>+Reactivos_[[#This Row],[Cantidad 
LDV]]*Reactivos_[[#This Row],[Valor de referencia]]</f>
        <v>0</v>
      </c>
      <c r="Q400" s="257"/>
      <c r="R400" s="255">
        <f>+Reactivos_[[#This Row],[Cantidad LNDV]]*Reactivos_[[#This Row],[Valor de referencia]]</f>
        <v>0</v>
      </c>
      <c r="S400" s="148"/>
      <c r="T400" s="255">
        <f>+Reactivos_[[#This Row],[GGCA]]*Reactivos_[[#This Row],[Valor de referencia]]</f>
        <v>0</v>
      </c>
      <c r="U400" s="254"/>
      <c r="V400" s="255">
        <f>+Reactivos_[[#This Row],[Cantidad LDF]]*Reactivos_[[#This Row],[Valor de referencia]]</f>
        <v>0</v>
      </c>
      <c r="W400" s="254"/>
      <c r="X400" s="255">
        <f>+Reactivos_[[#This Row],[Cantidad LDF&amp;MR]]*Reactivos_[[#This Row],[Valor de referencia]]</f>
        <v>0</v>
      </c>
      <c r="Y400" s="254"/>
      <c r="Z400" s="255">
        <f>+Reactivos_[[#This Row],[Cantidad RED LASE]]*Reactivos_[[#This Row],[Valor de referencia]]</f>
        <v>0</v>
      </c>
      <c r="AA400" s="254"/>
      <c r="AB400" s="255">
        <f>+Reactivos_[[#This Row],[Cantidad LANIA]]*Reactivos_[[#This Row],[Valor de referencia]]</f>
        <v>0</v>
      </c>
      <c r="AC400" s="254"/>
      <c r="AD400" s="255">
        <f>+Reactivos_[[#This Row],[Cantidad SPA]]*Reactivos_[[#This Row],[Valor de referencia]]</f>
        <v>0</v>
      </c>
      <c r="AE400" s="148" t="s">
        <v>76</v>
      </c>
      <c r="AF400" s="148" t="s">
        <v>77</v>
      </c>
    </row>
    <row r="401" spans="1:32" ht="32.25" customHeight="1" x14ac:dyDescent="0.25">
      <c r="A401" s="294" t="str">
        <f>IF(B401=Reactivos_[[#This Row],[Cantidad LANIP]],"LANIP",IF(B401=Reactivos_[[#This Row],[Cantidad 
LDV]],"LDV",IF(B401=Reactivos_[[#This Row],[Cantidad LNDV]],"LNDV",IF(B401=Reactivos_[[#This Row],[GGCA]],"GGCA",IF(B401=Reactivos_[[#This Row],[Cantidad LDF]],"LDF",IF(Reactivos_[[#This Row],[Cantidad LDF&amp;MR]],"LDF&amp;MR",IF(B401=Reactivos_[[#This Row],[Cantidad RED LASE]],"LASE",IF(B401=Reactivos_[[#This Row],[Cantidad LANIA]],"LANIA",IF(B401=Reactivos_[[#This Row],[Cantidad SPA]],"SPA"," ")))))))))</f>
        <v>LANIP</v>
      </c>
      <c r="B40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1" s="325">
        <v>399</v>
      </c>
      <c r="D401" s="326">
        <v>580</v>
      </c>
      <c r="E401" s="327" t="s">
        <v>1159</v>
      </c>
      <c r="F401" s="244" t="s">
        <v>1160</v>
      </c>
      <c r="G401" s="327"/>
      <c r="H401" s="328" t="s">
        <v>1161</v>
      </c>
      <c r="I401" s="347" t="s">
        <v>892</v>
      </c>
      <c r="J40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1" s="160">
        <v>940041</v>
      </c>
      <c r="L401" s="160">
        <f>+Reactivos_[[#This Row],[Cantidad]]*Reactivos_[[#This Row],[Valor de referencia]]</f>
        <v>940041</v>
      </c>
      <c r="M401" s="254">
        <v>1</v>
      </c>
      <c r="N401" s="255">
        <f>+Reactivos_[[#This Row],[Valor de referencia]]*Reactivos_[[#This Row],[Cantidad LANIP]]</f>
        <v>940041</v>
      </c>
      <c r="O401" s="256"/>
      <c r="P401" s="255">
        <f>+Reactivos_[[#This Row],[Cantidad 
LDV]]*Reactivos_[[#This Row],[Valor de referencia]]</f>
        <v>0</v>
      </c>
      <c r="Q401" s="257"/>
      <c r="R401" s="255">
        <f>+Reactivos_[[#This Row],[Cantidad LNDV]]*Reactivos_[[#This Row],[Valor de referencia]]</f>
        <v>0</v>
      </c>
      <c r="S401" s="148"/>
      <c r="T401" s="255">
        <f>+Reactivos_[[#This Row],[GGCA]]*Reactivos_[[#This Row],[Valor de referencia]]</f>
        <v>0</v>
      </c>
      <c r="U401" s="254"/>
      <c r="V401" s="255">
        <f>+Reactivos_[[#This Row],[Cantidad LDF]]*Reactivos_[[#This Row],[Valor de referencia]]</f>
        <v>0</v>
      </c>
      <c r="W401" s="254"/>
      <c r="X401" s="255">
        <f>+Reactivos_[[#This Row],[Cantidad LDF&amp;MR]]*Reactivos_[[#This Row],[Valor de referencia]]</f>
        <v>0</v>
      </c>
      <c r="Y401" s="254"/>
      <c r="Z401" s="255">
        <f>+Reactivos_[[#This Row],[Cantidad RED LASE]]*Reactivos_[[#This Row],[Valor de referencia]]</f>
        <v>0</v>
      </c>
      <c r="AA401" s="254"/>
      <c r="AB401" s="255">
        <f>+Reactivos_[[#This Row],[Cantidad LANIA]]*Reactivos_[[#This Row],[Valor de referencia]]</f>
        <v>0</v>
      </c>
      <c r="AC401" s="254"/>
      <c r="AD401" s="255">
        <f>+Reactivos_[[#This Row],[Cantidad SPA]]*Reactivos_[[#This Row],[Valor de referencia]]</f>
        <v>0</v>
      </c>
      <c r="AE401" s="148" t="s">
        <v>76</v>
      </c>
      <c r="AF401" s="148" t="s">
        <v>77</v>
      </c>
    </row>
    <row r="402" spans="1:32" ht="27" customHeight="1" x14ac:dyDescent="0.25">
      <c r="A402" s="294" t="str">
        <f>IF(B402=Reactivos_[[#This Row],[Cantidad LANIP]],"LANIP",IF(B402=Reactivos_[[#This Row],[Cantidad 
LDV]],"LDV",IF(B402=Reactivos_[[#This Row],[Cantidad LNDV]],"LNDV",IF(B402=Reactivos_[[#This Row],[GGCA]],"GGCA",IF(B402=Reactivos_[[#This Row],[Cantidad LDF]],"LDF",IF(Reactivos_[[#This Row],[Cantidad LDF&amp;MR]],"LDF&amp;MR",IF(B402=Reactivos_[[#This Row],[Cantidad RED LASE]],"LASE",IF(B402=Reactivos_[[#This Row],[Cantidad LANIA]],"LANIA",IF(B402=Reactivos_[[#This Row],[Cantidad SPA]],"SPA"," ")))))))))</f>
        <v>LANIP</v>
      </c>
      <c r="B40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2" s="325">
        <v>400</v>
      </c>
      <c r="D402" s="326">
        <v>581</v>
      </c>
      <c r="E402" s="327" t="s">
        <v>1159</v>
      </c>
      <c r="F402" s="244" t="s">
        <v>1160</v>
      </c>
      <c r="G402" s="327"/>
      <c r="H402" s="328" t="s">
        <v>1162</v>
      </c>
      <c r="I402" s="334" t="s">
        <v>1140</v>
      </c>
      <c r="J40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2" s="160">
        <v>947835</v>
      </c>
      <c r="L402" s="160">
        <f>+Reactivos_[[#This Row],[Cantidad]]*Reactivos_[[#This Row],[Valor de referencia]]</f>
        <v>947835</v>
      </c>
      <c r="M402" s="254">
        <v>1</v>
      </c>
      <c r="N402" s="255">
        <f>+Reactivos_[[#This Row],[Valor de referencia]]*Reactivos_[[#This Row],[Cantidad LANIP]]</f>
        <v>947835</v>
      </c>
      <c r="O402" s="256"/>
      <c r="P402" s="255">
        <f>+Reactivos_[[#This Row],[Cantidad 
LDV]]*Reactivos_[[#This Row],[Valor de referencia]]</f>
        <v>0</v>
      </c>
      <c r="Q402" s="257"/>
      <c r="R402" s="255">
        <f>+Reactivos_[[#This Row],[Cantidad LNDV]]*Reactivos_[[#This Row],[Valor de referencia]]</f>
        <v>0</v>
      </c>
      <c r="S402" s="148"/>
      <c r="T402" s="255">
        <f>+Reactivos_[[#This Row],[GGCA]]*Reactivos_[[#This Row],[Valor de referencia]]</f>
        <v>0</v>
      </c>
      <c r="U402" s="254"/>
      <c r="V402" s="255">
        <f>+Reactivos_[[#This Row],[Cantidad LDF]]*Reactivos_[[#This Row],[Valor de referencia]]</f>
        <v>0</v>
      </c>
      <c r="W402" s="254"/>
      <c r="X402" s="255">
        <f>+Reactivos_[[#This Row],[Cantidad LDF&amp;MR]]*Reactivos_[[#This Row],[Valor de referencia]]</f>
        <v>0</v>
      </c>
      <c r="Y402" s="254"/>
      <c r="Z402" s="255">
        <f>+Reactivos_[[#This Row],[Cantidad RED LASE]]*Reactivos_[[#This Row],[Valor de referencia]]</f>
        <v>0</v>
      </c>
      <c r="AA402" s="254"/>
      <c r="AB402" s="255">
        <f>+Reactivos_[[#This Row],[Cantidad LANIA]]*Reactivos_[[#This Row],[Valor de referencia]]</f>
        <v>0</v>
      </c>
      <c r="AC402" s="254"/>
      <c r="AD402" s="255">
        <f>+Reactivos_[[#This Row],[Cantidad SPA]]*Reactivos_[[#This Row],[Valor de referencia]]</f>
        <v>0</v>
      </c>
      <c r="AE402" s="148" t="s">
        <v>76</v>
      </c>
      <c r="AF402" s="148" t="s">
        <v>77</v>
      </c>
    </row>
    <row r="403" spans="1:32" ht="38.25" x14ac:dyDescent="0.25">
      <c r="A403" s="294" t="str">
        <f>IF(B403=Reactivos_[[#This Row],[Cantidad LANIP]],"LANIP",IF(B403=Reactivos_[[#This Row],[Cantidad 
LDV]],"LDV",IF(B403=Reactivos_[[#This Row],[Cantidad LNDV]],"LNDV",IF(B403=Reactivos_[[#This Row],[GGCA]],"GGCA",IF(B403=Reactivos_[[#This Row],[Cantidad LDF]],"LDF",IF(Reactivos_[[#This Row],[Cantidad LDF&amp;MR]],"LDF&amp;MR",IF(B403=Reactivos_[[#This Row],[Cantidad RED LASE]],"LASE",IF(B403=Reactivos_[[#This Row],[Cantidad LANIA]],"LANIA",IF(B403=Reactivos_[[#This Row],[Cantidad SPA]],"SPA"," ")))))))))</f>
        <v>LANIP</v>
      </c>
      <c r="B40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3" s="325">
        <v>401</v>
      </c>
      <c r="D403" s="326">
        <v>582</v>
      </c>
      <c r="E403" s="327" t="s">
        <v>1159</v>
      </c>
      <c r="F403" s="244" t="s">
        <v>1160</v>
      </c>
      <c r="G403" s="327"/>
      <c r="H403" s="330" t="s">
        <v>1163</v>
      </c>
      <c r="I403" s="352" t="s">
        <v>855</v>
      </c>
      <c r="J40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3" s="160">
        <v>2834569</v>
      </c>
      <c r="L403" s="160">
        <f>+Reactivos_[[#This Row],[Cantidad]]*Reactivos_[[#This Row],[Valor de referencia]]</f>
        <v>2834569</v>
      </c>
      <c r="M403" s="254">
        <v>1</v>
      </c>
      <c r="N403" s="255">
        <f>+Reactivos_[[#This Row],[Valor de referencia]]*Reactivos_[[#This Row],[Cantidad LANIP]]</f>
        <v>2834569</v>
      </c>
      <c r="O403" s="256"/>
      <c r="P403" s="255">
        <f>+Reactivos_[[#This Row],[Cantidad 
LDV]]*Reactivos_[[#This Row],[Valor de referencia]]</f>
        <v>0</v>
      </c>
      <c r="Q403" s="257"/>
      <c r="R403" s="255">
        <f>+Reactivos_[[#This Row],[Cantidad LNDV]]*Reactivos_[[#This Row],[Valor de referencia]]</f>
        <v>0</v>
      </c>
      <c r="S403" s="148"/>
      <c r="T403" s="255">
        <f>+Reactivos_[[#This Row],[GGCA]]*Reactivos_[[#This Row],[Valor de referencia]]</f>
        <v>0</v>
      </c>
      <c r="U403" s="254"/>
      <c r="V403" s="255">
        <f>+Reactivos_[[#This Row],[Cantidad LDF]]*Reactivos_[[#This Row],[Valor de referencia]]</f>
        <v>0</v>
      </c>
      <c r="W403" s="254"/>
      <c r="X403" s="255">
        <f>+Reactivos_[[#This Row],[Cantidad LDF&amp;MR]]*Reactivos_[[#This Row],[Valor de referencia]]</f>
        <v>0</v>
      </c>
      <c r="Y403" s="254"/>
      <c r="Z403" s="255">
        <f>+Reactivos_[[#This Row],[Cantidad RED LASE]]*Reactivos_[[#This Row],[Valor de referencia]]</f>
        <v>0</v>
      </c>
      <c r="AA403" s="254"/>
      <c r="AB403" s="255">
        <f>+Reactivos_[[#This Row],[Cantidad LANIA]]*Reactivos_[[#This Row],[Valor de referencia]]</f>
        <v>0</v>
      </c>
      <c r="AC403" s="254"/>
      <c r="AD403" s="255">
        <f>+Reactivos_[[#This Row],[Cantidad SPA]]*Reactivos_[[#This Row],[Valor de referencia]]</f>
        <v>0</v>
      </c>
      <c r="AE403" s="148" t="s">
        <v>76</v>
      </c>
      <c r="AF403" s="148" t="s">
        <v>77</v>
      </c>
    </row>
    <row r="404" spans="1:32" ht="51" x14ac:dyDescent="0.25">
      <c r="A404" s="294" t="str">
        <f>IF(B404=Reactivos_[[#This Row],[Cantidad LANIP]],"LANIP",IF(B404=Reactivos_[[#This Row],[Cantidad 
LDV]],"LDV",IF(B404=Reactivos_[[#This Row],[Cantidad LNDV]],"LNDV",IF(B404=Reactivos_[[#This Row],[GGCA]],"GGCA",IF(B404=Reactivos_[[#This Row],[Cantidad LDF]],"LDF",IF(Reactivos_[[#This Row],[Cantidad LDF&amp;MR]],"LDF&amp;MR",IF(B404=Reactivos_[[#This Row],[Cantidad RED LASE]],"LASE",IF(B404=Reactivos_[[#This Row],[Cantidad LANIA]],"LANIA",IF(B404=Reactivos_[[#This Row],[Cantidad SPA]],"SPA"," ")))))))))</f>
        <v>LANIP</v>
      </c>
      <c r="B40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4" s="325">
        <v>402</v>
      </c>
      <c r="D404" s="326">
        <v>585</v>
      </c>
      <c r="E404" s="327" t="s">
        <v>1164</v>
      </c>
      <c r="F404" s="244" t="s">
        <v>1165</v>
      </c>
      <c r="G404" s="327"/>
      <c r="H404" s="328" t="s">
        <v>1166</v>
      </c>
      <c r="I404" s="334" t="s">
        <v>848</v>
      </c>
      <c r="J40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4" s="160">
        <v>674168</v>
      </c>
      <c r="L404" s="160">
        <f>+Reactivos_[[#This Row],[Cantidad]]*Reactivos_[[#This Row],[Valor de referencia]]</f>
        <v>674168</v>
      </c>
      <c r="M404" s="254">
        <v>1</v>
      </c>
      <c r="N404" s="255">
        <f>+Reactivos_[[#This Row],[Valor de referencia]]*Reactivos_[[#This Row],[Cantidad LANIP]]</f>
        <v>674168</v>
      </c>
      <c r="O404" s="256"/>
      <c r="P404" s="255">
        <f>+Reactivos_[[#This Row],[Cantidad 
LDV]]*Reactivos_[[#This Row],[Valor de referencia]]</f>
        <v>0</v>
      </c>
      <c r="Q404" s="257"/>
      <c r="R404" s="255">
        <f>+Reactivos_[[#This Row],[Cantidad LNDV]]*Reactivos_[[#This Row],[Valor de referencia]]</f>
        <v>0</v>
      </c>
      <c r="S404" s="148"/>
      <c r="T404" s="255">
        <f>+Reactivos_[[#This Row],[GGCA]]*Reactivos_[[#This Row],[Valor de referencia]]</f>
        <v>0</v>
      </c>
      <c r="U404" s="254"/>
      <c r="V404" s="255">
        <f>+Reactivos_[[#This Row],[Cantidad LDF]]*Reactivos_[[#This Row],[Valor de referencia]]</f>
        <v>0</v>
      </c>
      <c r="W404" s="254"/>
      <c r="X404" s="255">
        <f>+Reactivos_[[#This Row],[Cantidad LDF&amp;MR]]*Reactivos_[[#This Row],[Valor de referencia]]</f>
        <v>0</v>
      </c>
      <c r="Y404" s="254"/>
      <c r="Z404" s="255">
        <f>+Reactivos_[[#This Row],[Cantidad RED LASE]]*Reactivos_[[#This Row],[Valor de referencia]]</f>
        <v>0</v>
      </c>
      <c r="AA404" s="254"/>
      <c r="AB404" s="255">
        <f>+Reactivos_[[#This Row],[Cantidad LANIA]]*Reactivos_[[#This Row],[Valor de referencia]]</f>
        <v>0</v>
      </c>
      <c r="AC404" s="254"/>
      <c r="AD404" s="255">
        <f>+Reactivos_[[#This Row],[Cantidad SPA]]*Reactivos_[[#This Row],[Valor de referencia]]</f>
        <v>0</v>
      </c>
      <c r="AE404" s="148" t="s">
        <v>76</v>
      </c>
      <c r="AF404" s="148" t="s">
        <v>77</v>
      </c>
    </row>
    <row r="405" spans="1:32" ht="51" x14ac:dyDescent="0.25">
      <c r="A405" s="294" t="str">
        <f>IF(B405=Reactivos_[[#This Row],[Cantidad LANIP]],"LANIP",IF(B405=Reactivos_[[#This Row],[Cantidad 
LDV]],"LDV",IF(B405=Reactivos_[[#This Row],[Cantidad LNDV]],"LNDV",IF(B405=Reactivos_[[#This Row],[GGCA]],"GGCA",IF(B405=Reactivos_[[#This Row],[Cantidad LDF]],"LDF",IF(Reactivos_[[#This Row],[Cantidad LDF&amp;MR]],"LDF&amp;MR",IF(B405=Reactivos_[[#This Row],[Cantidad RED LASE]],"LASE",IF(B405=Reactivos_[[#This Row],[Cantidad LANIA]],"LANIA",IF(B405=Reactivos_[[#This Row],[Cantidad SPA]],"SPA"," ")))))))))</f>
        <v>LANIP</v>
      </c>
      <c r="B40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5" s="325">
        <v>403</v>
      </c>
      <c r="D405" s="326">
        <v>586</v>
      </c>
      <c r="E405" s="327" t="s">
        <v>1167</v>
      </c>
      <c r="F405" s="244" t="s">
        <v>1168</v>
      </c>
      <c r="G405" s="327"/>
      <c r="H405" s="328" t="s">
        <v>1169</v>
      </c>
      <c r="I405" s="329" t="s">
        <v>1066</v>
      </c>
      <c r="J40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5" s="160">
        <v>882148</v>
      </c>
      <c r="L405" s="160">
        <f>+Reactivos_[[#This Row],[Cantidad]]*Reactivos_[[#This Row],[Valor de referencia]]</f>
        <v>882148</v>
      </c>
      <c r="M405" s="254">
        <v>1</v>
      </c>
      <c r="N405" s="255">
        <f>+Reactivos_[[#This Row],[Valor de referencia]]*Reactivos_[[#This Row],[Cantidad LANIP]]</f>
        <v>882148</v>
      </c>
      <c r="O405" s="256"/>
      <c r="P405" s="255">
        <f>+Reactivos_[[#This Row],[Cantidad 
LDV]]*Reactivos_[[#This Row],[Valor de referencia]]</f>
        <v>0</v>
      </c>
      <c r="Q405" s="257"/>
      <c r="R405" s="255">
        <f>+Reactivos_[[#This Row],[Cantidad LNDV]]*Reactivos_[[#This Row],[Valor de referencia]]</f>
        <v>0</v>
      </c>
      <c r="S405" s="148"/>
      <c r="T405" s="255">
        <f>+Reactivos_[[#This Row],[GGCA]]*Reactivos_[[#This Row],[Valor de referencia]]</f>
        <v>0</v>
      </c>
      <c r="U405" s="254"/>
      <c r="V405" s="255">
        <f>+Reactivos_[[#This Row],[Cantidad LDF]]*Reactivos_[[#This Row],[Valor de referencia]]</f>
        <v>0</v>
      </c>
      <c r="W405" s="254"/>
      <c r="X405" s="255">
        <f>+Reactivos_[[#This Row],[Cantidad LDF&amp;MR]]*Reactivos_[[#This Row],[Valor de referencia]]</f>
        <v>0</v>
      </c>
      <c r="Y405" s="254"/>
      <c r="Z405" s="255">
        <f>+Reactivos_[[#This Row],[Cantidad RED LASE]]*Reactivos_[[#This Row],[Valor de referencia]]</f>
        <v>0</v>
      </c>
      <c r="AA405" s="254"/>
      <c r="AB405" s="255">
        <f>+Reactivos_[[#This Row],[Cantidad LANIA]]*Reactivos_[[#This Row],[Valor de referencia]]</f>
        <v>0</v>
      </c>
      <c r="AC405" s="254"/>
      <c r="AD405" s="255">
        <f>+Reactivos_[[#This Row],[Cantidad SPA]]*Reactivos_[[#This Row],[Valor de referencia]]</f>
        <v>0</v>
      </c>
      <c r="AE405" s="148" t="s">
        <v>76</v>
      </c>
      <c r="AF405" s="148" t="s">
        <v>77</v>
      </c>
    </row>
    <row r="406" spans="1:32" ht="51" x14ac:dyDescent="0.25">
      <c r="A406" s="294" t="str">
        <f>IF(B406=Reactivos_[[#This Row],[Cantidad LANIP]],"LANIP",IF(B406=Reactivos_[[#This Row],[Cantidad 
LDV]],"LDV",IF(B406=Reactivos_[[#This Row],[Cantidad LNDV]],"LNDV",IF(B406=Reactivos_[[#This Row],[GGCA]],"GGCA",IF(B406=Reactivos_[[#This Row],[Cantidad LDF]],"LDF",IF(Reactivos_[[#This Row],[Cantidad LDF&amp;MR]],"LDF&amp;MR",IF(B406=Reactivos_[[#This Row],[Cantidad RED LASE]],"LASE",IF(B406=Reactivos_[[#This Row],[Cantidad LANIA]],"LANIA",IF(B406=Reactivos_[[#This Row],[Cantidad SPA]],"SPA"," ")))))))))</f>
        <v>LANIP</v>
      </c>
      <c r="B40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6" s="325">
        <v>404</v>
      </c>
      <c r="D406" s="326">
        <v>587</v>
      </c>
      <c r="E406" s="327" t="s">
        <v>1167</v>
      </c>
      <c r="F406" s="338" t="s">
        <v>1168</v>
      </c>
      <c r="G406" s="339"/>
      <c r="H406" s="328" t="s">
        <v>1170</v>
      </c>
      <c r="I406" s="340" t="s">
        <v>1080</v>
      </c>
      <c r="J40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6" s="160">
        <v>1454073</v>
      </c>
      <c r="L406" s="160">
        <f>+Reactivos_[[#This Row],[Cantidad]]*Reactivos_[[#This Row],[Valor de referencia]]</f>
        <v>1454073</v>
      </c>
      <c r="M406" s="254">
        <v>1</v>
      </c>
      <c r="N406" s="255">
        <f>+Reactivos_[[#This Row],[Valor de referencia]]*Reactivos_[[#This Row],[Cantidad LANIP]]</f>
        <v>1454073</v>
      </c>
      <c r="O406" s="256"/>
      <c r="P406" s="255">
        <f>+Reactivos_[[#This Row],[Cantidad 
LDV]]*Reactivos_[[#This Row],[Valor de referencia]]</f>
        <v>0</v>
      </c>
      <c r="Q406" s="257"/>
      <c r="R406" s="255">
        <f>+Reactivos_[[#This Row],[Cantidad LNDV]]*Reactivos_[[#This Row],[Valor de referencia]]</f>
        <v>0</v>
      </c>
      <c r="S406" s="148"/>
      <c r="T406" s="255">
        <f>+Reactivos_[[#This Row],[GGCA]]*Reactivos_[[#This Row],[Valor de referencia]]</f>
        <v>0</v>
      </c>
      <c r="U406" s="254"/>
      <c r="V406" s="255">
        <f>+Reactivos_[[#This Row],[Cantidad LDF]]*Reactivos_[[#This Row],[Valor de referencia]]</f>
        <v>0</v>
      </c>
      <c r="W406" s="254"/>
      <c r="X406" s="255">
        <f>+Reactivos_[[#This Row],[Cantidad LDF&amp;MR]]*Reactivos_[[#This Row],[Valor de referencia]]</f>
        <v>0</v>
      </c>
      <c r="Y406" s="254"/>
      <c r="Z406" s="255">
        <f>+Reactivos_[[#This Row],[Cantidad RED LASE]]*Reactivos_[[#This Row],[Valor de referencia]]</f>
        <v>0</v>
      </c>
      <c r="AA406" s="254"/>
      <c r="AB406" s="255">
        <f>+Reactivos_[[#This Row],[Cantidad LANIA]]*Reactivos_[[#This Row],[Valor de referencia]]</f>
        <v>0</v>
      </c>
      <c r="AC406" s="254"/>
      <c r="AD406" s="255">
        <f>+Reactivos_[[#This Row],[Cantidad SPA]]*Reactivos_[[#This Row],[Valor de referencia]]</f>
        <v>0</v>
      </c>
      <c r="AE406" s="148" t="s">
        <v>76</v>
      </c>
      <c r="AF406" s="148" t="s">
        <v>77</v>
      </c>
    </row>
    <row r="407" spans="1:32" ht="33.75" customHeight="1" x14ac:dyDescent="0.25">
      <c r="A407" s="294" t="str">
        <f>IF(B407=Reactivos_[[#This Row],[Cantidad LANIP]],"LANIP",IF(B407=Reactivos_[[#This Row],[Cantidad 
LDV]],"LDV",IF(B407=Reactivos_[[#This Row],[Cantidad LNDV]],"LNDV",IF(B407=Reactivos_[[#This Row],[GGCA]],"GGCA",IF(B407=Reactivos_[[#This Row],[Cantidad LDF]],"LDF",IF(Reactivos_[[#This Row],[Cantidad LDF&amp;MR]],"LDF&amp;MR",IF(B407=Reactivos_[[#This Row],[Cantidad RED LASE]],"LASE",IF(B407=Reactivos_[[#This Row],[Cantidad LANIA]],"LANIA",IF(B407=Reactivos_[[#This Row],[Cantidad SPA]],"SPA"," ")))))))))</f>
        <v>LANIA</v>
      </c>
      <c r="B40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7" s="325">
        <v>405</v>
      </c>
      <c r="D407" s="326">
        <v>595</v>
      </c>
      <c r="E407" s="245" t="s">
        <v>1171</v>
      </c>
      <c r="F407" s="244"/>
      <c r="G407" s="245"/>
      <c r="H407" s="346" t="s">
        <v>1172</v>
      </c>
      <c r="I407" s="336" t="s">
        <v>1173</v>
      </c>
      <c r="J40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7" s="160">
        <v>251090</v>
      </c>
      <c r="L407" s="160">
        <f>+Reactivos_[[#This Row],[Cantidad]]*Reactivos_[[#This Row],[Valor de referencia]]</f>
        <v>251090</v>
      </c>
      <c r="M407" s="254">
        <v>0</v>
      </c>
      <c r="N407" s="255">
        <f>+Reactivos_[[#This Row],[Valor de referencia]]*Reactivos_[[#This Row],[Cantidad LANIP]]</f>
        <v>0</v>
      </c>
      <c r="O407" s="256"/>
      <c r="P407" s="255">
        <f>+Reactivos_[[#This Row],[Cantidad 
LDV]]*Reactivos_[[#This Row],[Valor de referencia]]</f>
        <v>0</v>
      </c>
      <c r="Q407" s="257"/>
      <c r="R407" s="255">
        <f>+Reactivos_[[#This Row],[Cantidad LNDV]]*Reactivos_[[#This Row],[Valor de referencia]]</f>
        <v>0</v>
      </c>
      <c r="S407" s="148"/>
      <c r="T407" s="255">
        <f>+Reactivos_[[#This Row],[GGCA]]*Reactivos_[[#This Row],[Valor de referencia]]</f>
        <v>0</v>
      </c>
      <c r="U407" s="254"/>
      <c r="V407" s="255">
        <f>+Reactivos_[[#This Row],[Cantidad LDF]]*Reactivos_[[#This Row],[Valor de referencia]]</f>
        <v>0</v>
      </c>
      <c r="W407" s="254"/>
      <c r="X407" s="255">
        <f>+Reactivos_[[#This Row],[Cantidad LDF&amp;MR]]*Reactivos_[[#This Row],[Valor de referencia]]</f>
        <v>0</v>
      </c>
      <c r="Y407" s="254"/>
      <c r="Z407" s="255">
        <f>+Reactivos_[[#This Row],[Cantidad RED LASE]]*Reactivos_[[#This Row],[Valor de referencia]]</f>
        <v>0</v>
      </c>
      <c r="AA407" s="254">
        <v>1</v>
      </c>
      <c r="AB407" s="255">
        <f>+Reactivos_[[#This Row],[Cantidad LANIA]]*Reactivos_[[#This Row],[Valor de referencia]]</f>
        <v>251090</v>
      </c>
      <c r="AC407" s="254"/>
      <c r="AD407" s="255">
        <f>+Reactivos_[[#This Row],[Cantidad SPA]]*Reactivos_[[#This Row],[Valor de referencia]]</f>
        <v>0</v>
      </c>
      <c r="AE407" s="148" t="s">
        <v>76</v>
      </c>
      <c r="AF407" s="148" t="s">
        <v>77</v>
      </c>
    </row>
    <row r="408" spans="1:32" ht="38.25" x14ac:dyDescent="0.25">
      <c r="A408" s="294" t="str">
        <f>IF(B408=Reactivos_[[#This Row],[Cantidad LANIP]],"LANIP",IF(B408=Reactivos_[[#This Row],[Cantidad 
LDV]],"LDV",IF(B408=Reactivos_[[#This Row],[Cantidad LNDV]],"LNDV",IF(B408=Reactivos_[[#This Row],[GGCA]],"GGCA",IF(B408=Reactivos_[[#This Row],[Cantidad LDF]],"LDF",IF(Reactivos_[[#This Row],[Cantidad LDF&amp;MR]],"LDF&amp;MR",IF(B408=Reactivos_[[#This Row],[Cantidad RED LASE]],"LASE",IF(B408=Reactivos_[[#This Row],[Cantidad LANIA]],"LANIA",IF(B408=Reactivos_[[#This Row],[Cantidad SPA]],"SPA"," ")))))))))</f>
        <v>LANIP</v>
      </c>
      <c r="B40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8" s="325">
        <v>406</v>
      </c>
      <c r="D408" s="326">
        <v>596</v>
      </c>
      <c r="E408" s="331" t="s">
        <v>1174</v>
      </c>
      <c r="F408" s="332" t="s">
        <v>1175</v>
      </c>
      <c r="G408" s="331"/>
      <c r="H408" s="328" t="s">
        <v>1176</v>
      </c>
      <c r="I408" s="347" t="s">
        <v>892</v>
      </c>
      <c r="J40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8" s="160">
        <v>1411902</v>
      </c>
      <c r="L408" s="160">
        <f>+Reactivos_[[#This Row],[Cantidad]]*Reactivos_[[#This Row],[Valor de referencia]]</f>
        <v>1411902</v>
      </c>
      <c r="M408" s="254">
        <v>1</v>
      </c>
      <c r="N408" s="255">
        <f>+Reactivos_[[#This Row],[Valor de referencia]]*Reactivos_[[#This Row],[Cantidad LANIP]]</f>
        <v>1411902</v>
      </c>
      <c r="O408" s="256"/>
      <c r="P408" s="255">
        <f>+Reactivos_[[#This Row],[Cantidad 
LDV]]*Reactivos_[[#This Row],[Valor de referencia]]</f>
        <v>0</v>
      </c>
      <c r="Q408" s="257"/>
      <c r="R408" s="255">
        <f>+Reactivos_[[#This Row],[Cantidad LNDV]]*Reactivos_[[#This Row],[Valor de referencia]]</f>
        <v>0</v>
      </c>
      <c r="S408" s="148"/>
      <c r="T408" s="255">
        <f>+Reactivos_[[#This Row],[GGCA]]*Reactivos_[[#This Row],[Valor de referencia]]</f>
        <v>0</v>
      </c>
      <c r="U408" s="254"/>
      <c r="V408" s="255">
        <f>+Reactivos_[[#This Row],[Cantidad LDF]]*Reactivos_[[#This Row],[Valor de referencia]]</f>
        <v>0</v>
      </c>
      <c r="W408" s="254"/>
      <c r="X408" s="255">
        <f>+Reactivos_[[#This Row],[Cantidad LDF&amp;MR]]*Reactivos_[[#This Row],[Valor de referencia]]</f>
        <v>0</v>
      </c>
      <c r="Y408" s="254"/>
      <c r="Z408" s="255">
        <f>+Reactivos_[[#This Row],[Cantidad RED LASE]]*Reactivos_[[#This Row],[Valor de referencia]]</f>
        <v>0</v>
      </c>
      <c r="AA408" s="254"/>
      <c r="AB408" s="255">
        <f>+Reactivos_[[#This Row],[Cantidad LANIA]]*Reactivos_[[#This Row],[Valor de referencia]]</f>
        <v>0</v>
      </c>
      <c r="AC408" s="254"/>
      <c r="AD408" s="255">
        <f>+Reactivos_[[#This Row],[Cantidad SPA]]*Reactivos_[[#This Row],[Valor de referencia]]</f>
        <v>0</v>
      </c>
      <c r="AE408" s="148" t="s">
        <v>76</v>
      </c>
      <c r="AF408" s="148" t="s">
        <v>77</v>
      </c>
    </row>
    <row r="409" spans="1:32" ht="33.75" customHeight="1" x14ac:dyDescent="0.25">
      <c r="A409" s="294" t="str">
        <f>IF(B409=Reactivos_[[#This Row],[Cantidad LANIP]],"LANIP",IF(B409=Reactivos_[[#This Row],[Cantidad 
LDV]],"LDV",IF(B409=Reactivos_[[#This Row],[Cantidad LNDV]],"LNDV",IF(B409=Reactivos_[[#This Row],[GGCA]],"GGCA",IF(B409=Reactivos_[[#This Row],[Cantidad LDF]],"LDF",IF(Reactivos_[[#This Row],[Cantidad LDF&amp;MR]],"LDF&amp;MR",IF(B409=Reactivos_[[#This Row],[Cantidad RED LASE]],"LASE",IF(B409=Reactivos_[[#This Row],[Cantidad LANIA]],"LANIA",IF(B409=Reactivos_[[#This Row],[Cantidad SPA]],"SPA"," ")))))))))</f>
        <v>LANIP</v>
      </c>
      <c r="B40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09" s="325">
        <v>407</v>
      </c>
      <c r="D409" s="326">
        <v>597</v>
      </c>
      <c r="E409" s="331" t="s">
        <v>1174</v>
      </c>
      <c r="F409" s="332" t="s">
        <v>1175</v>
      </c>
      <c r="G409" s="331"/>
      <c r="H409" s="328" t="s">
        <v>1177</v>
      </c>
      <c r="I409" s="334" t="s">
        <v>1060</v>
      </c>
      <c r="J40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09" s="160">
        <v>983786</v>
      </c>
      <c r="L409" s="160">
        <f>+Reactivos_[[#This Row],[Cantidad]]*Reactivos_[[#This Row],[Valor de referencia]]</f>
        <v>983786</v>
      </c>
      <c r="M409" s="254">
        <v>1</v>
      </c>
      <c r="N409" s="255">
        <f>+Reactivos_[[#This Row],[Valor de referencia]]*Reactivos_[[#This Row],[Cantidad LANIP]]</f>
        <v>983786</v>
      </c>
      <c r="O409" s="256"/>
      <c r="P409" s="255">
        <f>+Reactivos_[[#This Row],[Cantidad 
LDV]]*Reactivos_[[#This Row],[Valor de referencia]]</f>
        <v>0</v>
      </c>
      <c r="Q409" s="257"/>
      <c r="R409" s="255">
        <f>+Reactivos_[[#This Row],[Cantidad LNDV]]*Reactivos_[[#This Row],[Valor de referencia]]</f>
        <v>0</v>
      </c>
      <c r="S409" s="148"/>
      <c r="T409" s="255">
        <f>+Reactivos_[[#This Row],[GGCA]]*Reactivos_[[#This Row],[Valor de referencia]]</f>
        <v>0</v>
      </c>
      <c r="U409" s="254"/>
      <c r="V409" s="255">
        <f>+Reactivos_[[#This Row],[Cantidad LDF]]*Reactivos_[[#This Row],[Valor de referencia]]</f>
        <v>0</v>
      </c>
      <c r="W409" s="254"/>
      <c r="X409" s="255">
        <f>+Reactivos_[[#This Row],[Cantidad LDF&amp;MR]]*Reactivos_[[#This Row],[Valor de referencia]]</f>
        <v>0</v>
      </c>
      <c r="Y409" s="254"/>
      <c r="Z409" s="255">
        <f>+Reactivos_[[#This Row],[Cantidad RED LASE]]*Reactivos_[[#This Row],[Valor de referencia]]</f>
        <v>0</v>
      </c>
      <c r="AA409" s="254"/>
      <c r="AB409" s="255">
        <f>+Reactivos_[[#This Row],[Cantidad LANIA]]*Reactivos_[[#This Row],[Valor de referencia]]</f>
        <v>0</v>
      </c>
      <c r="AC409" s="254"/>
      <c r="AD409" s="255">
        <f>+Reactivos_[[#This Row],[Cantidad SPA]]*Reactivos_[[#This Row],[Valor de referencia]]</f>
        <v>0</v>
      </c>
      <c r="AE409" s="148" t="s">
        <v>76</v>
      </c>
      <c r="AF409" s="148" t="s">
        <v>77</v>
      </c>
    </row>
    <row r="410" spans="1:32" ht="38.25" x14ac:dyDescent="0.25">
      <c r="A410" s="294" t="str">
        <f>IF(B410=Reactivos_[[#This Row],[Cantidad LANIP]],"LANIP",IF(B410=Reactivos_[[#This Row],[Cantidad 
LDV]],"LDV",IF(B410=Reactivos_[[#This Row],[Cantidad LNDV]],"LNDV",IF(B410=Reactivos_[[#This Row],[GGCA]],"GGCA",IF(B410=Reactivos_[[#This Row],[Cantidad LDF]],"LDF",IF(Reactivos_[[#This Row],[Cantidad LDF&amp;MR]],"LDF&amp;MR",IF(B410=Reactivos_[[#This Row],[Cantidad RED LASE]],"LASE",IF(B410=Reactivos_[[#This Row],[Cantidad LANIA]],"LANIA",IF(B410=Reactivos_[[#This Row],[Cantidad SPA]],"SPA"," ")))))))))</f>
        <v>LANIP</v>
      </c>
      <c r="B41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10" s="325">
        <v>408</v>
      </c>
      <c r="D410" s="326">
        <v>598</v>
      </c>
      <c r="E410" s="331" t="s">
        <v>1174</v>
      </c>
      <c r="F410" s="332" t="s">
        <v>1175</v>
      </c>
      <c r="G410" s="331"/>
      <c r="H410" s="328" t="s">
        <v>1178</v>
      </c>
      <c r="I410" s="334" t="s">
        <v>855</v>
      </c>
      <c r="J41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10" s="160">
        <v>2864935</v>
      </c>
      <c r="L410" s="160">
        <f>+Reactivos_[[#This Row],[Cantidad]]*Reactivos_[[#This Row],[Valor de referencia]]</f>
        <v>2864935</v>
      </c>
      <c r="M410" s="254">
        <v>1</v>
      </c>
      <c r="N410" s="255">
        <f>+Reactivos_[[#This Row],[Valor de referencia]]*Reactivos_[[#This Row],[Cantidad LANIP]]</f>
        <v>2864935</v>
      </c>
      <c r="O410" s="256"/>
      <c r="P410" s="255">
        <f>+Reactivos_[[#This Row],[Cantidad 
LDV]]*Reactivos_[[#This Row],[Valor de referencia]]</f>
        <v>0</v>
      </c>
      <c r="Q410" s="257"/>
      <c r="R410" s="255">
        <f>+Reactivos_[[#This Row],[Cantidad LNDV]]*Reactivos_[[#This Row],[Valor de referencia]]</f>
        <v>0</v>
      </c>
      <c r="S410" s="148"/>
      <c r="T410" s="255">
        <f>+Reactivos_[[#This Row],[GGCA]]*Reactivos_[[#This Row],[Valor de referencia]]</f>
        <v>0</v>
      </c>
      <c r="U410" s="254"/>
      <c r="V410" s="255">
        <f>+Reactivos_[[#This Row],[Cantidad LDF]]*Reactivos_[[#This Row],[Valor de referencia]]</f>
        <v>0</v>
      </c>
      <c r="W410" s="254"/>
      <c r="X410" s="255">
        <f>+Reactivos_[[#This Row],[Cantidad LDF&amp;MR]]*Reactivos_[[#This Row],[Valor de referencia]]</f>
        <v>0</v>
      </c>
      <c r="Y410" s="254"/>
      <c r="Z410" s="255">
        <f>+Reactivos_[[#This Row],[Cantidad RED LASE]]*Reactivos_[[#This Row],[Valor de referencia]]</f>
        <v>0</v>
      </c>
      <c r="AA410" s="254"/>
      <c r="AB410" s="255">
        <f>+Reactivos_[[#This Row],[Cantidad LANIA]]*Reactivos_[[#This Row],[Valor de referencia]]</f>
        <v>0</v>
      </c>
      <c r="AC410" s="254"/>
      <c r="AD410" s="255">
        <f>+Reactivos_[[#This Row],[Cantidad SPA]]*Reactivos_[[#This Row],[Valor de referencia]]</f>
        <v>0</v>
      </c>
      <c r="AE410" s="148" t="s">
        <v>76</v>
      </c>
      <c r="AF410" s="148" t="s">
        <v>77</v>
      </c>
    </row>
    <row r="411" spans="1:32" ht="51" x14ac:dyDescent="0.25">
      <c r="A411" s="294" t="str">
        <f>IF(B411=Reactivos_[[#This Row],[Cantidad LANIP]],"LANIP",IF(B411=Reactivos_[[#This Row],[Cantidad 
LDV]],"LDV",IF(B411=Reactivos_[[#This Row],[Cantidad LNDV]],"LNDV",IF(B411=Reactivos_[[#This Row],[GGCA]],"GGCA",IF(B411=Reactivos_[[#This Row],[Cantidad LDF]],"LDF",IF(Reactivos_[[#This Row],[Cantidad LDF&amp;MR]],"LDF&amp;MR",IF(B411=Reactivos_[[#This Row],[Cantidad RED LASE]],"LASE",IF(B411=Reactivos_[[#This Row],[Cantidad LANIA]],"LANIA",IF(B411=Reactivos_[[#This Row],[Cantidad SPA]],"SPA"," ")))))))))</f>
        <v>LANIP</v>
      </c>
      <c r="B41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11" s="325">
        <v>409</v>
      </c>
      <c r="D411" s="326">
        <v>599</v>
      </c>
      <c r="E411" s="327" t="s">
        <v>1179</v>
      </c>
      <c r="F411" s="244" t="s">
        <v>1180</v>
      </c>
      <c r="G411" s="245"/>
      <c r="H411" s="346" t="s">
        <v>1181</v>
      </c>
      <c r="I411" s="336" t="s">
        <v>892</v>
      </c>
      <c r="J41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11" s="160">
        <v>2033234</v>
      </c>
      <c r="L411" s="160">
        <f>+Reactivos_[[#This Row],[Cantidad]]*Reactivos_[[#This Row],[Valor de referencia]]</f>
        <v>2033234</v>
      </c>
      <c r="M411" s="254">
        <v>1</v>
      </c>
      <c r="N411" s="255">
        <f>+Reactivos_[[#This Row],[Valor de referencia]]*Reactivos_[[#This Row],[Cantidad LANIP]]</f>
        <v>2033234</v>
      </c>
      <c r="O411" s="256"/>
      <c r="P411" s="255">
        <f>+Reactivos_[[#This Row],[Cantidad 
LDV]]*Reactivos_[[#This Row],[Valor de referencia]]</f>
        <v>0</v>
      </c>
      <c r="Q411" s="257"/>
      <c r="R411" s="255">
        <f>+Reactivos_[[#This Row],[Cantidad LNDV]]*Reactivos_[[#This Row],[Valor de referencia]]</f>
        <v>0</v>
      </c>
      <c r="S411" s="148"/>
      <c r="T411" s="255">
        <f>+Reactivos_[[#This Row],[GGCA]]*Reactivos_[[#This Row],[Valor de referencia]]</f>
        <v>0</v>
      </c>
      <c r="U411" s="254"/>
      <c r="V411" s="255">
        <f>+Reactivos_[[#This Row],[Cantidad LDF]]*Reactivos_[[#This Row],[Valor de referencia]]</f>
        <v>0</v>
      </c>
      <c r="W411" s="254"/>
      <c r="X411" s="255">
        <f>+Reactivos_[[#This Row],[Cantidad LDF&amp;MR]]*Reactivos_[[#This Row],[Valor de referencia]]</f>
        <v>0</v>
      </c>
      <c r="Y411" s="254"/>
      <c r="Z411" s="255">
        <f>+Reactivos_[[#This Row],[Cantidad RED LASE]]*Reactivos_[[#This Row],[Valor de referencia]]</f>
        <v>0</v>
      </c>
      <c r="AA411" s="254"/>
      <c r="AB411" s="255">
        <f>+Reactivos_[[#This Row],[Cantidad LANIA]]*Reactivos_[[#This Row],[Valor de referencia]]</f>
        <v>0</v>
      </c>
      <c r="AC411" s="254"/>
      <c r="AD411" s="255">
        <f>+Reactivos_[[#This Row],[Cantidad SPA]]*Reactivos_[[#This Row],[Valor de referencia]]</f>
        <v>0</v>
      </c>
      <c r="AE411" s="148" t="s">
        <v>76</v>
      </c>
      <c r="AF411" s="148" t="s">
        <v>77</v>
      </c>
    </row>
    <row r="412" spans="1:32" ht="51" x14ac:dyDescent="0.25">
      <c r="A412" s="294" t="str">
        <f>IF(B412=Reactivos_[[#This Row],[Cantidad LANIP]],"LANIP",IF(B412=Reactivos_[[#This Row],[Cantidad 
LDV]],"LDV",IF(B412=Reactivos_[[#This Row],[Cantidad LNDV]],"LNDV",IF(B412=Reactivos_[[#This Row],[GGCA]],"GGCA",IF(B412=Reactivos_[[#This Row],[Cantidad LDF]],"LDF",IF(Reactivos_[[#This Row],[Cantidad LDF&amp;MR]],"LDF&amp;MR",IF(B412=Reactivos_[[#This Row],[Cantidad RED LASE]],"LASE",IF(B412=Reactivos_[[#This Row],[Cantidad LANIA]],"LANIA",IF(B412=Reactivos_[[#This Row],[Cantidad SPA]],"SPA"," ")))))))))</f>
        <v>LANIP</v>
      </c>
      <c r="B41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12" s="325">
        <v>410</v>
      </c>
      <c r="D412" s="326">
        <v>600</v>
      </c>
      <c r="E412" s="327" t="s">
        <v>1179</v>
      </c>
      <c r="F412" s="244" t="s">
        <v>1180</v>
      </c>
      <c r="G412" s="245"/>
      <c r="H412" s="346" t="s">
        <v>1182</v>
      </c>
      <c r="I412" s="336" t="s">
        <v>1183</v>
      </c>
      <c r="J41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12" s="160">
        <v>732643</v>
      </c>
      <c r="L412" s="160">
        <f>+Reactivos_[[#This Row],[Cantidad]]*Reactivos_[[#This Row],[Valor de referencia]]</f>
        <v>732643</v>
      </c>
      <c r="M412" s="254">
        <v>1</v>
      </c>
      <c r="N412" s="255">
        <f>+Reactivos_[[#This Row],[Valor de referencia]]*Reactivos_[[#This Row],[Cantidad LANIP]]</f>
        <v>732643</v>
      </c>
      <c r="O412" s="256"/>
      <c r="P412" s="255">
        <f>+Reactivos_[[#This Row],[Cantidad 
LDV]]*Reactivos_[[#This Row],[Valor de referencia]]</f>
        <v>0</v>
      </c>
      <c r="Q412" s="257"/>
      <c r="R412" s="255">
        <f>+Reactivos_[[#This Row],[Cantidad LNDV]]*Reactivos_[[#This Row],[Valor de referencia]]</f>
        <v>0</v>
      </c>
      <c r="S412" s="148"/>
      <c r="T412" s="255">
        <f>+Reactivos_[[#This Row],[GGCA]]*Reactivos_[[#This Row],[Valor de referencia]]</f>
        <v>0</v>
      </c>
      <c r="U412" s="254"/>
      <c r="V412" s="255">
        <f>+Reactivos_[[#This Row],[Cantidad LDF]]*Reactivos_[[#This Row],[Valor de referencia]]</f>
        <v>0</v>
      </c>
      <c r="W412" s="254"/>
      <c r="X412" s="255">
        <f>+Reactivos_[[#This Row],[Cantidad LDF&amp;MR]]*Reactivos_[[#This Row],[Valor de referencia]]</f>
        <v>0</v>
      </c>
      <c r="Y412" s="254"/>
      <c r="Z412" s="255">
        <f>+Reactivos_[[#This Row],[Cantidad RED LASE]]*Reactivos_[[#This Row],[Valor de referencia]]</f>
        <v>0</v>
      </c>
      <c r="AA412" s="254"/>
      <c r="AB412" s="255">
        <f>+Reactivos_[[#This Row],[Cantidad LANIA]]*Reactivos_[[#This Row],[Valor de referencia]]</f>
        <v>0</v>
      </c>
      <c r="AC412" s="254"/>
      <c r="AD412" s="255">
        <f>+Reactivos_[[#This Row],[Cantidad SPA]]*Reactivos_[[#This Row],[Valor de referencia]]</f>
        <v>0</v>
      </c>
      <c r="AE412" s="148" t="s">
        <v>76</v>
      </c>
      <c r="AF412" s="148" t="s">
        <v>77</v>
      </c>
    </row>
    <row r="413" spans="1:32" ht="45" customHeight="1" x14ac:dyDescent="0.25">
      <c r="A413" s="294" t="str">
        <f>IF(B413=Reactivos_[[#This Row],[Cantidad LANIP]],"LANIP",IF(B413=Reactivos_[[#This Row],[Cantidad 
LDV]],"LDV",IF(B413=Reactivos_[[#This Row],[Cantidad LNDV]],"LNDV",IF(B413=Reactivos_[[#This Row],[GGCA]],"GGCA",IF(B413=Reactivos_[[#This Row],[Cantidad LDF]],"LDF",IF(Reactivos_[[#This Row],[Cantidad LDF&amp;MR]],"LDF&amp;MR",IF(B413=Reactivos_[[#This Row],[Cantidad RED LASE]],"LASE",IF(B413=Reactivos_[[#This Row],[Cantidad LANIA]],"LANIA",IF(B413=Reactivos_[[#This Row],[Cantidad SPA]],"SPA"," ")))))))))</f>
        <v>LANIP</v>
      </c>
      <c r="B41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13" s="325">
        <v>411</v>
      </c>
      <c r="D413" s="326">
        <v>601</v>
      </c>
      <c r="E413" s="327" t="s">
        <v>1179</v>
      </c>
      <c r="F413" s="244" t="s">
        <v>1180</v>
      </c>
      <c r="G413" s="245"/>
      <c r="H413" s="349" t="s">
        <v>1184</v>
      </c>
      <c r="I413" s="353" t="s">
        <v>1185</v>
      </c>
      <c r="J41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13" s="160">
        <v>3346399</v>
      </c>
      <c r="L413" s="160">
        <f>+Reactivos_[[#This Row],[Cantidad]]*Reactivos_[[#This Row],[Valor de referencia]]</f>
        <v>3346399</v>
      </c>
      <c r="M413" s="254">
        <v>1</v>
      </c>
      <c r="N413" s="255">
        <f>+Reactivos_[[#This Row],[Valor de referencia]]*Reactivos_[[#This Row],[Cantidad LANIP]]</f>
        <v>3346399</v>
      </c>
      <c r="O413" s="256"/>
      <c r="P413" s="255">
        <f>+Reactivos_[[#This Row],[Cantidad 
LDV]]*Reactivos_[[#This Row],[Valor de referencia]]</f>
        <v>0</v>
      </c>
      <c r="Q413" s="257"/>
      <c r="R413" s="255">
        <f>+Reactivos_[[#This Row],[Cantidad LNDV]]*Reactivos_[[#This Row],[Valor de referencia]]</f>
        <v>0</v>
      </c>
      <c r="S413" s="148"/>
      <c r="T413" s="255">
        <f>+Reactivos_[[#This Row],[GGCA]]*Reactivos_[[#This Row],[Valor de referencia]]</f>
        <v>0</v>
      </c>
      <c r="U413" s="254"/>
      <c r="V413" s="255">
        <f>+Reactivos_[[#This Row],[Cantidad LDF]]*Reactivos_[[#This Row],[Valor de referencia]]</f>
        <v>0</v>
      </c>
      <c r="W413" s="254"/>
      <c r="X413" s="255">
        <f>+Reactivos_[[#This Row],[Cantidad LDF&amp;MR]]*Reactivos_[[#This Row],[Valor de referencia]]</f>
        <v>0</v>
      </c>
      <c r="Y413" s="254"/>
      <c r="Z413" s="255">
        <f>+Reactivos_[[#This Row],[Cantidad RED LASE]]*Reactivos_[[#This Row],[Valor de referencia]]</f>
        <v>0</v>
      </c>
      <c r="AA413" s="254"/>
      <c r="AB413" s="255">
        <f>+Reactivos_[[#This Row],[Cantidad LANIA]]*Reactivos_[[#This Row],[Valor de referencia]]</f>
        <v>0</v>
      </c>
      <c r="AC413" s="254"/>
      <c r="AD413" s="255">
        <f>+Reactivos_[[#This Row],[Cantidad SPA]]*Reactivos_[[#This Row],[Valor de referencia]]</f>
        <v>0</v>
      </c>
      <c r="AE413" s="148" t="s">
        <v>76</v>
      </c>
      <c r="AF413" s="148" t="s">
        <v>77</v>
      </c>
    </row>
    <row r="414" spans="1:32" ht="38.25" x14ac:dyDescent="0.25">
      <c r="A414" s="294" t="str">
        <f>IF(B414=Reactivos_[[#This Row],[Cantidad LANIP]],"LANIP",IF(B414=Reactivos_[[#This Row],[Cantidad 
LDV]],"LDV",IF(B414=Reactivos_[[#This Row],[Cantidad LNDV]],"LNDV",IF(B414=Reactivos_[[#This Row],[GGCA]],"GGCA",IF(B414=Reactivos_[[#This Row],[Cantidad LDF]],"LDF",IF(Reactivos_[[#This Row],[Cantidad LDF&amp;MR]],"LDF&amp;MR",IF(B414=Reactivos_[[#This Row],[Cantidad RED LASE]],"LASE",IF(B414=Reactivos_[[#This Row],[Cantidad LANIA]],"LANIA",IF(B414=Reactivos_[[#This Row],[Cantidad SPA]],"SPA"," ")))))))))</f>
        <v>LANIP</v>
      </c>
      <c r="B41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14" s="325">
        <v>412</v>
      </c>
      <c r="D414" s="326">
        <v>602</v>
      </c>
      <c r="E414" s="327" t="s">
        <v>1186</v>
      </c>
      <c r="F414" s="244" t="s">
        <v>1187</v>
      </c>
      <c r="G414" s="327"/>
      <c r="H414" s="346" t="s">
        <v>1188</v>
      </c>
      <c r="I414" s="334" t="s">
        <v>1060</v>
      </c>
      <c r="J41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14" s="160">
        <v>1850640</v>
      </c>
      <c r="L414" s="160">
        <f>+Reactivos_[[#This Row],[Cantidad]]*Reactivos_[[#This Row],[Valor de referencia]]</f>
        <v>1850640</v>
      </c>
      <c r="M414" s="254">
        <v>1</v>
      </c>
      <c r="N414" s="255">
        <f>+Reactivos_[[#This Row],[Valor de referencia]]*Reactivos_[[#This Row],[Cantidad LANIP]]</f>
        <v>1850640</v>
      </c>
      <c r="O414" s="256"/>
      <c r="P414" s="255">
        <f>+Reactivos_[[#This Row],[Cantidad 
LDV]]*Reactivos_[[#This Row],[Valor de referencia]]</f>
        <v>0</v>
      </c>
      <c r="Q414" s="257"/>
      <c r="R414" s="255">
        <f>+Reactivos_[[#This Row],[Cantidad LNDV]]*Reactivos_[[#This Row],[Valor de referencia]]</f>
        <v>0</v>
      </c>
      <c r="S414" s="148"/>
      <c r="T414" s="255">
        <f>+Reactivos_[[#This Row],[GGCA]]*Reactivos_[[#This Row],[Valor de referencia]]</f>
        <v>0</v>
      </c>
      <c r="U414" s="254"/>
      <c r="V414" s="255">
        <f>+Reactivos_[[#This Row],[Cantidad LDF]]*Reactivos_[[#This Row],[Valor de referencia]]</f>
        <v>0</v>
      </c>
      <c r="W414" s="254"/>
      <c r="X414" s="255">
        <f>+Reactivos_[[#This Row],[Cantidad LDF&amp;MR]]*Reactivos_[[#This Row],[Valor de referencia]]</f>
        <v>0</v>
      </c>
      <c r="Y414" s="254"/>
      <c r="Z414" s="255">
        <f>+Reactivos_[[#This Row],[Cantidad RED LASE]]*Reactivos_[[#This Row],[Valor de referencia]]</f>
        <v>0</v>
      </c>
      <c r="AA414" s="254"/>
      <c r="AB414" s="255">
        <f>+Reactivos_[[#This Row],[Cantidad LANIA]]*Reactivos_[[#This Row],[Valor de referencia]]</f>
        <v>0</v>
      </c>
      <c r="AC414" s="254"/>
      <c r="AD414" s="255">
        <f>+Reactivos_[[#This Row],[Cantidad SPA]]*Reactivos_[[#This Row],[Valor de referencia]]</f>
        <v>0</v>
      </c>
      <c r="AE414" s="148" t="s">
        <v>76</v>
      </c>
      <c r="AF414" s="148" t="s">
        <v>77</v>
      </c>
    </row>
    <row r="415" spans="1:32" ht="38.25" x14ac:dyDescent="0.25">
      <c r="A415" s="294" t="str">
        <f>IF(B415=Reactivos_[[#This Row],[Cantidad LANIP]],"LANIP",IF(B415=Reactivos_[[#This Row],[Cantidad 
LDV]],"LDV",IF(B415=Reactivos_[[#This Row],[Cantidad LNDV]],"LNDV",IF(B415=Reactivos_[[#This Row],[GGCA]],"GGCA",IF(B415=Reactivos_[[#This Row],[Cantidad LDF]],"LDF",IF(Reactivos_[[#This Row],[Cantidad LDF&amp;MR]],"LDF&amp;MR",IF(B415=Reactivos_[[#This Row],[Cantidad RED LASE]],"LASE",IF(B415=Reactivos_[[#This Row],[Cantidad LANIA]],"LANIA",IF(B415=Reactivos_[[#This Row],[Cantidad SPA]],"SPA"," ")))))))))</f>
        <v>LANIP</v>
      </c>
      <c r="B41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15" s="325">
        <v>413</v>
      </c>
      <c r="D415" s="326">
        <v>603</v>
      </c>
      <c r="E415" s="327" t="s">
        <v>1186</v>
      </c>
      <c r="F415" s="244" t="s">
        <v>1187</v>
      </c>
      <c r="G415" s="327"/>
      <c r="H415" s="348" t="s">
        <v>1189</v>
      </c>
      <c r="I415" s="334" t="s">
        <v>888</v>
      </c>
      <c r="J41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15" s="160">
        <v>2451876</v>
      </c>
      <c r="L415" s="160">
        <f>+Reactivos_[[#This Row],[Cantidad]]*Reactivos_[[#This Row],[Valor de referencia]]</f>
        <v>2451876</v>
      </c>
      <c r="M415" s="254">
        <v>1</v>
      </c>
      <c r="N415" s="255">
        <f>+Reactivos_[[#This Row],[Valor de referencia]]*Reactivos_[[#This Row],[Cantidad LANIP]]</f>
        <v>2451876</v>
      </c>
      <c r="O415" s="256"/>
      <c r="P415" s="255">
        <f>+Reactivos_[[#This Row],[Cantidad 
LDV]]*Reactivos_[[#This Row],[Valor de referencia]]</f>
        <v>0</v>
      </c>
      <c r="Q415" s="257"/>
      <c r="R415" s="255">
        <f>+Reactivos_[[#This Row],[Cantidad LNDV]]*Reactivos_[[#This Row],[Valor de referencia]]</f>
        <v>0</v>
      </c>
      <c r="S415" s="148"/>
      <c r="T415" s="255">
        <f>+Reactivos_[[#This Row],[GGCA]]*Reactivos_[[#This Row],[Valor de referencia]]</f>
        <v>0</v>
      </c>
      <c r="U415" s="254"/>
      <c r="V415" s="255">
        <f>+Reactivos_[[#This Row],[Cantidad LDF]]*Reactivos_[[#This Row],[Valor de referencia]]</f>
        <v>0</v>
      </c>
      <c r="W415" s="254"/>
      <c r="X415" s="255">
        <f>+Reactivos_[[#This Row],[Cantidad LDF&amp;MR]]*Reactivos_[[#This Row],[Valor de referencia]]</f>
        <v>0</v>
      </c>
      <c r="Y415" s="254"/>
      <c r="Z415" s="255">
        <f>+Reactivos_[[#This Row],[Cantidad RED LASE]]*Reactivos_[[#This Row],[Valor de referencia]]</f>
        <v>0</v>
      </c>
      <c r="AA415" s="254"/>
      <c r="AB415" s="255">
        <f>+Reactivos_[[#This Row],[Cantidad LANIA]]*Reactivos_[[#This Row],[Valor de referencia]]</f>
        <v>0</v>
      </c>
      <c r="AC415" s="254"/>
      <c r="AD415" s="255">
        <f>+Reactivos_[[#This Row],[Cantidad SPA]]*Reactivos_[[#This Row],[Valor de referencia]]</f>
        <v>0</v>
      </c>
      <c r="AE415" s="148" t="s">
        <v>76</v>
      </c>
      <c r="AF415" s="148" t="s">
        <v>77</v>
      </c>
    </row>
    <row r="416" spans="1:32" ht="38.25" x14ac:dyDescent="0.25">
      <c r="A416" s="294" t="str">
        <f>IF(B416=Reactivos_[[#This Row],[Cantidad LANIP]],"LANIP",IF(B416=Reactivos_[[#This Row],[Cantidad 
LDV]],"LDV",IF(B416=Reactivos_[[#This Row],[Cantidad LNDV]],"LNDV",IF(B416=Reactivos_[[#This Row],[GGCA]],"GGCA",IF(B416=Reactivos_[[#This Row],[Cantidad LDF]],"LDF",IF(Reactivos_[[#This Row],[Cantidad LDF&amp;MR]],"LDF&amp;MR",IF(B416=Reactivos_[[#This Row],[Cantidad RED LASE]],"LASE",IF(B416=Reactivos_[[#This Row],[Cantidad LANIA]],"LANIA",IF(B416=Reactivos_[[#This Row],[Cantidad SPA]],"SPA"," ")))))))))</f>
        <v>LANIA</v>
      </c>
      <c r="B41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16" s="325">
        <v>414</v>
      </c>
      <c r="D416" s="326">
        <v>604</v>
      </c>
      <c r="E416" s="245" t="s">
        <v>1190</v>
      </c>
      <c r="F416" s="244" t="s">
        <v>1191</v>
      </c>
      <c r="G416" s="245" t="s">
        <v>1192</v>
      </c>
      <c r="H416" s="346" t="s">
        <v>1193</v>
      </c>
      <c r="I416" s="336" t="s">
        <v>784</v>
      </c>
      <c r="J41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16" s="160">
        <v>3758913</v>
      </c>
      <c r="L416" s="160">
        <f>+Reactivos_[[#This Row],[Cantidad]]*Reactivos_[[#This Row],[Valor de referencia]]</f>
        <v>3758913</v>
      </c>
      <c r="M416" s="254">
        <v>0</v>
      </c>
      <c r="N416" s="255">
        <f>+Reactivos_[[#This Row],[Valor de referencia]]*Reactivos_[[#This Row],[Cantidad LANIP]]</f>
        <v>0</v>
      </c>
      <c r="O416" s="256"/>
      <c r="P416" s="255">
        <f>+Reactivos_[[#This Row],[Cantidad 
LDV]]*Reactivos_[[#This Row],[Valor de referencia]]</f>
        <v>0</v>
      </c>
      <c r="Q416" s="257"/>
      <c r="R416" s="255">
        <f>+Reactivos_[[#This Row],[Cantidad LNDV]]*Reactivos_[[#This Row],[Valor de referencia]]</f>
        <v>0</v>
      </c>
      <c r="S416" s="148"/>
      <c r="T416" s="255">
        <f>+Reactivos_[[#This Row],[GGCA]]*Reactivos_[[#This Row],[Valor de referencia]]</f>
        <v>0</v>
      </c>
      <c r="U416" s="254"/>
      <c r="V416" s="255">
        <f>+Reactivos_[[#This Row],[Cantidad LDF]]*Reactivos_[[#This Row],[Valor de referencia]]</f>
        <v>0</v>
      </c>
      <c r="W416" s="254"/>
      <c r="X416" s="255">
        <f>+Reactivos_[[#This Row],[Cantidad LDF&amp;MR]]*Reactivos_[[#This Row],[Valor de referencia]]</f>
        <v>0</v>
      </c>
      <c r="Y416" s="254"/>
      <c r="Z416" s="255">
        <f>+Reactivos_[[#This Row],[Cantidad RED LASE]]*Reactivos_[[#This Row],[Valor de referencia]]</f>
        <v>0</v>
      </c>
      <c r="AA416" s="254">
        <v>1</v>
      </c>
      <c r="AB416" s="255">
        <f>+Reactivos_[[#This Row],[Cantidad LANIA]]*Reactivos_[[#This Row],[Valor de referencia]]</f>
        <v>3758913</v>
      </c>
      <c r="AC416" s="254"/>
      <c r="AD416" s="255">
        <f>+Reactivos_[[#This Row],[Cantidad SPA]]*Reactivos_[[#This Row],[Valor de referencia]]</f>
        <v>0</v>
      </c>
      <c r="AE416" s="148" t="s">
        <v>76</v>
      </c>
      <c r="AF416" s="148" t="s">
        <v>77</v>
      </c>
    </row>
    <row r="417" spans="1:32" ht="29.25" customHeight="1" x14ac:dyDescent="0.25">
      <c r="A417" s="294" t="str">
        <f>IF(B417=Reactivos_[[#This Row],[Cantidad LANIP]],"LANIP",IF(B417=Reactivos_[[#This Row],[Cantidad 
LDV]],"LDV",IF(B417=Reactivos_[[#This Row],[Cantidad LNDV]],"LNDV",IF(B417=Reactivos_[[#This Row],[GGCA]],"GGCA",IF(B417=Reactivos_[[#This Row],[Cantidad LDF]],"LDF",IF(Reactivos_[[#This Row],[Cantidad LDF&amp;MR]],"LDF&amp;MR",IF(B417=Reactivos_[[#This Row],[Cantidad RED LASE]],"LASE",IF(B417=Reactivos_[[#This Row],[Cantidad LANIA]],"LANIA",IF(B417=Reactivos_[[#This Row],[Cantidad SPA]],"SPA"," ")))))))))</f>
        <v>LNDV</v>
      </c>
      <c r="B41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C417" s="325">
        <v>415</v>
      </c>
      <c r="D417" s="326">
        <v>605</v>
      </c>
      <c r="E417" s="331" t="s">
        <v>1194</v>
      </c>
      <c r="F417" s="244" t="s">
        <v>1195</v>
      </c>
      <c r="G417" s="244" t="s">
        <v>1196</v>
      </c>
      <c r="H417" s="348" t="s">
        <v>1197</v>
      </c>
      <c r="I417" s="329" t="s">
        <v>124</v>
      </c>
      <c r="J41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21</v>
      </c>
      <c r="K417" s="160">
        <v>312819</v>
      </c>
      <c r="L417" s="160">
        <f>+Reactivos_[[#This Row],[Cantidad]]*Reactivos_[[#This Row],[Valor de referencia]]</f>
        <v>6569199</v>
      </c>
      <c r="M417" s="254">
        <v>4</v>
      </c>
      <c r="N417" s="255">
        <f>+Reactivos_[[#This Row],[Valor de referencia]]*Reactivos_[[#This Row],[Cantidad LANIP]]</f>
        <v>1251276</v>
      </c>
      <c r="O417" s="256"/>
      <c r="P417" s="255">
        <f>+Reactivos_[[#This Row],[Cantidad 
LDV]]*Reactivos_[[#This Row],[Valor de referencia]]</f>
        <v>0</v>
      </c>
      <c r="Q417" s="257">
        <v>12</v>
      </c>
      <c r="R417" s="255">
        <f>+Reactivos_[[#This Row],[Cantidad LNDV]]*Reactivos_[[#This Row],[Valor de referencia]]</f>
        <v>3753828</v>
      </c>
      <c r="S417" s="148"/>
      <c r="T417" s="255">
        <f>+Reactivos_[[#This Row],[GGCA]]*Reactivos_[[#This Row],[Valor de referencia]]</f>
        <v>0</v>
      </c>
      <c r="U417" s="254">
        <v>2</v>
      </c>
      <c r="V417" s="255">
        <f>+Reactivos_[[#This Row],[Cantidad LDF]]*Reactivos_[[#This Row],[Valor de referencia]]</f>
        <v>625638</v>
      </c>
      <c r="W417" s="254">
        <v>3</v>
      </c>
      <c r="X417" s="255">
        <f>+Reactivos_[[#This Row],[Cantidad LDF&amp;MR]]*Reactivos_[[#This Row],[Valor de referencia]]</f>
        <v>938457</v>
      </c>
      <c r="Y417" s="254"/>
      <c r="Z417" s="255">
        <f>+Reactivos_[[#This Row],[Cantidad RED LASE]]*Reactivos_[[#This Row],[Valor de referencia]]</f>
        <v>0</v>
      </c>
      <c r="AA417" s="254"/>
      <c r="AB417" s="255">
        <f>+Reactivos_[[#This Row],[Cantidad LANIA]]*Reactivos_[[#This Row],[Valor de referencia]]</f>
        <v>0</v>
      </c>
      <c r="AC417" s="254"/>
      <c r="AD417" s="255">
        <f>+Reactivos_[[#This Row],[Cantidad SPA]]*Reactivos_[[#This Row],[Valor de referencia]]</f>
        <v>0</v>
      </c>
      <c r="AE417" s="148" t="s">
        <v>76</v>
      </c>
      <c r="AF417" s="148" t="s">
        <v>77</v>
      </c>
    </row>
    <row r="418" spans="1:32" ht="19.5" customHeight="1" x14ac:dyDescent="0.25">
      <c r="A418" s="294" t="str">
        <f>IF(B418=Reactivos_[[#This Row],[Cantidad LANIP]],"LANIP",IF(B418=Reactivos_[[#This Row],[Cantidad 
LDV]],"LDV",IF(B418=Reactivos_[[#This Row],[Cantidad LNDV]],"LNDV",IF(B418=Reactivos_[[#This Row],[GGCA]],"GGCA",IF(B418=Reactivos_[[#This Row],[Cantidad LDF]],"LDF",IF(Reactivos_[[#This Row],[Cantidad LDF&amp;MR]],"LDF&amp;MR",IF(B418=Reactivos_[[#This Row],[Cantidad RED LASE]],"LASE",IF(B418=Reactivos_[[#This Row],[Cantidad LANIA]],"LANIA",IF(B418=Reactivos_[[#This Row],[Cantidad SPA]],"SPA"," ")))))))))</f>
        <v>LNDV</v>
      </c>
      <c r="B41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28</v>
      </c>
      <c r="C418" s="325">
        <v>416</v>
      </c>
      <c r="D418" s="326">
        <v>606</v>
      </c>
      <c r="E418" s="358" t="s">
        <v>1198</v>
      </c>
      <c r="F418" s="357" t="s">
        <v>308</v>
      </c>
      <c r="G418" s="358" t="s">
        <v>1199</v>
      </c>
      <c r="H418" s="348" t="s">
        <v>1200</v>
      </c>
      <c r="I418" s="363" t="s">
        <v>1201</v>
      </c>
      <c r="J41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59</v>
      </c>
      <c r="K418" s="160">
        <v>269178</v>
      </c>
      <c r="L418" s="160">
        <f>+Reactivos_[[#This Row],[Cantidad]]*Reactivos_[[#This Row],[Valor de referencia]]</f>
        <v>15881502</v>
      </c>
      <c r="M418" s="254">
        <v>0</v>
      </c>
      <c r="N418" s="255">
        <f>+Reactivos_[[#This Row],[Valor de referencia]]*Reactivos_[[#This Row],[Cantidad LANIP]]</f>
        <v>0</v>
      </c>
      <c r="O418" s="256">
        <v>6</v>
      </c>
      <c r="P418" s="255">
        <f>+Reactivos_[[#This Row],[Cantidad 
LDV]]*Reactivos_[[#This Row],[Valor de referencia]]</f>
        <v>1615068</v>
      </c>
      <c r="Q418" s="257">
        <v>28</v>
      </c>
      <c r="R418" s="255">
        <f>+Reactivos_[[#This Row],[Cantidad LNDV]]*Reactivos_[[#This Row],[Valor de referencia]]</f>
        <v>7536984</v>
      </c>
      <c r="S418" s="148"/>
      <c r="T418" s="255">
        <f>+Reactivos_[[#This Row],[GGCA]]*Reactivos_[[#This Row],[Valor de referencia]]</f>
        <v>0</v>
      </c>
      <c r="U418" s="254">
        <v>25</v>
      </c>
      <c r="V418" s="255">
        <f>+Reactivos_[[#This Row],[Cantidad LDF]]*Reactivos_[[#This Row],[Valor de referencia]]</f>
        <v>6729450</v>
      </c>
      <c r="W418" s="254"/>
      <c r="X418" s="255">
        <f>+Reactivos_[[#This Row],[Cantidad LDF&amp;MR]]*Reactivos_[[#This Row],[Valor de referencia]]</f>
        <v>0</v>
      </c>
      <c r="Y418" s="254"/>
      <c r="Z418" s="255">
        <f>+Reactivos_[[#This Row],[Cantidad RED LASE]]*Reactivos_[[#This Row],[Valor de referencia]]</f>
        <v>0</v>
      </c>
      <c r="AA418" s="254"/>
      <c r="AB418" s="255">
        <f>+Reactivos_[[#This Row],[Cantidad LANIA]]*Reactivos_[[#This Row],[Valor de referencia]]</f>
        <v>0</v>
      </c>
      <c r="AC418" s="254"/>
      <c r="AD418" s="255">
        <f>+Reactivos_[[#This Row],[Cantidad SPA]]*Reactivos_[[#This Row],[Valor de referencia]]</f>
        <v>0</v>
      </c>
      <c r="AE418" s="148" t="s">
        <v>76</v>
      </c>
      <c r="AF418" s="148" t="s">
        <v>77</v>
      </c>
    </row>
    <row r="419" spans="1:32" ht="18" customHeight="1" x14ac:dyDescent="0.25">
      <c r="A419" s="294" t="str">
        <f>IF(B419=Reactivos_[[#This Row],[Cantidad LANIP]],"LANIP",IF(B419=Reactivos_[[#This Row],[Cantidad 
LDV]],"LDV",IF(B419=Reactivos_[[#This Row],[Cantidad LNDV]],"LNDV",IF(B419=Reactivos_[[#This Row],[GGCA]],"GGCA",IF(B419=Reactivos_[[#This Row],[Cantidad LDF]],"LDF",IF(Reactivos_[[#This Row],[Cantidad LDF&amp;MR]],"LDF&amp;MR",IF(B419=Reactivos_[[#This Row],[Cantidad RED LASE]],"LASE",IF(B419=Reactivos_[[#This Row],[Cantidad LANIA]],"LANIA",IF(B419=Reactivos_[[#This Row],[Cantidad SPA]],"SPA"," ")))))))))</f>
        <v>LDF</v>
      </c>
      <c r="B41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419" s="325">
        <v>417</v>
      </c>
      <c r="D419" s="326">
        <v>607</v>
      </c>
      <c r="E419" s="245" t="s">
        <v>1202</v>
      </c>
      <c r="F419" s="244"/>
      <c r="G419" s="245"/>
      <c r="H419" s="346" t="s">
        <v>103</v>
      </c>
      <c r="I419" s="336" t="s">
        <v>175</v>
      </c>
      <c r="J41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419" s="160">
        <v>144389</v>
      </c>
      <c r="L419" s="160">
        <f>+Reactivos_[[#This Row],[Cantidad]]*Reactivos_[[#This Row],[Valor de referencia]]</f>
        <v>721945</v>
      </c>
      <c r="M419" s="254">
        <v>0</v>
      </c>
      <c r="N419" s="255">
        <f>+Reactivos_[[#This Row],[Valor de referencia]]*Reactivos_[[#This Row],[Cantidad LANIP]]</f>
        <v>0</v>
      </c>
      <c r="O419" s="256">
        <v>0</v>
      </c>
      <c r="P419" s="255">
        <f>+Reactivos_[[#This Row],[Cantidad 
LDV]]*Reactivos_[[#This Row],[Valor de referencia]]</f>
        <v>0</v>
      </c>
      <c r="Q419" s="257">
        <v>1</v>
      </c>
      <c r="R419" s="255">
        <f>+Reactivos_[[#This Row],[Cantidad LNDV]]*Reactivos_[[#This Row],[Valor de referencia]]</f>
        <v>144389</v>
      </c>
      <c r="S419" s="148"/>
      <c r="T419" s="255">
        <f>+Reactivos_[[#This Row],[GGCA]]*Reactivos_[[#This Row],[Valor de referencia]]</f>
        <v>0</v>
      </c>
      <c r="U419" s="254">
        <v>4</v>
      </c>
      <c r="V419" s="255">
        <f>+Reactivos_[[#This Row],[Cantidad LDF]]*Reactivos_[[#This Row],[Valor de referencia]]</f>
        <v>577556</v>
      </c>
      <c r="W419" s="254"/>
      <c r="X419" s="255">
        <f>+Reactivos_[[#This Row],[Cantidad LDF&amp;MR]]*Reactivos_[[#This Row],[Valor de referencia]]</f>
        <v>0</v>
      </c>
      <c r="Y419" s="254"/>
      <c r="Z419" s="255">
        <f>+Reactivos_[[#This Row],[Cantidad RED LASE]]*Reactivos_[[#This Row],[Valor de referencia]]</f>
        <v>0</v>
      </c>
      <c r="AA419" s="254"/>
      <c r="AB419" s="255">
        <f>+Reactivos_[[#This Row],[Cantidad LANIA]]*Reactivos_[[#This Row],[Valor de referencia]]</f>
        <v>0</v>
      </c>
      <c r="AC419" s="254"/>
      <c r="AD419" s="255">
        <f>+Reactivos_[[#This Row],[Cantidad SPA]]*Reactivos_[[#This Row],[Valor de referencia]]</f>
        <v>0</v>
      </c>
      <c r="AE419" s="148" t="s">
        <v>76</v>
      </c>
      <c r="AF419" s="148" t="s">
        <v>77</v>
      </c>
    </row>
    <row r="420" spans="1:32" ht="43.5" customHeight="1" x14ac:dyDescent="0.25">
      <c r="A420" s="294" t="str">
        <f>IF(B420=Reactivos_[[#This Row],[Cantidad LANIP]],"LANIP",IF(B420=Reactivos_[[#This Row],[Cantidad 
LDV]],"LDV",IF(B420=Reactivos_[[#This Row],[Cantidad LNDV]],"LNDV",IF(B420=Reactivos_[[#This Row],[GGCA]],"GGCA",IF(B420=Reactivos_[[#This Row],[Cantidad LDF]],"LDF",IF(Reactivos_[[#This Row],[Cantidad LDF&amp;MR]],"LDF&amp;MR",IF(B420=Reactivos_[[#This Row],[Cantidad RED LASE]],"LASE",IF(B420=Reactivos_[[#This Row],[Cantidad LANIA]],"LANIA",IF(B420=Reactivos_[[#This Row],[Cantidad SPA]],"SPA"," ")))))))))</f>
        <v>LANIA</v>
      </c>
      <c r="B42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20" s="325">
        <v>418</v>
      </c>
      <c r="D420" s="326">
        <v>610</v>
      </c>
      <c r="E420" s="365" t="s">
        <v>1203</v>
      </c>
      <c r="F420" s="332" t="s">
        <v>1204</v>
      </c>
      <c r="G420" s="331"/>
      <c r="H420" s="330" t="s">
        <v>1205</v>
      </c>
      <c r="I420" s="366" t="s">
        <v>162</v>
      </c>
      <c r="J42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20" s="240">
        <v>10241202</v>
      </c>
      <c r="L420" s="160">
        <f>+Reactivos_[[#This Row],[Cantidad]]*Reactivos_[[#This Row],[Valor de referencia]]</f>
        <v>10241202</v>
      </c>
      <c r="M420" s="254">
        <v>0</v>
      </c>
      <c r="N420" s="255">
        <f>+Reactivos_[[#This Row],[Valor de referencia]]*Reactivos_[[#This Row],[Cantidad LANIP]]</f>
        <v>0</v>
      </c>
      <c r="O420" s="256"/>
      <c r="P420" s="255">
        <f>+Reactivos_[[#This Row],[Cantidad 
LDV]]*Reactivos_[[#This Row],[Valor de referencia]]</f>
        <v>0</v>
      </c>
      <c r="Q420" s="257"/>
      <c r="R420" s="255">
        <f>+Reactivos_[[#This Row],[Cantidad LNDV]]*Reactivos_[[#This Row],[Valor de referencia]]</f>
        <v>0</v>
      </c>
      <c r="S420" s="148"/>
      <c r="T420" s="255">
        <f>+Reactivos_[[#This Row],[GGCA]]*Reactivos_[[#This Row],[Valor de referencia]]</f>
        <v>0</v>
      </c>
      <c r="U420" s="254"/>
      <c r="V420" s="255">
        <f>+Reactivos_[[#This Row],[Cantidad LDF]]*Reactivos_[[#This Row],[Valor de referencia]]</f>
        <v>0</v>
      </c>
      <c r="W420" s="254"/>
      <c r="X420" s="255">
        <f>+Reactivos_[[#This Row],[Cantidad LDF&amp;MR]]*Reactivos_[[#This Row],[Valor de referencia]]</f>
        <v>0</v>
      </c>
      <c r="Y420" s="254"/>
      <c r="Z420" s="255">
        <f>+Reactivos_[[#This Row],[Cantidad RED LASE]]*Reactivos_[[#This Row],[Valor de referencia]]</f>
        <v>0</v>
      </c>
      <c r="AA420" s="254">
        <v>1</v>
      </c>
      <c r="AB420" s="255">
        <f>+Reactivos_[[#This Row],[Cantidad LANIA]]*Reactivos_[[#This Row],[Valor de referencia]]</f>
        <v>10241202</v>
      </c>
      <c r="AC420" s="254"/>
      <c r="AD420" s="255">
        <f>+Reactivos_[[#This Row],[Cantidad SPA]]*Reactivos_[[#This Row],[Valor de referencia]]</f>
        <v>0</v>
      </c>
      <c r="AE420" s="148" t="s">
        <v>76</v>
      </c>
      <c r="AF420" s="148" t="s">
        <v>77</v>
      </c>
    </row>
    <row r="421" spans="1:32" ht="30.75" customHeight="1" x14ac:dyDescent="0.25">
      <c r="A421" s="294" t="str">
        <f>IF(B421=Reactivos_[[#This Row],[Cantidad LANIP]],"LANIP",IF(B421=Reactivos_[[#This Row],[Cantidad 
LDV]],"LDV",IF(B421=Reactivos_[[#This Row],[Cantidad LNDV]],"LNDV",IF(B421=Reactivos_[[#This Row],[GGCA]],"GGCA",IF(B421=Reactivos_[[#This Row],[Cantidad LDF]],"LDF",IF(Reactivos_[[#This Row],[Cantidad LDF&amp;MR]],"LDF&amp;MR",IF(B421=Reactivos_[[#This Row],[Cantidad RED LASE]],"LASE",IF(B421=Reactivos_[[#This Row],[Cantidad LANIA]],"LANIA",IF(B421=Reactivos_[[#This Row],[Cantidad SPA]],"SPA"," ")))))))))</f>
        <v>LNDV</v>
      </c>
      <c r="B42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21" s="325">
        <v>419</v>
      </c>
      <c r="D421" s="326">
        <v>611</v>
      </c>
      <c r="E421" s="327" t="s">
        <v>1206</v>
      </c>
      <c r="F421" s="244"/>
      <c r="G421" s="327"/>
      <c r="H421" s="348" t="s">
        <v>1207</v>
      </c>
      <c r="I421" s="329" t="s">
        <v>1208</v>
      </c>
      <c r="J42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21" s="160">
        <v>4787817</v>
      </c>
      <c r="L421" s="160">
        <f>+Reactivos_[[#This Row],[Cantidad]]*Reactivos_[[#This Row],[Valor de referencia]]</f>
        <v>4787817</v>
      </c>
      <c r="M421" s="254">
        <v>0</v>
      </c>
      <c r="N421" s="255">
        <f>+Reactivos_[[#This Row],[Valor de referencia]]*Reactivos_[[#This Row],[Cantidad LANIP]]</f>
        <v>0</v>
      </c>
      <c r="O421" s="256"/>
      <c r="P421" s="255">
        <f>+Reactivos_[[#This Row],[Cantidad 
LDV]]*Reactivos_[[#This Row],[Valor de referencia]]</f>
        <v>0</v>
      </c>
      <c r="Q421" s="257">
        <v>1</v>
      </c>
      <c r="R421" s="255">
        <f>+Reactivos_[[#This Row],[Cantidad LNDV]]*Reactivos_[[#This Row],[Valor de referencia]]</f>
        <v>4787817</v>
      </c>
      <c r="S421" s="148"/>
      <c r="T421" s="255">
        <f>+Reactivos_[[#This Row],[GGCA]]*Reactivos_[[#This Row],[Valor de referencia]]</f>
        <v>0</v>
      </c>
      <c r="U421" s="254"/>
      <c r="V421" s="255">
        <f>+Reactivos_[[#This Row],[Cantidad LDF]]*Reactivos_[[#This Row],[Valor de referencia]]</f>
        <v>0</v>
      </c>
      <c r="W421" s="254"/>
      <c r="X421" s="255">
        <f>+Reactivos_[[#This Row],[Cantidad LDF&amp;MR]]*Reactivos_[[#This Row],[Valor de referencia]]</f>
        <v>0</v>
      </c>
      <c r="Y421" s="254"/>
      <c r="Z421" s="255">
        <f>+Reactivos_[[#This Row],[Cantidad RED LASE]]*Reactivos_[[#This Row],[Valor de referencia]]</f>
        <v>0</v>
      </c>
      <c r="AA421" s="254"/>
      <c r="AB421" s="255">
        <f>+Reactivos_[[#This Row],[Cantidad LANIA]]*Reactivos_[[#This Row],[Valor de referencia]]</f>
        <v>0</v>
      </c>
      <c r="AC421" s="254"/>
      <c r="AD421" s="255">
        <f>+Reactivos_[[#This Row],[Cantidad SPA]]*Reactivos_[[#This Row],[Valor de referencia]]</f>
        <v>0</v>
      </c>
      <c r="AE421" s="148" t="s">
        <v>76</v>
      </c>
      <c r="AF421" s="148" t="s">
        <v>77</v>
      </c>
    </row>
    <row r="422" spans="1:32" ht="22.5" customHeight="1" x14ac:dyDescent="0.25">
      <c r="A422" s="294" t="str">
        <f>IF(B422=Reactivos_[[#This Row],[Cantidad LANIP]],"LANIP",IF(B422=Reactivos_[[#This Row],[Cantidad 
LDV]],"LDV",IF(B422=Reactivos_[[#This Row],[Cantidad LNDV]],"LNDV",IF(B422=Reactivos_[[#This Row],[GGCA]],"GGCA",IF(B422=Reactivos_[[#This Row],[Cantidad LDF]],"LDF",IF(Reactivos_[[#This Row],[Cantidad LDF&amp;MR]],"LDF&amp;MR",IF(B422=Reactivos_[[#This Row],[Cantidad RED LASE]],"LASE",IF(B422=Reactivos_[[#This Row],[Cantidad LANIA]],"LANIA",IF(B422=Reactivos_[[#This Row],[Cantidad SPA]],"SPA"," ")))))))))</f>
        <v>LDF</v>
      </c>
      <c r="B42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422" s="325">
        <v>420</v>
      </c>
      <c r="D422" s="326">
        <v>612</v>
      </c>
      <c r="E422" s="327" t="s">
        <v>1209</v>
      </c>
      <c r="F422" s="339"/>
      <c r="G422" s="245"/>
      <c r="H422" s="328" t="s">
        <v>1210</v>
      </c>
      <c r="I422" s="336" t="s">
        <v>525</v>
      </c>
      <c r="J42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422" s="160">
        <v>2019192</v>
      </c>
      <c r="L422" s="160">
        <f>+Reactivos_[[#This Row],[Cantidad]]*Reactivos_[[#This Row],[Valor de referencia]]</f>
        <v>20191920</v>
      </c>
      <c r="M422" s="254">
        <v>0</v>
      </c>
      <c r="N422" s="255">
        <f>+Reactivos_[[#This Row],[Valor de referencia]]*Reactivos_[[#This Row],[Cantidad LANIP]]</f>
        <v>0</v>
      </c>
      <c r="O422" s="256"/>
      <c r="P422" s="255">
        <f>+Reactivos_[[#This Row],[Cantidad 
LDV]]*Reactivos_[[#This Row],[Valor de referencia]]</f>
        <v>0</v>
      </c>
      <c r="Q422" s="257"/>
      <c r="R422" s="255">
        <f>+Reactivos_[[#This Row],[Cantidad LNDV]]*Reactivos_[[#This Row],[Valor de referencia]]</f>
        <v>0</v>
      </c>
      <c r="S422" s="148"/>
      <c r="T422" s="255">
        <f>+Reactivos_[[#This Row],[GGCA]]*Reactivos_[[#This Row],[Valor de referencia]]</f>
        <v>0</v>
      </c>
      <c r="U422" s="254">
        <v>10</v>
      </c>
      <c r="V422" s="255">
        <f>+Reactivos_[[#This Row],[Cantidad LDF]]*Reactivos_[[#This Row],[Valor de referencia]]</f>
        <v>20191920</v>
      </c>
      <c r="W422" s="254"/>
      <c r="X422" s="255">
        <f>+Reactivos_[[#This Row],[Cantidad LDF&amp;MR]]*Reactivos_[[#This Row],[Valor de referencia]]</f>
        <v>0</v>
      </c>
      <c r="Y422" s="254"/>
      <c r="Z422" s="255">
        <f>+Reactivos_[[#This Row],[Cantidad RED LASE]]*Reactivos_[[#This Row],[Valor de referencia]]</f>
        <v>0</v>
      </c>
      <c r="AA422" s="254"/>
      <c r="AB422" s="255">
        <f>+Reactivos_[[#This Row],[Cantidad LANIA]]*Reactivos_[[#This Row],[Valor de referencia]]</f>
        <v>0</v>
      </c>
      <c r="AC422" s="254"/>
      <c r="AD422" s="255">
        <f>+Reactivos_[[#This Row],[Cantidad SPA]]*Reactivos_[[#This Row],[Valor de referencia]]</f>
        <v>0</v>
      </c>
      <c r="AE422" s="148" t="s">
        <v>76</v>
      </c>
      <c r="AF422" s="148" t="s">
        <v>77</v>
      </c>
    </row>
    <row r="423" spans="1:32" ht="22.5" customHeight="1" x14ac:dyDescent="0.25">
      <c r="A423" s="294" t="str">
        <f>IF(B423=Reactivos_[[#This Row],[Cantidad LANIP]],"LANIP",IF(B423=Reactivos_[[#This Row],[Cantidad 
LDV]],"LDV",IF(B423=Reactivos_[[#This Row],[Cantidad LNDV]],"LNDV",IF(B423=Reactivos_[[#This Row],[GGCA]],"GGCA",IF(B423=Reactivos_[[#This Row],[Cantidad LDF]],"LDF",IF(Reactivos_[[#This Row],[Cantidad LDF&amp;MR]],"LDF&amp;MR",IF(B423=Reactivos_[[#This Row],[Cantidad RED LASE]],"LASE",IF(B423=Reactivos_[[#This Row],[Cantidad LANIA]],"LANIA",IF(B423=Reactivos_[[#This Row],[Cantidad SPA]],"SPA"," ")))))))))</f>
        <v>LDF</v>
      </c>
      <c r="B42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423" s="325">
        <v>421</v>
      </c>
      <c r="D423" s="326">
        <v>614</v>
      </c>
      <c r="E423" s="327" t="s">
        <v>1211</v>
      </c>
      <c r="F423" s="332"/>
      <c r="G423" s="332"/>
      <c r="H423" s="328" t="s">
        <v>1212</v>
      </c>
      <c r="I423" s="329" t="s">
        <v>1213</v>
      </c>
      <c r="J42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423" s="160">
        <v>2529102</v>
      </c>
      <c r="L423" s="160">
        <f>+Reactivos_[[#This Row],[Cantidad]]*Reactivos_[[#This Row],[Valor de referencia]]</f>
        <v>7587306</v>
      </c>
      <c r="M423" s="254">
        <v>0</v>
      </c>
      <c r="N423" s="255">
        <f>+Reactivos_[[#This Row],[Valor de referencia]]*Reactivos_[[#This Row],[Cantidad LANIP]]</f>
        <v>0</v>
      </c>
      <c r="O423" s="256"/>
      <c r="P423" s="255">
        <f>+Reactivos_[[#This Row],[Cantidad 
LDV]]*Reactivos_[[#This Row],[Valor de referencia]]</f>
        <v>0</v>
      </c>
      <c r="Q423" s="257"/>
      <c r="R423" s="255">
        <f>+Reactivos_[[#This Row],[Cantidad LNDV]]*Reactivos_[[#This Row],[Valor de referencia]]</f>
        <v>0</v>
      </c>
      <c r="S423" s="148"/>
      <c r="T423" s="255">
        <f>+Reactivos_[[#This Row],[GGCA]]*Reactivos_[[#This Row],[Valor de referencia]]</f>
        <v>0</v>
      </c>
      <c r="U423" s="254">
        <v>3</v>
      </c>
      <c r="V423" s="255">
        <f>+Reactivos_[[#This Row],[Cantidad LDF]]*Reactivos_[[#This Row],[Valor de referencia]]</f>
        <v>7587306</v>
      </c>
      <c r="W423" s="254"/>
      <c r="X423" s="255">
        <f>+Reactivos_[[#This Row],[Cantidad LDF&amp;MR]]*Reactivos_[[#This Row],[Valor de referencia]]</f>
        <v>0</v>
      </c>
      <c r="Y423" s="254"/>
      <c r="Z423" s="255">
        <f>+Reactivos_[[#This Row],[Cantidad RED LASE]]*Reactivos_[[#This Row],[Valor de referencia]]</f>
        <v>0</v>
      </c>
      <c r="AA423" s="254"/>
      <c r="AB423" s="255">
        <f>+Reactivos_[[#This Row],[Cantidad LANIA]]*Reactivos_[[#This Row],[Valor de referencia]]</f>
        <v>0</v>
      </c>
      <c r="AC423" s="254"/>
      <c r="AD423" s="255">
        <f>+Reactivos_[[#This Row],[Cantidad SPA]]*Reactivos_[[#This Row],[Valor de referencia]]</f>
        <v>0</v>
      </c>
      <c r="AE423" s="148" t="s">
        <v>77</v>
      </c>
      <c r="AF423" s="148" t="s">
        <v>77</v>
      </c>
    </row>
    <row r="424" spans="1:32" ht="22.5" customHeight="1" x14ac:dyDescent="0.25">
      <c r="A424" s="294" t="str">
        <f>IF(B424=Reactivos_[[#This Row],[Cantidad LANIP]],"LANIP",IF(B424=Reactivos_[[#This Row],[Cantidad 
LDV]],"LDV",IF(B424=Reactivos_[[#This Row],[Cantidad LNDV]],"LNDV",IF(B424=Reactivos_[[#This Row],[GGCA]],"GGCA",IF(B424=Reactivos_[[#This Row],[Cantidad LDF]],"LDF",IF(Reactivos_[[#This Row],[Cantidad LDF&amp;MR]],"LDF&amp;MR",IF(B424=Reactivos_[[#This Row],[Cantidad RED LASE]],"LASE",IF(B424=Reactivos_[[#This Row],[Cantidad LANIA]],"LANIA",IF(B424=Reactivos_[[#This Row],[Cantidad SPA]],"SPA"," ")))))))))</f>
        <v>LANIA</v>
      </c>
      <c r="B42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24" s="325">
        <v>422</v>
      </c>
      <c r="D424" s="326">
        <v>615</v>
      </c>
      <c r="E424" s="331" t="s">
        <v>1214</v>
      </c>
      <c r="F424" s="332"/>
      <c r="G424" s="331"/>
      <c r="H424" s="333" t="s">
        <v>1215</v>
      </c>
      <c r="I424" s="408" t="s">
        <v>1216</v>
      </c>
      <c r="J42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24" s="160">
        <v>184054</v>
      </c>
      <c r="L424" s="160">
        <f>+Reactivos_[[#This Row],[Cantidad]]*Reactivos_[[#This Row],[Valor de referencia]]</f>
        <v>184054</v>
      </c>
      <c r="M424" s="254">
        <v>0</v>
      </c>
      <c r="N424" s="255">
        <f>+Reactivos_[[#This Row],[Valor de referencia]]*Reactivos_[[#This Row],[Cantidad LANIP]]</f>
        <v>0</v>
      </c>
      <c r="O424" s="256"/>
      <c r="P424" s="255">
        <f>+Reactivos_[[#This Row],[Cantidad 
LDV]]*Reactivos_[[#This Row],[Valor de referencia]]</f>
        <v>0</v>
      </c>
      <c r="Q424" s="257"/>
      <c r="R424" s="255">
        <f>+Reactivos_[[#This Row],[Cantidad LNDV]]*Reactivos_[[#This Row],[Valor de referencia]]</f>
        <v>0</v>
      </c>
      <c r="S424" s="148"/>
      <c r="T424" s="255">
        <f>+Reactivos_[[#This Row],[GGCA]]*Reactivos_[[#This Row],[Valor de referencia]]</f>
        <v>0</v>
      </c>
      <c r="U424" s="254"/>
      <c r="V424" s="255">
        <f>+Reactivos_[[#This Row],[Cantidad LDF]]*Reactivos_[[#This Row],[Valor de referencia]]</f>
        <v>0</v>
      </c>
      <c r="W424" s="254"/>
      <c r="X424" s="255">
        <f>+Reactivos_[[#This Row],[Cantidad LDF&amp;MR]]*Reactivos_[[#This Row],[Valor de referencia]]</f>
        <v>0</v>
      </c>
      <c r="Y424" s="254"/>
      <c r="Z424" s="255">
        <f>+Reactivos_[[#This Row],[Cantidad RED LASE]]*Reactivos_[[#This Row],[Valor de referencia]]</f>
        <v>0</v>
      </c>
      <c r="AA424" s="254">
        <v>1</v>
      </c>
      <c r="AB424" s="255">
        <f>+Reactivos_[[#This Row],[Cantidad LANIA]]*Reactivos_[[#This Row],[Valor de referencia]]</f>
        <v>184054</v>
      </c>
      <c r="AC424" s="254"/>
      <c r="AD424" s="255">
        <f>+Reactivos_[[#This Row],[Cantidad SPA]]*Reactivos_[[#This Row],[Valor de referencia]]</f>
        <v>0</v>
      </c>
      <c r="AE424" s="148" t="s">
        <v>76</v>
      </c>
      <c r="AF424" s="148" t="s">
        <v>77</v>
      </c>
    </row>
    <row r="425" spans="1:32" ht="22.5" customHeight="1" x14ac:dyDescent="0.2">
      <c r="A425" s="294" t="str">
        <f>IF(B425=Reactivos_[[#This Row],[Cantidad LANIP]],"LANIP",IF(B425=Reactivos_[[#This Row],[Cantidad 
LDV]],"LDV",IF(B425=Reactivos_[[#This Row],[Cantidad LNDV]],"LNDV",IF(B425=Reactivos_[[#This Row],[GGCA]],"GGCA",IF(B425=Reactivos_[[#This Row],[Cantidad LDF]],"LDF",IF(Reactivos_[[#This Row],[Cantidad LDF&amp;MR]],"LDF&amp;MR",IF(B425=Reactivos_[[#This Row],[Cantidad RED LASE]],"LASE",IF(B425=Reactivos_[[#This Row],[Cantidad LANIA]],"LANIA",IF(B425=Reactivos_[[#This Row],[Cantidad SPA]],"SPA"," ")))))))))</f>
        <v>LNDV</v>
      </c>
      <c r="B42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25" s="325">
        <v>423</v>
      </c>
      <c r="D425" s="326">
        <v>617</v>
      </c>
      <c r="E425" s="327" t="s">
        <v>1217</v>
      </c>
      <c r="F425" s="367" t="s">
        <v>1218</v>
      </c>
      <c r="G425" s="359" t="s">
        <v>1219</v>
      </c>
      <c r="H425" s="330" t="s">
        <v>1220</v>
      </c>
      <c r="I425" s="148" t="s">
        <v>1221</v>
      </c>
      <c r="J42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25" s="160">
        <v>605115</v>
      </c>
      <c r="L425" s="160">
        <f>+Reactivos_[[#This Row],[Cantidad]]*Reactivos_[[#This Row],[Valor de referencia]]</f>
        <v>605115</v>
      </c>
      <c r="M425" s="254">
        <v>0</v>
      </c>
      <c r="N425" s="255">
        <f>+Reactivos_[[#This Row],[Valor de referencia]]*Reactivos_[[#This Row],[Cantidad LANIP]]</f>
        <v>0</v>
      </c>
      <c r="O425" s="256"/>
      <c r="P425" s="255">
        <f>+Reactivos_[[#This Row],[Cantidad 
LDV]]*Reactivos_[[#This Row],[Valor de referencia]]</f>
        <v>0</v>
      </c>
      <c r="Q425" s="257">
        <v>1</v>
      </c>
      <c r="R425" s="255">
        <f>+Reactivos_[[#This Row],[Cantidad LNDV]]*Reactivos_[[#This Row],[Valor de referencia]]</f>
        <v>605115</v>
      </c>
      <c r="S425" s="148"/>
      <c r="T425" s="255">
        <f>+Reactivos_[[#This Row],[GGCA]]*Reactivos_[[#This Row],[Valor de referencia]]</f>
        <v>0</v>
      </c>
      <c r="U425" s="254"/>
      <c r="V425" s="255">
        <f>+Reactivos_[[#This Row],[Cantidad LDF]]*Reactivos_[[#This Row],[Valor de referencia]]</f>
        <v>0</v>
      </c>
      <c r="W425" s="254"/>
      <c r="X425" s="255">
        <f>+Reactivos_[[#This Row],[Cantidad LDF&amp;MR]]*Reactivos_[[#This Row],[Valor de referencia]]</f>
        <v>0</v>
      </c>
      <c r="Y425" s="254"/>
      <c r="Z425" s="255">
        <f>+Reactivos_[[#This Row],[Cantidad RED LASE]]*Reactivos_[[#This Row],[Valor de referencia]]</f>
        <v>0</v>
      </c>
      <c r="AA425" s="254"/>
      <c r="AB425" s="255">
        <f>+Reactivos_[[#This Row],[Cantidad LANIA]]*Reactivos_[[#This Row],[Valor de referencia]]</f>
        <v>0</v>
      </c>
      <c r="AC425" s="254"/>
      <c r="AD425" s="255">
        <f>+Reactivos_[[#This Row],[Cantidad SPA]]*Reactivos_[[#This Row],[Valor de referencia]]</f>
        <v>0</v>
      </c>
      <c r="AE425" s="148" t="s">
        <v>76</v>
      </c>
      <c r="AF425" s="148" t="s">
        <v>77</v>
      </c>
    </row>
    <row r="426" spans="1:32" ht="22.5" customHeight="1" x14ac:dyDescent="0.25">
      <c r="A426" s="294" t="str">
        <f>IF(B426=Reactivos_[[#This Row],[Cantidad LANIP]],"LANIP",IF(B426=Reactivos_[[#This Row],[Cantidad 
LDV]],"LDV",IF(B426=Reactivos_[[#This Row],[Cantidad LNDV]],"LNDV",IF(B426=Reactivos_[[#This Row],[GGCA]],"GGCA",IF(B426=Reactivos_[[#This Row],[Cantidad LDF]],"LDF",IF(Reactivos_[[#This Row],[Cantidad LDF&amp;MR]],"LDF&amp;MR",IF(B426=Reactivos_[[#This Row],[Cantidad RED LASE]],"LASE",IF(B426=Reactivos_[[#This Row],[Cantidad LANIA]],"LANIA",IF(B426=Reactivos_[[#This Row],[Cantidad SPA]],"SPA"," ")))))))))</f>
        <v>LANIP</v>
      </c>
      <c r="B42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26" s="325">
        <v>424</v>
      </c>
      <c r="D426" s="326">
        <v>618</v>
      </c>
      <c r="E426" s="245" t="s">
        <v>1222</v>
      </c>
      <c r="F426" s="244" t="s">
        <v>1223</v>
      </c>
      <c r="G426" s="245" t="s">
        <v>1224</v>
      </c>
      <c r="H426" s="346" t="s">
        <v>1225</v>
      </c>
      <c r="I426" s="416" t="s">
        <v>1226</v>
      </c>
      <c r="J42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26" s="160">
        <v>2037002</v>
      </c>
      <c r="L426" s="160">
        <f>+Reactivos_[[#This Row],[Cantidad]]*Reactivos_[[#This Row],[Valor de referencia]]</f>
        <v>2037002</v>
      </c>
      <c r="M426" s="254">
        <v>1</v>
      </c>
      <c r="N426" s="255">
        <f>+Reactivos_[[#This Row],[Valor de referencia]]*Reactivos_[[#This Row],[Cantidad LANIP]]</f>
        <v>2037002</v>
      </c>
      <c r="O426" s="256"/>
      <c r="P426" s="255">
        <f>+Reactivos_[[#This Row],[Cantidad 
LDV]]*Reactivos_[[#This Row],[Valor de referencia]]</f>
        <v>0</v>
      </c>
      <c r="Q426" s="257"/>
      <c r="R426" s="255">
        <f>+Reactivos_[[#This Row],[Cantidad LNDV]]*Reactivos_[[#This Row],[Valor de referencia]]</f>
        <v>0</v>
      </c>
      <c r="S426" s="148"/>
      <c r="T426" s="255">
        <f>+Reactivos_[[#This Row],[GGCA]]*Reactivos_[[#This Row],[Valor de referencia]]</f>
        <v>0</v>
      </c>
      <c r="U426" s="254"/>
      <c r="V426" s="255">
        <f>+Reactivos_[[#This Row],[Cantidad LDF]]*Reactivos_[[#This Row],[Valor de referencia]]</f>
        <v>0</v>
      </c>
      <c r="W426" s="254"/>
      <c r="X426" s="255">
        <f>+Reactivos_[[#This Row],[Cantidad LDF&amp;MR]]*Reactivos_[[#This Row],[Valor de referencia]]</f>
        <v>0</v>
      </c>
      <c r="Y426" s="254"/>
      <c r="Z426" s="255">
        <f>+Reactivos_[[#This Row],[Cantidad RED LASE]]*Reactivos_[[#This Row],[Valor de referencia]]</f>
        <v>0</v>
      </c>
      <c r="AA426" s="254"/>
      <c r="AB426" s="255">
        <f>+Reactivos_[[#This Row],[Cantidad LANIA]]*Reactivos_[[#This Row],[Valor de referencia]]</f>
        <v>0</v>
      </c>
      <c r="AC426" s="254"/>
      <c r="AD426" s="255">
        <f>+Reactivos_[[#This Row],[Cantidad SPA]]*Reactivos_[[#This Row],[Valor de referencia]]</f>
        <v>0</v>
      </c>
      <c r="AE426" s="148" t="s">
        <v>76</v>
      </c>
      <c r="AF426" s="148" t="s">
        <v>77</v>
      </c>
    </row>
    <row r="427" spans="1:32" ht="22.5" customHeight="1" x14ac:dyDescent="0.25">
      <c r="A427" s="294" t="str">
        <f>IF(B427=Reactivos_[[#This Row],[Cantidad LANIP]],"LANIP",IF(B427=Reactivos_[[#This Row],[Cantidad 
LDV]],"LDV",IF(B427=Reactivos_[[#This Row],[Cantidad LNDV]],"LNDV",IF(B427=Reactivos_[[#This Row],[GGCA]],"GGCA",IF(B427=Reactivos_[[#This Row],[Cantidad LDF]],"LDF",IF(Reactivos_[[#This Row],[Cantidad LDF&amp;MR]],"LDF&amp;MR",IF(B427=Reactivos_[[#This Row],[Cantidad RED LASE]],"LASE",IF(B427=Reactivos_[[#This Row],[Cantidad LANIA]],"LANIA",IF(B427=Reactivos_[[#This Row],[Cantidad SPA]],"SPA"," ")))))))))</f>
        <v>LDV</v>
      </c>
      <c r="B42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427" s="325">
        <v>425</v>
      </c>
      <c r="D427" s="326">
        <v>619</v>
      </c>
      <c r="E427" s="327" t="s">
        <v>1227</v>
      </c>
      <c r="F427" s="332" t="s">
        <v>1228</v>
      </c>
      <c r="G427" s="332" t="s">
        <v>1229</v>
      </c>
      <c r="H427" s="342" t="s">
        <v>815</v>
      </c>
      <c r="I427" s="329" t="s">
        <v>1230</v>
      </c>
      <c r="J42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427" s="160">
        <v>3299455</v>
      </c>
      <c r="L427" s="160">
        <f>+Reactivos_[[#This Row],[Cantidad]]*Reactivos_[[#This Row],[Valor de referencia]]</f>
        <v>32994550</v>
      </c>
      <c r="M427" s="254">
        <v>0</v>
      </c>
      <c r="N427" s="255">
        <f>+Reactivos_[[#This Row],[Valor de referencia]]*Reactivos_[[#This Row],[Cantidad LANIP]]</f>
        <v>0</v>
      </c>
      <c r="O427" s="256">
        <v>8</v>
      </c>
      <c r="P427" s="255">
        <f>+Reactivos_[[#This Row],[Cantidad 
LDV]]*Reactivos_[[#This Row],[Valor de referencia]]</f>
        <v>26395640</v>
      </c>
      <c r="Q427" s="257">
        <v>1</v>
      </c>
      <c r="R427" s="255">
        <f>+Reactivos_[[#This Row],[Cantidad LNDV]]*Reactivos_[[#This Row],[Valor de referencia]]</f>
        <v>3299455</v>
      </c>
      <c r="S427" s="148"/>
      <c r="T427" s="255">
        <f>+Reactivos_[[#This Row],[GGCA]]*Reactivos_[[#This Row],[Valor de referencia]]</f>
        <v>0</v>
      </c>
      <c r="U427" s="254">
        <v>1</v>
      </c>
      <c r="V427" s="255">
        <f>+Reactivos_[[#This Row],[Cantidad LDF]]*Reactivos_[[#This Row],[Valor de referencia]]</f>
        <v>3299455</v>
      </c>
      <c r="W427" s="254"/>
      <c r="X427" s="255">
        <f>+Reactivos_[[#This Row],[Cantidad LDF&amp;MR]]*Reactivos_[[#This Row],[Valor de referencia]]</f>
        <v>0</v>
      </c>
      <c r="Y427" s="254"/>
      <c r="Z427" s="255">
        <f>+Reactivos_[[#This Row],[Cantidad RED LASE]]*Reactivos_[[#This Row],[Valor de referencia]]</f>
        <v>0</v>
      </c>
      <c r="AA427" s="254"/>
      <c r="AB427" s="255">
        <f>+Reactivos_[[#This Row],[Cantidad LANIA]]*Reactivos_[[#This Row],[Valor de referencia]]</f>
        <v>0</v>
      </c>
      <c r="AC427" s="254"/>
      <c r="AD427" s="255">
        <f>+Reactivos_[[#This Row],[Cantidad SPA]]*Reactivos_[[#This Row],[Valor de referencia]]</f>
        <v>0</v>
      </c>
      <c r="AE427" s="148" t="s">
        <v>76</v>
      </c>
      <c r="AF427" s="148" t="s">
        <v>77</v>
      </c>
    </row>
    <row r="428" spans="1:32" ht="22.5" customHeight="1" x14ac:dyDescent="0.25">
      <c r="A428" s="294" t="str">
        <f>IF(B428=Reactivos_[[#This Row],[Cantidad LANIP]],"LANIP",IF(B428=Reactivos_[[#This Row],[Cantidad 
LDV]],"LDV",IF(B428=Reactivos_[[#This Row],[Cantidad LNDV]],"LNDV",IF(B428=Reactivos_[[#This Row],[GGCA]],"GGCA",IF(B428=Reactivos_[[#This Row],[Cantidad LDF]],"LDF",IF(Reactivos_[[#This Row],[Cantidad LDF&amp;MR]],"LDF&amp;MR",IF(B428=Reactivos_[[#This Row],[Cantidad RED LASE]],"LASE",IF(B428=Reactivos_[[#This Row],[Cantidad LANIA]],"LANIA",IF(B428=Reactivos_[[#This Row],[Cantidad SPA]],"SPA"," ")))))))))</f>
        <v>LNDV</v>
      </c>
      <c r="B42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28" s="325">
        <v>426</v>
      </c>
      <c r="D428" s="326">
        <v>620</v>
      </c>
      <c r="E428" s="327" t="s">
        <v>1231</v>
      </c>
      <c r="F428" s="338"/>
      <c r="G428" s="339"/>
      <c r="H428" s="328" t="s">
        <v>1232</v>
      </c>
      <c r="I428" s="329" t="s">
        <v>1233</v>
      </c>
      <c r="J42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28" s="160">
        <v>1651072</v>
      </c>
      <c r="L428" s="160">
        <f>+Reactivos_[[#This Row],[Cantidad]]*Reactivos_[[#This Row],[Valor de referencia]]</f>
        <v>1651072</v>
      </c>
      <c r="M428" s="254">
        <v>0</v>
      </c>
      <c r="N428" s="255">
        <f>+Reactivos_[[#This Row],[Valor de referencia]]*Reactivos_[[#This Row],[Cantidad LANIP]]</f>
        <v>0</v>
      </c>
      <c r="O428" s="256"/>
      <c r="P428" s="255">
        <f>+Reactivos_[[#This Row],[Cantidad 
LDV]]*Reactivos_[[#This Row],[Valor de referencia]]</f>
        <v>0</v>
      </c>
      <c r="Q428" s="257">
        <v>1</v>
      </c>
      <c r="R428" s="255">
        <f>+Reactivos_[[#This Row],[Cantidad LNDV]]*Reactivos_[[#This Row],[Valor de referencia]]</f>
        <v>1651072</v>
      </c>
      <c r="S428" s="148"/>
      <c r="T428" s="255">
        <f>+Reactivos_[[#This Row],[GGCA]]*Reactivos_[[#This Row],[Valor de referencia]]</f>
        <v>0</v>
      </c>
      <c r="U428" s="254"/>
      <c r="V428" s="255">
        <f>+Reactivos_[[#This Row],[Cantidad LDF]]*Reactivos_[[#This Row],[Valor de referencia]]</f>
        <v>0</v>
      </c>
      <c r="W428" s="254"/>
      <c r="X428" s="255">
        <f>+Reactivos_[[#This Row],[Cantidad LDF&amp;MR]]*Reactivos_[[#This Row],[Valor de referencia]]</f>
        <v>0</v>
      </c>
      <c r="Y428" s="254"/>
      <c r="Z428" s="255">
        <f>+Reactivos_[[#This Row],[Cantidad RED LASE]]*Reactivos_[[#This Row],[Valor de referencia]]</f>
        <v>0</v>
      </c>
      <c r="AA428" s="254"/>
      <c r="AB428" s="255">
        <f>+Reactivos_[[#This Row],[Cantidad LANIA]]*Reactivos_[[#This Row],[Valor de referencia]]</f>
        <v>0</v>
      </c>
      <c r="AC428" s="254"/>
      <c r="AD428" s="255">
        <f>+Reactivos_[[#This Row],[Cantidad SPA]]*Reactivos_[[#This Row],[Valor de referencia]]</f>
        <v>0</v>
      </c>
      <c r="AE428" s="148" t="s">
        <v>76</v>
      </c>
      <c r="AF428" s="148" t="s">
        <v>77</v>
      </c>
    </row>
    <row r="429" spans="1:32" ht="25.5" x14ac:dyDescent="0.25">
      <c r="A429" s="294" t="str">
        <f>IF(B429=Reactivos_[[#This Row],[Cantidad LANIP]],"LANIP",IF(B429=Reactivos_[[#This Row],[Cantidad 
LDV]],"LDV",IF(B429=Reactivos_[[#This Row],[Cantidad LNDV]],"LNDV",IF(B429=Reactivos_[[#This Row],[GGCA]],"GGCA",IF(B429=Reactivos_[[#This Row],[Cantidad LDF]],"LDF",IF(Reactivos_[[#This Row],[Cantidad LDF&amp;MR]],"LDF&amp;MR",IF(B429=Reactivos_[[#This Row],[Cantidad RED LASE]],"LASE",IF(B429=Reactivos_[[#This Row],[Cantidad LANIA]],"LANIA",IF(B429=Reactivos_[[#This Row],[Cantidad SPA]],"SPA"," ")))))))))</f>
        <v>LANIP</v>
      </c>
      <c r="B42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29" s="325">
        <v>427</v>
      </c>
      <c r="D429" s="326">
        <v>621</v>
      </c>
      <c r="E429" s="245" t="s">
        <v>1234</v>
      </c>
      <c r="F429" s="244"/>
      <c r="G429" s="245"/>
      <c r="H429" s="346" t="s">
        <v>1235</v>
      </c>
      <c r="I429" s="329" t="s">
        <v>1236</v>
      </c>
      <c r="J42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429" s="160">
        <v>1049708</v>
      </c>
      <c r="L429" s="160">
        <f>+Reactivos_[[#This Row],[Cantidad]]*Reactivos_[[#This Row],[Valor de referencia]]</f>
        <v>3149124</v>
      </c>
      <c r="M429" s="254">
        <v>2</v>
      </c>
      <c r="N429" s="255">
        <f>+Reactivos_[[#This Row],[Valor de referencia]]*Reactivos_[[#This Row],[Cantidad LANIP]]</f>
        <v>2099416</v>
      </c>
      <c r="O429" s="256"/>
      <c r="P429" s="255">
        <f>+Reactivos_[[#This Row],[Cantidad 
LDV]]*Reactivos_[[#This Row],[Valor de referencia]]</f>
        <v>0</v>
      </c>
      <c r="Q429" s="257"/>
      <c r="R429" s="255">
        <f>+Reactivos_[[#This Row],[Cantidad LNDV]]*Reactivos_[[#This Row],[Valor de referencia]]</f>
        <v>0</v>
      </c>
      <c r="S429" s="148"/>
      <c r="T429" s="255">
        <f>+Reactivos_[[#This Row],[GGCA]]*Reactivos_[[#This Row],[Valor de referencia]]</f>
        <v>0</v>
      </c>
      <c r="U429" s="254"/>
      <c r="V429" s="255">
        <f>+Reactivos_[[#This Row],[Cantidad LDF]]*Reactivos_[[#This Row],[Valor de referencia]]</f>
        <v>0</v>
      </c>
      <c r="W429" s="254"/>
      <c r="X429" s="255">
        <f>+Reactivos_[[#This Row],[Cantidad LDF&amp;MR]]*Reactivos_[[#This Row],[Valor de referencia]]</f>
        <v>0</v>
      </c>
      <c r="Y429" s="254"/>
      <c r="Z429" s="255">
        <f>+Reactivos_[[#This Row],[Cantidad RED LASE]]*Reactivos_[[#This Row],[Valor de referencia]]</f>
        <v>0</v>
      </c>
      <c r="AA429" s="254">
        <v>1</v>
      </c>
      <c r="AB429" s="255">
        <f>+Reactivos_[[#This Row],[Cantidad LANIA]]*Reactivos_[[#This Row],[Valor de referencia]]</f>
        <v>1049708</v>
      </c>
      <c r="AC429" s="254"/>
      <c r="AD429" s="255">
        <f>+Reactivos_[[#This Row],[Cantidad SPA]]*Reactivos_[[#This Row],[Valor de referencia]]</f>
        <v>0</v>
      </c>
      <c r="AE429" s="148" t="s">
        <v>76</v>
      </c>
      <c r="AF429" s="148" t="s">
        <v>77</v>
      </c>
    </row>
    <row r="430" spans="1:32" ht="47.25" customHeight="1" x14ac:dyDescent="0.25">
      <c r="A430" s="294" t="str">
        <f>IF(B430=Reactivos_[[#This Row],[Cantidad LANIP]],"LANIP",IF(B430=Reactivos_[[#This Row],[Cantidad 
LDV]],"LDV",IF(B430=Reactivos_[[#This Row],[Cantidad LNDV]],"LNDV",IF(B430=Reactivos_[[#This Row],[GGCA]],"GGCA",IF(B430=Reactivos_[[#This Row],[Cantidad LDF]],"LDF",IF(Reactivos_[[#This Row],[Cantidad LDF&amp;MR]],"LDF&amp;MR",IF(B430=Reactivos_[[#This Row],[Cantidad RED LASE]],"LASE",IF(B430=Reactivos_[[#This Row],[Cantidad LANIA]],"LANIA",IF(B430=Reactivos_[[#This Row],[Cantidad SPA]],"SPA"," ")))))))))</f>
        <v>LNDV</v>
      </c>
      <c r="B43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430" s="325">
        <v>428</v>
      </c>
      <c r="D430" s="326">
        <v>623</v>
      </c>
      <c r="E430" s="331" t="s">
        <v>1237</v>
      </c>
      <c r="F430" s="244" t="s">
        <v>1238</v>
      </c>
      <c r="G430" s="245" t="s">
        <v>767</v>
      </c>
      <c r="H430" s="348" t="s">
        <v>1239</v>
      </c>
      <c r="I430" s="329" t="s">
        <v>217</v>
      </c>
      <c r="J43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430" s="160">
        <v>598925</v>
      </c>
      <c r="L430" s="160">
        <f>+Reactivos_[[#This Row],[Cantidad]]*Reactivos_[[#This Row],[Valor de referencia]]</f>
        <v>3593550</v>
      </c>
      <c r="M430" s="254">
        <v>2</v>
      </c>
      <c r="N430" s="255">
        <f>+Reactivos_[[#This Row],[Valor de referencia]]*Reactivos_[[#This Row],[Cantidad LANIP]]</f>
        <v>1197850</v>
      </c>
      <c r="O430" s="256"/>
      <c r="P430" s="255">
        <f>+Reactivos_[[#This Row],[Cantidad 
LDV]]*Reactivos_[[#This Row],[Valor de referencia]]</f>
        <v>0</v>
      </c>
      <c r="Q430" s="257">
        <v>4</v>
      </c>
      <c r="R430" s="255">
        <f>+Reactivos_[[#This Row],[Cantidad LNDV]]*Reactivos_[[#This Row],[Valor de referencia]]</f>
        <v>2395700</v>
      </c>
      <c r="S430" s="148"/>
      <c r="T430" s="255">
        <f>+Reactivos_[[#This Row],[GGCA]]*Reactivos_[[#This Row],[Valor de referencia]]</f>
        <v>0</v>
      </c>
      <c r="U430" s="254"/>
      <c r="V430" s="255">
        <f>+Reactivos_[[#This Row],[Cantidad LDF]]*Reactivos_[[#This Row],[Valor de referencia]]</f>
        <v>0</v>
      </c>
      <c r="W430" s="254"/>
      <c r="X430" s="255">
        <f>+Reactivos_[[#This Row],[Cantidad LDF&amp;MR]]*Reactivos_[[#This Row],[Valor de referencia]]</f>
        <v>0</v>
      </c>
      <c r="Y430" s="254"/>
      <c r="Z430" s="255">
        <f>+Reactivos_[[#This Row],[Cantidad RED LASE]]*Reactivos_[[#This Row],[Valor de referencia]]</f>
        <v>0</v>
      </c>
      <c r="AA430" s="254"/>
      <c r="AB430" s="255">
        <f>+Reactivos_[[#This Row],[Cantidad LANIA]]*Reactivos_[[#This Row],[Valor de referencia]]</f>
        <v>0</v>
      </c>
      <c r="AC430" s="254"/>
      <c r="AD430" s="255">
        <f>+Reactivos_[[#This Row],[Cantidad SPA]]*Reactivos_[[#This Row],[Valor de referencia]]</f>
        <v>0</v>
      </c>
      <c r="AE430" s="148" t="s">
        <v>76</v>
      </c>
      <c r="AF430" s="148" t="s">
        <v>77</v>
      </c>
    </row>
    <row r="431" spans="1:32" ht="54.75" customHeight="1" x14ac:dyDescent="0.25">
      <c r="A431" s="294" t="str">
        <f>IF(B431=Reactivos_[[#This Row],[Cantidad LANIP]],"LANIP",IF(B431=Reactivos_[[#This Row],[Cantidad 
LDV]],"LDV",IF(B431=Reactivos_[[#This Row],[Cantidad LNDV]],"LNDV",IF(B431=Reactivos_[[#This Row],[GGCA]],"GGCA",IF(B431=Reactivos_[[#This Row],[Cantidad LDF]],"LDF",IF(Reactivos_[[#This Row],[Cantidad LDF&amp;MR]],"LDF&amp;MR",IF(B431=Reactivos_[[#This Row],[Cantidad RED LASE]],"LASE",IF(B431=Reactivos_[[#This Row],[Cantidad LANIA]],"LANIA",IF(B431=Reactivos_[[#This Row],[Cantidad SPA]],"SPA"," ")))))))))</f>
        <v>LANIP</v>
      </c>
      <c r="B43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431" s="325">
        <v>429</v>
      </c>
      <c r="D431" s="326">
        <v>624</v>
      </c>
      <c r="E431" s="327" t="s">
        <v>1240</v>
      </c>
      <c r="F431" s="244" t="s">
        <v>1241</v>
      </c>
      <c r="G431" s="327" t="s">
        <v>1242</v>
      </c>
      <c r="H431" s="348" t="s">
        <v>1243</v>
      </c>
      <c r="I431" s="329" t="s">
        <v>217</v>
      </c>
      <c r="J43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431" s="160">
        <v>705025</v>
      </c>
      <c r="L431" s="160">
        <f>+Reactivos_[[#This Row],[Cantidad]]*Reactivos_[[#This Row],[Valor de referencia]]</f>
        <v>4230150</v>
      </c>
      <c r="M431" s="254">
        <v>4</v>
      </c>
      <c r="N431" s="255">
        <f>+Reactivos_[[#This Row],[Valor de referencia]]*Reactivos_[[#This Row],[Cantidad LANIP]]</f>
        <v>2820100</v>
      </c>
      <c r="O431" s="256"/>
      <c r="P431" s="255">
        <f>+Reactivos_[[#This Row],[Cantidad 
LDV]]*Reactivos_[[#This Row],[Valor de referencia]]</f>
        <v>0</v>
      </c>
      <c r="Q431" s="257">
        <v>2</v>
      </c>
      <c r="R431" s="255">
        <f>+Reactivos_[[#This Row],[Cantidad LNDV]]*Reactivos_[[#This Row],[Valor de referencia]]</f>
        <v>1410050</v>
      </c>
      <c r="S431" s="148"/>
      <c r="T431" s="255">
        <f>+Reactivos_[[#This Row],[GGCA]]*Reactivos_[[#This Row],[Valor de referencia]]</f>
        <v>0</v>
      </c>
      <c r="U431" s="254"/>
      <c r="V431" s="255">
        <f>+Reactivos_[[#This Row],[Cantidad LDF]]*Reactivos_[[#This Row],[Valor de referencia]]</f>
        <v>0</v>
      </c>
      <c r="W431" s="254"/>
      <c r="X431" s="255">
        <f>+Reactivos_[[#This Row],[Cantidad LDF&amp;MR]]*Reactivos_[[#This Row],[Valor de referencia]]</f>
        <v>0</v>
      </c>
      <c r="Y431" s="254"/>
      <c r="Z431" s="255">
        <f>+Reactivos_[[#This Row],[Cantidad RED LASE]]*Reactivos_[[#This Row],[Valor de referencia]]</f>
        <v>0</v>
      </c>
      <c r="AA431" s="254"/>
      <c r="AB431" s="255">
        <f>+Reactivos_[[#This Row],[Cantidad LANIA]]*Reactivos_[[#This Row],[Valor de referencia]]</f>
        <v>0</v>
      </c>
      <c r="AC431" s="254"/>
      <c r="AD431" s="255">
        <f>+Reactivos_[[#This Row],[Cantidad SPA]]*Reactivos_[[#This Row],[Valor de referencia]]</f>
        <v>0</v>
      </c>
      <c r="AE431" s="148" t="s">
        <v>76</v>
      </c>
      <c r="AF431" s="148" t="s">
        <v>77</v>
      </c>
    </row>
    <row r="432" spans="1:32" ht="42" customHeight="1" x14ac:dyDescent="0.25">
      <c r="A432" s="294" t="str">
        <f>IF(B432=Reactivos_[[#This Row],[Cantidad LANIP]],"LANIP",IF(B432=Reactivos_[[#This Row],[Cantidad 
LDV]],"LDV",IF(B432=Reactivos_[[#This Row],[Cantidad LNDV]],"LNDV",IF(B432=Reactivos_[[#This Row],[GGCA]],"GGCA",IF(B432=Reactivos_[[#This Row],[Cantidad LDF]],"LDF",IF(Reactivos_[[#This Row],[Cantidad LDF&amp;MR]],"LDF&amp;MR",IF(B432=Reactivos_[[#This Row],[Cantidad RED LASE]],"LASE",IF(B432=Reactivos_[[#This Row],[Cantidad LANIA]],"LANIA",IF(B432=Reactivos_[[#This Row],[Cantidad SPA]],"SPA"," ")))))))))</f>
        <v>LNDV</v>
      </c>
      <c r="B43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432" s="325">
        <v>430</v>
      </c>
      <c r="D432" s="326">
        <v>626</v>
      </c>
      <c r="E432" s="368" t="s">
        <v>1244</v>
      </c>
      <c r="F432" s="369" t="s">
        <v>1245</v>
      </c>
      <c r="G432" s="368" t="s">
        <v>1246</v>
      </c>
      <c r="H432" s="348" t="s">
        <v>1247</v>
      </c>
      <c r="I432" s="329" t="s">
        <v>217</v>
      </c>
      <c r="J43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432" s="160">
        <v>612184</v>
      </c>
      <c r="L432" s="160">
        <f>+Reactivos_[[#This Row],[Cantidad]]*Reactivos_[[#This Row],[Valor de referencia]]</f>
        <v>3060920</v>
      </c>
      <c r="M432" s="254">
        <v>2</v>
      </c>
      <c r="N432" s="255">
        <f>+Reactivos_[[#This Row],[Valor de referencia]]*Reactivos_[[#This Row],[Cantidad LANIP]]</f>
        <v>1224368</v>
      </c>
      <c r="O432" s="256"/>
      <c r="P432" s="255">
        <f>+Reactivos_[[#This Row],[Cantidad 
LDV]]*Reactivos_[[#This Row],[Valor de referencia]]</f>
        <v>0</v>
      </c>
      <c r="Q432" s="257">
        <v>3</v>
      </c>
      <c r="R432" s="255">
        <f>+Reactivos_[[#This Row],[Cantidad LNDV]]*Reactivos_[[#This Row],[Valor de referencia]]</f>
        <v>1836552</v>
      </c>
      <c r="S432" s="148"/>
      <c r="T432" s="255">
        <f>+Reactivos_[[#This Row],[GGCA]]*Reactivos_[[#This Row],[Valor de referencia]]</f>
        <v>0</v>
      </c>
      <c r="U432" s="254"/>
      <c r="V432" s="255">
        <f>+Reactivos_[[#This Row],[Cantidad LDF]]*Reactivos_[[#This Row],[Valor de referencia]]</f>
        <v>0</v>
      </c>
      <c r="W432" s="254"/>
      <c r="X432" s="255">
        <f>+Reactivos_[[#This Row],[Cantidad LDF&amp;MR]]*Reactivos_[[#This Row],[Valor de referencia]]</f>
        <v>0</v>
      </c>
      <c r="Y432" s="254"/>
      <c r="Z432" s="255">
        <f>+Reactivos_[[#This Row],[Cantidad RED LASE]]*Reactivos_[[#This Row],[Valor de referencia]]</f>
        <v>0</v>
      </c>
      <c r="AA432" s="254"/>
      <c r="AB432" s="255">
        <f>+Reactivos_[[#This Row],[Cantidad LANIA]]*Reactivos_[[#This Row],[Valor de referencia]]</f>
        <v>0</v>
      </c>
      <c r="AC432" s="254"/>
      <c r="AD432" s="255">
        <f>+Reactivos_[[#This Row],[Cantidad SPA]]*Reactivos_[[#This Row],[Valor de referencia]]</f>
        <v>0</v>
      </c>
      <c r="AE432" s="148" t="s">
        <v>76</v>
      </c>
      <c r="AF432" s="148" t="s">
        <v>77</v>
      </c>
    </row>
    <row r="433" spans="1:32" ht="27.75" customHeight="1" x14ac:dyDescent="0.25">
      <c r="A433" s="294" t="str">
        <f>IF(B433=Reactivos_[[#This Row],[Cantidad LANIP]],"LANIP",IF(B433=Reactivos_[[#This Row],[Cantidad 
LDV]],"LDV",IF(B433=Reactivos_[[#This Row],[Cantidad LNDV]],"LNDV",IF(B433=Reactivos_[[#This Row],[GGCA]],"GGCA",IF(B433=Reactivos_[[#This Row],[Cantidad LDF]],"LDF",IF(Reactivos_[[#This Row],[Cantidad LDF&amp;MR]],"LDF&amp;MR",IF(B433=Reactivos_[[#This Row],[Cantidad RED LASE]],"LASE",IF(B433=Reactivos_[[#This Row],[Cantidad LANIA]],"LANIA",IF(B433=Reactivos_[[#This Row],[Cantidad SPA]],"SPA"," ")))))))))</f>
        <v>LANIA</v>
      </c>
      <c r="B43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33" s="325">
        <v>431</v>
      </c>
      <c r="D433" s="326">
        <v>627</v>
      </c>
      <c r="E433" s="356" t="s">
        <v>1248</v>
      </c>
      <c r="F433" s="350" t="s">
        <v>1249</v>
      </c>
      <c r="G433" s="321"/>
      <c r="H433" s="328" t="s">
        <v>1250</v>
      </c>
      <c r="I433" s="370" t="s">
        <v>1251</v>
      </c>
      <c r="J43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33" s="160">
        <v>223308</v>
      </c>
      <c r="L433" s="160">
        <f>+Reactivos_[[#This Row],[Cantidad]]*Reactivos_[[#This Row],[Valor de referencia]]</f>
        <v>446616</v>
      </c>
      <c r="M433" s="254">
        <v>0</v>
      </c>
      <c r="N433" s="255">
        <f>+Reactivos_[[#This Row],[Valor de referencia]]*Reactivos_[[#This Row],[Cantidad LANIP]]</f>
        <v>0</v>
      </c>
      <c r="O433" s="256"/>
      <c r="P433" s="255">
        <f>+Reactivos_[[#This Row],[Cantidad 
LDV]]*Reactivos_[[#This Row],[Valor de referencia]]</f>
        <v>0</v>
      </c>
      <c r="Q433" s="257"/>
      <c r="R433" s="255">
        <f>+Reactivos_[[#This Row],[Cantidad LNDV]]*Reactivos_[[#This Row],[Valor de referencia]]</f>
        <v>0</v>
      </c>
      <c r="S433" s="148"/>
      <c r="T433" s="255">
        <f>+Reactivos_[[#This Row],[GGCA]]*Reactivos_[[#This Row],[Valor de referencia]]</f>
        <v>0</v>
      </c>
      <c r="U433" s="254"/>
      <c r="V433" s="255">
        <f>+Reactivos_[[#This Row],[Cantidad LDF]]*Reactivos_[[#This Row],[Valor de referencia]]</f>
        <v>0</v>
      </c>
      <c r="W433" s="254"/>
      <c r="X433" s="255">
        <f>+Reactivos_[[#This Row],[Cantidad LDF&amp;MR]]*Reactivos_[[#This Row],[Valor de referencia]]</f>
        <v>0</v>
      </c>
      <c r="Y433" s="254"/>
      <c r="Z433" s="255">
        <f>+Reactivos_[[#This Row],[Cantidad RED LASE]]*Reactivos_[[#This Row],[Valor de referencia]]</f>
        <v>0</v>
      </c>
      <c r="AA433" s="254">
        <v>2</v>
      </c>
      <c r="AB433" s="255">
        <f>+Reactivos_[[#This Row],[Cantidad LANIA]]*Reactivos_[[#This Row],[Valor de referencia]]</f>
        <v>446616</v>
      </c>
      <c r="AC433" s="254"/>
      <c r="AD433" s="255">
        <f>+Reactivos_[[#This Row],[Cantidad SPA]]*Reactivos_[[#This Row],[Valor de referencia]]</f>
        <v>0</v>
      </c>
      <c r="AE433" s="148" t="s">
        <v>76</v>
      </c>
      <c r="AF433" s="148" t="s">
        <v>77</v>
      </c>
    </row>
    <row r="434" spans="1:32" ht="43.5" customHeight="1" x14ac:dyDescent="0.25">
      <c r="A434" s="294" t="str">
        <f>IF(B434=Reactivos_[[#This Row],[Cantidad LANIP]],"LANIP",IF(B434=Reactivos_[[#This Row],[Cantidad 
LDV]],"LDV",IF(B434=Reactivos_[[#This Row],[Cantidad LNDV]],"LNDV",IF(B434=Reactivos_[[#This Row],[GGCA]],"GGCA",IF(B434=Reactivos_[[#This Row],[Cantidad LDF]],"LDF",IF(Reactivos_[[#This Row],[Cantidad LDF&amp;MR]],"LDF&amp;MR",IF(B434=Reactivos_[[#This Row],[Cantidad RED LASE]],"LASE",IF(B434=Reactivos_[[#This Row],[Cantidad LANIA]],"LANIA",IF(B434=Reactivos_[[#This Row],[Cantidad SPA]],"SPA"," ")))))))))</f>
        <v>LANIP</v>
      </c>
      <c r="B43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434" s="325">
        <v>432</v>
      </c>
      <c r="D434" s="326">
        <v>628</v>
      </c>
      <c r="E434" s="368" t="s">
        <v>1252</v>
      </c>
      <c r="F434" s="371" t="s">
        <v>1253</v>
      </c>
      <c r="G434" s="368" t="s">
        <v>1254</v>
      </c>
      <c r="H434" s="346" t="s">
        <v>1255</v>
      </c>
      <c r="I434" s="329" t="s">
        <v>1256</v>
      </c>
      <c r="J43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K434" s="160">
        <v>256552</v>
      </c>
      <c r="L434" s="160">
        <f>+Reactivos_[[#This Row],[Cantidad]]*Reactivos_[[#This Row],[Valor de referencia]]</f>
        <v>2052416</v>
      </c>
      <c r="M434" s="254">
        <v>4</v>
      </c>
      <c r="N434" s="255">
        <f>+Reactivos_[[#This Row],[Valor de referencia]]*Reactivos_[[#This Row],[Cantidad LANIP]]</f>
        <v>1026208</v>
      </c>
      <c r="O434" s="256"/>
      <c r="P434" s="255">
        <f>+Reactivos_[[#This Row],[Cantidad 
LDV]]*Reactivos_[[#This Row],[Valor de referencia]]</f>
        <v>0</v>
      </c>
      <c r="Q434" s="257">
        <v>1</v>
      </c>
      <c r="R434" s="255">
        <f>+Reactivos_[[#This Row],[Cantidad LNDV]]*Reactivos_[[#This Row],[Valor de referencia]]</f>
        <v>256552</v>
      </c>
      <c r="S434" s="148"/>
      <c r="T434" s="255">
        <f>+Reactivos_[[#This Row],[GGCA]]*Reactivos_[[#This Row],[Valor de referencia]]</f>
        <v>0</v>
      </c>
      <c r="U434" s="254"/>
      <c r="V434" s="255">
        <f>+Reactivos_[[#This Row],[Cantidad LDF]]*Reactivos_[[#This Row],[Valor de referencia]]</f>
        <v>0</v>
      </c>
      <c r="W434" s="254">
        <v>3</v>
      </c>
      <c r="X434" s="255">
        <f>+Reactivos_[[#This Row],[Cantidad LDF&amp;MR]]*Reactivos_[[#This Row],[Valor de referencia]]</f>
        <v>769656</v>
      </c>
      <c r="Y434" s="254"/>
      <c r="Z434" s="255">
        <f>+Reactivos_[[#This Row],[Cantidad RED LASE]]*Reactivos_[[#This Row],[Valor de referencia]]</f>
        <v>0</v>
      </c>
      <c r="AA434" s="254"/>
      <c r="AB434" s="255">
        <f>+Reactivos_[[#This Row],[Cantidad LANIA]]*Reactivos_[[#This Row],[Valor de referencia]]</f>
        <v>0</v>
      </c>
      <c r="AC434" s="254"/>
      <c r="AD434" s="255">
        <f>+Reactivos_[[#This Row],[Cantidad SPA]]*Reactivos_[[#This Row],[Valor de referencia]]</f>
        <v>0</v>
      </c>
      <c r="AE434" s="148" t="s">
        <v>76</v>
      </c>
      <c r="AF434" s="148" t="s">
        <v>77</v>
      </c>
    </row>
    <row r="435" spans="1:32" ht="22.5" customHeight="1" x14ac:dyDescent="0.25">
      <c r="A435" s="294" t="str">
        <f>IF(B435=Reactivos_[[#This Row],[Cantidad LANIP]],"LANIP",IF(B435=Reactivos_[[#This Row],[Cantidad 
LDV]],"LDV",IF(B435=Reactivos_[[#This Row],[Cantidad LNDV]],"LNDV",IF(B435=Reactivos_[[#This Row],[GGCA]],"GGCA",IF(B435=Reactivos_[[#This Row],[Cantidad LDF]],"LDF",IF(Reactivos_[[#This Row],[Cantidad LDF&amp;MR]],"LDF&amp;MR",IF(B435=Reactivos_[[#This Row],[Cantidad RED LASE]],"LASE",IF(B435=Reactivos_[[#This Row],[Cantidad LANIA]],"LANIA",IF(B435=Reactivos_[[#This Row],[Cantidad SPA]],"SPA"," ")))))))))</f>
        <v>LNDV</v>
      </c>
      <c r="B43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435" s="325">
        <v>433</v>
      </c>
      <c r="D435" s="326">
        <v>629</v>
      </c>
      <c r="E435" s="245" t="s">
        <v>1257</v>
      </c>
      <c r="F435" s="244" t="s">
        <v>1258</v>
      </c>
      <c r="G435" s="245" t="s">
        <v>1259</v>
      </c>
      <c r="H435" s="346" t="s">
        <v>1260</v>
      </c>
      <c r="I435" s="336" t="s">
        <v>1261</v>
      </c>
      <c r="J43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435" s="160">
        <v>227290</v>
      </c>
      <c r="L435" s="160">
        <f>+Reactivos_[[#This Row],[Cantidad]]*Reactivos_[[#This Row],[Valor de referencia]]</f>
        <v>1136450</v>
      </c>
      <c r="M435" s="254">
        <v>2</v>
      </c>
      <c r="N435" s="255">
        <f>+Reactivos_[[#This Row],[Valor de referencia]]*Reactivos_[[#This Row],[Cantidad LANIP]]</f>
        <v>454580</v>
      </c>
      <c r="O435" s="256"/>
      <c r="P435" s="255">
        <f>+Reactivos_[[#This Row],[Cantidad 
LDV]]*Reactivos_[[#This Row],[Valor de referencia]]</f>
        <v>0</v>
      </c>
      <c r="Q435" s="257">
        <v>3</v>
      </c>
      <c r="R435" s="255">
        <f>+Reactivos_[[#This Row],[Cantidad LNDV]]*Reactivos_[[#This Row],[Valor de referencia]]</f>
        <v>681870</v>
      </c>
      <c r="S435" s="148"/>
      <c r="T435" s="255">
        <f>+Reactivos_[[#This Row],[GGCA]]*Reactivos_[[#This Row],[Valor de referencia]]</f>
        <v>0</v>
      </c>
      <c r="U435" s="254"/>
      <c r="V435" s="255">
        <f>+Reactivos_[[#This Row],[Cantidad LDF]]*Reactivos_[[#This Row],[Valor de referencia]]</f>
        <v>0</v>
      </c>
      <c r="W435" s="254"/>
      <c r="X435" s="255">
        <f>+Reactivos_[[#This Row],[Cantidad LDF&amp;MR]]*Reactivos_[[#This Row],[Valor de referencia]]</f>
        <v>0</v>
      </c>
      <c r="Y435" s="254"/>
      <c r="Z435" s="255">
        <f>+Reactivos_[[#This Row],[Cantidad RED LASE]]*Reactivos_[[#This Row],[Valor de referencia]]</f>
        <v>0</v>
      </c>
      <c r="AA435" s="254"/>
      <c r="AB435" s="255">
        <f>+Reactivos_[[#This Row],[Cantidad LANIA]]*Reactivos_[[#This Row],[Valor de referencia]]</f>
        <v>0</v>
      </c>
      <c r="AC435" s="254"/>
      <c r="AD435" s="255">
        <f>+Reactivos_[[#This Row],[Cantidad SPA]]*Reactivos_[[#This Row],[Valor de referencia]]</f>
        <v>0</v>
      </c>
      <c r="AE435" s="148" t="s">
        <v>76</v>
      </c>
      <c r="AF435" s="148" t="s">
        <v>77</v>
      </c>
    </row>
    <row r="436" spans="1:32" ht="22.5" customHeight="1" x14ac:dyDescent="0.25">
      <c r="A436" s="294" t="str">
        <f>IF(B436=Reactivos_[[#This Row],[Cantidad LANIP]],"LANIP",IF(B436=Reactivos_[[#This Row],[Cantidad 
LDV]],"LDV",IF(B436=Reactivos_[[#This Row],[Cantidad LNDV]],"LNDV",IF(B436=Reactivos_[[#This Row],[GGCA]],"GGCA",IF(B436=Reactivos_[[#This Row],[Cantidad LDF]],"LDF",IF(Reactivos_[[#This Row],[Cantidad LDF&amp;MR]],"LDF&amp;MR",IF(B436=Reactivos_[[#This Row],[Cantidad RED LASE]],"LASE",IF(B436=Reactivos_[[#This Row],[Cantidad LANIA]],"LANIA",IF(B436=Reactivos_[[#This Row],[Cantidad SPA]],"SPA"," ")))))))))</f>
        <v>LANIP</v>
      </c>
      <c r="B43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36" s="325">
        <v>434</v>
      </c>
      <c r="D436" s="326">
        <v>630</v>
      </c>
      <c r="E436" s="327" t="s">
        <v>1262</v>
      </c>
      <c r="F436" s="244"/>
      <c r="G436" s="327" t="s">
        <v>1263</v>
      </c>
      <c r="H436" s="328" t="s">
        <v>1264</v>
      </c>
      <c r="I436" s="418" t="s">
        <v>1265</v>
      </c>
      <c r="J43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436" s="160">
        <v>897295</v>
      </c>
      <c r="L436" s="160">
        <f>+Reactivos_[[#This Row],[Cantidad]]*Reactivos_[[#This Row],[Valor de referencia]]</f>
        <v>3589180</v>
      </c>
      <c r="M436" s="254">
        <v>2</v>
      </c>
      <c r="N436" s="255">
        <f>+Reactivos_[[#This Row],[Valor de referencia]]*Reactivos_[[#This Row],[Cantidad LANIP]]</f>
        <v>1794590</v>
      </c>
      <c r="O436" s="256">
        <v>2</v>
      </c>
      <c r="P436" s="255">
        <f>+Reactivos_[[#This Row],[Cantidad 
LDV]]*Reactivos_[[#This Row],[Valor de referencia]]</f>
        <v>1794590</v>
      </c>
      <c r="Q436" s="257"/>
      <c r="R436" s="255">
        <f>+Reactivos_[[#This Row],[Cantidad LNDV]]*Reactivos_[[#This Row],[Valor de referencia]]</f>
        <v>0</v>
      </c>
      <c r="S436" s="148"/>
      <c r="T436" s="255">
        <f>+Reactivos_[[#This Row],[GGCA]]*Reactivos_[[#This Row],[Valor de referencia]]</f>
        <v>0</v>
      </c>
      <c r="U436" s="254"/>
      <c r="V436" s="255">
        <f>+Reactivos_[[#This Row],[Cantidad LDF]]*Reactivos_[[#This Row],[Valor de referencia]]</f>
        <v>0</v>
      </c>
      <c r="W436" s="254"/>
      <c r="X436" s="255">
        <f>+Reactivos_[[#This Row],[Cantidad LDF&amp;MR]]*Reactivos_[[#This Row],[Valor de referencia]]</f>
        <v>0</v>
      </c>
      <c r="Y436" s="254"/>
      <c r="Z436" s="255">
        <f>+Reactivos_[[#This Row],[Cantidad RED LASE]]*Reactivos_[[#This Row],[Valor de referencia]]</f>
        <v>0</v>
      </c>
      <c r="AA436" s="254"/>
      <c r="AB436" s="255">
        <f>+Reactivos_[[#This Row],[Cantidad LANIA]]*Reactivos_[[#This Row],[Valor de referencia]]</f>
        <v>0</v>
      </c>
      <c r="AC436" s="254"/>
      <c r="AD436" s="255">
        <f>+Reactivos_[[#This Row],[Cantidad SPA]]*Reactivos_[[#This Row],[Valor de referencia]]</f>
        <v>0</v>
      </c>
      <c r="AE436" s="148" t="s">
        <v>76</v>
      </c>
      <c r="AF436" s="148" t="s">
        <v>77</v>
      </c>
    </row>
    <row r="437" spans="1:32" ht="22.5" customHeight="1" x14ac:dyDescent="0.25">
      <c r="A437" s="294" t="str">
        <f>IF(B437=Reactivos_[[#This Row],[Cantidad LANIP]],"LANIP",IF(B437=Reactivos_[[#This Row],[Cantidad 
LDV]],"LDV",IF(B437=Reactivos_[[#This Row],[Cantidad LNDV]],"LNDV",IF(B437=Reactivos_[[#This Row],[GGCA]],"GGCA",IF(B437=Reactivos_[[#This Row],[Cantidad LDF]],"LDF",IF(Reactivos_[[#This Row],[Cantidad LDF&amp;MR]],"LDF&amp;MR",IF(B437=Reactivos_[[#This Row],[Cantidad RED LASE]],"LASE",IF(B437=Reactivos_[[#This Row],[Cantidad LANIA]],"LANIA",IF(B437=Reactivos_[[#This Row],[Cantidad SPA]],"SPA"," ")))))))))</f>
        <v>LDV</v>
      </c>
      <c r="B43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437" s="325">
        <v>435</v>
      </c>
      <c r="D437" s="326">
        <v>631</v>
      </c>
      <c r="E437" s="245" t="s">
        <v>1266</v>
      </c>
      <c r="F437" s="244">
        <v>104873</v>
      </c>
      <c r="G437" s="245" t="s">
        <v>1267</v>
      </c>
      <c r="H437" s="346" t="s">
        <v>1268</v>
      </c>
      <c r="I437" s="336" t="s">
        <v>1269</v>
      </c>
      <c r="J43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437" s="160">
        <v>605118</v>
      </c>
      <c r="L437" s="160">
        <f>+Reactivos_[[#This Row],[Cantidad]]*Reactivos_[[#This Row],[Valor de referencia]]</f>
        <v>6051180</v>
      </c>
      <c r="M437" s="254">
        <v>2</v>
      </c>
      <c r="N437" s="255">
        <f>+Reactivos_[[#This Row],[Valor de referencia]]*Reactivos_[[#This Row],[Cantidad LANIP]]</f>
        <v>1210236</v>
      </c>
      <c r="O437" s="256">
        <v>3</v>
      </c>
      <c r="P437" s="255">
        <f>+Reactivos_[[#This Row],[Cantidad 
LDV]]*Reactivos_[[#This Row],[Valor de referencia]]</f>
        <v>1815354</v>
      </c>
      <c r="Q437" s="257">
        <v>1</v>
      </c>
      <c r="R437" s="255">
        <f>+Reactivos_[[#This Row],[Cantidad LNDV]]*Reactivos_[[#This Row],[Valor de referencia]]</f>
        <v>605118</v>
      </c>
      <c r="S437" s="148"/>
      <c r="T437" s="255">
        <f>+Reactivos_[[#This Row],[GGCA]]*Reactivos_[[#This Row],[Valor de referencia]]</f>
        <v>0</v>
      </c>
      <c r="U437" s="254"/>
      <c r="V437" s="255">
        <f>+Reactivos_[[#This Row],[Cantidad LDF]]*Reactivos_[[#This Row],[Valor de referencia]]</f>
        <v>0</v>
      </c>
      <c r="W437" s="254">
        <v>3</v>
      </c>
      <c r="X437" s="255">
        <f>+Reactivos_[[#This Row],[Cantidad LDF&amp;MR]]*Reactivos_[[#This Row],[Valor de referencia]]</f>
        <v>1815354</v>
      </c>
      <c r="Y437" s="254"/>
      <c r="Z437" s="255">
        <f>+Reactivos_[[#This Row],[Cantidad RED LASE]]*Reactivos_[[#This Row],[Valor de referencia]]</f>
        <v>0</v>
      </c>
      <c r="AA437" s="254">
        <v>1</v>
      </c>
      <c r="AB437" s="255">
        <f>+Reactivos_[[#This Row],[Cantidad LANIA]]*Reactivos_[[#This Row],[Valor de referencia]]</f>
        <v>605118</v>
      </c>
      <c r="AC437" s="254"/>
      <c r="AD437" s="255">
        <f>+Reactivos_[[#This Row],[Cantidad SPA]]*Reactivos_[[#This Row],[Valor de referencia]]</f>
        <v>0</v>
      </c>
      <c r="AE437" s="148" t="s">
        <v>76</v>
      </c>
      <c r="AF437" s="148" t="s">
        <v>77</v>
      </c>
    </row>
    <row r="438" spans="1:32" ht="22.5" customHeight="1" x14ac:dyDescent="0.25">
      <c r="A438" s="294" t="str">
        <f>IF(B438=Reactivos_[[#This Row],[Cantidad LANIP]],"LANIP",IF(B438=Reactivos_[[#This Row],[Cantidad 
LDV]],"LDV",IF(B438=Reactivos_[[#This Row],[Cantidad LNDV]],"LNDV",IF(B438=Reactivos_[[#This Row],[GGCA]],"GGCA",IF(B438=Reactivos_[[#This Row],[Cantidad LDF]],"LDF",IF(Reactivos_[[#This Row],[Cantidad LDF&amp;MR]],"LDF&amp;MR",IF(B438=Reactivos_[[#This Row],[Cantidad RED LASE]],"LASE",IF(B438=Reactivos_[[#This Row],[Cantidad LANIA]],"LANIA",IF(B438=Reactivos_[[#This Row],[Cantidad SPA]],"SPA"," ")))))))))</f>
        <v>LNDV</v>
      </c>
      <c r="B43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38" s="325">
        <v>436</v>
      </c>
      <c r="D438" s="326">
        <v>635</v>
      </c>
      <c r="E438" s="331" t="s">
        <v>1270</v>
      </c>
      <c r="F438" s="332"/>
      <c r="G438" s="331"/>
      <c r="H438" s="328" t="s">
        <v>1271</v>
      </c>
      <c r="I438" s="336" t="s">
        <v>175</v>
      </c>
      <c r="J43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38" s="160">
        <v>99685</v>
      </c>
      <c r="L438" s="160">
        <f>+Reactivos_[[#This Row],[Cantidad]]*Reactivos_[[#This Row],[Valor de referencia]]</f>
        <v>99685</v>
      </c>
      <c r="M438" s="254">
        <v>0</v>
      </c>
      <c r="N438" s="255">
        <f>+Reactivos_[[#This Row],[Valor de referencia]]*Reactivos_[[#This Row],[Cantidad LANIP]]</f>
        <v>0</v>
      </c>
      <c r="O438" s="256"/>
      <c r="P438" s="255">
        <f>+Reactivos_[[#This Row],[Cantidad 
LDV]]*Reactivos_[[#This Row],[Valor de referencia]]</f>
        <v>0</v>
      </c>
      <c r="Q438" s="257">
        <v>1</v>
      </c>
      <c r="R438" s="255">
        <f>+Reactivos_[[#This Row],[Cantidad LNDV]]*Reactivos_[[#This Row],[Valor de referencia]]</f>
        <v>99685</v>
      </c>
      <c r="S438" s="148"/>
      <c r="T438" s="255">
        <f>+Reactivos_[[#This Row],[GGCA]]*Reactivos_[[#This Row],[Valor de referencia]]</f>
        <v>0</v>
      </c>
      <c r="U438" s="254"/>
      <c r="V438" s="255">
        <f>+Reactivos_[[#This Row],[Cantidad LDF]]*Reactivos_[[#This Row],[Valor de referencia]]</f>
        <v>0</v>
      </c>
      <c r="W438" s="254"/>
      <c r="X438" s="255">
        <f>+Reactivos_[[#This Row],[Cantidad LDF&amp;MR]]*Reactivos_[[#This Row],[Valor de referencia]]</f>
        <v>0</v>
      </c>
      <c r="Y438" s="254"/>
      <c r="Z438" s="255">
        <f>+Reactivos_[[#This Row],[Cantidad RED LASE]]*Reactivos_[[#This Row],[Valor de referencia]]</f>
        <v>0</v>
      </c>
      <c r="AA438" s="254"/>
      <c r="AB438" s="255">
        <f>+Reactivos_[[#This Row],[Cantidad LANIA]]*Reactivos_[[#This Row],[Valor de referencia]]</f>
        <v>0</v>
      </c>
      <c r="AC438" s="254"/>
      <c r="AD438" s="255">
        <f>+Reactivos_[[#This Row],[Cantidad SPA]]*Reactivos_[[#This Row],[Valor de referencia]]</f>
        <v>0</v>
      </c>
      <c r="AE438" s="148" t="s">
        <v>76</v>
      </c>
      <c r="AF438" s="148" t="s">
        <v>77</v>
      </c>
    </row>
    <row r="439" spans="1:32" ht="22.5" customHeight="1" x14ac:dyDescent="0.25">
      <c r="A439" s="294" t="str">
        <f>IF(B439=Reactivos_[[#This Row],[Cantidad LANIP]],"LANIP",IF(B439=Reactivos_[[#This Row],[Cantidad 
LDV]],"LDV",IF(B439=Reactivos_[[#This Row],[Cantidad LNDV]],"LNDV",IF(B439=Reactivos_[[#This Row],[GGCA]],"GGCA",IF(B439=Reactivos_[[#This Row],[Cantidad LDF]],"LDF",IF(Reactivos_[[#This Row],[Cantidad LDF&amp;MR]],"LDF&amp;MR",IF(B439=Reactivos_[[#This Row],[Cantidad RED LASE]],"LASE",IF(B439=Reactivos_[[#This Row],[Cantidad LANIA]],"LANIA",IF(B439=Reactivos_[[#This Row],[Cantidad SPA]],"SPA"," ")))))))))</f>
        <v>LDV</v>
      </c>
      <c r="B43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439" s="325">
        <v>437</v>
      </c>
      <c r="D439" s="326">
        <v>636</v>
      </c>
      <c r="E439" s="331" t="s">
        <v>1272</v>
      </c>
      <c r="F439" s="332"/>
      <c r="G439" s="331"/>
      <c r="H439" s="328" t="s">
        <v>1271</v>
      </c>
      <c r="I439" s="336" t="s">
        <v>175</v>
      </c>
      <c r="J43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439" s="160">
        <v>179564</v>
      </c>
      <c r="L439" s="160">
        <f>+Reactivos_[[#This Row],[Cantidad]]*Reactivos_[[#This Row],[Valor de referencia]]</f>
        <v>897820</v>
      </c>
      <c r="M439" s="254">
        <v>0</v>
      </c>
      <c r="N439" s="255">
        <f>+Reactivos_[[#This Row],[Valor de referencia]]*Reactivos_[[#This Row],[Cantidad LANIP]]</f>
        <v>0</v>
      </c>
      <c r="O439" s="256">
        <v>4</v>
      </c>
      <c r="P439" s="255">
        <f>+Reactivos_[[#This Row],[Cantidad 
LDV]]*Reactivos_[[#This Row],[Valor de referencia]]</f>
        <v>718256</v>
      </c>
      <c r="Q439" s="257">
        <v>1</v>
      </c>
      <c r="R439" s="255">
        <f>+Reactivos_[[#This Row],[Cantidad LNDV]]*Reactivos_[[#This Row],[Valor de referencia]]</f>
        <v>179564</v>
      </c>
      <c r="S439" s="148"/>
      <c r="T439" s="255">
        <f>+Reactivos_[[#This Row],[GGCA]]*Reactivos_[[#This Row],[Valor de referencia]]</f>
        <v>0</v>
      </c>
      <c r="U439" s="254"/>
      <c r="V439" s="255">
        <f>+Reactivos_[[#This Row],[Cantidad LDF]]*Reactivos_[[#This Row],[Valor de referencia]]</f>
        <v>0</v>
      </c>
      <c r="W439" s="254"/>
      <c r="X439" s="255">
        <f>+Reactivos_[[#This Row],[Cantidad LDF&amp;MR]]*Reactivos_[[#This Row],[Valor de referencia]]</f>
        <v>0</v>
      </c>
      <c r="Y439" s="254"/>
      <c r="Z439" s="255">
        <f>+Reactivos_[[#This Row],[Cantidad RED LASE]]*Reactivos_[[#This Row],[Valor de referencia]]</f>
        <v>0</v>
      </c>
      <c r="AA439" s="254"/>
      <c r="AB439" s="255">
        <f>+Reactivos_[[#This Row],[Cantidad LANIA]]*Reactivos_[[#This Row],[Valor de referencia]]</f>
        <v>0</v>
      </c>
      <c r="AC439" s="254"/>
      <c r="AD439" s="255">
        <f>+Reactivos_[[#This Row],[Cantidad SPA]]*Reactivos_[[#This Row],[Valor de referencia]]</f>
        <v>0</v>
      </c>
      <c r="AE439" s="148" t="s">
        <v>76</v>
      </c>
      <c r="AF439" s="148" t="s">
        <v>77</v>
      </c>
    </row>
    <row r="440" spans="1:32" ht="22.5" customHeight="1" x14ac:dyDescent="0.25">
      <c r="A440" s="294" t="str">
        <f>IF(B440=Reactivos_[[#This Row],[Cantidad LANIP]],"LANIP",IF(B440=Reactivos_[[#This Row],[Cantidad 
LDV]],"LDV",IF(B440=Reactivos_[[#This Row],[Cantidad LNDV]],"LNDV",IF(B440=Reactivos_[[#This Row],[GGCA]],"GGCA",IF(B440=Reactivos_[[#This Row],[Cantidad LDF]],"LDF",IF(Reactivos_[[#This Row],[Cantidad LDF&amp;MR]],"LDF&amp;MR",IF(B440=Reactivos_[[#This Row],[Cantidad RED LASE]],"LASE",IF(B440=Reactivos_[[#This Row],[Cantidad LANIA]],"LANIA",IF(B440=Reactivos_[[#This Row],[Cantidad SPA]],"SPA"," ")))))))))</f>
        <v>LDF</v>
      </c>
      <c r="B44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440" s="325">
        <v>438</v>
      </c>
      <c r="D440" s="326">
        <v>637</v>
      </c>
      <c r="E440" s="327" t="s">
        <v>1273</v>
      </c>
      <c r="F440" s="244" t="s">
        <v>1274</v>
      </c>
      <c r="G440" s="245" t="s">
        <v>1275</v>
      </c>
      <c r="H440" s="348" t="s">
        <v>1276</v>
      </c>
      <c r="I440" s="363" t="s">
        <v>650</v>
      </c>
      <c r="J44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440" s="160">
        <v>800508</v>
      </c>
      <c r="L440" s="160">
        <f>+Reactivos_[[#This Row],[Cantidad]]*Reactivos_[[#This Row],[Valor de referencia]]</f>
        <v>4803048</v>
      </c>
      <c r="M440" s="254">
        <v>0</v>
      </c>
      <c r="N440" s="255">
        <f>+Reactivos_[[#This Row],[Valor de referencia]]*Reactivos_[[#This Row],[Cantidad LANIP]]</f>
        <v>0</v>
      </c>
      <c r="O440" s="256"/>
      <c r="P440" s="255">
        <f>+Reactivos_[[#This Row],[Cantidad 
LDV]]*Reactivos_[[#This Row],[Valor de referencia]]</f>
        <v>0</v>
      </c>
      <c r="Q440" s="257">
        <v>1</v>
      </c>
      <c r="R440" s="255">
        <f>+Reactivos_[[#This Row],[Cantidad LNDV]]*Reactivos_[[#This Row],[Valor de referencia]]</f>
        <v>800508</v>
      </c>
      <c r="S440" s="148"/>
      <c r="T440" s="255">
        <f>+Reactivos_[[#This Row],[GGCA]]*Reactivos_[[#This Row],[Valor de referencia]]</f>
        <v>0</v>
      </c>
      <c r="U440" s="254">
        <v>5</v>
      </c>
      <c r="V440" s="255">
        <f>+Reactivos_[[#This Row],[Cantidad LDF]]*Reactivos_[[#This Row],[Valor de referencia]]</f>
        <v>4002540</v>
      </c>
      <c r="W440" s="254"/>
      <c r="X440" s="255">
        <f>+Reactivos_[[#This Row],[Cantidad LDF&amp;MR]]*Reactivos_[[#This Row],[Valor de referencia]]</f>
        <v>0</v>
      </c>
      <c r="Y440" s="254"/>
      <c r="Z440" s="255">
        <f>+Reactivos_[[#This Row],[Cantidad RED LASE]]*Reactivos_[[#This Row],[Valor de referencia]]</f>
        <v>0</v>
      </c>
      <c r="AA440" s="254"/>
      <c r="AB440" s="255">
        <f>+Reactivos_[[#This Row],[Cantidad LANIA]]*Reactivos_[[#This Row],[Valor de referencia]]</f>
        <v>0</v>
      </c>
      <c r="AC440" s="254"/>
      <c r="AD440" s="255">
        <f>+Reactivos_[[#This Row],[Cantidad SPA]]*Reactivos_[[#This Row],[Valor de referencia]]</f>
        <v>0</v>
      </c>
      <c r="AE440" s="148" t="s">
        <v>76</v>
      </c>
      <c r="AF440" s="148" t="s">
        <v>77</v>
      </c>
    </row>
    <row r="441" spans="1:32" ht="23.25" customHeight="1" x14ac:dyDescent="0.25">
      <c r="A441" s="294" t="str">
        <f>IF(B441=Reactivos_[[#This Row],[Cantidad LANIP]],"LANIP",IF(B441=Reactivos_[[#This Row],[Cantidad 
LDV]],"LDV",IF(B441=Reactivos_[[#This Row],[Cantidad LNDV]],"LNDV",IF(B441=Reactivos_[[#This Row],[GGCA]],"GGCA",IF(B441=Reactivos_[[#This Row],[Cantidad LDF]],"LDF",IF(Reactivos_[[#This Row],[Cantidad LDF&amp;MR]],"LDF&amp;MR",IF(B441=Reactivos_[[#This Row],[Cantidad RED LASE]],"LASE",IF(B441=Reactivos_[[#This Row],[Cantidad LANIA]],"LANIA",IF(B441=Reactivos_[[#This Row],[Cantidad SPA]],"SPA"," ")))))))))</f>
        <v>LNDV</v>
      </c>
      <c r="B44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41" s="325">
        <v>439</v>
      </c>
      <c r="D441" s="326">
        <v>638</v>
      </c>
      <c r="E441" s="331" t="s">
        <v>1277</v>
      </c>
      <c r="F441" s="244" t="s">
        <v>1278</v>
      </c>
      <c r="G441" s="245" t="s">
        <v>1279</v>
      </c>
      <c r="H441" s="348" t="s">
        <v>1280</v>
      </c>
      <c r="I441" s="329" t="s">
        <v>201</v>
      </c>
      <c r="J44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41" s="160">
        <v>844775</v>
      </c>
      <c r="L441" s="160">
        <f>+Reactivos_[[#This Row],[Cantidad]]*Reactivos_[[#This Row],[Valor de referencia]]</f>
        <v>844775</v>
      </c>
      <c r="M441" s="254">
        <v>0</v>
      </c>
      <c r="N441" s="255">
        <f>+Reactivos_[[#This Row],[Valor de referencia]]*Reactivos_[[#This Row],[Cantidad LANIP]]</f>
        <v>0</v>
      </c>
      <c r="O441" s="256"/>
      <c r="P441" s="255">
        <f>+Reactivos_[[#This Row],[Cantidad 
LDV]]*Reactivos_[[#This Row],[Valor de referencia]]</f>
        <v>0</v>
      </c>
      <c r="Q441" s="257">
        <v>1</v>
      </c>
      <c r="R441" s="255">
        <f>+Reactivos_[[#This Row],[Cantidad LNDV]]*Reactivos_[[#This Row],[Valor de referencia]]</f>
        <v>844775</v>
      </c>
      <c r="S441" s="148"/>
      <c r="T441" s="255">
        <f>+Reactivos_[[#This Row],[GGCA]]*Reactivos_[[#This Row],[Valor de referencia]]</f>
        <v>0</v>
      </c>
      <c r="U441" s="254"/>
      <c r="V441" s="255">
        <f>+Reactivos_[[#This Row],[Cantidad LDF]]*Reactivos_[[#This Row],[Valor de referencia]]</f>
        <v>0</v>
      </c>
      <c r="W441" s="254"/>
      <c r="X441" s="255">
        <f>+Reactivos_[[#This Row],[Cantidad LDF&amp;MR]]*Reactivos_[[#This Row],[Valor de referencia]]</f>
        <v>0</v>
      </c>
      <c r="Y441" s="254"/>
      <c r="Z441" s="255">
        <f>+Reactivos_[[#This Row],[Cantidad RED LASE]]*Reactivos_[[#This Row],[Valor de referencia]]</f>
        <v>0</v>
      </c>
      <c r="AA441" s="254"/>
      <c r="AB441" s="255">
        <f>+Reactivos_[[#This Row],[Cantidad LANIA]]*Reactivos_[[#This Row],[Valor de referencia]]</f>
        <v>0</v>
      </c>
      <c r="AC441" s="254"/>
      <c r="AD441" s="255">
        <f>+Reactivos_[[#This Row],[Cantidad SPA]]*Reactivos_[[#This Row],[Valor de referencia]]</f>
        <v>0</v>
      </c>
      <c r="AE441" s="148" t="s">
        <v>76</v>
      </c>
      <c r="AF441" s="148" t="s">
        <v>77</v>
      </c>
    </row>
    <row r="442" spans="1:32" ht="48" customHeight="1" x14ac:dyDescent="0.25">
      <c r="A442" s="294" t="str">
        <f>IF(B442=Reactivos_[[#This Row],[Cantidad LANIP]],"LANIP",IF(B442=Reactivos_[[#This Row],[Cantidad 
LDV]],"LDV",IF(B442=Reactivos_[[#This Row],[Cantidad LNDV]],"LNDV",IF(B442=Reactivos_[[#This Row],[GGCA]],"GGCA",IF(B442=Reactivos_[[#This Row],[Cantidad LDF]],"LDF",IF(Reactivos_[[#This Row],[Cantidad LDF&amp;MR]],"LDF&amp;MR",IF(B442=Reactivos_[[#This Row],[Cantidad RED LASE]],"LASE",IF(B442=Reactivos_[[#This Row],[Cantidad LANIA]],"LANIA",IF(B442=Reactivos_[[#This Row],[Cantidad SPA]],"SPA"," ")))))))))</f>
        <v>LNDV</v>
      </c>
      <c r="B44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42" s="325">
        <v>440</v>
      </c>
      <c r="D442" s="326">
        <v>639</v>
      </c>
      <c r="E442" s="327" t="s">
        <v>1281</v>
      </c>
      <c r="F442" s="244"/>
      <c r="G442" s="327"/>
      <c r="H442" s="348" t="s">
        <v>1282</v>
      </c>
      <c r="I442" s="334" t="s">
        <v>1283</v>
      </c>
      <c r="J44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42" s="160">
        <v>1374590</v>
      </c>
      <c r="L442" s="160">
        <f>+Reactivos_[[#This Row],[Cantidad]]*Reactivos_[[#This Row],[Valor de referencia]]</f>
        <v>2749180</v>
      </c>
      <c r="M442" s="254">
        <v>0</v>
      </c>
      <c r="N442" s="255">
        <f>+Reactivos_[[#This Row],[Valor de referencia]]*Reactivos_[[#This Row],[Cantidad LANIP]]</f>
        <v>0</v>
      </c>
      <c r="O442" s="256"/>
      <c r="P442" s="255">
        <f>+Reactivos_[[#This Row],[Cantidad 
LDV]]*Reactivos_[[#This Row],[Valor de referencia]]</f>
        <v>0</v>
      </c>
      <c r="Q442" s="257">
        <v>2</v>
      </c>
      <c r="R442" s="255">
        <f>+Reactivos_[[#This Row],[Cantidad LNDV]]*Reactivos_[[#This Row],[Valor de referencia]]</f>
        <v>2749180</v>
      </c>
      <c r="S442" s="148"/>
      <c r="T442" s="255">
        <f>+Reactivos_[[#This Row],[GGCA]]*Reactivos_[[#This Row],[Valor de referencia]]</f>
        <v>0</v>
      </c>
      <c r="U442" s="254"/>
      <c r="V442" s="255">
        <f>+Reactivos_[[#This Row],[Cantidad LDF]]*Reactivos_[[#This Row],[Valor de referencia]]</f>
        <v>0</v>
      </c>
      <c r="W442" s="254"/>
      <c r="X442" s="255">
        <f>+Reactivos_[[#This Row],[Cantidad LDF&amp;MR]]*Reactivos_[[#This Row],[Valor de referencia]]</f>
        <v>0</v>
      </c>
      <c r="Y442" s="254"/>
      <c r="Z442" s="255">
        <f>+Reactivos_[[#This Row],[Cantidad RED LASE]]*Reactivos_[[#This Row],[Valor de referencia]]</f>
        <v>0</v>
      </c>
      <c r="AA442" s="254"/>
      <c r="AB442" s="255">
        <f>+Reactivos_[[#This Row],[Cantidad LANIA]]*Reactivos_[[#This Row],[Valor de referencia]]</f>
        <v>0</v>
      </c>
      <c r="AC442" s="254"/>
      <c r="AD442" s="255">
        <f>+Reactivos_[[#This Row],[Cantidad SPA]]*Reactivos_[[#This Row],[Valor de referencia]]</f>
        <v>0</v>
      </c>
      <c r="AE442" s="148" t="s">
        <v>76</v>
      </c>
      <c r="AF442" s="148" t="s">
        <v>77</v>
      </c>
    </row>
    <row r="443" spans="1:32" ht="22.5" customHeight="1" x14ac:dyDescent="0.25">
      <c r="A443" s="294" t="str">
        <f>IF(B443=Reactivos_[[#This Row],[Cantidad LANIP]],"LANIP",IF(B443=Reactivos_[[#This Row],[Cantidad 
LDV]],"LDV",IF(B443=Reactivos_[[#This Row],[Cantidad LNDV]],"LNDV",IF(B443=Reactivos_[[#This Row],[GGCA]],"GGCA",IF(B443=Reactivos_[[#This Row],[Cantidad LDF]],"LDF",IF(Reactivos_[[#This Row],[Cantidad LDF&amp;MR]],"LDF&amp;MR",IF(B443=Reactivos_[[#This Row],[Cantidad RED LASE]],"LASE",IF(B443=Reactivos_[[#This Row],[Cantidad LANIA]],"LANIA",IF(B443=Reactivos_[[#This Row],[Cantidad SPA]],"SPA"," ")))))))))</f>
        <v>LNDV</v>
      </c>
      <c r="B44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43" s="325">
        <v>441</v>
      </c>
      <c r="D443" s="326">
        <v>640</v>
      </c>
      <c r="E443" s="327" t="s">
        <v>1284</v>
      </c>
      <c r="F443" s="244"/>
      <c r="G443" s="327"/>
      <c r="H443" s="348" t="s">
        <v>1285</v>
      </c>
      <c r="I443" s="334" t="s">
        <v>1283</v>
      </c>
      <c r="J44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43" s="160">
        <v>1653496</v>
      </c>
      <c r="L443" s="160">
        <f>+Reactivos_[[#This Row],[Cantidad]]*Reactivos_[[#This Row],[Valor de referencia]]</f>
        <v>3306992</v>
      </c>
      <c r="M443" s="254">
        <v>0</v>
      </c>
      <c r="N443" s="255">
        <f>+Reactivos_[[#This Row],[Valor de referencia]]*Reactivos_[[#This Row],[Cantidad LANIP]]</f>
        <v>0</v>
      </c>
      <c r="O443" s="256"/>
      <c r="P443" s="255">
        <f>+Reactivos_[[#This Row],[Cantidad 
LDV]]*Reactivos_[[#This Row],[Valor de referencia]]</f>
        <v>0</v>
      </c>
      <c r="Q443" s="257">
        <v>2</v>
      </c>
      <c r="R443" s="255">
        <f>+Reactivos_[[#This Row],[Cantidad LNDV]]*Reactivos_[[#This Row],[Valor de referencia]]</f>
        <v>3306992</v>
      </c>
      <c r="S443" s="148"/>
      <c r="T443" s="255">
        <f>+Reactivos_[[#This Row],[GGCA]]*Reactivos_[[#This Row],[Valor de referencia]]</f>
        <v>0</v>
      </c>
      <c r="U443" s="254"/>
      <c r="V443" s="255">
        <f>+Reactivos_[[#This Row],[Cantidad LDF]]*Reactivos_[[#This Row],[Valor de referencia]]</f>
        <v>0</v>
      </c>
      <c r="W443" s="254"/>
      <c r="X443" s="255">
        <f>+Reactivos_[[#This Row],[Cantidad LDF&amp;MR]]*Reactivos_[[#This Row],[Valor de referencia]]</f>
        <v>0</v>
      </c>
      <c r="Y443" s="254"/>
      <c r="Z443" s="255">
        <f>+Reactivos_[[#This Row],[Cantidad RED LASE]]*Reactivos_[[#This Row],[Valor de referencia]]</f>
        <v>0</v>
      </c>
      <c r="AA443" s="254"/>
      <c r="AB443" s="255">
        <f>+Reactivos_[[#This Row],[Cantidad LANIA]]*Reactivos_[[#This Row],[Valor de referencia]]</f>
        <v>0</v>
      </c>
      <c r="AC443" s="254"/>
      <c r="AD443" s="255">
        <f>+Reactivos_[[#This Row],[Cantidad SPA]]*Reactivos_[[#This Row],[Valor de referencia]]</f>
        <v>0</v>
      </c>
      <c r="AE443" s="148" t="s">
        <v>76</v>
      </c>
      <c r="AF443" s="148" t="s">
        <v>77</v>
      </c>
    </row>
    <row r="444" spans="1:32" ht="25.5" x14ac:dyDescent="0.25">
      <c r="A444" s="294" t="str">
        <f>IF(B444=Reactivos_[[#This Row],[Cantidad LANIP]],"LANIP",IF(B444=Reactivos_[[#This Row],[Cantidad 
LDV]],"LDV",IF(B444=Reactivos_[[#This Row],[Cantidad LNDV]],"LNDV",IF(B444=Reactivos_[[#This Row],[GGCA]],"GGCA",IF(B444=Reactivos_[[#This Row],[Cantidad LDF]],"LDF",IF(Reactivos_[[#This Row],[Cantidad LDF&amp;MR]],"LDF&amp;MR",IF(B444=Reactivos_[[#This Row],[Cantidad RED LASE]],"LASE",IF(B444=Reactivos_[[#This Row],[Cantidad LANIA]],"LANIA",IF(B444=Reactivos_[[#This Row],[Cantidad SPA]],"SPA"," ")))))))))</f>
        <v>LNDV</v>
      </c>
      <c r="B44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44" s="325">
        <v>442</v>
      </c>
      <c r="D444" s="326">
        <v>641</v>
      </c>
      <c r="E444" s="327" t="s">
        <v>1286</v>
      </c>
      <c r="F444" s="244"/>
      <c r="G444" s="327"/>
      <c r="H444" s="348" t="s">
        <v>1287</v>
      </c>
      <c r="I444" s="334" t="s">
        <v>1288</v>
      </c>
      <c r="J44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44" s="160">
        <v>329630</v>
      </c>
      <c r="L444" s="160">
        <f>+Reactivos_[[#This Row],[Cantidad]]*Reactivos_[[#This Row],[Valor de referencia]]</f>
        <v>659260</v>
      </c>
      <c r="M444" s="254">
        <v>0</v>
      </c>
      <c r="N444" s="255">
        <f>+Reactivos_[[#This Row],[Valor de referencia]]*Reactivos_[[#This Row],[Cantidad LANIP]]</f>
        <v>0</v>
      </c>
      <c r="O444" s="256"/>
      <c r="P444" s="255">
        <f>+Reactivos_[[#This Row],[Cantidad 
LDV]]*Reactivos_[[#This Row],[Valor de referencia]]</f>
        <v>0</v>
      </c>
      <c r="Q444" s="257">
        <v>2</v>
      </c>
      <c r="R444" s="255">
        <f>+Reactivos_[[#This Row],[Cantidad LNDV]]*Reactivos_[[#This Row],[Valor de referencia]]</f>
        <v>659260</v>
      </c>
      <c r="S444" s="148"/>
      <c r="T444" s="255">
        <f>+Reactivos_[[#This Row],[GGCA]]*Reactivos_[[#This Row],[Valor de referencia]]</f>
        <v>0</v>
      </c>
      <c r="U444" s="254"/>
      <c r="V444" s="255">
        <f>+Reactivos_[[#This Row],[Cantidad LDF]]*Reactivos_[[#This Row],[Valor de referencia]]</f>
        <v>0</v>
      </c>
      <c r="W444" s="254"/>
      <c r="X444" s="255">
        <f>+Reactivos_[[#This Row],[Cantidad LDF&amp;MR]]*Reactivos_[[#This Row],[Valor de referencia]]</f>
        <v>0</v>
      </c>
      <c r="Y444" s="254"/>
      <c r="Z444" s="255">
        <f>+Reactivos_[[#This Row],[Cantidad RED LASE]]*Reactivos_[[#This Row],[Valor de referencia]]</f>
        <v>0</v>
      </c>
      <c r="AA444" s="254"/>
      <c r="AB444" s="255">
        <f>+Reactivos_[[#This Row],[Cantidad LANIA]]*Reactivos_[[#This Row],[Valor de referencia]]</f>
        <v>0</v>
      </c>
      <c r="AC444" s="254"/>
      <c r="AD444" s="255">
        <f>+Reactivos_[[#This Row],[Cantidad SPA]]*Reactivos_[[#This Row],[Valor de referencia]]</f>
        <v>0</v>
      </c>
      <c r="AE444" s="148" t="s">
        <v>76</v>
      </c>
      <c r="AF444" s="148" t="s">
        <v>77</v>
      </c>
    </row>
    <row r="445" spans="1:32" ht="22.5" customHeight="1" x14ac:dyDescent="0.25">
      <c r="A445" s="294" t="str">
        <f>IF(B445=Reactivos_[[#This Row],[Cantidad LANIP]],"LANIP",IF(B445=Reactivos_[[#This Row],[Cantidad 
LDV]],"LDV",IF(B445=Reactivos_[[#This Row],[Cantidad LNDV]],"LNDV",IF(B445=Reactivos_[[#This Row],[GGCA]],"GGCA",IF(B445=Reactivos_[[#This Row],[Cantidad LDF]],"LDF",IF(Reactivos_[[#This Row],[Cantidad LDF&amp;MR]],"LDF&amp;MR",IF(B445=Reactivos_[[#This Row],[Cantidad RED LASE]],"LASE",IF(B445=Reactivos_[[#This Row],[Cantidad LANIA]],"LANIA",IF(B445=Reactivos_[[#This Row],[Cantidad SPA]],"SPA"," ")))))))))</f>
        <v>LNDV</v>
      </c>
      <c r="B44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45" s="325">
        <v>443</v>
      </c>
      <c r="D445" s="326">
        <v>642</v>
      </c>
      <c r="E445" s="327" t="s">
        <v>1289</v>
      </c>
      <c r="F445" s="244"/>
      <c r="G445" s="327"/>
      <c r="H445" s="348" t="s">
        <v>1290</v>
      </c>
      <c r="I445" s="334" t="s">
        <v>1291</v>
      </c>
      <c r="J44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45" s="160">
        <v>2187784</v>
      </c>
      <c r="L445" s="160">
        <f>+Reactivos_[[#This Row],[Cantidad]]*Reactivos_[[#This Row],[Valor de referencia]]</f>
        <v>4375568</v>
      </c>
      <c r="M445" s="254">
        <v>0</v>
      </c>
      <c r="N445" s="255">
        <f>+Reactivos_[[#This Row],[Valor de referencia]]*Reactivos_[[#This Row],[Cantidad LANIP]]</f>
        <v>0</v>
      </c>
      <c r="O445" s="256"/>
      <c r="P445" s="255">
        <f>+Reactivos_[[#This Row],[Cantidad 
LDV]]*Reactivos_[[#This Row],[Valor de referencia]]</f>
        <v>0</v>
      </c>
      <c r="Q445" s="257">
        <v>2</v>
      </c>
      <c r="R445" s="255">
        <f>+Reactivos_[[#This Row],[Cantidad LNDV]]*Reactivos_[[#This Row],[Valor de referencia]]</f>
        <v>4375568</v>
      </c>
      <c r="S445" s="148"/>
      <c r="T445" s="255">
        <f>+Reactivos_[[#This Row],[GGCA]]*Reactivos_[[#This Row],[Valor de referencia]]</f>
        <v>0</v>
      </c>
      <c r="U445" s="254"/>
      <c r="V445" s="255">
        <f>+Reactivos_[[#This Row],[Cantidad LDF]]*Reactivos_[[#This Row],[Valor de referencia]]</f>
        <v>0</v>
      </c>
      <c r="W445" s="254"/>
      <c r="X445" s="255">
        <f>+Reactivos_[[#This Row],[Cantidad LDF&amp;MR]]*Reactivos_[[#This Row],[Valor de referencia]]</f>
        <v>0</v>
      </c>
      <c r="Y445" s="254"/>
      <c r="Z445" s="255">
        <f>+Reactivos_[[#This Row],[Cantidad RED LASE]]*Reactivos_[[#This Row],[Valor de referencia]]</f>
        <v>0</v>
      </c>
      <c r="AA445" s="254"/>
      <c r="AB445" s="255">
        <f>+Reactivos_[[#This Row],[Cantidad LANIA]]*Reactivos_[[#This Row],[Valor de referencia]]</f>
        <v>0</v>
      </c>
      <c r="AC445" s="254"/>
      <c r="AD445" s="255">
        <f>+Reactivos_[[#This Row],[Cantidad SPA]]*Reactivos_[[#This Row],[Valor de referencia]]</f>
        <v>0</v>
      </c>
      <c r="AE445" s="148" t="s">
        <v>76</v>
      </c>
      <c r="AF445" s="148" t="s">
        <v>77</v>
      </c>
    </row>
    <row r="446" spans="1:32" ht="22.5" customHeight="1" x14ac:dyDescent="0.25">
      <c r="A446" s="294" t="str">
        <f>IF(B446=Reactivos_[[#This Row],[Cantidad LANIP]],"LANIP",IF(B446=Reactivos_[[#This Row],[Cantidad 
LDV]],"LDV",IF(B446=Reactivos_[[#This Row],[Cantidad LNDV]],"LNDV",IF(B446=Reactivos_[[#This Row],[GGCA]],"GGCA",IF(B446=Reactivos_[[#This Row],[Cantidad LDF]],"LDF",IF(Reactivos_[[#This Row],[Cantidad LDF&amp;MR]],"LDF&amp;MR",IF(B446=Reactivos_[[#This Row],[Cantidad RED LASE]],"LASE",IF(B446=Reactivos_[[#This Row],[Cantidad LANIA]],"LANIA",IF(B446=Reactivos_[[#This Row],[Cantidad SPA]],"SPA"," ")))))))))</f>
        <v>LDF</v>
      </c>
      <c r="B44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22</v>
      </c>
      <c r="C446" s="325">
        <v>444</v>
      </c>
      <c r="D446" s="326">
        <v>643</v>
      </c>
      <c r="E446" s="331" t="s">
        <v>1292</v>
      </c>
      <c r="F446" s="332"/>
      <c r="G446" s="331"/>
      <c r="H446" s="328" t="s">
        <v>1293</v>
      </c>
      <c r="I446" s="329" t="s">
        <v>301</v>
      </c>
      <c r="J44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26</v>
      </c>
      <c r="K446" s="160">
        <v>47213</v>
      </c>
      <c r="L446" s="160">
        <f>+Reactivos_[[#This Row],[Cantidad]]*Reactivos_[[#This Row],[Valor de referencia]]</f>
        <v>1227538</v>
      </c>
      <c r="M446" s="254">
        <v>4</v>
      </c>
      <c r="N446" s="255">
        <f>+Reactivos_[[#This Row],[Valor de referencia]]*Reactivos_[[#This Row],[Cantidad LANIP]]</f>
        <v>188852</v>
      </c>
      <c r="O446" s="256"/>
      <c r="P446" s="255">
        <f>+Reactivos_[[#This Row],[Cantidad 
LDV]]*Reactivos_[[#This Row],[Valor de referencia]]</f>
        <v>0</v>
      </c>
      <c r="Q446" s="257"/>
      <c r="R446" s="255">
        <f>+Reactivos_[[#This Row],[Cantidad LNDV]]*Reactivos_[[#This Row],[Valor de referencia]]</f>
        <v>0</v>
      </c>
      <c r="S446" s="148"/>
      <c r="T446" s="255">
        <f>+Reactivos_[[#This Row],[GGCA]]*Reactivos_[[#This Row],[Valor de referencia]]</f>
        <v>0</v>
      </c>
      <c r="U446" s="254">
        <v>22</v>
      </c>
      <c r="V446" s="255">
        <f>+Reactivos_[[#This Row],[Cantidad LDF]]*Reactivos_[[#This Row],[Valor de referencia]]</f>
        <v>1038686</v>
      </c>
      <c r="W446" s="254"/>
      <c r="X446" s="255">
        <f>+Reactivos_[[#This Row],[Cantidad LDF&amp;MR]]*Reactivos_[[#This Row],[Valor de referencia]]</f>
        <v>0</v>
      </c>
      <c r="Y446" s="254"/>
      <c r="Z446" s="255">
        <f>+Reactivos_[[#This Row],[Cantidad RED LASE]]*Reactivos_[[#This Row],[Valor de referencia]]</f>
        <v>0</v>
      </c>
      <c r="AA446" s="254"/>
      <c r="AB446" s="255">
        <f>+Reactivos_[[#This Row],[Cantidad LANIA]]*Reactivos_[[#This Row],[Valor de referencia]]</f>
        <v>0</v>
      </c>
      <c r="AC446" s="254"/>
      <c r="AD446" s="255">
        <f>+Reactivos_[[#This Row],[Cantidad SPA]]*Reactivos_[[#This Row],[Valor de referencia]]</f>
        <v>0</v>
      </c>
      <c r="AE446" s="148" t="s">
        <v>76</v>
      </c>
      <c r="AF446" s="148" t="s">
        <v>101</v>
      </c>
    </row>
    <row r="447" spans="1:32" ht="45" customHeight="1" x14ac:dyDescent="0.25">
      <c r="A447" s="294" t="str">
        <f>IF(B447=Reactivos_[[#This Row],[Cantidad LANIP]],"LANIP",IF(B447=Reactivos_[[#This Row],[Cantidad 
LDV]],"LDV",IF(B447=Reactivos_[[#This Row],[Cantidad LNDV]],"LNDV",IF(B447=Reactivos_[[#This Row],[GGCA]],"GGCA",IF(B447=Reactivos_[[#This Row],[Cantidad LDF]],"LDF",IF(Reactivos_[[#This Row],[Cantidad LDF&amp;MR]],"LDF&amp;MR",IF(B447=Reactivos_[[#This Row],[Cantidad RED LASE]],"LASE",IF(B447=Reactivos_[[#This Row],[Cantidad LANIA]],"LANIA",IF(B447=Reactivos_[[#This Row],[Cantidad SPA]],"SPA"," ")))))))))</f>
        <v>LDF</v>
      </c>
      <c r="B44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447" s="325">
        <v>445</v>
      </c>
      <c r="D447" s="326">
        <v>644</v>
      </c>
      <c r="E447" s="345" t="s">
        <v>1294</v>
      </c>
      <c r="F447" s="332" t="s">
        <v>1295</v>
      </c>
      <c r="G447" s="331"/>
      <c r="H447" s="348" t="s">
        <v>1296</v>
      </c>
      <c r="I447" s="337" t="s">
        <v>120</v>
      </c>
      <c r="J44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447" s="160">
        <v>719355</v>
      </c>
      <c r="L447" s="160">
        <f>+Reactivos_[[#This Row],[Cantidad]]*Reactivos_[[#This Row],[Valor de referencia]]</f>
        <v>7193550</v>
      </c>
      <c r="M447" s="254">
        <v>0</v>
      </c>
      <c r="N447" s="255">
        <f>+Reactivos_[[#This Row],[Valor de referencia]]*Reactivos_[[#This Row],[Cantidad LANIP]]</f>
        <v>0</v>
      </c>
      <c r="O447" s="256">
        <v>2</v>
      </c>
      <c r="P447" s="255">
        <f>+Reactivos_[[#This Row],[Cantidad 
LDV]]*Reactivos_[[#This Row],[Valor de referencia]]</f>
        <v>1438710</v>
      </c>
      <c r="Q447" s="257">
        <v>1</v>
      </c>
      <c r="R447" s="255">
        <f>+Reactivos_[[#This Row],[Cantidad LNDV]]*Reactivos_[[#This Row],[Valor de referencia]]</f>
        <v>719355</v>
      </c>
      <c r="S447" s="148"/>
      <c r="T447" s="255">
        <f>+Reactivos_[[#This Row],[GGCA]]*Reactivos_[[#This Row],[Valor de referencia]]</f>
        <v>0</v>
      </c>
      <c r="U447" s="254">
        <v>7</v>
      </c>
      <c r="V447" s="255">
        <f>+Reactivos_[[#This Row],[Cantidad LDF]]*Reactivos_[[#This Row],[Valor de referencia]]</f>
        <v>5035485</v>
      </c>
      <c r="W447" s="254"/>
      <c r="X447" s="255">
        <f>+Reactivos_[[#This Row],[Cantidad LDF&amp;MR]]*Reactivos_[[#This Row],[Valor de referencia]]</f>
        <v>0</v>
      </c>
      <c r="Y447" s="254"/>
      <c r="Z447" s="255">
        <f>+Reactivos_[[#This Row],[Cantidad RED LASE]]*Reactivos_[[#This Row],[Valor de referencia]]</f>
        <v>0</v>
      </c>
      <c r="AA447" s="254"/>
      <c r="AB447" s="255">
        <f>+Reactivos_[[#This Row],[Cantidad LANIA]]*Reactivos_[[#This Row],[Valor de referencia]]</f>
        <v>0</v>
      </c>
      <c r="AC447" s="254"/>
      <c r="AD447" s="255">
        <f>+Reactivos_[[#This Row],[Cantidad SPA]]*Reactivos_[[#This Row],[Valor de referencia]]</f>
        <v>0</v>
      </c>
      <c r="AE447" s="148" t="s">
        <v>76</v>
      </c>
      <c r="AF447" s="148" t="s">
        <v>77</v>
      </c>
    </row>
    <row r="448" spans="1:32" ht="44.25" customHeight="1" x14ac:dyDescent="0.25">
      <c r="A448" s="294" t="str">
        <f>IF(B448=Reactivos_[[#This Row],[Cantidad LANIP]],"LANIP",IF(B448=Reactivos_[[#This Row],[Cantidad 
LDV]],"LDV",IF(B448=Reactivos_[[#This Row],[Cantidad LNDV]],"LNDV",IF(B448=Reactivos_[[#This Row],[GGCA]],"GGCA",IF(B448=Reactivos_[[#This Row],[Cantidad LDF]],"LDF",IF(Reactivos_[[#This Row],[Cantidad LDF&amp;MR]],"LDF&amp;MR",IF(B448=Reactivos_[[#This Row],[Cantidad RED LASE]],"LASE",IF(B448=Reactivos_[[#This Row],[Cantidad LANIA]],"LANIA",IF(B448=Reactivos_[[#This Row],[Cantidad SPA]],"SPA"," ")))))))))</f>
        <v>LNDV</v>
      </c>
      <c r="B44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48" s="325">
        <v>446</v>
      </c>
      <c r="D448" s="326">
        <v>645</v>
      </c>
      <c r="E448" s="245" t="s">
        <v>1297</v>
      </c>
      <c r="F448" s="244"/>
      <c r="G448" s="245"/>
      <c r="H448" s="335" t="s">
        <v>183</v>
      </c>
      <c r="I448" s="416" t="s">
        <v>1298</v>
      </c>
      <c r="J44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48" s="160">
        <v>116025</v>
      </c>
      <c r="L448" s="160">
        <f>+Reactivos_[[#This Row],[Cantidad]]*Reactivos_[[#This Row],[Valor de referencia]]</f>
        <v>116025</v>
      </c>
      <c r="M448" s="254">
        <v>0</v>
      </c>
      <c r="N448" s="255">
        <f>+Reactivos_[[#This Row],[Valor de referencia]]*Reactivos_[[#This Row],[Cantidad LANIP]]</f>
        <v>0</v>
      </c>
      <c r="O448" s="256"/>
      <c r="P448" s="255">
        <f>+Reactivos_[[#This Row],[Cantidad 
LDV]]*Reactivos_[[#This Row],[Valor de referencia]]</f>
        <v>0</v>
      </c>
      <c r="Q448" s="257">
        <v>1</v>
      </c>
      <c r="R448" s="255">
        <f>+Reactivos_[[#This Row],[Cantidad LNDV]]*Reactivos_[[#This Row],[Valor de referencia]]</f>
        <v>116025</v>
      </c>
      <c r="S448" s="148"/>
      <c r="T448" s="255">
        <f>+Reactivos_[[#This Row],[GGCA]]*Reactivos_[[#This Row],[Valor de referencia]]</f>
        <v>0</v>
      </c>
      <c r="U448" s="254"/>
      <c r="V448" s="255">
        <f>+Reactivos_[[#This Row],[Cantidad LDF]]*Reactivos_[[#This Row],[Valor de referencia]]</f>
        <v>0</v>
      </c>
      <c r="W448" s="254"/>
      <c r="X448" s="255">
        <f>+Reactivos_[[#This Row],[Cantidad LDF&amp;MR]]*Reactivos_[[#This Row],[Valor de referencia]]</f>
        <v>0</v>
      </c>
      <c r="Y448" s="254"/>
      <c r="Z448" s="255">
        <f>+Reactivos_[[#This Row],[Cantidad RED LASE]]*Reactivos_[[#This Row],[Valor de referencia]]</f>
        <v>0</v>
      </c>
      <c r="AA448" s="254"/>
      <c r="AB448" s="255">
        <f>+Reactivos_[[#This Row],[Cantidad LANIA]]*Reactivos_[[#This Row],[Valor de referencia]]</f>
        <v>0</v>
      </c>
      <c r="AC448" s="254"/>
      <c r="AD448" s="255">
        <f>+Reactivos_[[#This Row],[Cantidad SPA]]*Reactivos_[[#This Row],[Valor de referencia]]</f>
        <v>0</v>
      </c>
      <c r="AE448" s="148" t="s">
        <v>76</v>
      </c>
      <c r="AF448" s="406" t="s">
        <v>101</v>
      </c>
    </row>
    <row r="449" spans="1:32" ht="22.5" customHeight="1" x14ac:dyDescent="0.25">
      <c r="A449" s="294" t="str">
        <f>IF(B449=Reactivos_[[#This Row],[Cantidad LANIP]],"LANIP",IF(B449=Reactivos_[[#This Row],[Cantidad 
LDV]],"LDV",IF(B449=Reactivos_[[#This Row],[Cantidad LNDV]],"LNDV",IF(B449=Reactivos_[[#This Row],[GGCA]],"GGCA",IF(B449=Reactivos_[[#This Row],[Cantidad LDF]],"LDF",IF(Reactivos_[[#This Row],[Cantidad LDF&amp;MR]],"LDF&amp;MR",IF(B449=Reactivos_[[#This Row],[Cantidad RED LASE]],"LASE",IF(B449=Reactivos_[[#This Row],[Cantidad LANIA]],"LANIA",IF(B449=Reactivos_[[#This Row],[Cantidad SPA]],"SPA"," ")))))))))</f>
        <v>LNDV</v>
      </c>
      <c r="B44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449" s="325">
        <v>447</v>
      </c>
      <c r="D449" s="326">
        <v>647</v>
      </c>
      <c r="E449" s="331" t="s">
        <v>1299</v>
      </c>
      <c r="F449" s="332"/>
      <c r="G449" s="331"/>
      <c r="H449" s="348" t="s">
        <v>1300</v>
      </c>
      <c r="I449" s="329" t="s">
        <v>351</v>
      </c>
      <c r="J44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K449" s="160">
        <v>428660</v>
      </c>
      <c r="L449" s="160">
        <f>+Reactivos_[[#This Row],[Cantidad]]*Reactivos_[[#This Row],[Valor de referencia]]</f>
        <v>8573200</v>
      </c>
      <c r="M449" s="254">
        <v>0</v>
      </c>
      <c r="N449" s="255">
        <f>+Reactivos_[[#This Row],[Valor de referencia]]*Reactivos_[[#This Row],[Cantidad LANIP]]</f>
        <v>0</v>
      </c>
      <c r="O449" s="256"/>
      <c r="P449" s="255">
        <f>+Reactivos_[[#This Row],[Cantidad 
LDV]]*Reactivos_[[#This Row],[Valor de referencia]]</f>
        <v>0</v>
      </c>
      <c r="Q449" s="257">
        <v>20</v>
      </c>
      <c r="R449" s="255">
        <f>+Reactivos_[[#This Row],[Cantidad LNDV]]*Reactivos_[[#This Row],[Valor de referencia]]</f>
        <v>8573200</v>
      </c>
      <c r="S449" s="148"/>
      <c r="T449" s="255">
        <f>+Reactivos_[[#This Row],[GGCA]]*Reactivos_[[#This Row],[Valor de referencia]]</f>
        <v>0</v>
      </c>
      <c r="U449" s="254"/>
      <c r="V449" s="255">
        <f>+Reactivos_[[#This Row],[Cantidad LDF]]*Reactivos_[[#This Row],[Valor de referencia]]</f>
        <v>0</v>
      </c>
      <c r="W449" s="254"/>
      <c r="X449" s="255">
        <f>+Reactivos_[[#This Row],[Cantidad LDF&amp;MR]]*Reactivos_[[#This Row],[Valor de referencia]]</f>
        <v>0</v>
      </c>
      <c r="Y449" s="254"/>
      <c r="Z449" s="255">
        <f>+Reactivos_[[#This Row],[Cantidad RED LASE]]*Reactivos_[[#This Row],[Valor de referencia]]</f>
        <v>0</v>
      </c>
      <c r="AA449" s="254"/>
      <c r="AB449" s="255">
        <f>+Reactivos_[[#This Row],[Cantidad LANIA]]*Reactivos_[[#This Row],[Valor de referencia]]</f>
        <v>0</v>
      </c>
      <c r="AC449" s="254"/>
      <c r="AD449" s="255">
        <f>+Reactivos_[[#This Row],[Cantidad SPA]]*Reactivos_[[#This Row],[Valor de referencia]]</f>
        <v>0</v>
      </c>
      <c r="AE449" s="148" t="s">
        <v>76</v>
      </c>
      <c r="AF449" s="148" t="s">
        <v>77</v>
      </c>
    </row>
    <row r="450" spans="1:32" ht="22.5" customHeight="1" x14ac:dyDescent="0.25">
      <c r="A450" s="294" t="str">
        <f>IF(B450=Reactivos_[[#This Row],[Cantidad LANIP]],"LANIP",IF(B450=Reactivos_[[#This Row],[Cantidad 
LDV]],"LDV",IF(B450=Reactivos_[[#This Row],[Cantidad LNDV]],"LNDV",IF(B450=Reactivos_[[#This Row],[GGCA]],"GGCA",IF(B450=Reactivos_[[#This Row],[Cantidad LDF]],"LDF",IF(Reactivos_[[#This Row],[Cantidad LDF&amp;MR]],"LDF&amp;MR",IF(B450=Reactivos_[[#This Row],[Cantidad RED LASE]],"LASE",IF(B450=Reactivos_[[#This Row],[Cantidad LANIA]],"LANIA",IF(B450=Reactivos_[[#This Row],[Cantidad SPA]],"SPA"," ")))))))))</f>
        <v>LDF&amp;MR</v>
      </c>
      <c r="B45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450" s="325">
        <v>448</v>
      </c>
      <c r="D450" s="326">
        <v>648</v>
      </c>
      <c r="E450" s="327" t="s">
        <v>1301</v>
      </c>
      <c r="F450" s="244"/>
      <c r="G450" s="327"/>
      <c r="H450" s="348" t="s">
        <v>1302</v>
      </c>
      <c r="I450" s="329" t="s">
        <v>1303</v>
      </c>
      <c r="J45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K450" s="160">
        <v>71512</v>
      </c>
      <c r="L450" s="160">
        <f>+Reactivos_[[#This Row],[Cantidad]]*Reactivos_[[#This Row],[Valor de referencia]]</f>
        <v>572096</v>
      </c>
      <c r="M450" s="254">
        <v>0</v>
      </c>
      <c r="N450" s="255">
        <f>+Reactivos_[[#This Row],[Valor de referencia]]*Reactivos_[[#This Row],[Cantidad LANIP]]</f>
        <v>0</v>
      </c>
      <c r="O450" s="256"/>
      <c r="P450" s="255">
        <f>+Reactivos_[[#This Row],[Cantidad 
LDV]]*Reactivos_[[#This Row],[Valor de referencia]]</f>
        <v>0</v>
      </c>
      <c r="Q450" s="257"/>
      <c r="R450" s="255">
        <f>+Reactivos_[[#This Row],[Cantidad LNDV]]*Reactivos_[[#This Row],[Valor de referencia]]</f>
        <v>0</v>
      </c>
      <c r="S450" s="148"/>
      <c r="T450" s="255">
        <f>+Reactivos_[[#This Row],[GGCA]]*Reactivos_[[#This Row],[Valor de referencia]]</f>
        <v>0</v>
      </c>
      <c r="U450" s="254"/>
      <c r="V450" s="255">
        <f>+Reactivos_[[#This Row],[Cantidad LDF]]*Reactivos_[[#This Row],[Valor de referencia]]</f>
        <v>0</v>
      </c>
      <c r="W450" s="254">
        <v>8</v>
      </c>
      <c r="X450" s="255">
        <f>+Reactivos_[[#This Row],[Cantidad LDF&amp;MR]]*Reactivos_[[#This Row],[Valor de referencia]]</f>
        <v>572096</v>
      </c>
      <c r="Y450" s="254"/>
      <c r="Z450" s="255">
        <f>+Reactivos_[[#This Row],[Cantidad RED LASE]]*Reactivos_[[#This Row],[Valor de referencia]]</f>
        <v>0</v>
      </c>
      <c r="AA450" s="254"/>
      <c r="AB450" s="255">
        <f>+Reactivos_[[#This Row],[Cantidad LANIA]]*Reactivos_[[#This Row],[Valor de referencia]]</f>
        <v>0</v>
      </c>
      <c r="AC450" s="254"/>
      <c r="AD450" s="255">
        <f>+Reactivos_[[#This Row],[Cantidad SPA]]*Reactivos_[[#This Row],[Valor de referencia]]</f>
        <v>0</v>
      </c>
      <c r="AE450" s="148" t="s">
        <v>76</v>
      </c>
      <c r="AF450" s="148" t="s">
        <v>101</v>
      </c>
    </row>
    <row r="451" spans="1:32" ht="22.5" customHeight="1" x14ac:dyDescent="0.25">
      <c r="A451" s="294" t="str">
        <f>IF(B451=Reactivos_[[#This Row],[Cantidad LANIP]],"LANIP",IF(B451=Reactivos_[[#This Row],[Cantidad 
LDV]],"LDV",IF(B451=Reactivos_[[#This Row],[Cantidad LNDV]],"LNDV",IF(B451=Reactivos_[[#This Row],[GGCA]],"GGCA",IF(B451=Reactivos_[[#This Row],[Cantidad LDF]],"LDF",IF(Reactivos_[[#This Row],[Cantidad LDF&amp;MR]],"LDF&amp;MR",IF(B451=Reactivos_[[#This Row],[Cantidad RED LASE]],"LASE",IF(B451=Reactivos_[[#This Row],[Cantidad LANIA]],"LANIA",IF(B451=Reactivos_[[#This Row],[Cantidad SPA]],"SPA"," ")))))))))</f>
        <v>LNDV</v>
      </c>
      <c r="B45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451" s="325">
        <v>449</v>
      </c>
      <c r="D451" s="326">
        <v>649</v>
      </c>
      <c r="E451" s="327" t="s">
        <v>1304</v>
      </c>
      <c r="F451" s="332" t="s">
        <v>1305</v>
      </c>
      <c r="G451" s="332" t="s">
        <v>1306</v>
      </c>
      <c r="H451" s="348" t="s">
        <v>1307</v>
      </c>
      <c r="I451" s="329" t="s">
        <v>1308</v>
      </c>
      <c r="J45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26</v>
      </c>
      <c r="K451" s="160">
        <v>677121</v>
      </c>
      <c r="L451" s="160">
        <f>+Reactivos_[[#This Row],[Cantidad]]*Reactivos_[[#This Row],[Valor de referencia]]</f>
        <v>17605146</v>
      </c>
      <c r="M451" s="254">
        <v>0</v>
      </c>
      <c r="N451" s="255">
        <f>+Reactivos_[[#This Row],[Valor de referencia]]*Reactivos_[[#This Row],[Cantidad LANIP]]</f>
        <v>0</v>
      </c>
      <c r="O451" s="256">
        <v>8</v>
      </c>
      <c r="P451" s="255">
        <f>+Reactivos_[[#This Row],[Cantidad 
LDV]]*Reactivos_[[#This Row],[Valor de referencia]]</f>
        <v>5416968</v>
      </c>
      <c r="Q451" s="257">
        <v>10</v>
      </c>
      <c r="R451" s="255">
        <f>+Reactivos_[[#This Row],[Cantidad LNDV]]*Reactivos_[[#This Row],[Valor de referencia]]</f>
        <v>6771210</v>
      </c>
      <c r="S451" s="148"/>
      <c r="T451" s="255">
        <f>+Reactivos_[[#This Row],[GGCA]]*Reactivos_[[#This Row],[Valor de referencia]]</f>
        <v>0</v>
      </c>
      <c r="U451" s="254">
        <v>6</v>
      </c>
      <c r="V451" s="255">
        <f>+Reactivos_[[#This Row],[Cantidad LDF]]*Reactivos_[[#This Row],[Valor de referencia]]</f>
        <v>4062726</v>
      </c>
      <c r="W451" s="254">
        <v>1</v>
      </c>
      <c r="X451" s="255">
        <f>+Reactivos_[[#This Row],[Cantidad LDF&amp;MR]]*Reactivos_[[#This Row],[Valor de referencia]]</f>
        <v>677121</v>
      </c>
      <c r="Y451" s="254"/>
      <c r="Z451" s="255">
        <f>+Reactivos_[[#This Row],[Cantidad RED LASE]]*Reactivos_[[#This Row],[Valor de referencia]]</f>
        <v>0</v>
      </c>
      <c r="AA451" s="254">
        <v>1</v>
      </c>
      <c r="AB451" s="255">
        <f>+Reactivos_[[#This Row],[Cantidad LANIA]]*Reactivos_[[#This Row],[Valor de referencia]]</f>
        <v>677121</v>
      </c>
      <c r="AC451" s="254"/>
      <c r="AD451" s="255">
        <f>+Reactivos_[[#This Row],[Cantidad SPA]]*Reactivos_[[#This Row],[Valor de referencia]]</f>
        <v>0</v>
      </c>
      <c r="AE451" s="148" t="s">
        <v>76</v>
      </c>
      <c r="AF451" s="148" t="s">
        <v>77</v>
      </c>
    </row>
    <row r="452" spans="1:32" ht="42" customHeight="1" x14ac:dyDescent="0.25">
      <c r="A452" s="294" t="str">
        <f>IF(B452=Reactivos_[[#This Row],[Cantidad LANIP]],"LANIP",IF(B452=Reactivos_[[#This Row],[Cantidad 
LDV]],"LDV",IF(B452=Reactivos_[[#This Row],[Cantidad LNDV]],"LNDV",IF(B452=Reactivos_[[#This Row],[GGCA]],"GGCA",IF(B452=Reactivos_[[#This Row],[Cantidad LDF]],"LDF",IF(Reactivos_[[#This Row],[Cantidad LDF&amp;MR]],"LDF&amp;MR",IF(B452=Reactivos_[[#This Row],[Cantidad RED LASE]],"LASE",IF(B452=Reactivos_[[#This Row],[Cantidad LANIA]],"LANIA",IF(B452=Reactivos_[[#This Row],[Cantidad SPA]],"SPA"," ")))))))))</f>
        <v>LDV</v>
      </c>
      <c r="B45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452" s="325">
        <v>450</v>
      </c>
      <c r="D452" s="326">
        <v>658</v>
      </c>
      <c r="E452" s="327" t="s">
        <v>1309</v>
      </c>
      <c r="F452" s="244"/>
      <c r="G452" s="327"/>
      <c r="H452" s="342" t="s">
        <v>1310</v>
      </c>
      <c r="I452" s="329" t="s">
        <v>1311</v>
      </c>
      <c r="J45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452" s="160">
        <v>1059100</v>
      </c>
      <c r="L452" s="160">
        <f>+Reactivos_[[#This Row],[Cantidad]]*Reactivos_[[#This Row],[Valor de referencia]]</f>
        <v>3177300</v>
      </c>
      <c r="M452" s="254">
        <v>0</v>
      </c>
      <c r="N452" s="255">
        <f>+Reactivos_[[#This Row],[Valor de referencia]]*Reactivos_[[#This Row],[Cantidad LANIP]]</f>
        <v>0</v>
      </c>
      <c r="O452" s="256">
        <v>3</v>
      </c>
      <c r="P452" s="255">
        <f>+Reactivos_[[#This Row],[Cantidad 
LDV]]*Reactivos_[[#This Row],[Valor de referencia]]</f>
        <v>3177300</v>
      </c>
      <c r="Q452" s="257"/>
      <c r="R452" s="255">
        <f>+Reactivos_[[#This Row],[Cantidad LNDV]]*Reactivos_[[#This Row],[Valor de referencia]]</f>
        <v>0</v>
      </c>
      <c r="S452" s="148"/>
      <c r="T452" s="255">
        <f>+Reactivos_[[#This Row],[GGCA]]*Reactivos_[[#This Row],[Valor de referencia]]</f>
        <v>0</v>
      </c>
      <c r="U452" s="254"/>
      <c r="V452" s="255">
        <f>+Reactivos_[[#This Row],[Cantidad LDF]]*Reactivos_[[#This Row],[Valor de referencia]]</f>
        <v>0</v>
      </c>
      <c r="W452" s="254"/>
      <c r="X452" s="255">
        <f>+Reactivos_[[#This Row],[Cantidad LDF&amp;MR]]*Reactivos_[[#This Row],[Valor de referencia]]</f>
        <v>0</v>
      </c>
      <c r="Y452" s="254"/>
      <c r="Z452" s="255">
        <f>+Reactivos_[[#This Row],[Cantidad RED LASE]]*Reactivos_[[#This Row],[Valor de referencia]]</f>
        <v>0</v>
      </c>
      <c r="AA452" s="254"/>
      <c r="AB452" s="255">
        <f>+Reactivos_[[#This Row],[Cantidad LANIA]]*Reactivos_[[#This Row],[Valor de referencia]]</f>
        <v>0</v>
      </c>
      <c r="AC452" s="254"/>
      <c r="AD452" s="255">
        <f>+Reactivos_[[#This Row],[Cantidad SPA]]*Reactivos_[[#This Row],[Valor de referencia]]</f>
        <v>0</v>
      </c>
      <c r="AE452" s="148" t="s">
        <v>76</v>
      </c>
      <c r="AF452" s="148" t="s">
        <v>77</v>
      </c>
    </row>
    <row r="453" spans="1:32" ht="38.25" customHeight="1" x14ac:dyDescent="0.25">
      <c r="A453" s="294" t="str">
        <f>IF(B453=Reactivos_[[#This Row],[Cantidad LANIP]],"LANIP",IF(B453=Reactivos_[[#This Row],[Cantidad 
LDV]],"LDV",IF(B453=Reactivos_[[#This Row],[Cantidad LNDV]],"LNDV",IF(B453=Reactivos_[[#This Row],[GGCA]],"GGCA",IF(B453=Reactivos_[[#This Row],[Cantidad LDF]],"LDF",IF(Reactivos_[[#This Row],[Cantidad LDF&amp;MR]],"LDF&amp;MR",IF(B453=Reactivos_[[#This Row],[Cantidad RED LASE]],"LASE",IF(B453=Reactivos_[[#This Row],[Cantidad LANIA]],"LANIA",IF(B453=Reactivos_[[#This Row],[Cantidad SPA]],"SPA"," ")))))))))</f>
        <v>LDV</v>
      </c>
      <c r="B45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53" s="325">
        <v>451</v>
      </c>
      <c r="D453" s="326">
        <v>660</v>
      </c>
      <c r="E453" s="327" t="s">
        <v>1312</v>
      </c>
      <c r="F453" s="244" t="s">
        <v>1313</v>
      </c>
      <c r="G453" s="327"/>
      <c r="H453" s="328" t="s">
        <v>249</v>
      </c>
      <c r="I453" s="347" t="s">
        <v>650</v>
      </c>
      <c r="J45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53" s="160">
        <v>3421199</v>
      </c>
      <c r="L453" s="160">
        <f>+Reactivos_[[#This Row],[Cantidad]]*Reactivos_[[#This Row],[Valor de referencia]]</f>
        <v>3421199</v>
      </c>
      <c r="M453" s="254">
        <v>0</v>
      </c>
      <c r="N453" s="255">
        <f>+Reactivos_[[#This Row],[Valor de referencia]]*Reactivos_[[#This Row],[Cantidad LANIP]]</f>
        <v>0</v>
      </c>
      <c r="O453" s="256">
        <v>1</v>
      </c>
      <c r="P453" s="255">
        <f>+Reactivos_[[#This Row],[Cantidad 
LDV]]*Reactivos_[[#This Row],[Valor de referencia]]</f>
        <v>3421199</v>
      </c>
      <c r="Q453" s="257"/>
      <c r="R453" s="255">
        <f>+Reactivos_[[#This Row],[Cantidad LNDV]]*Reactivos_[[#This Row],[Valor de referencia]]</f>
        <v>0</v>
      </c>
      <c r="S453" s="148"/>
      <c r="T453" s="255">
        <f>+Reactivos_[[#This Row],[GGCA]]*Reactivos_[[#This Row],[Valor de referencia]]</f>
        <v>0</v>
      </c>
      <c r="U453" s="254"/>
      <c r="V453" s="255">
        <f>+Reactivos_[[#This Row],[Cantidad LDF]]*Reactivos_[[#This Row],[Valor de referencia]]</f>
        <v>0</v>
      </c>
      <c r="W453" s="254"/>
      <c r="X453" s="255">
        <f>+Reactivos_[[#This Row],[Cantidad LDF&amp;MR]]*Reactivos_[[#This Row],[Valor de referencia]]</f>
        <v>0</v>
      </c>
      <c r="Y453" s="254"/>
      <c r="Z453" s="255">
        <f>+Reactivos_[[#This Row],[Cantidad RED LASE]]*Reactivos_[[#This Row],[Valor de referencia]]</f>
        <v>0</v>
      </c>
      <c r="AA453" s="254"/>
      <c r="AB453" s="255">
        <f>+Reactivos_[[#This Row],[Cantidad LANIA]]*Reactivos_[[#This Row],[Valor de referencia]]</f>
        <v>0</v>
      </c>
      <c r="AC453" s="254"/>
      <c r="AD453" s="255">
        <f>+Reactivos_[[#This Row],[Cantidad SPA]]*Reactivos_[[#This Row],[Valor de referencia]]</f>
        <v>0</v>
      </c>
      <c r="AE453" s="148" t="s">
        <v>76</v>
      </c>
      <c r="AF453" s="148" t="s">
        <v>77</v>
      </c>
    </row>
    <row r="454" spans="1:32" ht="33" customHeight="1" x14ac:dyDescent="0.25">
      <c r="A454" s="294" t="str">
        <f>IF(B454=Reactivos_[[#This Row],[Cantidad LANIP]],"LANIP",IF(B454=Reactivos_[[#This Row],[Cantidad 
LDV]],"LDV",IF(B454=Reactivos_[[#This Row],[Cantidad LNDV]],"LNDV",IF(B454=Reactivos_[[#This Row],[GGCA]],"GGCA",IF(B454=Reactivos_[[#This Row],[Cantidad LDF]],"LDF",IF(Reactivos_[[#This Row],[Cantidad LDF&amp;MR]],"LDF&amp;MR",IF(B454=Reactivos_[[#This Row],[Cantidad RED LASE]],"LASE",IF(B454=Reactivos_[[#This Row],[Cantidad LANIA]],"LANIA",IF(B454=Reactivos_[[#This Row],[Cantidad SPA]],"SPA"," ")))))))))</f>
        <v>LNDV</v>
      </c>
      <c r="B45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54" s="325">
        <v>452</v>
      </c>
      <c r="D454" s="326">
        <v>661</v>
      </c>
      <c r="E454" s="245" t="s">
        <v>1314</v>
      </c>
      <c r="F454" s="244"/>
      <c r="G454" s="245"/>
      <c r="H454" s="346" t="s">
        <v>1315</v>
      </c>
      <c r="I454" s="336" t="s">
        <v>1316</v>
      </c>
      <c r="J45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54" s="160">
        <v>910350</v>
      </c>
      <c r="L454" s="160">
        <f>+Reactivos_[[#This Row],[Cantidad]]*Reactivos_[[#This Row],[Valor de referencia]]</f>
        <v>910350</v>
      </c>
      <c r="M454" s="254">
        <v>0</v>
      </c>
      <c r="N454" s="255">
        <f>+Reactivos_[[#This Row],[Valor de referencia]]*Reactivos_[[#This Row],[Cantidad LANIP]]</f>
        <v>0</v>
      </c>
      <c r="O454" s="256"/>
      <c r="P454" s="255">
        <f>+Reactivos_[[#This Row],[Cantidad 
LDV]]*Reactivos_[[#This Row],[Valor de referencia]]</f>
        <v>0</v>
      </c>
      <c r="Q454" s="257">
        <v>1</v>
      </c>
      <c r="R454" s="255">
        <f>+Reactivos_[[#This Row],[Cantidad LNDV]]*Reactivos_[[#This Row],[Valor de referencia]]</f>
        <v>910350</v>
      </c>
      <c r="S454" s="148"/>
      <c r="T454" s="255">
        <f>+Reactivos_[[#This Row],[GGCA]]*Reactivos_[[#This Row],[Valor de referencia]]</f>
        <v>0</v>
      </c>
      <c r="U454" s="254"/>
      <c r="V454" s="255">
        <f>+Reactivos_[[#This Row],[Cantidad LDF]]*Reactivos_[[#This Row],[Valor de referencia]]</f>
        <v>0</v>
      </c>
      <c r="W454" s="254"/>
      <c r="X454" s="255">
        <f>+Reactivos_[[#This Row],[Cantidad LDF&amp;MR]]*Reactivos_[[#This Row],[Valor de referencia]]</f>
        <v>0</v>
      </c>
      <c r="Y454" s="254"/>
      <c r="Z454" s="255">
        <f>+Reactivos_[[#This Row],[Cantidad RED LASE]]*Reactivos_[[#This Row],[Valor de referencia]]</f>
        <v>0</v>
      </c>
      <c r="AA454" s="254"/>
      <c r="AB454" s="255">
        <f>+Reactivos_[[#This Row],[Cantidad LANIA]]*Reactivos_[[#This Row],[Valor de referencia]]</f>
        <v>0</v>
      </c>
      <c r="AC454" s="254"/>
      <c r="AD454" s="255">
        <f>+Reactivos_[[#This Row],[Cantidad SPA]]*Reactivos_[[#This Row],[Valor de referencia]]</f>
        <v>0</v>
      </c>
      <c r="AE454" s="148" t="s">
        <v>76</v>
      </c>
      <c r="AF454" s="148" t="s">
        <v>77</v>
      </c>
    </row>
    <row r="455" spans="1:32" ht="32.25" customHeight="1" x14ac:dyDescent="0.25">
      <c r="A455" s="294" t="str">
        <f>IF(B455=Reactivos_[[#This Row],[Cantidad LANIP]],"LANIP",IF(B455=Reactivos_[[#This Row],[Cantidad 
LDV]],"LDV",IF(B455=Reactivos_[[#This Row],[Cantidad LNDV]],"LNDV",IF(B455=Reactivos_[[#This Row],[GGCA]],"GGCA",IF(B455=Reactivos_[[#This Row],[Cantidad LDF]],"LDF",IF(Reactivos_[[#This Row],[Cantidad LDF&amp;MR]],"LDF&amp;MR",IF(B455=Reactivos_[[#This Row],[Cantidad RED LASE]],"LASE",IF(B455=Reactivos_[[#This Row],[Cantidad LANIA]],"LANIA",IF(B455=Reactivos_[[#This Row],[Cantidad SPA]],"SPA"," ")))))))))</f>
        <v>LANIP</v>
      </c>
      <c r="B45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55" s="325">
        <v>453</v>
      </c>
      <c r="D455" s="326">
        <v>662</v>
      </c>
      <c r="E455" s="245" t="s">
        <v>1317</v>
      </c>
      <c r="F455" s="244" t="s">
        <v>1318</v>
      </c>
      <c r="G455" s="245"/>
      <c r="H455" s="346" t="s">
        <v>1319</v>
      </c>
      <c r="I455" s="336" t="s">
        <v>1320</v>
      </c>
      <c r="J45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55" s="160">
        <v>962512</v>
      </c>
      <c r="L455" s="160">
        <f>+Reactivos_[[#This Row],[Cantidad]]*Reactivos_[[#This Row],[Valor de referencia]]</f>
        <v>962512</v>
      </c>
      <c r="M455" s="254">
        <v>1</v>
      </c>
      <c r="N455" s="255">
        <f>+Reactivos_[[#This Row],[Valor de referencia]]*Reactivos_[[#This Row],[Cantidad LANIP]]</f>
        <v>962512</v>
      </c>
      <c r="O455" s="256"/>
      <c r="P455" s="255">
        <f>+Reactivos_[[#This Row],[Cantidad 
LDV]]*Reactivos_[[#This Row],[Valor de referencia]]</f>
        <v>0</v>
      </c>
      <c r="Q455" s="257"/>
      <c r="R455" s="255">
        <f>+Reactivos_[[#This Row],[Cantidad LNDV]]*Reactivos_[[#This Row],[Valor de referencia]]</f>
        <v>0</v>
      </c>
      <c r="S455" s="148"/>
      <c r="T455" s="255">
        <f>+Reactivos_[[#This Row],[GGCA]]*Reactivos_[[#This Row],[Valor de referencia]]</f>
        <v>0</v>
      </c>
      <c r="U455" s="254"/>
      <c r="V455" s="255">
        <f>+Reactivos_[[#This Row],[Cantidad LDF]]*Reactivos_[[#This Row],[Valor de referencia]]</f>
        <v>0</v>
      </c>
      <c r="W455" s="254"/>
      <c r="X455" s="255">
        <f>+Reactivos_[[#This Row],[Cantidad LDF&amp;MR]]*Reactivos_[[#This Row],[Valor de referencia]]</f>
        <v>0</v>
      </c>
      <c r="Y455" s="254"/>
      <c r="Z455" s="255">
        <f>+Reactivos_[[#This Row],[Cantidad RED LASE]]*Reactivos_[[#This Row],[Valor de referencia]]</f>
        <v>0</v>
      </c>
      <c r="AA455" s="254"/>
      <c r="AB455" s="255">
        <f>+Reactivos_[[#This Row],[Cantidad LANIA]]*Reactivos_[[#This Row],[Valor de referencia]]</f>
        <v>0</v>
      </c>
      <c r="AC455" s="254"/>
      <c r="AD455" s="255">
        <f>+Reactivos_[[#This Row],[Cantidad SPA]]*Reactivos_[[#This Row],[Valor de referencia]]</f>
        <v>0</v>
      </c>
      <c r="AE455" s="148" t="s">
        <v>76</v>
      </c>
      <c r="AF455" s="148" t="s">
        <v>77</v>
      </c>
    </row>
    <row r="456" spans="1:32" ht="36" customHeight="1" x14ac:dyDescent="0.25">
      <c r="A456" s="294" t="str">
        <f>IF(B456=Reactivos_[[#This Row],[Cantidad LANIP]],"LANIP",IF(B456=Reactivos_[[#This Row],[Cantidad 
LDV]],"LDV",IF(B456=Reactivos_[[#This Row],[Cantidad LNDV]],"LNDV",IF(B456=Reactivos_[[#This Row],[GGCA]],"GGCA",IF(B456=Reactivos_[[#This Row],[Cantidad LDF]],"LDF",IF(Reactivos_[[#This Row],[Cantidad LDF&amp;MR]],"LDF&amp;MR",IF(B456=Reactivos_[[#This Row],[Cantidad RED LASE]],"LASE",IF(B456=Reactivos_[[#This Row],[Cantidad LANIA]],"LANIA",IF(B456=Reactivos_[[#This Row],[Cantidad SPA]],"SPA"," ")))))))))</f>
        <v>LANIP</v>
      </c>
      <c r="B45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456" s="325">
        <v>454</v>
      </c>
      <c r="D456" s="326">
        <v>663</v>
      </c>
      <c r="E456" s="245" t="s">
        <v>1321</v>
      </c>
      <c r="F456" s="244" t="s">
        <v>1322</v>
      </c>
      <c r="G456" s="245"/>
      <c r="H456" s="346" t="s">
        <v>149</v>
      </c>
      <c r="I456" s="329" t="s">
        <v>777</v>
      </c>
      <c r="J45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456" s="160">
        <v>1439594</v>
      </c>
      <c r="L456" s="160">
        <f>+Reactivos_[[#This Row],[Cantidad]]*Reactivos_[[#This Row],[Valor de referencia]]</f>
        <v>8637564</v>
      </c>
      <c r="M456" s="254">
        <v>4</v>
      </c>
      <c r="N456" s="255">
        <f>+Reactivos_[[#This Row],[Valor de referencia]]*Reactivos_[[#This Row],[Cantidad LANIP]]</f>
        <v>5758376</v>
      </c>
      <c r="O456" s="256"/>
      <c r="P456" s="255">
        <f>+Reactivos_[[#This Row],[Cantidad 
LDV]]*Reactivos_[[#This Row],[Valor de referencia]]</f>
        <v>0</v>
      </c>
      <c r="Q456" s="257"/>
      <c r="R456" s="255">
        <f>+Reactivos_[[#This Row],[Cantidad LNDV]]*Reactivos_[[#This Row],[Valor de referencia]]</f>
        <v>0</v>
      </c>
      <c r="S456" s="148"/>
      <c r="T456" s="255">
        <f>+Reactivos_[[#This Row],[GGCA]]*Reactivos_[[#This Row],[Valor de referencia]]</f>
        <v>0</v>
      </c>
      <c r="U456" s="254"/>
      <c r="V456" s="255">
        <f>+Reactivos_[[#This Row],[Cantidad LDF]]*Reactivos_[[#This Row],[Valor de referencia]]</f>
        <v>0</v>
      </c>
      <c r="W456" s="254"/>
      <c r="X456" s="255">
        <f>+Reactivos_[[#This Row],[Cantidad LDF&amp;MR]]*Reactivos_[[#This Row],[Valor de referencia]]</f>
        <v>0</v>
      </c>
      <c r="Y456" s="254"/>
      <c r="Z456" s="255">
        <f>+Reactivos_[[#This Row],[Cantidad RED LASE]]*Reactivos_[[#This Row],[Valor de referencia]]</f>
        <v>0</v>
      </c>
      <c r="AA456" s="254">
        <v>2</v>
      </c>
      <c r="AB456" s="255">
        <f>+Reactivos_[[#This Row],[Cantidad LANIA]]*Reactivos_[[#This Row],[Valor de referencia]]</f>
        <v>2879188</v>
      </c>
      <c r="AC456" s="254"/>
      <c r="AD456" s="255">
        <f>+Reactivos_[[#This Row],[Cantidad SPA]]*Reactivos_[[#This Row],[Valor de referencia]]</f>
        <v>0</v>
      </c>
      <c r="AE456" s="148" t="s">
        <v>77</v>
      </c>
      <c r="AF456" s="148" t="s">
        <v>77</v>
      </c>
    </row>
    <row r="457" spans="1:32" ht="36.75" customHeight="1" x14ac:dyDescent="0.25">
      <c r="A457" s="294" t="str">
        <f>IF(B457=Reactivos_[[#This Row],[Cantidad LANIP]],"LANIP",IF(B457=Reactivos_[[#This Row],[Cantidad 
LDV]],"LDV",IF(B457=Reactivos_[[#This Row],[Cantidad LNDV]],"LNDV",IF(B457=Reactivos_[[#This Row],[GGCA]],"GGCA",IF(B457=Reactivos_[[#This Row],[Cantidad LDF]],"LDF",IF(Reactivos_[[#This Row],[Cantidad LDF&amp;MR]],"LDF&amp;MR",IF(B457=Reactivos_[[#This Row],[Cantidad RED LASE]],"LASE",IF(B457=Reactivos_[[#This Row],[Cantidad LANIA]],"LANIA",IF(B457=Reactivos_[[#This Row],[Cantidad SPA]],"SPA"," ")))))))))</f>
        <v>LDF&amp;MR</v>
      </c>
      <c r="B45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57" s="325">
        <v>455</v>
      </c>
      <c r="D457" s="326">
        <v>664</v>
      </c>
      <c r="E457" s="327" t="s">
        <v>1323</v>
      </c>
      <c r="F457" s="244"/>
      <c r="G457" s="327"/>
      <c r="H457" s="348" t="s">
        <v>1324</v>
      </c>
      <c r="I457" s="329" t="s">
        <v>1325</v>
      </c>
      <c r="J45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57" s="160">
        <v>2286617</v>
      </c>
      <c r="L457" s="160">
        <f>+Reactivos_[[#This Row],[Cantidad]]*Reactivos_[[#This Row],[Valor de referencia]]</f>
        <v>2286617</v>
      </c>
      <c r="M457" s="254">
        <v>0</v>
      </c>
      <c r="N457" s="255">
        <f>+Reactivos_[[#This Row],[Valor de referencia]]*Reactivos_[[#This Row],[Cantidad LANIP]]</f>
        <v>0</v>
      </c>
      <c r="O457" s="256"/>
      <c r="P457" s="255">
        <f>+Reactivos_[[#This Row],[Cantidad 
LDV]]*Reactivos_[[#This Row],[Valor de referencia]]</f>
        <v>0</v>
      </c>
      <c r="Q457" s="257"/>
      <c r="R457" s="255">
        <f>+Reactivos_[[#This Row],[Cantidad LNDV]]*Reactivos_[[#This Row],[Valor de referencia]]</f>
        <v>0</v>
      </c>
      <c r="S457" s="148"/>
      <c r="T457" s="255">
        <f>+Reactivos_[[#This Row],[GGCA]]*Reactivos_[[#This Row],[Valor de referencia]]</f>
        <v>0</v>
      </c>
      <c r="U457" s="254"/>
      <c r="V457" s="255">
        <f>+Reactivos_[[#This Row],[Cantidad LDF]]*Reactivos_[[#This Row],[Valor de referencia]]</f>
        <v>0</v>
      </c>
      <c r="W457" s="254">
        <v>1</v>
      </c>
      <c r="X457" s="255">
        <f>+Reactivos_[[#This Row],[Cantidad LDF&amp;MR]]*Reactivos_[[#This Row],[Valor de referencia]]</f>
        <v>2286617</v>
      </c>
      <c r="Y457" s="254"/>
      <c r="Z457" s="255">
        <f>+Reactivos_[[#This Row],[Cantidad RED LASE]]*Reactivos_[[#This Row],[Valor de referencia]]</f>
        <v>0</v>
      </c>
      <c r="AA457" s="254"/>
      <c r="AB457" s="255">
        <f>+Reactivos_[[#This Row],[Cantidad LANIA]]*Reactivos_[[#This Row],[Valor de referencia]]</f>
        <v>0</v>
      </c>
      <c r="AC457" s="254"/>
      <c r="AD457" s="255">
        <f>+Reactivos_[[#This Row],[Cantidad SPA]]*Reactivos_[[#This Row],[Valor de referencia]]</f>
        <v>0</v>
      </c>
      <c r="AE457" s="148" t="s">
        <v>76</v>
      </c>
      <c r="AF457" s="148" t="s">
        <v>77</v>
      </c>
    </row>
    <row r="458" spans="1:32" ht="42.75" customHeight="1" x14ac:dyDescent="0.25">
      <c r="A458" s="294" t="str">
        <f>IF(B458=Reactivos_[[#This Row],[Cantidad LANIP]],"LANIP",IF(B458=Reactivos_[[#This Row],[Cantidad 
LDV]],"LDV",IF(B458=Reactivos_[[#This Row],[Cantidad LNDV]],"LNDV",IF(B458=Reactivos_[[#This Row],[GGCA]],"GGCA",IF(B458=Reactivos_[[#This Row],[Cantidad LDF]],"LDF",IF(Reactivos_[[#This Row],[Cantidad LDF&amp;MR]],"LDF&amp;MR",IF(B458=Reactivos_[[#This Row],[Cantidad RED LASE]],"LASE",IF(B458=Reactivos_[[#This Row],[Cantidad LANIA]],"LANIA",IF(B458=Reactivos_[[#This Row],[Cantidad SPA]],"SPA"," ")))))))))</f>
        <v>LNDV</v>
      </c>
      <c r="B45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58" s="325">
        <v>456</v>
      </c>
      <c r="D458" s="326">
        <v>666</v>
      </c>
      <c r="E458" s="245" t="s">
        <v>1326</v>
      </c>
      <c r="F458" s="244"/>
      <c r="G458" s="245"/>
      <c r="H458" s="346" t="s">
        <v>1327</v>
      </c>
      <c r="I458" s="336" t="s">
        <v>217</v>
      </c>
      <c r="J45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58" s="160">
        <v>1400630</v>
      </c>
      <c r="L458" s="160">
        <f>+Reactivos_[[#This Row],[Cantidad]]*Reactivos_[[#This Row],[Valor de referencia]]</f>
        <v>2801260</v>
      </c>
      <c r="M458" s="254">
        <v>0</v>
      </c>
      <c r="N458" s="255">
        <f>+Reactivos_[[#This Row],[Valor de referencia]]*Reactivos_[[#This Row],[Cantidad LANIP]]</f>
        <v>0</v>
      </c>
      <c r="O458" s="256"/>
      <c r="P458" s="255">
        <f>+Reactivos_[[#This Row],[Cantidad 
LDV]]*Reactivos_[[#This Row],[Valor de referencia]]</f>
        <v>0</v>
      </c>
      <c r="Q458" s="257">
        <v>2</v>
      </c>
      <c r="R458" s="255">
        <f>+Reactivos_[[#This Row],[Cantidad LNDV]]*Reactivos_[[#This Row],[Valor de referencia]]</f>
        <v>2801260</v>
      </c>
      <c r="S458" s="148"/>
      <c r="T458" s="255">
        <f>+Reactivos_[[#This Row],[GGCA]]*Reactivos_[[#This Row],[Valor de referencia]]</f>
        <v>0</v>
      </c>
      <c r="U458" s="254"/>
      <c r="V458" s="255">
        <f>+Reactivos_[[#This Row],[Cantidad LDF]]*Reactivos_[[#This Row],[Valor de referencia]]</f>
        <v>0</v>
      </c>
      <c r="W458" s="254"/>
      <c r="X458" s="255">
        <f>+Reactivos_[[#This Row],[Cantidad LDF&amp;MR]]*Reactivos_[[#This Row],[Valor de referencia]]</f>
        <v>0</v>
      </c>
      <c r="Y458" s="254"/>
      <c r="Z458" s="255">
        <f>+Reactivos_[[#This Row],[Cantidad RED LASE]]*Reactivos_[[#This Row],[Valor de referencia]]</f>
        <v>0</v>
      </c>
      <c r="AA458" s="254"/>
      <c r="AB458" s="255">
        <f>+Reactivos_[[#This Row],[Cantidad LANIA]]*Reactivos_[[#This Row],[Valor de referencia]]</f>
        <v>0</v>
      </c>
      <c r="AC458" s="254"/>
      <c r="AD458" s="255">
        <f>+Reactivos_[[#This Row],[Cantidad SPA]]*Reactivos_[[#This Row],[Valor de referencia]]</f>
        <v>0</v>
      </c>
      <c r="AE458" s="148" t="s">
        <v>76</v>
      </c>
      <c r="AF458" s="148" t="s">
        <v>77</v>
      </c>
    </row>
    <row r="459" spans="1:32" ht="33.75" customHeight="1" x14ac:dyDescent="0.25">
      <c r="A459" s="294" t="str">
        <f>IF(B459=Reactivos_[[#This Row],[Cantidad LANIP]],"LANIP",IF(B459=Reactivos_[[#This Row],[Cantidad 
LDV]],"LDV",IF(B459=Reactivos_[[#This Row],[Cantidad LNDV]],"LNDV",IF(B459=Reactivos_[[#This Row],[GGCA]],"GGCA",IF(B459=Reactivos_[[#This Row],[Cantidad LDF]],"LDF",IF(Reactivos_[[#This Row],[Cantidad LDF&amp;MR]],"LDF&amp;MR",IF(B459=Reactivos_[[#This Row],[Cantidad RED LASE]],"LASE",IF(B459=Reactivos_[[#This Row],[Cantidad LANIA]],"LANIA",IF(B459=Reactivos_[[#This Row],[Cantidad SPA]],"SPA"," ")))))))))</f>
        <v>LNDV</v>
      </c>
      <c r="B45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59" s="325">
        <v>457</v>
      </c>
      <c r="D459" s="326">
        <v>667</v>
      </c>
      <c r="E459" s="331" t="s">
        <v>1328</v>
      </c>
      <c r="F459" s="244" t="s">
        <v>1329</v>
      </c>
      <c r="G459" s="244" t="s">
        <v>1330</v>
      </c>
      <c r="H459" s="348" t="s">
        <v>1331</v>
      </c>
      <c r="I459" s="329" t="s">
        <v>184</v>
      </c>
      <c r="J45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59" s="160">
        <v>207482</v>
      </c>
      <c r="L459" s="160">
        <f>+Reactivos_[[#This Row],[Cantidad]]*Reactivos_[[#This Row],[Valor de referencia]]</f>
        <v>207482</v>
      </c>
      <c r="M459" s="254">
        <v>0</v>
      </c>
      <c r="N459" s="255">
        <f>+Reactivos_[[#This Row],[Valor de referencia]]*Reactivos_[[#This Row],[Cantidad LANIP]]</f>
        <v>0</v>
      </c>
      <c r="O459" s="256"/>
      <c r="P459" s="255">
        <f>+Reactivos_[[#This Row],[Cantidad 
LDV]]*Reactivos_[[#This Row],[Valor de referencia]]</f>
        <v>0</v>
      </c>
      <c r="Q459" s="257">
        <v>1</v>
      </c>
      <c r="R459" s="255">
        <f>+Reactivos_[[#This Row],[Cantidad LNDV]]*Reactivos_[[#This Row],[Valor de referencia]]</f>
        <v>207482</v>
      </c>
      <c r="S459" s="148"/>
      <c r="T459" s="255">
        <f>+Reactivos_[[#This Row],[GGCA]]*Reactivos_[[#This Row],[Valor de referencia]]</f>
        <v>0</v>
      </c>
      <c r="U459" s="254"/>
      <c r="V459" s="255">
        <f>+Reactivos_[[#This Row],[Cantidad LDF]]*Reactivos_[[#This Row],[Valor de referencia]]</f>
        <v>0</v>
      </c>
      <c r="W459" s="254"/>
      <c r="X459" s="255">
        <f>+Reactivos_[[#This Row],[Cantidad LDF&amp;MR]]*Reactivos_[[#This Row],[Valor de referencia]]</f>
        <v>0</v>
      </c>
      <c r="Y459" s="254"/>
      <c r="Z459" s="255">
        <f>+Reactivos_[[#This Row],[Cantidad RED LASE]]*Reactivos_[[#This Row],[Valor de referencia]]</f>
        <v>0</v>
      </c>
      <c r="AA459" s="254"/>
      <c r="AB459" s="255">
        <f>+Reactivos_[[#This Row],[Cantidad LANIA]]*Reactivos_[[#This Row],[Valor de referencia]]</f>
        <v>0</v>
      </c>
      <c r="AC459" s="254"/>
      <c r="AD459" s="255">
        <f>+Reactivos_[[#This Row],[Cantidad SPA]]*Reactivos_[[#This Row],[Valor de referencia]]</f>
        <v>0</v>
      </c>
      <c r="AE459" s="148" t="s">
        <v>76</v>
      </c>
      <c r="AF459" s="148" t="s">
        <v>77</v>
      </c>
    </row>
    <row r="460" spans="1:32" ht="31.5" customHeight="1" x14ac:dyDescent="0.25">
      <c r="A460" s="294" t="str">
        <f>IF(B460=Reactivos_[[#This Row],[Cantidad LANIP]],"LANIP",IF(B460=Reactivos_[[#This Row],[Cantidad 
LDV]],"LDV",IF(B460=Reactivos_[[#This Row],[Cantidad LNDV]],"LNDV",IF(B460=Reactivos_[[#This Row],[GGCA]],"GGCA",IF(B460=Reactivos_[[#This Row],[Cantidad LDF]],"LDF",IF(Reactivos_[[#This Row],[Cantidad LDF&amp;MR]],"LDF&amp;MR",IF(B460=Reactivos_[[#This Row],[Cantidad RED LASE]],"LASE",IF(B460=Reactivos_[[#This Row],[Cantidad LANIA]],"LANIA",IF(B460=Reactivos_[[#This Row],[Cantidad SPA]],"SPA"," ")))))))))</f>
        <v>LANIP</v>
      </c>
      <c r="B46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60" s="325">
        <v>458</v>
      </c>
      <c r="D460" s="326">
        <v>668</v>
      </c>
      <c r="E460" s="327" t="s">
        <v>1332</v>
      </c>
      <c r="F460" s="327" t="s">
        <v>1333</v>
      </c>
      <c r="G460" s="327" t="s">
        <v>1334</v>
      </c>
      <c r="H460" s="346" t="s">
        <v>1335</v>
      </c>
      <c r="I460" s="410" t="s">
        <v>1336</v>
      </c>
      <c r="J46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60" s="160">
        <v>178143</v>
      </c>
      <c r="L460" s="160">
        <f>+Reactivos_[[#This Row],[Cantidad]]*Reactivos_[[#This Row],[Valor de referencia]]</f>
        <v>356286</v>
      </c>
      <c r="M460" s="254">
        <v>1</v>
      </c>
      <c r="N460" s="255">
        <f>+Reactivos_[[#This Row],[Valor de referencia]]*Reactivos_[[#This Row],[Cantidad LANIP]]</f>
        <v>178143</v>
      </c>
      <c r="O460" s="256"/>
      <c r="P460" s="255">
        <f>+Reactivos_[[#This Row],[Cantidad 
LDV]]*Reactivos_[[#This Row],[Valor de referencia]]</f>
        <v>0</v>
      </c>
      <c r="Q460" s="257">
        <v>1</v>
      </c>
      <c r="R460" s="255">
        <f>+Reactivos_[[#This Row],[Cantidad LNDV]]*Reactivos_[[#This Row],[Valor de referencia]]</f>
        <v>178143</v>
      </c>
      <c r="S460" s="148"/>
      <c r="T460" s="255">
        <f>+Reactivos_[[#This Row],[GGCA]]*Reactivos_[[#This Row],[Valor de referencia]]</f>
        <v>0</v>
      </c>
      <c r="U460" s="254"/>
      <c r="V460" s="255">
        <f>+Reactivos_[[#This Row],[Cantidad LDF]]*Reactivos_[[#This Row],[Valor de referencia]]</f>
        <v>0</v>
      </c>
      <c r="W460" s="254"/>
      <c r="X460" s="255">
        <f>+Reactivos_[[#This Row],[Cantidad LDF&amp;MR]]*Reactivos_[[#This Row],[Valor de referencia]]</f>
        <v>0</v>
      </c>
      <c r="Y460" s="254"/>
      <c r="Z460" s="255">
        <f>+Reactivos_[[#This Row],[Cantidad RED LASE]]*Reactivos_[[#This Row],[Valor de referencia]]</f>
        <v>0</v>
      </c>
      <c r="AA460" s="254"/>
      <c r="AB460" s="255">
        <f>+Reactivos_[[#This Row],[Cantidad LANIA]]*Reactivos_[[#This Row],[Valor de referencia]]</f>
        <v>0</v>
      </c>
      <c r="AC460" s="254"/>
      <c r="AD460" s="255">
        <f>+Reactivos_[[#This Row],[Cantidad SPA]]*Reactivos_[[#This Row],[Valor de referencia]]</f>
        <v>0</v>
      </c>
      <c r="AE460" s="148" t="s">
        <v>76</v>
      </c>
      <c r="AF460" s="148" t="s">
        <v>77</v>
      </c>
    </row>
    <row r="461" spans="1:32" ht="36" customHeight="1" x14ac:dyDescent="0.25">
      <c r="A461" s="294" t="str">
        <f>IF(B461=Reactivos_[[#This Row],[Cantidad LANIP]],"LANIP",IF(B461=Reactivos_[[#This Row],[Cantidad 
LDV]],"LDV",IF(B461=Reactivos_[[#This Row],[Cantidad LNDV]],"LNDV",IF(B461=Reactivos_[[#This Row],[GGCA]],"GGCA",IF(B461=Reactivos_[[#This Row],[Cantidad LDF]],"LDF",IF(Reactivos_[[#This Row],[Cantidad LDF&amp;MR]],"LDF&amp;MR",IF(B461=Reactivos_[[#This Row],[Cantidad RED LASE]],"LASE",IF(B461=Reactivos_[[#This Row],[Cantidad LANIA]],"LANIA",IF(B461=Reactivos_[[#This Row],[Cantidad SPA]],"SPA"," ")))))))))</f>
        <v>LDF</v>
      </c>
      <c r="B46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461" s="325">
        <v>459</v>
      </c>
      <c r="D461" s="326">
        <v>669</v>
      </c>
      <c r="E461" s="358" t="s">
        <v>1337</v>
      </c>
      <c r="F461" s="357"/>
      <c r="G461" s="358" t="s">
        <v>1338</v>
      </c>
      <c r="H461" s="349" t="s">
        <v>1339</v>
      </c>
      <c r="I461" s="329" t="s">
        <v>488</v>
      </c>
      <c r="J46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14</v>
      </c>
      <c r="K461" s="160">
        <v>257738</v>
      </c>
      <c r="L461" s="160">
        <f>+Reactivos_[[#This Row],[Cantidad]]*Reactivos_[[#This Row],[Valor de referencia]]</f>
        <v>3608332</v>
      </c>
      <c r="M461" s="254">
        <v>3</v>
      </c>
      <c r="N461" s="255">
        <f>+Reactivos_[[#This Row],[Valor de referencia]]*Reactivos_[[#This Row],[Cantidad LANIP]]</f>
        <v>773214</v>
      </c>
      <c r="O461" s="256">
        <v>1</v>
      </c>
      <c r="P461" s="255">
        <f>+Reactivos_[[#This Row],[Cantidad 
LDV]]*Reactivos_[[#This Row],[Valor de referencia]]</f>
        <v>257738</v>
      </c>
      <c r="Q461" s="257"/>
      <c r="R461" s="255">
        <f>+Reactivos_[[#This Row],[Cantidad LNDV]]*Reactivos_[[#This Row],[Valor de referencia]]</f>
        <v>0</v>
      </c>
      <c r="S461" s="148"/>
      <c r="T461" s="255">
        <f>+Reactivos_[[#This Row],[GGCA]]*Reactivos_[[#This Row],[Valor de referencia]]</f>
        <v>0</v>
      </c>
      <c r="U461" s="254">
        <v>8</v>
      </c>
      <c r="V461" s="255">
        <f>+Reactivos_[[#This Row],[Cantidad LDF]]*Reactivos_[[#This Row],[Valor de referencia]]</f>
        <v>2061904</v>
      </c>
      <c r="W461" s="254">
        <v>1</v>
      </c>
      <c r="X461" s="255">
        <f>+Reactivos_[[#This Row],[Cantidad LDF&amp;MR]]*Reactivos_[[#This Row],[Valor de referencia]]</f>
        <v>257738</v>
      </c>
      <c r="Y461" s="254">
        <v>1</v>
      </c>
      <c r="Z461" s="255">
        <f>+Reactivos_[[#This Row],[Cantidad RED LASE]]*Reactivos_[[#This Row],[Valor de referencia]]</f>
        <v>257738</v>
      </c>
      <c r="AA461" s="254"/>
      <c r="AB461" s="255">
        <f>+Reactivos_[[#This Row],[Cantidad LANIA]]*Reactivos_[[#This Row],[Valor de referencia]]</f>
        <v>0</v>
      </c>
      <c r="AC461" s="254"/>
      <c r="AD461" s="255">
        <f>+Reactivos_[[#This Row],[Cantidad SPA]]*Reactivos_[[#This Row],[Valor de referencia]]</f>
        <v>0</v>
      </c>
      <c r="AE461" s="148" t="s">
        <v>76</v>
      </c>
      <c r="AF461" s="148" t="s">
        <v>77</v>
      </c>
    </row>
    <row r="462" spans="1:32" ht="33.75" customHeight="1" x14ac:dyDescent="0.25">
      <c r="A462" s="294" t="str">
        <f>IF(B462=Reactivos_[[#This Row],[Cantidad LANIP]],"LANIP",IF(B462=Reactivos_[[#This Row],[Cantidad 
LDV]],"LDV",IF(B462=Reactivos_[[#This Row],[Cantidad LNDV]],"LNDV",IF(B462=Reactivos_[[#This Row],[GGCA]],"GGCA",IF(B462=Reactivos_[[#This Row],[Cantidad LDF]],"LDF",IF(Reactivos_[[#This Row],[Cantidad LDF&amp;MR]],"LDF&amp;MR",IF(B462=Reactivos_[[#This Row],[Cantidad RED LASE]],"LASE",IF(B462=Reactivos_[[#This Row],[Cantidad LANIA]],"LANIA",IF(B462=Reactivos_[[#This Row],[Cantidad SPA]],"SPA"," ")))))))))</f>
        <v>LANIA</v>
      </c>
      <c r="B46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50</v>
      </c>
      <c r="C462" s="325">
        <v>460</v>
      </c>
      <c r="D462" s="326">
        <v>670</v>
      </c>
      <c r="E462" s="327" t="s">
        <v>1340</v>
      </c>
      <c r="F462" s="244" t="s">
        <v>1341</v>
      </c>
      <c r="G462" s="327" t="s">
        <v>1342</v>
      </c>
      <c r="H462" s="328" t="s">
        <v>1343</v>
      </c>
      <c r="I462" s="347" t="s">
        <v>1344</v>
      </c>
      <c r="J46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85</v>
      </c>
      <c r="K462" s="160">
        <v>166581</v>
      </c>
      <c r="L462" s="160">
        <f>+Reactivos_[[#This Row],[Cantidad]]*Reactivos_[[#This Row],[Valor de referencia]]</f>
        <v>14159385</v>
      </c>
      <c r="M462" s="254">
        <v>20</v>
      </c>
      <c r="N462" s="255">
        <f>+Reactivos_[[#This Row],[Valor de referencia]]*Reactivos_[[#This Row],[Cantidad LANIP]]</f>
        <v>3331620</v>
      </c>
      <c r="O462" s="256">
        <v>9</v>
      </c>
      <c r="P462" s="255">
        <f>+Reactivos_[[#This Row],[Cantidad 
LDV]]*Reactivos_[[#This Row],[Valor de referencia]]</f>
        <v>1499229</v>
      </c>
      <c r="Q462" s="257"/>
      <c r="R462" s="255">
        <f>+Reactivos_[[#This Row],[Cantidad LNDV]]*Reactivos_[[#This Row],[Valor de referencia]]</f>
        <v>0</v>
      </c>
      <c r="S462" s="148"/>
      <c r="T462" s="255">
        <f>+Reactivos_[[#This Row],[GGCA]]*Reactivos_[[#This Row],[Valor de referencia]]</f>
        <v>0</v>
      </c>
      <c r="U462" s="254">
        <v>6</v>
      </c>
      <c r="V462" s="255">
        <f>+Reactivos_[[#This Row],[Cantidad LDF]]*Reactivos_[[#This Row],[Valor de referencia]]</f>
        <v>999486</v>
      </c>
      <c r="W462" s="254"/>
      <c r="X462" s="255">
        <f>+Reactivos_[[#This Row],[Cantidad LDF&amp;MR]]*Reactivos_[[#This Row],[Valor de referencia]]</f>
        <v>0</v>
      </c>
      <c r="Y462" s="254"/>
      <c r="Z462" s="255">
        <f>+Reactivos_[[#This Row],[Cantidad RED LASE]]*Reactivos_[[#This Row],[Valor de referencia]]</f>
        <v>0</v>
      </c>
      <c r="AA462" s="254">
        <v>50</v>
      </c>
      <c r="AB462" s="255">
        <f>+Reactivos_[[#This Row],[Cantidad LANIA]]*Reactivos_[[#This Row],[Valor de referencia]]</f>
        <v>8329050</v>
      </c>
      <c r="AC462" s="254"/>
      <c r="AD462" s="255">
        <f>+Reactivos_[[#This Row],[Cantidad SPA]]*Reactivos_[[#This Row],[Valor de referencia]]</f>
        <v>0</v>
      </c>
      <c r="AE462" s="148" t="s">
        <v>77</v>
      </c>
      <c r="AF462" s="148" t="s">
        <v>77</v>
      </c>
    </row>
    <row r="463" spans="1:32" ht="39.75" customHeight="1" x14ac:dyDescent="0.25">
      <c r="A463" s="294" t="str">
        <f>IF(B463=Reactivos_[[#This Row],[Cantidad LANIP]],"LANIP",IF(B463=Reactivos_[[#This Row],[Cantidad 
LDV]],"LDV",IF(B463=Reactivos_[[#This Row],[Cantidad LNDV]],"LNDV",IF(B463=Reactivos_[[#This Row],[GGCA]],"GGCA",IF(B463=Reactivos_[[#This Row],[Cantidad LDF]],"LDF",IF(Reactivos_[[#This Row],[Cantidad LDF&amp;MR]],"LDF&amp;MR",IF(B463=Reactivos_[[#This Row],[Cantidad RED LASE]],"LASE",IF(B463=Reactivos_[[#This Row],[Cantidad LANIA]],"LANIA",IF(B463=Reactivos_[[#This Row],[Cantidad SPA]],"SPA"," ")))))))))</f>
        <v>LNDV</v>
      </c>
      <c r="B46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80</v>
      </c>
      <c r="C463" s="325">
        <v>461</v>
      </c>
      <c r="D463" s="326">
        <v>671</v>
      </c>
      <c r="E463" s="327" t="s">
        <v>1345</v>
      </c>
      <c r="F463" s="244"/>
      <c r="G463" s="327"/>
      <c r="H463" s="348" t="s">
        <v>1346</v>
      </c>
      <c r="I463" s="363" t="s">
        <v>1347</v>
      </c>
      <c r="J46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235</v>
      </c>
      <c r="K463" s="160">
        <v>226434</v>
      </c>
      <c r="L463" s="160">
        <f>+Reactivos_[[#This Row],[Cantidad]]*Reactivos_[[#This Row],[Valor de referencia]]</f>
        <v>53211990</v>
      </c>
      <c r="M463" s="254">
        <v>7</v>
      </c>
      <c r="N463" s="255">
        <f>+Reactivos_[[#This Row],[Valor de referencia]]*Reactivos_[[#This Row],[Cantidad LANIP]]</f>
        <v>1585038</v>
      </c>
      <c r="O463" s="256">
        <v>50</v>
      </c>
      <c r="P463" s="255">
        <f>+Reactivos_[[#This Row],[Cantidad 
LDV]]*Reactivos_[[#This Row],[Valor de referencia]]</f>
        <v>11321700</v>
      </c>
      <c r="Q463" s="257">
        <v>80</v>
      </c>
      <c r="R463" s="255">
        <f>+Reactivos_[[#This Row],[Cantidad LNDV]]*Reactivos_[[#This Row],[Valor de referencia]]</f>
        <v>18114720</v>
      </c>
      <c r="S463" s="148"/>
      <c r="T463" s="255">
        <f>+Reactivos_[[#This Row],[GGCA]]*Reactivos_[[#This Row],[Valor de referencia]]</f>
        <v>0</v>
      </c>
      <c r="U463" s="254">
        <v>56</v>
      </c>
      <c r="V463" s="255">
        <f>+Reactivos_[[#This Row],[Cantidad LDF]]*Reactivos_[[#This Row],[Valor de referencia]]</f>
        <v>12680304</v>
      </c>
      <c r="W463" s="254">
        <v>30</v>
      </c>
      <c r="X463" s="255">
        <f>+Reactivos_[[#This Row],[Cantidad LDF&amp;MR]]*Reactivos_[[#This Row],[Valor de referencia]]</f>
        <v>6793020</v>
      </c>
      <c r="Y463" s="254">
        <v>12</v>
      </c>
      <c r="Z463" s="255">
        <f>+Reactivos_[[#This Row],[Cantidad RED LASE]]*Reactivos_[[#This Row],[Valor de referencia]]</f>
        <v>2717208</v>
      </c>
      <c r="AA463" s="254"/>
      <c r="AB463" s="255">
        <f>+Reactivos_[[#This Row],[Cantidad LANIA]]*Reactivos_[[#This Row],[Valor de referencia]]</f>
        <v>0</v>
      </c>
      <c r="AC463" s="254"/>
      <c r="AD463" s="255">
        <f>+Reactivos_[[#This Row],[Cantidad SPA]]*Reactivos_[[#This Row],[Valor de referencia]]</f>
        <v>0</v>
      </c>
      <c r="AE463" s="148" t="s">
        <v>76</v>
      </c>
      <c r="AF463" s="148" t="s">
        <v>101</v>
      </c>
    </row>
    <row r="464" spans="1:32" ht="42" customHeight="1" x14ac:dyDescent="0.25">
      <c r="A464" s="294" t="str">
        <f>IF(B464=Reactivos_[[#This Row],[Cantidad LANIP]],"LANIP",IF(B464=Reactivos_[[#This Row],[Cantidad 
LDV]],"LDV",IF(B464=Reactivos_[[#This Row],[Cantidad LNDV]],"LNDV",IF(B464=Reactivos_[[#This Row],[GGCA]],"GGCA",IF(B464=Reactivos_[[#This Row],[Cantidad LDF]],"LDF",IF(Reactivos_[[#This Row],[Cantidad LDF&amp;MR]],"LDF&amp;MR",IF(B464=Reactivos_[[#This Row],[Cantidad RED LASE]],"LASE",IF(B464=Reactivos_[[#This Row],[Cantidad LANIA]],"LANIA",IF(B464=Reactivos_[[#This Row],[Cantidad SPA]],"SPA"," ")))))))))</f>
        <v>LDV</v>
      </c>
      <c r="B46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64" s="325">
        <v>462</v>
      </c>
      <c r="D464" s="326">
        <v>677</v>
      </c>
      <c r="E464" s="327" t="s">
        <v>1348</v>
      </c>
      <c r="F464" s="244"/>
      <c r="G464" s="327"/>
      <c r="H464" s="348" t="s">
        <v>1349</v>
      </c>
      <c r="I464" s="329" t="s">
        <v>1350</v>
      </c>
      <c r="J46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64" s="240">
        <v>10761986</v>
      </c>
      <c r="L464" s="160">
        <f>+Reactivos_[[#This Row],[Cantidad]]*Reactivos_[[#This Row],[Valor de referencia]]</f>
        <v>10761986</v>
      </c>
      <c r="M464" s="254">
        <v>0</v>
      </c>
      <c r="N464" s="255">
        <f>+Reactivos_[[#This Row],[Valor de referencia]]*Reactivos_[[#This Row],[Cantidad LANIP]]</f>
        <v>0</v>
      </c>
      <c r="O464" s="256">
        <v>1</v>
      </c>
      <c r="P464" s="255">
        <f>+Reactivos_[[#This Row],[Cantidad 
LDV]]*Reactivos_[[#This Row],[Valor de referencia]]</f>
        <v>10761986</v>
      </c>
      <c r="Q464" s="257"/>
      <c r="R464" s="255">
        <f>+Reactivos_[[#This Row],[Cantidad LNDV]]*Reactivos_[[#This Row],[Valor de referencia]]</f>
        <v>0</v>
      </c>
      <c r="S464" s="148"/>
      <c r="T464" s="255">
        <f>+Reactivos_[[#This Row],[GGCA]]*Reactivos_[[#This Row],[Valor de referencia]]</f>
        <v>0</v>
      </c>
      <c r="U464" s="254"/>
      <c r="V464" s="255">
        <f>+Reactivos_[[#This Row],[Cantidad LDF]]*Reactivos_[[#This Row],[Valor de referencia]]</f>
        <v>0</v>
      </c>
      <c r="W464" s="254"/>
      <c r="X464" s="255">
        <f>+Reactivos_[[#This Row],[Cantidad LDF&amp;MR]]*Reactivos_[[#This Row],[Valor de referencia]]</f>
        <v>0</v>
      </c>
      <c r="Y464" s="254"/>
      <c r="Z464" s="255">
        <f>+Reactivos_[[#This Row],[Cantidad RED LASE]]*Reactivos_[[#This Row],[Valor de referencia]]</f>
        <v>0</v>
      </c>
      <c r="AA464" s="254"/>
      <c r="AB464" s="255">
        <f>+Reactivos_[[#This Row],[Cantidad LANIA]]*Reactivos_[[#This Row],[Valor de referencia]]</f>
        <v>0</v>
      </c>
      <c r="AC464" s="254"/>
      <c r="AD464" s="255">
        <f>+Reactivos_[[#This Row],[Cantidad SPA]]*Reactivos_[[#This Row],[Valor de referencia]]</f>
        <v>0</v>
      </c>
      <c r="AE464" s="148" t="s">
        <v>76</v>
      </c>
      <c r="AF464" s="148" t="s">
        <v>77</v>
      </c>
    </row>
    <row r="465" spans="1:32" ht="38.25" x14ac:dyDescent="0.25">
      <c r="A465" s="294" t="str">
        <f>IF(B465=Reactivos_[[#This Row],[Cantidad LANIP]],"LANIP",IF(B465=Reactivos_[[#This Row],[Cantidad 
LDV]],"LDV",IF(B465=Reactivos_[[#This Row],[Cantidad LNDV]],"LNDV",IF(B465=Reactivos_[[#This Row],[GGCA]],"GGCA",IF(B465=Reactivos_[[#This Row],[Cantidad LDF]],"LDF",IF(Reactivos_[[#This Row],[Cantidad LDF&amp;MR]],"LDF&amp;MR",IF(B465=Reactivos_[[#This Row],[Cantidad RED LASE]],"LASE",IF(B465=Reactivos_[[#This Row],[Cantidad LANIA]],"LANIA",IF(B465=Reactivos_[[#This Row],[Cantidad SPA]],"SPA"," ")))))))))</f>
        <v>LDV</v>
      </c>
      <c r="B46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26</v>
      </c>
      <c r="C465" s="325">
        <v>463</v>
      </c>
      <c r="D465" s="326">
        <v>682</v>
      </c>
      <c r="E465" s="331" t="s">
        <v>1351</v>
      </c>
      <c r="F465" s="332"/>
      <c r="G465" s="331"/>
      <c r="H465" s="348" t="s">
        <v>1352</v>
      </c>
      <c r="I465" s="329" t="s">
        <v>1353</v>
      </c>
      <c r="J46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52</v>
      </c>
      <c r="K465" s="240">
        <v>1200000</v>
      </c>
      <c r="L465" s="160">
        <f>+Reactivos_[[#This Row],[Cantidad]]*Reactivos_[[#This Row],[Valor de referencia]]</f>
        <v>62400000</v>
      </c>
      <c r="M465" s="254">
        <v>2</v>
      </c>
      <c r="N465" s="255">
        <f>+Reactivos_[[#This Row],[Valor de referencia]]*Reactivos_[[#This Row],[Cantidad LANIP]]</f>
        <v>2400000</v>
      </c>
      <c r="O465" s="256">
        <v>26</v>
      </c>
      <c r="P465" s="255">
        <f>+Reactivos_[[#This Row],[Cantidad 
LDV]]*Reactivos_[[#This Row],[Valor de referencia]]</f>
        <v>31200000</v>
      </c>
      <c r="Q465" s="257">
        <v>10</v>
      </c>
      <c r="R465" s="255">
        <f>+Reactivos_[[#This Row],[Cantidad LNDV]]*Reactivos_[[#This Row],[Valor de referencia]]</f>
        <v>12000000</v>
      </c>
      <c r="S465" s="148"/>
      <c r="T465" s="255">
        <f>+Reactivos_[[#This Row],[GGCA]]*Reactivos_[[#This Row],[Valor de referencia]]</f>
        <v>0</v>
      </c>
      <c r="U465" s="254">
        <v>10</v>
      </c>
      <c r="V465" s="255">
        <f>+Reactivos_[[#This Row],[Cantidad LDF]]*Reactivos_[[#This Row],[Valor de referencia]]</f>
        <v>12000000</v>
      </c>
      <c r="W465" s="254">
        <v>1</v>
      </c>
      <c r="X465" s="255">
        <f>+Reactivos_[[#This Row],[Cantidad LDF&amp;MR]]*Reactivos_[[#This Row],[Valor de referencia]]</f>
        <v>1200000</v>
      </c>
      <c r="Y465" s="254"/>
      <c r="Z465" s="255">
        <f>+Reactivos_[[#This Row],[Cantidad RED LASE]]*Reactivos_[[#This Row],[Valor de referencia]]</f>
        <v>0</v>
      </c>
      <c r="AA465" s="254">
        <v>3</v>
      </c>
      <c r="AB465" s="255">
        <f>+Reactivos_[[#This Row],[Cantidad LANIA]]*Reactivos_[[#This Row],[Valor de referencia]]</f>
        <v>3600000</v>
      </c>
      <c r="AC465" s="254"/>
      <c r="AD465" s="255">
        <f>+Reactivos_[[#This Row],[Cantidad SPA]]*Reactivos_[[#This Row],[Valor de referencia]]</f>
        <v>0</v>
      </c>
      <c r="AE465" s="148" t="s">
        <v>76</v>
      </c>
      <c r="AF465" s="148" t="s">
        <v>77</v>
      </c>
    </row>
    <row r="466" spans="1:32" ht="30.75" customHeight="1" x14ac:dyDescent="0.25">
      <c r="A466" s="294" t="str">
        <f>IF(B466=Reactivos_[[#This Row],[Cantidad LANIP]],"LANIP",IF(B466=Reactivos_[[#This Row],[Cantidad 
LDV]],"LDV",IF(B466=Reactivos_[[#This Row],[Cantidad LNDV]],"LNDV",IF(B466=Reactivos_[[#This Row],[GGCA]],"GGCA",IF(B466=Reactivos_[[#This Row],[Cantidad LDF]],"LDF",IF(Reactivos_[[#This Row],[Cantidad LDF&amp;MR]],"LDF&amp;MR",IF(B466=Reactivos_[[#This Row],[Cantidad RED LASE]],"LASE",IF(B466=Reactivos_[[#This Row],[Cantidad LANIA]],"LANIA",IF(B466=Reactivos_[[#This Row],[Cantidad SPA]],"SPA"," ")))))))))</f>
        <v>LDV</v>
      </c>
      <c r="B46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14</v>
      </c>
      <c r="C466" s="325">
        <v>464</v>
      </c>
      <c r="D466" s="326">
        <v>683</v>
      </c>
      <c r="E466" s="327" t="s">
        <v>1354</v>
      </c>
      <c r="F466" s="244"/>
      <c r="G466" s="327"/>
      <c r="H466" s="419" t="s">
        <v>1355</v>
      </c>
      <c r="I466" s="329" t="s">
        <v>104</v>
      </c>
      <c r="J46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19</v>
      </c>
      <c r="K466" s="240">
        <v>225267</v>
      </c>
      <c r="L466" s="160">
        <f>+Reactivos_[[#This Row],[Cantidad]]*Reactivos_[[#This Row],[Valor de referencia]]</f>
        <v>4280073</v>
      </c>
      <c r="M466" s="254">
        <v>0</v>
      </c>
      <c r="N466" s="255">
        <f>+Reactivos_[[#This Row],[Valor de referencia]]*Reactivos_[[#This Row],[Cantidad LANIP]]</f>
        <v>0</v>
      </c>
      <c r="O466" s="256">
        <v>14</v>
      </c>
      <c r="P466" s="255">
        <f>+Reactivos_[[#This Row],[Cantidad 
LDV]]*Reactivos_[[#This Row],[Valor de referencia]]</f>
        <v>3153738</v>
      </c>
      <c r="Q466" s="257"/>
      <c r="R466" s="255">
        <f>+Reactivos_[[#This Row],[Cantidad LNDV]]*Reactivos_[[#This Row],[Valor de referencia]]</f>
        <v>0</v>
      </c>
      <c r="S466" s="148"/>
      <c r="T466" s="255">
        <f>+Reactivos_[[#This Row],[GGCA]]*Reactivos_[[#This Row],[Valor de referencia]]</f>
        <v>0</v>
      </c>
      <c r="U466" s="254">
        <v>4</v>
      </c>
      <c r="V466" s="255">
        <f>+Reactivos_[[#This Row],[Cantidad LDF]]*Reactivos_[[#This Row],[Valor de referencia]]</f>
        <v>901068</v>
      </c>
      <c r="W466" s="254"/>
      <c r="X466" s="255">
        <f>+Reactivos_[[#This Row],[Cantidad LDF&amp;MR]]*Reactivos_[[#This Row],[Valor de referencia]]</f>
        <v>0</v>
      </c>
      <c r="Y466" s="254"/>
      <c r="Z466" s="255">
        <f>+Reactivos_[[#This Row],[Cantidad RED LASE]]*Reactivos_[[#This Row],[Valor de referencia]]</f>
        <v>0</v>
      </c>
      <c r="AA466" s="254">
        <v>1</v>
      </c>
      <c r="AB466" s="255">
        <f>+Reactivos_[[#This Row],[Cantidad LANIA]]*Reactivos_[[#This Row],[Valor de referencia]]</f>
        <v>225267</v>
      </c>
      <c r="AC466" s="254"/>
      <c r="AD466" s="255">
        <f>+Reactivos_[[#This Row],[Cantidad SPA]]*Reactivos_[[#This Row],[Valor de referencia]]</f>
        <v>0</v>
      </c>
      <c r="AE466" s="148" t="s">
        <v>76</v>
      </c>
      <c r="AF466" s="148" t="s">
        <v>77</v>
      </c>
    </row>
    <row r="467" spans="1:32" ht="22.5" customHeight="1" x14ac:dyDescent="0.25">
      <c r="A467" s="294" t="str">
        <f>IF(B467=Reactivos_[[#This Row],[Cantidad LANIP]],"LANIP",IF(B467=Reactivos_[[#This Row],[Cantidad 
LDV]],"LDV",IF(B467=Reactivos_[[#This Row],[Cantidad LNDV]],"LNDV",IF(B467=Reactivos_[[#This Row],[GGCA]],"GGCA",IF(B467=Reactivos_[[#This Row],[Cantidad LDF]],"LDF",IF(Reactivos_[[#This Row],[Cantidad LDF&amp;MR]],"LDF&amp;MR",IF(B467=Reactivos_[[#This Row],[Cantidad RED LASE]],"LASE",IF(B467=Reactivos_[[#This Row],[Cantidad LANIA]],"LANIA",IF(B467=Reactivos_[[#This Row],[Cantidad SPA]],"SPA"," ")))))))))</f>
        <v>LNDV</v>
      </c>
      <c r="B46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67" s="325">
        <v>465</v>
      </c>
      <c r="D467" s="326">
        <v>686</v>
      </c>
      <c r="E467" s="327" t="s">
        <v>1356</v>
      </c>
      <c r="F467" s="244" t="s">
        <v>1357</v>
      </c>
      <c r="G467" s="244"/>
      <c r="H467" s="346" t="s">
        <v>1358</v>
      </c>
      <c r="I467" s="329" t="s">
        <v>162</v>
      </c>
      <c r="J46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67" s="160">
        <v>902864</v>
      </c>
      <c r="L467" s="160">
        <f>+Reactivos_[[#This Row],[Cantidad]]*Reactivos_[[#This Row],[Valor de referencia]]</f>
        <v>902864</v>
      </c>
      <c r="M467" s="254">
        <v>0</v>
      </c>
      <c r="N467" s="255">
        <f>+Reactivos_[[#This Row],[Valor de referencia]]*Reactivos_[[#This Row],[Cantidad LANIP]]</f>
        <v>0</v>
      </c>
      <c r="O467" s="256"/>
      <c r="P467" s="255">
        <f>+Reactivos_[[#This Row],[Cantidad 
LDV]]*Reactivos_[[#This Row],[Valor de referencia]]</f>
        <v>0</v>
      </c>
      <c r="Q467" s="257">
        <v>1</v>
      </c>
      <c r="R467" s="255">
        <f>+Reactivos_[[#This Row],[Cantidad LNDV]]*Reactivos_[[#This Row],[Valor de referencia]]</f>
        <v>902864</v>
      </c>
      <c r="S467" s="148"/>
      <c r="T467" s="255">
        <f>+Reactivos_[[#This Row],[GGCA]]*Reactivos_[[#This Row],[Valor de referencia]]</f>
        <v>0</v>
      </c>
      <c r="U467" s="254"/>
      <c r="V467" s="255">
        <f>+Reactivos_[[#This Row],[Cantidad LDF]]*Reactivos_[[#This Row],[Valor de referencia]]</f>
        <v>0</v>
      </c>
      <c r="W467" s="254"/>
      <c r="X467" s="255">
        <f>+Reactivos_[[#This Row],[Cantidad LDF&amp;MR]]*Reactivos_[[#This Row],[Valor de referencia]]</f>
        <v>0</v>
      </c>
      <c r="Y467" s="254"/>
      <c r="Z467" s="255">
        <f>+Reactivos_[[#This Row],[Cantidad RED LASE]]*Reactivos_[[#This Row],[Valor de referencia]]</f>
        <v>0</v>
      </c>
      <c r="AA467" s="254"/>
      <c r="AB467" s="255">
        <f>+Reactivos_[[#This Row],[Cantidad LANIA]]*Reactivos_[[#This Row],[Valor de referencia]]</f>
        <v>0</v>
      </c>
      <c r="AC467" s="254"/>
      <c r="AD467" s="255">
        <f>+Reactivos_[[#This Row],[Cantidad SPA]]*Reactivos_[[#This Row],[Valor de referencia]]</f>
        <v>0</v>
      </c>
      <c r="AE467" s="148" t="s">
        <v>76</v>
      </c>
      <c r="AF467" s="148" t="s">
        <v>77</v>
      </c>
    </row>
    <row r="468" spans="1:32" ht="63.75" x14ac:dyDescent="0.25">
      <c r="A468" s="294" t="str">
        <f>IF(B468=Reactivos_[[#This Row],[Cantidad LANIP]],"LANIP",IF(B468=Reactivos_[[#This Row],[Cantidad 
LDV]],"LDV",IF(B468=Reactivos_[[#This Row],[Cantidad LNDV]],"LNDV",IF(B468=Reactivos_[[#This Row],[GGCA]],"GGCA",IF(B468=Reactivos_[[#This Row],[Cantidad LDF]],"LDF",IF(Reactivos_[[#This Row],[Cantidad LDF&amp;MR]],"LDF&amp;MR",IF(B468=Reactivos_[[#This Row],[Cantidad RED LASE]],"LASE",IF(B468=Reactivos_[[#This Row],[Cantidad LANIA]],"LANIA",IF(B468=Reactivos_[[#This Row],[Cantidad SPA]],"SPA"," ")))))))))</f>
        <v>LDV</v>
      </c>
      <c r="B46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68" s="325">
        <v>466</v>
      </c>
      <c r="D468" s="326">
        <v>687</v>
      </c>
      <c r="E468" s="327" t="s">
        <v>1359</v>
      </c>
      <c r="F468" s="244" t="s">
        <v>1360</v>
      </c>
      <c r="G468" s="244" t="s">
        <v>1361</v>
      </c>
      <c r="H468" s="328" t="s">
        <v>183</v>
      </c>
      <c r="I468" s="347" t="s">
        <v>1362</v>
      </c>
      <c r="J46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68" s="160">
        <v>474658</v>
      </c>
      <c r="L468" s="160">
        <f>+Reactivos_[[#This Row],[Cantidad]]*Reactivos_[[#This Row],[Valor de referencia]]</f>
        <v>949316</v>
      </c>
      <c r="M468" s="254">
        <v>0</v>
      </c>
      <c r="N468" s="255">
        <f>+Reactivos_[[#This Row],[Valor de referencia]]*Reactivos_[[#This Row],[Cantidad LANIP]]</f>
        <v>0</v>
      </c>
      <c r="O468" s="256">
        <v>1</v>
      </c>
      <c r="P468" s="255">
        <f>+Reactivos_[[#This Row],[Cantidad 
LDV]]*Reactivos_[[#This Row],[Valor de referencia]]</f>
        <v>474658</v>
      </c>
      <c r="Q468" s="257"/>
      <c r="R468" s="255">
        <f>+Reactivos_[[#This Row],[Cantidad LNDV]]*Reactivos_[[#This Row],[Valor de referencia]]</f>
        <v>0</v>
      </c>
      <c r="S468" s="148"/>
      <c r="T468" s="255">
        <f>+Reactivos_[[#This Row],[GGCA]]*Reactivos_[[#This Row],[Valor de referencia]]</f>
        <v>0</v>
      </c>
      <c r="U468" s="254">
        <v>1</v>
      </c>
      <c r="V468" s="255">
        <f>+Reactivos_[[#This Row],[Cantidad LDF]]*Reactivos_[[#This Row],[Valor de referencia]]</f>
        <v>474658</v>
      </c>
      <c r="W468" s="254"/>
      <c r="X468" s="255">
        <f>+Reactivos_[[#This Row],[Cantidad LDF&amp;MR]]*Reactivos_[[#This Row],[Valor de referencia]]</f>
        <v>0</v>
      </c>
      <c r="Y468" s="254"/>
      <c r="Z468" s="255">
        <f>+Reactivos_[[#This Row],[Cantidad RED LASE]]*Reactivos_[[#This Row],[Valor de referencia]]</f>
        <v>0</v>
      </c>
      <c r="AA468" s="254"/>
      <c r="AB468" s="255">
        <f>+Reactivos_[[#This Row],[Cantidad LANIA]]*Reactivos_[[#This Row],[Valor de referencia]]</f>
        <v>0</v>
      </c>
      <c r="AC468" s="254"/>
      <c r="AD468" s="255">
        <f>+Reactivos_[[#This Row],[Cantidad SPA]]*Reactivos_[[#This Row],[Valor de referencia]]</f>
        <v>0</v>
      </c>
      <c r="AE468" s="148" t="s">
        <v>76</v>
      </c>
      <c r="AF468" s="148" t="s">
        <v>101</v>
      </c>
    </row>
    <row r="469" spans="1:32" x14ac:dyDescent="0.25">
      <c r="A469" s="294" t="str">
        <f>IF(B469=Reactivos_[[#This Row],[Cantidad LANIP]],"LANIP",IF(B469=Reactivos_[[#This Row],[Cantidad 
LDV]],"LDV",IF(B469=Reactivos_[[#This Row],[Cantidad LNDV]],"LNDV",IF(B469=Reactivos_[[#This Row],[GGCA]],"GGCA",IF(B469=Reactivos_[[#This Row],[Cantidad LDF]],"LDF",IF(Reactivos_[[#This Row],[Cantidad LDF&amp;MR]],"LDF&amp;MR",IF(B469=Reactivos_[[#This Row],[Cantidad RED LASE]],"LASE",IF(B469=Reactivos_[[#This Row],[Cantidad LANIA]],"LANIA",IF(B469=Reactivos_[[#This Row],[Cantidad SPA]],"SPA"," ")))))))))</f>
        <v>LDV</v>
      </c>
      <c r="B46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69" s="325">
        <v>467</v>
      </c>
      <c r="D469" s="326">
        <v>688</v>
      </c>
      <c r="E469" s="327" t="s">
        <v>1363</v>
      </c>
      <c r="F469" s="244"/>
      <c r="G469" s="327"/>
      <c r="H469" s="348" t="s">
        <v>1364</v>
      </c>
      <c r="I469" s="329" t="s">
        <v>162</v>
      </c>
      <c r="J46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69" s="160">
        <v>2816844</v>
      </c>
      <c r="L469" s="160">
        <f>+Reactivos_[[#This Row],[Cantidad]]*Reactivos_[[#This Row],[Valor de referencia]]</f>
        <v>2816844</v>
      </c>
      <c r="M469" s="254">
        <v>0</v>
      </c>
      <c r="N469" s="255">
        <f>+Reactivos_[[#This Row],[Valor de referencia]]*Reactivos_[[#This Row],[Cantidad LANIP]]</f>
        <v>0</v>
      </c>
      <c r="O469" s="256">
        <v>1</v>
      </c>
      <c r="P469" s="255">
        <f>+Reactivos_[[#This Row],[Cantidad 
LDV]]*Reactivos_[[#This Row],[Valor de referencia]]</f>
        <v>2816844</v>
      </c>
      <c r="Q469" s="257"/>
      <c r="R469" s="255">
        <f>+Reactivos_[[#This Row],[Cantidad LNDV]]*Reactivos_[[#This Row],[Valor de referencia]]</f>
        <v>0</v>
      </c>
      <c r="S469" s="148"/>
      <c r="T469" s="255">
        <f>+Reactivos_[[#This Row],[GGCA]]*Reactivos_[[#This Row],[Valor de referencia]]</f>
        <v>0</v>
      </c>
      <c r="U469" s="254"/>
      <c r="V469" s="255">
        <f>+Reactivos_[[#This Row],[Cantidad LDF]]*Reactivos_[[#This Row],[Valor de referencia]]</f>
        <v>0</v>
      </c>
      <c r="W469" s="254"/>
      <c r="X469" s="255">
        <f>+Reactivos_[[#This Row],[Cantidad LDF&amp;MR]]*Reactivos_[[#This Row],[Valor de referencia]]</f>
        <v>0</v>
      </c>
      <c r="Y469" s="254"/>
      <c r="Z469" s="255">
        <f>+Reactivos_[[#This Row],[Cantidad RED LASE]]*Reactivos_[[#This Row],[Valor de referencia]]</f>
        <v>0</v>
      </c>
      <c r="AA469" s="254"/>
      <c r="AB469" s="255">
        <f>+Reactivos_[[#This Row],[Cantidad LANIA]]*Reactivos_[[#This Row],[Valor de referencia]]</f>
        <v>0</v>
      </c>
      <c r="AC469" s="254"/>
      <c r="AD469" s="255">
        <f>+Reactivos_[[#This Row],[Cantidad SPA]]*Reactivos_[[#This Row],[Valor de referencia]]</f>
        <v>0</v>
      </c>
      <c r="AE469" s="148" t="s">
        <v>76</v>
      </c>
      <c r="AF469" s="148" t="s">
        <v>77</v>
      </c>
    </row>
    <row r="470" spans="1:32" ht="22.5" customHeight="1" x14ac:dyDescent="0.25">
      <c r="A470" s="294" t="str">
        <f>IF(B470=Reactivos_[[#This Row],[Cantidad LANIP]],"LANIP",IF(B470=Reactivos_[[#This Row],[Cantidad 
LDV]],"LDV",IF(B470=Reactivos_[[#This Row],[Cantidad LNDV]],"LNDV",IF(B470=Reactivos_[[#This Row],[GGCA]],"GGCA",IF(B470=Reactivos_[[#This Row],[Cantidad LDF]],"LDF",IF(Reactivos_[[#This Row],[Cantidad LDF&amp;MR]],"LDF&amp;MR",IF(B470=Reactivos_[[#This Row],[Cantidad RED LASE]],"LASE",IF(B470=Reactivos_[[#This Row],[Cantidad LANIA]],"LANIA",IF(B470=Reactivos_[[#This Row],[Cantidad SPA]],"SPA"," ")))))))))</f>
        <v>LANIP</v>
      </c>
      <c r="B47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470" s="325">
        <v>468</v>
      </c>
      <c r="D470" s="326">
        <v>689</v>
      </c>
      <c r="E470" s="331" t="s">
        <v>1365</v>
      </c>
      <c r="F470" s="332"/>
      <c r="G470" s="331"/>
      <c r="H470" s="342" t="s">
        <v>149</v>
      </c>
      <c r="I470" s="329" t="s">
        <v>1366</v>
      </c>
      <c r="J47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470" s="160">
        <v>720444</v>
      </c>
      <c r="L470" s="160">
        <f>+Reactivos_[[#This Row],[Cantidad]]*Reactivos_[[#This Row],[Valor de referencia]]</f>
        <v>4322664</v>
      </c>
      <c r="M470" s="254">
        <v>6</v>
      </c>
      <c r="N470" s="255">
        <f>+Reactivos_[[#This Row],[Valor de referencia]]*Reactivos_[[#This Row],[Cantidad LANIP]]</f>
        <v>4322664</v>
      </c>
      <c r="O470" s="256"/>
      <c r="P470" s="255">
        <f>+Reactivos_[[#This Row],[Cantidad 
LDV]]*Reactivos_[[#This Row],[Valor de referencia]]</f>
        <v>0</v>
      </c>
      <c r="Q470" s="257"/>
      <c r="R470" s="255">
        <f>+Reactivos_[[#This Row],[Cantidad LNDV]]*Reactivos_[[#This Row],[Valor de referencia]]</f>
        <v>0</v>
      </c>
      <c r="S470" s="148"/>
      <c r="T470" s="255">
        <f>+Reactivos_[[#This Row],[GGCA]]*Reactivos_[[#This Row],[Valor de referencia]]</f>
        <v>0</v>
      </c>
      <c r="U470" s="254"/>
      <c r="V470" s="255">
        <f>+Reactivos_[[#This Row],[Cantidad LDF]]*Reactivos_[[#This Row],[Valor de referencia]]</f>
        <v>0</v>
      </c>
      <c r="W470" s="254"/>
      <c r="X470" s="255">
        <f>+Reactivos_[[#This Row],[Cantidad LDF&amp;MR]]*Reactivos_[[#This Row],[Valor de referencia]]</f>
        <v>0</v>
      </c>
      <c r="Y470" s="254"/>
      <c r="Z470" s="255">
        <f>+Reactivos_[[#This Row],[Cantidad RED LASE]]*Reactivos_[[#This Row],[Valor de referencia]]</f>
        <v>0</v>
      </c>
      <c r="AA470" s="254"/>
      <c r="AB470" s="255">
        <f>+Reactivos_[[#This Row],[Cantidad LANIA]]*Reactivos_[[#This Row],[Valor de referencia]]</f>
        <v>0</v>
      </c>
      <c r="AC470" s="254"/>
      <c r="AD470" s="255">
        <f>+Reactivos_[[#This Row],[Cantidad SPA]]*Reactivos_[[#This Row],[Valor de referencia]]</f>
        <v>0</v>
      </c>
      <c r="AE470" s="148" t="s">
        <v>76</v>
      </c>
      <c r="AF470" s="148" t="s">
        <v>77</v>
      </c>
    </row>
    <row r="471" spans="1:32" ht="24" customHeight="1" x14ac:dyDescent="0.25">
      <c r="A471" s="294" t="str">
        <f>IF(B471=Reactivos_[[#This Row],[Cantidad LANIP]],"LANIP",IF(B471=Reactivos_[[#This Row],[Cantidad 
LDV]],"LDV",IF(B471=Reactivos_[[#This Row],[Cantidad LNDV]],"LNDV",IF(B471=Reactivos_[[#This Row],[GGCA]],"GGCA",IF(B471=Reactivos_[[#This Row],[Cantidad LDF]],"LDF",IF(Reactivos_[[#This Row],[Cantidad LDF&amp;MR]],"LDF&amp;MR",IF(B471=Reactivos_[[#This Row],[Cantidad RED LASE]],"LASE",IF(B471=Reactivos_[[#This Row],[Cantidad LANIA]],"LANIA",IF(B471=Reactivos_[[#This Row],[Cantidad SPA]],"SPA"," ")))))))))</f>
        <v>LNDV</v>
      </c>
      <c r="B47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471" s="325">
        <v>469</v>
      </c>
      <c r="D471" s="326">
        <v>690</v>
      </c>
      <c r="E471" s="245" t="s">
        <v>1367</v>
      </c>
      <c r="F471" s="244" t="s">
        <v>1368</v>
      </c>
      <c r="G471" s="245" t="s">
        <v>1369</v>
      </c>
      <c r="H471" s="346" t="s">
        <v>1370</v>
      </c>
      <c r="I471" s="336" t="s">
        <v>1371</v>
      </c>
      <c r="J47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471" s="160">
        <v>370090</v>
      </c>
      <c r="L471" s="160">
        <f>+Reactivos_[[#This Row],[Cantidad]]*Reactivos_[[#This Row],[Valor de referencia]]</f>
        <v>5921440</v>
      </c>
      <c r="M471" s="254">
        <v>0</v>
      </c>
      <c r="N471" s="255">
        <f>+Reactivos_[[#This Row],[Valor de referencia]]*Reactivos_[[#This Row],[Cantidad LANIP]]</f>
        <v>0</v>
      </c>
      <c r="O471" s="256">
        <v>5</v>
      </c>
      <c r="P471" s="255">
        <f>+Reactivos_[[#This Row],[Cantidad 
LDV]]*Reactivos_[[#This Row],[Valor de referencia]]</f>
        <v>1850450</v>
      </c>
      <c r="Q471" s="257">
        <v>6</v>
      </c>
      <c r="R471" s="255">
        <f>+Reactivos_[[#This Row],[Cantidad LNDV]]*Reactivos_[[#This Row],[Valor de referencia]]</f>
        <v>2220540</v>
      </c>
      <c r="S471" s="148"/>
      <c r="T471" s="255">
        <f>+Reactivos_[[#This Row],[GGCA]]*Reactivos_[[#This Row],[Valor de referencia]]</f>
        <v>0</v>
      </c>
      <c r="U471" s="254">
        <v>5</v>
      </c>
      <c r="V471" s="255">
        <f>+Reactivos_[[#This Row],[Cantidad LDF]]*Reactivos_[[#This Row],[Valor de referencia]]</f>
        <v>1850450</v>
      </c>
      <c r="W471" s="254"/>
      <c r="X471" s="255">
        <f>+Reactivos_[[#This Row],[Cantidad LDF&amp;MR]]*Reactivos_[[#This Row],[Valor de referencia]]</f>
        <v>0</v>
      </c>
      <c r="Y471" s="254"/>
      <c r="Z471" s="255">
        <f>+Reactivos_[[#This Row],[Cantidad RED LASE]]*Reactivos_[[#This Row],[Valor de referencia]]</f>
        <v>0</v>
      </c>
      <c r="AA471" s="254"/>
      <c r="AB471" s="255">
        <f>+Reactivos_[[#This Row],[Cantidad LANIA]]*Reactivos_[[#This Row],[Valor de referencia]]</f>
        <v>0</v>
      </c>
      <c r="AC471" s="254"/>
      <c r="AD471" s="255">
        <f>+Reactivos_[[#This Row],[Cantidad SPA]]*Reactivos_[[#This Row],[Valor de referencia]]</f>
        <v>0</v>
      </c>
      <c r="AE471" s="148" t="s">
        <v>77</v>
      </c>
      <c r="AF471" s="148" t="s">
        <v>77</v>
      </c>
    </row>
    <row r="472" spans="1:32" ht="25.5" customHeight="1" x14ac:dyDescent="0.25">
      <c r="A472" s="294" t="str">
        <f>IF(B472=Reactivos_[[#This Row],[Cantidad LANIP]],"LANIP",IF(B472=Reactivos_[[#This Row],[Cantidad 
LDV]],"LDV",IF(B472=Reactivos_[[#This Row],[Cantidad LNDV]],"LNDV",IF(B472=Reactivos_[[#This Row],[GGCA]],"GGCA",IF(B472=Reactivos_[[#This Row],[Cantidad LDF]],"LDF",IF(Reactivos_[[#This Row],[Cantidad LDF&amp;MR]],"LDF&amp;MR",IF(B472=Reactivos_[[#This Row],[Cantidad RED LASE]],"LASE",IF(B472=Reactivos_[[#This Row],[Cantidad LANIA]],"LANIA",IF(B472=Reactivos_[[#This Row],[Cantidad SPA]],"SPA"," ")))))))))</f>
        <v>LANIA</v>
      </c>
      <c r="B47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472" s="325">
        <v>470</v>
      </c>
      <c r="D472" s="326">
        <v>691</v>
      </c>
      <c r="E472" s="331" t="s">
        <v>1372</v>
      </c>
      <c r="F472" s="332"/>
      <c r="G472" s="331"/>
      <c r="H472" s="348" t="s">
        <v>1373</v>
      </c>
      <c r="I472" s="334" t="s">
        <v>1374</v>
      </c>
      <c r="J47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472" s="160">
        <v>1223896</v>
      </c>
      <c r="L472" s="160">
        <f>+Reactivos_[[#This Row],[Cantidad]]*Reactivos_[[#This Row],[Valor de referencia]]</f>
        <v>7343376</v>
      </c>
      <c r="M472" s="254">
        <v>1</v>
      </c>
      <c r="N472" s="255">
        <f>+Reactivos_[[#This Row],[Valor de referencia]]*Reactivos_[[#This Row],[Cantidad LANIP]]</f>
        <v>1223896</v>
      </c>
      <c r="O472" s="256"/>
      <c r="P472" s="255">
        <f>+Reactivos_[[#This Row],[Cantidad 
LDV]]*Reactivos_[[#This Row],[Valor de referencia]]</f>
        <v>0</v>
      </c>
      <c r="Q472" s="257"/>
      <c r="R472" s="255">
        <f>+Reactivos_[[#This Row],[Cantidad LNDV]]*Reactivos_[[#This Row],[Valor de referencia]]</f>
        <v>0</v>
      </c>
      <c r="S472" s="148"/>
      <c r="T472" s="255">
        <f>+Reactivos_[[#This Row],[GGCA]]*Reactivos_[[#This Row],[Valor de referencia]]</f>
        <v>0</v>
      </c>
      <c r="U472" s="254"/>
      <c r="V472" s="255">
        <f>+Reactivos_[[#This Row],[Cantidad LDF]]*Reactivos_[[#This Row],[Valor de referencia]]</f>
        <v>0</v>
      </c>
      <c r="W472" s="254"/>
      <c r="X472" s="255">
        <f>+Reactivos_[[#This Row],[Cantidad LDF&amp;MR]]*Reactivos_[[#This Row],[Valor de referencia]]</f>
        <v>0</v>
      </c>
      <c r="Y472" s="254"/>
      <c r="Z472" s="255">
        <f>+Reactivos_[[#This Row],[Cantidad RED LASE]]*Reactivos_[[#This Row],[Valor de referencia]]</f>
        <v>0</v>
      </c>
      <c r="AA472" s="254">
        <v>5</v>
      </c>
      <c r="AB472" s="255">
        <f>+Reactivos_[[#This Row],[Cantidad LANIA]]*Reactivos_[[#This Row],[Valor de referencia]]</f>
        <v>6119480</v>
      </c>
      <c r="AC472" s="254"/>
      <c r="AD472" s="255">
        <f>+Reactivos_[[#This Row],[Cantidad SPA]]*Reactivos_[[#This Row],[Valor de referencia]]</f>
        <v>0</v>
      </c>
      <c r="AE472" s="148" t="s">
        <v>77</v>
      </c>
      <c r="AF472" s="148" t="s">
        <v>77</v>
      </c>
    </row>
    <row r="473" spans="1:32" ht="22.5" customHeight="1" x14ac:dyDescent="0.25">
      <c r="A473" s="294" t="str">
        <f>IF(B473=Reactivos_[[#This Row],[Cantidad LANIP]],"LANIP",IF(B473=Reactivos_[[#This Row],[Cantidad 
LDV]],"LDV",IF(B473=Reactivos_[[#This Row],[Cantidad LNDV]],"LNDV",IF(B473=Reactivos_[[#This Row],[GGCA]],"GGCA",IF(B473=Reactivos_[[#This Row],[Cantidad LDF]],"LDF",IF(Reactivos_[[#This Row],[Cantidad LDF&amp;MR]],"LDF&amp;MR",IF(B473=Reactivos_[[#This Row],[Cantidad RED LASE]],"LASE",IF(B473=Reactivos_[[#This Row],[Cantidad LANIA]],"LANIA",IF(B473=Reactivos_[[#This Row],[Cantidad SPA]],"SPA"," ")))))))))</f>
        <v>LANIP</v>
      </c>
      <c r="B47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473" s="325">
        <v>471</v>
      </c>
      <c r="D473" s="326">
        <v>692</v>
      </c>
      <c r="E473" s="245" t="s">
        <v>1375</v>
      </c>
      <c r="F473" s="244" t="s">
        <v>1376</v>
      </c>
      <c r="G473" s="245" t="s">
        <v>1377</v>
      </c>
      <c r="H473" s="349" t="s">
        <v>1378</v>
      </c>
      <c r="I473" s="329" t="s">
        <v>1374</v>
      </c>
      <c r="J47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9</v>
      </c>
      <c r="K473" s="160">
        <v>897431</v>
      </c>
      <c r="L473" s="160">
        <f>+Reactivos_[[#This Row],[Cantidad]]*Reactivos_[[#This Row],[Valor de referencia]]</f>
        <v>8076879</v>
      </c>
      <c r="M473" s="254">
        <v>5</v>
      </c>
      <c r="N473" s="255">
        <f>+Reactivos_[[#This Row],[Valor de referencia]]*Reactivos_[[#This Row],[Cantidad LANIP]]</f>
        <v>4487155</v>
      </c>
      <c r="O473" s="256"/>
      <c r="P473" s="255">
        <f>+Reactivos_[[#This Row],[Cantidad 
LDV]]*Reactivos_[[#This Row],[Valor de referencia]]</f>
        <v>0</v>
      </c>
      <c r="Q473" s="257"/>
      <c r="R473" s="255">
        <f>+Reactivos_[[#This Row],[Cantidad LNDV]]*Reactivos_[[#This Row],[Valor de referencia]]</f>
        <v>0</v>
      </c>
      <c r="S473" s="148"/>
      <c r="T473" s="255">
        <f>+Reactivos_[[#This Row],[GGCA]]*Reactivos_[[#This Row],[Valor de referencia]]</f>
        <v>0</v>
      </c>
      <c r="U473" s="254"/>
      <c r="V473" s="255">
        <f>+Reactivos_[[#This Row],[Cantidad LDF]]*Reactivos_[[#This Row],[Valor de referencia]]</f>
        <v>0</v>
      </c>
      <c r="W473" s="254"/>
      <c r="X473" s="255">
        <f>+Reactivos_[[#This Row],[Cantidad LDF&amp;MR]]*Reactivos_[[#This Row],[Valor de referencia]]</f>
        <v>0</v>
      </c>
      <c r="Y473" s="254"/>
      <c r="Z473" s="255">
        <f>+Reactivos_[[#This Row],[Cantidad RED LASE]]*Reactivos_[[#This Row],[Valor de referencia]]</f>
        <v>0</v>
      </c>
      <c r="AA473" s="254">
        <v>4</v>
      </c>
      <c r="AB473" s="255">
        <f>+Reactivos_[[#This Row],[Cantidad LANIA]]*Reactivos_[[#This Row],[Valor de referencia]]</f>
        <v>3589724</v>
      </c>
      <c r="AC473" s="254"/>
      <c r="AD473" s="255">
        <f>+Reactivos_[[#This Row],[Cantidad SPA]]*Reactivos_[[#This Row],[Valor de referencia]]</f>
        <v>0</v>
      </c>
      <c r="AE473" s="148" t="s">
        <v>77</v>
      </c>
      <c r="AF473" s="148" t="s">
        <v>77</v>
      </c>
    </row>
    <row r="474" spans="1:32" ht="12.75" customHeight="1" x14ac:dyDescent="0.25">
      <c r="A474" s="294" t="str">
        <f>IF(B474=Reactivos_[[#This Row],[Cantidad LANIP]],"LANIP",IF(B474=Reactivos_[[#This Row],[Cantidad 
LDV]],"LDV",IF(B474=Reactivos_[[#This Row],[Cantidad LNDV]],"LNDV",IF(B474=Reactivos_[[#This Row],[GGCA]],"GGCA",IF(B474=Reactivos_[[#This Row],[Cantidad LDF]],"LDF",IF(Reactivos_[[#This Row],[Cantidad LDF&amp;MR]],"LDF&amp;MR",IF(B474=Reactivos_[[#This Row],[Cantidad RED LASE]],"LASE",IF(B474=Reactivos_[[#This Row],[Cantidad LANIA]],"LANIA",IF(B474=Reactivos_[[#This Row],[Cantidad SPA]],"SPA"," ")))))))))</f>
        <v>LDV</v>
      </c>
      <c r="B47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30</v>
      </c>
      <c r="C474" s="325">
        <v>472</v>
      </c>
      <c r="D474" s="326">
        <v>694</v>
      </c>
      <c r="E474" s="331" t="s">
        <v>1379</v>
      </c>
      <c r="F474" s="332"/>
      <c r="G474" s="331"/>
      <c r="H474" s="328" t="s">
        <v>1293</v>
      </c>
      <c r="I474" s="329" t="s">
        <v>1380</v>
      </c>
      <c r="J47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125</v>
      </c>
      <c r="K474" s="160">
        <v>70478</v>
      </c>
      <c r="L474" s="160">
        <f>+Reactivos_[[#This Row],[Cantidad]]*Reactivos_[[#This Row],[Valor de referencia]]</f>
        <v>8809750</v>
      </c>
      <c r="M474" s="254">
        <v>11</v>
      </c>
      <c r="N474" s="255">
        <f>+Reactivos_[[#This Row],[Valor de referencia]]*Reactivos_[[#This Row],[Cantidad LANIP]]</f>
        <v>775258</v>
      </c>
      <c r="O474" s="256">
        <v>30</v>
      </c>
      <c r="P474" s="255">
        <f>+Reactivos_[[#This Row],[Cantidad 
LDV]]*Reactivos_[[#This Row],[Valor de referencia]]</f>
        <v>2114340</v>
      </c>
      <c r="Q474" s="257">
        <v>10</v>
      </c>
      <c r="R474" s="255">
        <f>+Reactivos_[[#This Row],[Cantidad LNDV]]*Reactivos_[[#This Row],[Valor de referencia]]</f>
        <v>704780</v>
      </c>
      <c r="S474" s="148"/>
      <c r="T474" s="255">
        <f>+Reactivos_[[#This Row],[GGCA]]*Reactivos_[[#This Row],[Valor de referencia]]</f>
        <v>0</v>
      </c>
      <c r="U474" s="254">
        <v>24</v>
      </c>
      <c r="V474" s="255">
        <f>+Reactivos_[[#This Row],[Cantidad LDF]]*Reactivos_[[#This Row],[Valor de referencia]]</f>
        <v>1691472</v>
      </c>
      <c r="W474" s="254"/>
      <c r="X474" s="255">
        <f>+Reactivos_[[#This Row],[Cantidad LDF&amp;MR]]*Reactivos_[[#This Row],[Valor de referencia]]</f>
        <v>0</v>
      </c>
      <c r="Y474" s="254">
        <v>30</v>
      </c>
      <c r="Z474" s="255">
        <f>+Reactivos_[[#This Row],[Cantidad RED LASE]]*Reactivos_[[#This Row],[Valor de referencia]]</f>
        <v>2114340</v>
      </c>
      <c r="AA474" s="254">
        <v>20</v>
      </c>
      <c r="AB474" s="255">
        <f>+Reactivos_[[#This Row],[Cantidad LANIA]]*Reactivos_[[#This Row],[Valor de referencia]]</f>
        <v>1409560</v>
      </c>
      <c r="AC474" s="254"/>
      <c r="AD474" s="255">
        <f>+Reactivos_[[#This Row],[Cantidad SPA]]*Reactivos_[[#This Row],[Valor de referencia]]</f>
        <v>0</v>
      </c>
      <c r="AE474" s="148" t="s">
        <v>76</v>
      </c>
      <c r="AF474" s="148" t="s">
        <v>101</v>
      </c>
    </row>
    <row r="475" spans="1:32" ht="51" x14ac:dyDescent="0.25">
      <c r="A475" s="294" t="str">
        <f>IF(B475=Reactivos_[[#This Row],[Cantidad LANIP]],"LANIP",IF(B475=Reactivos_[[#This Row],[Cantidad 
LDV]],"LDV",IF(B475=Reactivos_[[#This Row],[Cantidad LNDV]],"LNDV",IF(B475=Reactivos_[[#This Row],[GGCA]],"GGCA",IF(B475=Reactivos_[[#This Row],[Cantidad LDF]],"LDF",IF(Reactivos_[[#This Row],[Cantidad LDF&amp;MR]],"LDF&amp;MR",IF(B475=Reactivos_[[#This Row],[Cantidad RED LASE]],"LASE",IF(B475=Reactivos_[[#This Row],[Cantidad LANIA]],"LANIA",IF(B475=Reactivos_[[#This Row],[Cantidad SPA]],"SPA"," ")))))))))</f>
        <v>LNDV</v>
      </c>
      <c r="B47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475" s="325">
        <v>473</v>
      </c>
      <c r="D475" s="326">
        <v>695</v>
      </c>
      <c r="E475" s="245" t="s">
        <v>1381</v>
      </c>
      <c r="F475" s="244"/>
      <c r="G475" s="245"/>
      <c r="H475" s="346" t="s">
        <v>106</v>
      </c>
      <c r="I475" s="416" t="s">
        <v>1382</v>
      </c>
      <c r="J47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K475" s="160">
        <v>400001</v>
      </c>
      <c r="L475" s="160">
        <f>+Reactivos_[[#This Row],[Cantidad]]*Reactivos_[[#This Row],[Valor de referencia]]</f>
        <v>4400011</v>
      </c>
      <c r="M475" s="254">
        <v>0</v>
      </c>
      <c r="N475" s="255">
        <f>+Reactivos_[[#This Row],[Valor de referencia]]*Reactivos_[[#This Row],[Cantidad LANIP]]</f>
        <v>0</v>
      </c>
      <c r="O475" s="256"/>
      <c r="P475" s="255">
        <f>+Reactivos_[[#This Row],[Cantidad 
LDV]]*Reactivos_[[#This Row],[Valor de referencia]]</f>
        <v>0</v>
      </c>
      <c r="Q475" s="257">
        <v>8</v>
      </c>
      <c r="R475" s="255">
        <f>+Reactivos_[[#This Row],[Cantidad LNDV]]*Reactivos_[[#This Row],[Valor de referencia]]</f>
        <v>3200008</v>
      </c>
      <c r="S475" s="148"/>
      <c r="T475" s="255">
        <f>+Reactivos_[[#This Row],[GGCA]]*Reactivos_[[#This Row],[Valor de referencia]]</f>
        <v>0</v>
      </c>
      <c r="U475" s="254">
        <v>3</v>
      </c>
      <c r="V475" s="255">
        <f>+Reactivos_[[#This Row],[Cantidad LDF]]*Reactivos_[[#This Row],[Valor de referencia]]</f>
        <v>1200003</v>
      </c>
      <c r="W475" s="254"/>
      <c r="X475" s="255">
        <f>+Reactivos_[[#This Row],[Cantidad LDF&amp;MR]]*Reactivos_[[#This Row],[Valor de referencia]]</f>
        <v>0</v>
      </c>
      <c r="Y475" s="254"/>
      <c r="Z475" s="255">
        <f>+Reactivos_[[#This Row],[Cantidad RED LASE]]*Reactivos_[[#This Row],[Valor de referencia]]</f>
        <v>0</v>
      </c>
      <c r="AA475" s="254"/>
      <c r="AB475" s="255">
        <f>+Reactivos_[[#This Row],[Cantidad LANIA]]*Reactivos_[[#This Row],[Valor de referencia]]</f>
        <v>0</v>
      </c>
      <c r="AC475" s="254"/>
      <c r="AD475" s="255">
        <f>+Reactivos_[[#This Row],[Cantidad SPA]]*Reactivos_[[#This Row],[Valor de referencia]]</f>
        <v>0</v>
      </c>
      <c r="AE475" s="148" t="s">
        <v>76</v>
      </c>
      <c r="AF475" s="148" t="s">
        <v>101</v>
      </c>
    </row>
    <row r="476" spans="1:32" ht="21.75" customHeight="1" x14ac:dyDescent="0.25">
      <c r="A476" s="294" t="str">
        <f>IF(B476=Reactivos_[[#This Row],[Cantidad LANIP]],"LANIP",IF(B476=Reactivos_[[#This Row],[Cantidad 
LDV]],"LDV",IF(B476=Reactivos_[[#This Row],[Cantidad LNDV]],"LNDV",IF(B476=Reactivos_[[#This Row],[GGCA]],"GGCA",IF(B476=Reactivos_[[#This Row],[Cantidad LDF]],"LDF",IF(Reactivos_[[#This Row],[Cantidad LDF&amp;MR]],"LDF&amp;MR",IF(B476=Reactivos_[[#This Row],[Cantidad RED LASE]],"LASE",IF(B476=Reactivos_[[#This Row],[Cantidad LANIA]],"LANIA",IF(B476=Reactivos_[[#This Row],[Cantidad SPA]],"SPA"," ")))))))))</f>
        <v>LDF</v>
      </c>
      <c r="B47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76" s="325">
        <v>474</v>
      </c>
      <c r="D476" s="326">
        <v>696</v>
      </c>
      <c r="E476" s="331" t="s">
        <v>1383</v>
      </c>
      <c r="F476" s="332"/>
      <c r="G476" s="331"/>
      <c r="H476" s="333" t="s">
        <v>1384</v>
      </c>
      <c r="I476" s="334" t="s">
        <v>1385</v>
      </c>
      <c r="J47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76" s="160">
        <v>707131</v>
      </c>
      <c r="L476" s="160">
        <f>+Reactivos_[[#This Row],[Cantidad]]*Reactivos_[[#This Row],[Valor de referencia]]</f>
        <v>1414262</v>
      </c>
      <c r="M476" s="254">
        <v>0</v>
      </c>
      <c r="N476" s="255">
        <f>+Reactivos_[[#This Row],[Valor de referencia]]*Reactivos_[[#This Row],[Cantidad LANIP]]</f>
        <v>0</v>
      </c>
      <c r="O476" s="256">
        <v>0</v>
      </c>
      <c r="P476" s="255">
        <f>+Reactivos_[[#This Row],[Cantidad 
LDV]]*Reactivos_[[#This Row],[Valor de referencia]]</f>
        <v>0</v>
      </c>
      <c r="Q476" s="257"/>
      <c r="R476" s="255">
        <f>+Reactivos_[[#This Row],[Cantidad LNDV]]*Reactivos_[[#This Row],[Valor de referencia]]</f>
        <v>0</v>
      </c>
      <c r="S476" s="148"/>
      <c r="T476" s="255">
        <f>+Reactivos_[[#This Row],[GGCA]]*Reactivos_[[#This Row],[Valor de referencia]]</f>
        <v>0</v>
      </c>
      <c r="U476" s="254">
        <v>2</v>
      </c>
      <c r="V476" s="255">
        <f>+Reactivos_[[#This Row],[Cantidad LDF]]*Reactivos_[[#This Row],[Valor de referencia]]</f>
        <v>1414262</v>
      </c>
      <c r="W476" s="254"/>
      <c r="X476" s="255">
        <f>+Reactivos_[[#This Row],[Cantidad LDF&amp;MR]]*Reactivos_[[#This Row],[Valor de referencia]]</f>
        <v>0</v>
      </c>
      <c r="Y476" s="254"/>
      <c r="Z476" s="255">
        <f>+Reactivos_[[#This Row],[Cantidad RED LASE]]*Reactivos_[[#This Row],[Valor de referencia]]</f>
        <v>0</v>
      </c>
      <c r="AA476" s="254"/>
      <c r="AB476" s="255">
        <f>+Reactivos_[[#This Row],[Cantidad LANIA]]*Reactivos_[[#This Row],[Valor de referencia]]</f>
        <v>0</v>
      </c>
      <c r="AC476" s="254"/>
      <c r="AD476" s="255">
        <f>+Reactivos_[[#This Row],[Cantidad SPA]]*Reactivos_[[#This Row],[Valor de referencia]]</f>
        <v>0</v>
      </c>
      <c r="AE476" s="148" t="s">
        <v>76</v>
      </c>
      <c r="AF476" s="148" t="s">
        <v>77</v>
      </c>
    </row>
    <row r="477" spans="1:32" ht="22.5" customHeight="1" x14ac:dyDescent="0.25">
      <c r="A477" s="294" t="str">
        <f>IF(B477=Reactivos_[[#This Row],[Cantidad LANIP]],"LANIP",IF(B477=Reactivos_[[#This Row],[Cantidad 
LDV]],"LDV",IF(B477=Reactivos_[[#This Row],[Cantidad LNDV]],"LNDV",IF(B477=Reactivos_[[#This Row],[GGCA]],"GGCA",IF(B477=Reactivos_[[#This Row],[Cantidad LDF]],"LDF",IF(Reactivos_[[#This Row],[Cantidad LDF&amp;MR]],"LDF&amp;MR",IF(B477=Reactivos_[[#This Row],[Cantidad RED LASE]],"LASE",IF(B477=Reactivos_[[#This Row],[Cantidad LANIA]],"LANIA",IF(B477=Reactivos_[[#This Row],[Cantidad SPA]],"SPA"," ")))))))))</f>
        <v>LDF</v>
      </c>
      <c r="B47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41</v>
      </c>
      <c r="C477" s="325">
        <v>475</v>
      </c>
      <c r="D477" s="326">
        <v>697</v>
      </c>
      <c r="E477" s="327" t="s">
        <v>1386</v>
      </c>
      <c r="F477" s="244"/>
      <c r="G477" s="327"/>
      <c r="H477" s="333" t="s">
        <v>1387</v>
      </c>
      <c r="I477" s="334" t="s">
        <v>1388</v>
      </c>
      <c r="J47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41</v>
      </c>
      <c r="K477" s="160">
        <v>73995</v>
      </c>
      <c r="L477" s="160">
        <f>+Reactivos_[[#This Row],[Cantidad]]*Reactivos_[[#This Row],[Valor de referencia]]</f>
        <v>3033795</v>
      </c>
      <c r="M477" s="254">
        <v>0</v>
      </c>
      <c r="N477" s="255">
        <f>+Reactivos_[[#This Row],[Valor de referencia]]*Reactivos_[[#This Row],[Cantidad LANIP]]</f>
        <v>0</v>
      </c>
      <c r="O477" s="256"/>
      <c r="P477" s="255">
        <f>+Reactivos_[[#This Row],[Cantidad 
LDV]]*Reactivos_[[#This Row],[Valor de referencia]]</f>
        <v>0</v>
      </c>
      <c r="Q477" s="257"/>
      <c r="R477" s="255">
        <f>+Reactivos_[[#This Row],[Cantidad LNDV]]*Reactivos_[[#This Row],[Valor de referencia]]</f>
        <v>0</v>
      </c>
      <c r="S477" s="148"/>
      <c r="T477" s="255">
        <f>+Reactivos_[[#This Row],[GGCA]]*Reactivos_[[#This Row],[Valor de referencia]]</f>
        <v>0</v>
      </c>
      <c r="U477" s="254">
        <v>41</v>
      </c>
      <c r="V477" s="255">
        <f>+Reactivos_[[#This Row],[Cantidad LDF]]*Reactivos_[[#This Row],[Valor de referencia]]</f>
        <v>3033795</v>
      </c>
      <c r="W477" s="254"/>
      <c r="X477" s="255">
        <f>+Reactivos_[[#This Row],[Cantidad LDF&amp;MR]]*Reactivos_[[#This Row],[Valor de referencia]]</f>
        <v>0</v>
      </c>
      <c r="Y477" s="254"/>
      <c r="Z477" s="255">
        <f>+Reactivos_[[#This Row],[Cantidad RED LASE]]*Reactivos_[[#This Row],[Valor de referencia]]</f>
        <v>0</v>
      </c>
      <c r="AA477" s="254"/>
      <c r="AB477" s="255">
        <f>+Reactivos_[[#This Row],[Cantidad LANIA]]*Reactivos_[[#This Row],[Valor de referencia]]</f>
        <v>0</v>
      </c>
      <c r="AC477" s="254"/>
      <c r="AD477" s="255">
        <f>+Reactivos_[[#This Row],[Cantidad SPA]]*Reactivos_[[#This Row],[Valor de referencia]]</f>
        <v>0</v>
      </c>
      <c r="AE477" s="148" t="s">
        <v>76</v>
      </c>
      <c r="AF477" s="406" t="s">
        <v>101</v>
      </c>
    </row>
    <row r="478" spans="1:32" x14ac:dyDescent="0.25">
      <c r="A478" s="294" t="str">
        <f>IF(B478=Reactivos_[[#This Row],[Cantidad LANIP]],"LANIP",IF(B478=Reactivos_[[#This Row],[Cantidad 
LDV]],"LDV",IF(B478=Reactivos_[[#This Row],[Cantidad LNDV]],"LNDV",IF(B478=Reactivos_[[#This Row],[GGCA]],"GGCA",IF(B478=Reactivos_[[#This Row],[Cantidad LDF]],"LDF",IF(Reactivos_[[#This Row],[Cantidad LDF&amp;MR]],"LDF&amp;MR",IF(B478=Reactivos_[[#This Row],[Cantidad RED LASE]],"LASE",IF(B478=Reactivos_[[#This Row],[Cantidad LANIA]],"LANIA",IF(B478=Reactivos_[[#This Row],[Cantidad SPA]],"SPA"," ")))))))))</f>
        <v>LNDV</v>
      </c>
      <c r="B47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78" s="325">
        <v>476</v>
      </c>
      <c r="D478" s="326">
        <v>700</v>
      </c>
      <c r="E478" s="327" t="s">
        <v>1389</v>
      </c>
      <c r="F478" s="244"/>
      <c r="G478" s="327"/>
      <c r="H478" s="328" t="s">
        <v>1390</v>
      </c>
      <c r="I478" s="347" t="s">
        <v>1391</v>
      </c>
      <c r="J47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78" s="160">
        <v>2310968</v>
      </c>
      <c r="L478" s="160">
        <f>+Reactivos_[[#This Row],[Cantidad]]*Reactivos_[[#This Row],[Valor de referencia]]</f>
        <v>4621936</v>
      </c>
      <c r="M478" s="254">
        <v>0</v>
      </c>
      <c r="N478" s="255">
        <f>+Reactivos_[[#This Row],[Valor de referencia]]*Reactivos_[[#This Row],[Cantidad LANIP]]</f>
        <v>0</v>
      </c>
      <c r="O478" s="256"/>
      <c r="P478" s="255">
        <f>+Reactivos_[[#This Row],[Cantidad 
LDV]]*Reactivos_[[#This Row],[Valor de referencia]]</f>
        <v>0</v>
      </c>
      <c r="Q478" s="257">
        <v>2</v>
      </c>
      <c r="R478" s="255">
        <f>+Reactivos_[[#This Row],[Cantidad LNDV]]*Reactivos_[[#This Row],[Valor de referencia]]</f>
        <v>4621936</v>
      </c>
      <c r="S478" s="148"/>
      <c r="T478" s="255">
        <f>+Reactivos_[[#This Row],[GGCA]]*Reactivos_[[#This Row],[Valor de referencia]]</f>
        <v>0</v>
      </c>
      <c r="U478" s="254"/>
      <c r="V478" s="255">
        <f>+Reactivos_[[#This Row],[Cantidad LDF]]*Reactivos_[[#This Row],[Valor de referencia]]</f>
        <v>0</v>
      </c>
      <c r="W478" s="254"/>
      <c r="X478" s="255">
        <f>+Reactivos_[[#This Row],[Cantidad LDF&amp;MR]]*Reactivos_[[#This Row],[Valor de referencia]]</f>
        <v>0</v>
      </c>
      <c r="Y478" s="254"/>
      <c r="Z478" s="255">
        <f>+Reactivos_[[#This Row],[Cantidad RED LASE]]*Reactivos_[[#This Row],[Valor de referencia]]</f>
        <v>0</v>
      </c>
      <c r="AA478" s="254"/>
      <c r="AB478" s="255">
        <f>+Reactivos_[[#This Row],[Cantidad LANIA]]*Reactivos_[[#This Row],[Valor de referencia]]</f>
        <v>0</v>
      </c>
      <c r="AC478" s="254"/>
      <c r="AD478" s="255">
        <f>+Reactivos_[[#This Row],[Cantidad SPA]]*Reactivos_[[#This Row],[Valor de referencia]]</f>
        <v>0</v>
      </c>
      <c r="AE478" s="148" t="s">
        <v>76</v>
      </c>
      <c r="AF478" s="148" t="s">
        <v>77</v>
      </c>
    </row>
    <row r="479" spans="1:32" ht="22.5" customHeight="1" x14ac:dyDescent="0.25">
      <c r="A479" s="294" t="str">
        <f>IF(B479=Reactivos_[[#This Row],[Cantidad LANIP]],"LANIP",IF(B479=Reactivos_[[#This Row],[Cantidad 
LDV]],"LDV",IF(B479=Reactivos_[[#This Row],[Cantidad LNDV]],"LNDV",IF(B479=Reactivos_[[#This Row],[GGCA]],"GGCA",IF(B479=Reactivos_[[#This Row],[Cantidad LDF]],"LDF",IF(Reactivos_[[#This Row],[Cantidad LDF&amp;MR]],"LDF&amp;MR",IF(B479=Reactivos_[[#This Row],[Cantidad RED LASE]],"LASE",IF(B479=Reactivos_[[#This Row],[Cantidad LANIA]],"LANIA",IF(B479=Reactivos_[[#This Row],[Cantidad SPA]],"SPA"," ")))))))))</f>
        <v>LDV</v>
      </c>
      <c r="B47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79" s="325">
        <v>477</v>
      </c>
      <c r="D479" s="326">
        <v>701</v>
      </c>
      <c r="E479" s="327" t="s">
        <v>1392</v>
      </c>
      <c r="F479" s="244"/>
      <c r="G479" s="327"/>
      <c r="H479" s="348" t="s">
        <v>1393</v>
      </c>
      <c r="I479" s="329" t="s">
        <v>1394</v>
      </c>
      <c r="J47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79" s="160">
        <v>1249762</v>
      </c>
      <c r="L479" s="160">
        <f>+Reactivos_[[#This Row],[Cantidad]]*Reactivos_[[#This Row],[Valor de referencia]]</f>
        <v>2499524</v>
      </c>
      <c r="M479" s="254">
        <v>0</v>
      </c>
      <c r="N479" s="255">
        <f>+Reactivos_[[#This Row],[Valor de referencia]]*Reactivos_[[#This Row],[Cantidad LANIP]]</f>
        <v>0</v>
      </c>
      <c r="O479" s="256">
        <v>2</v>
      </c>
      <c r="P479" s="255">
        <f>+Reactivos_[[#This Row],[Cantidad 
LDV]]*Reactivos_[[#This Row],[Valor de referencia]]</f>
        <v>2499524</v>
      </c>
      <c r="Q479" s="257"/>
      <c r="R479" s="255">
        <f>+Reactivos_[[#This Row],[Cantidad LNDV]]*Reactivos_[[#This Row],[Valor de referencia]]</f>
        <v>0</v>
      </c>
      <c r="S479" s="148"/>
      <c r="T479" s="255">
        <f>+Reactivos_[[#This Row],[GGCA]]*Reactivos_[[#This Row],[Valor de referencia]]</f>
        <v>0</v>
      </c>
      <c r="U479" s="254"/>
      <c r="V479" s="255">
        <f>+Reactivos_[[#This Row],[Cantidad LDF]]*Reactivos_[[#This Row],[Valor de referencia]]</f>
        <v>0</v>
      </c>
      <c r="W479" s="254"/>
      <c r="X479" s="255">
        <f>+Reactivos_[[#This Row],[Cantidad LDF&amp;MR]]*Reactivos_[[#This Row],[Valor de referencia]]</f>
        <v>0</v>
      </c>
      <c r="Y479" s="254"/>
      <c r="Z479" s="255">
        <f>+Reactivos_[[#This Row],[Cantidad RED LASE]]*Reactivos_[[#This Row],[Valor de referencia]]</f>
        <v>0</v>
      </c>
      <c r="AA479" s="254"/>
      <c r="AB479" s="255">
        <f>+Reactivos_[[#This Row],[Cantidad LANIA]]*Reactivos_[[#This Row],[Valor de referencia]]</f>
        <v>0</v>
      </c>
      <c r="AC479" s="254"/>
      <c r="AD479" s="255">
        <f>+Reactivos_[[#This Row],[Cantidad SPA]]*Reactivos_[[#This Row],[Valor de referencia]]</f>
        <v>0</v>
      </c>
      <c r="AE479" s="148" t="s">
        <v>76</v>
      </c>
      <c r="AF479" s="148" t="s">
        <v>77</v>
      </c>
    </row>
    <row r="480" spans="1:32" ht="31.5" customHeight="1" x14ac:dyDescent="0.25">
      <c r="A480" s="294" t="str">
        <f>IF(B480=Reactivos_[[#This Row],[Cantidad LANIP]],"LANIP",IF(B480=Reactivos_[[#This Row],[Cantidad 
LDV]],"LDV",IF(B480=Reactivos_[[#This Row],[Cantidad LNDV]],"LNDV",IF(B480=Reactivos_[[#This Row],[GGCA]],"GGCA",IF(B480=Reactivos_[[#This Row],[Cantidad LDF]],"LDF",IF(Reactivos_[[#This Row],[Cantidad LDF&amp;MR]],"LDF&amp;MR",IF(B480=Reactivos_[[#This Row],[Cantidad RED LASE]],"LASE",IF(B480=Reactivos_[[#This Row],[Cantidad LANIA]],"LANIA",IF(B480=Reactivos_[[#This Row],[Cantidad SPA]],"SPA"," ")))))))))</f>
        <v>LDV</v>
      </c>
      <c r="B48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480" s="325">
        <v>478</v>
      </c>
      <c r="D480" s="326">
        <v>702</v>
      </c>
      <c r="E480" s="331" t="s">
        <v>1395</v>
      </c>
      <c r="F480" s="332"/>
      <c r="G480" s="331"/>
      <c r="H480" s="348" t="s">
        <v>1396</v>
      </c>
      <c r="I480" s="329" t="s">
        <v>1394</v>
      </c>
      <c r="J48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23</v>
      </c>
      <c r="K480" s="160">
        <v>525628</v>
      </c>
      <c r="L480" s="160">
        <f>+Reactivos_[[#This Row],[Cantidad]]*Reactivos_[[#This Row],[Valor de referencia]]</f>
        <v>12089444</v>
      </c>
      <c r="M480" s="254">
        <v>3</v>
      </c>
      <c r="N480" s="255">
        <f>+Reactivos_[[#This Row],[Valor de referencia]]*Reactivos_[[#This Row],[Cantidad LANIP]]</f>
        <v>1576884</v>
      </c>
      <c r="O480" s="256">
        <v>10</v>
      </c>
      <c r="P480" s="255">
        <f>+Reactivos_[[#This Row],[Cantidad 
LDV]]*Reactivos_[[#This Row],[Valor de referencia]]</f>
        <v>5256280</v>
      </c>
      <c r="Q480" s="257">
        <v>1</v>
      </c>
      <c r="R480" s="255">
        <f>+Reactivos_[[#This Row],[Cantidad LNDV]]*Reactivos_[[#This Row],[Valor de referencia]]</f>
        <v>525628</v>
      </c>
      <c r="S480" s="148"/>
      <c r="T480" s="255">
        <f>+Reactivos_[[#This Row],[GGCA]]*Reactivos_[[#This Row],[Valor de referencia]]</f>
        <v>0</v>
      </c>
      <c r="U480" s="254">
        <v>7</v>
      </c>
      <c r="V480" s="255">
        <f>+Reactivos_[[#This Row],[Cantidad LDF]]*Reactivos_[[#This Row],[Valor de referencia]]</f>
        <v>3679396</v>
      </c>
      <c r="W480" s="254">
        <v>1</v>
      </c>
      <c r="X480" s="255">
        <f>+Reactivos_[[#This Row],[Cantidad LDF&amp;MR]]*Reactivos_[[#This Row],[Valor de referencia]]</f>
        <v>525628</v>
      </c>
      <c r="Y480" s="254"/>
      <c r="Z480" s="255">
        <f>+Reactivos_[[#This Row],[Cantidad RED LASE]]*Reactivos_[[#This Row],[Valor de referencia]]</f>
        <v>0</v>
      </c>
      <c r="AA480" s="254">
        <v>1</v>
      </c>
      <c r="AB480" s="255">
        <f>+Reactivos_[[#This Row],[Cantidad LANIA]]*Reactivos_[[#This Row],[Valor de referencia]]</f>
        <v>525628</v>
      </c>
      <c r="AC480" s="254"/>
      <c r="AD480" s="255">
        <f>+Reactivos_[[#This Row],[Cantidad SPA]]*Reactivos_[[#This Row],[Valor de referencia]]</f>
        <v>0</v>
      </c>
      <c r="AE480" s="148" t="s">
        <v>76</v>
      </c>
      <c r="AF480" s="148" t="s">
        <v>77</v>
      </c>
    </row>
    <row r="481" spans="1:32" ht="57" customHeight="1" x14ac:dyDescent="0.25">
      <c r="A481" s="294" t="str">
        <f>IF(B481=Reactivos_[[#This Row],[Cantidad LANIP]],"LANIP",IF(B481=Reactivos_[[#This Row],[Cantidad 
LDV]],"LDV",IF(B481=Reactivos_[[#This Row],[Cantidad LNDV]],"LNDV",IF(B481=Reactivos_[[#This Row],[GGCA]],"GGCA",IF(B481=Reactivos_[[#This Row],[Cantidad LDF]],"LDF",IF(Reactivos_[[#This Row],[Cantidad LDF&amp;MR]],"LDF&amp;MR",IF(B481=Reactivos_[[#This Row],[Cantidad RED LASE]],"LASE",IF(B481=Reactivos_[[#This Row],[Cantidad LANIA]],"LANIA",IF(B481=Reactivos_[[#This Row],[Cantidad SPA]],"SPA"," ")))))))))</f>
        <v>LDV</v>
      </c>
      <c r="B48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30</v>
      </c>
      <c r="C481" s="325">
        <v>479</v>
      </c>
      <c r="D481" s="326">
        <v>703</v>
      </c>
      <c r="E481" s="331" t="s">
        <v>1397</v>
      </c>
      <c r="F481" s="332"/>
      <c r="G481" s="331"/>
      <c r="H481" s="348" t="s">
        <v>1398</v>
      </c>
      <c r="I481" s="329" t="s">
        <v>1399</v>
      </c>
      <c r="J48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46</v>
      </c>
      <c r="K481" s="160">
        <v>250723</v>
      </c>
      <c r="L481" s="160">
        <f>+Reactivos_[[#This Row],[Cantidad]]*Reactivos_[[#This Row],[Valor de referencia]]</f>
        <v>11533258</v>
      </c>
      <c r="M481" s="254">
        <v>4</v>
      </c>
      <c r="N481" s="255">
        <f>+Reactivos_[[#This Row],[Valor de referencia]]*Reactivos_[[#This Row],[Cantidad LANIP]]</f>
        <v>1002892</v>
      </c>
      <c r="O481" s="256">
        <v>30</v>
      </c>
      <c r="P481" s="255">
        <f>+Reactivos_[[#This Row],[Cantidad 
LDV]]*Reactivos_[[#This Row],[Valor de referencia]]</f>
        <v>7521690</v>
      </c>
      <c r="Q481" s="257">
        <v>2</v>
      </c>
      <c r="R481" s="255">
        <f>+Reactivos_[[#This Row],[Cantidad LNDV]]*Reactivos_[[#This Row],[Valor de referencia]]</f>
        <v>501446</v>
      </c>
      <c r="S481" s="148"/>
      <c r="T481" s="255">
        <f>+Reactivos_[[#This Row],[GGCA]]*Reactivos_[[#This Row],[Valor de referencia]]</f>
        <v>0</v>
      </c>
      <c r="U481" s="254"/>
      <c r="V481" s="255">
        <f>+Reactivos_[[#This Row],[Cantidad LDF]]*Reactivos_[[#This Row],[Valor de referencia]]</f>
        <v>0</v>
      </c>
      <c r="W481" s="254">
        <v>2</v>
      </c>
      <c r="X481" s="255">
        <f>+Reactivos_[[#This Row],[Cantidad LDF&amp;MR]]*Reactivos_[[#This Row],[Valor de referencia]]</f>
        <v>501446</v>
      </c>
      <c r="Y481" s="254"/>
      <c r="Z481" s="255">
        <f>+Reactivos_[[#This Row],[Cantidad RED LASE]]*Reactivos_[[#This Row],[Valor de referencia]]</f>
        <v>0</v>
      </c>
      <c r="AA481" s="254">
        <f>4+4</f>
        <v>8</v>
      </c>
      <c r="AB481" s="255">
        <f>+Reactivos_[[#This Row],[Cantidad LANIA]]*Reactivos_[[#This Row],[Valor de referencia]]</f>
        <v>2005784</v>
      </c>
      <c r="AC481" s="254"/>
      <c r="AD481" s="255">
        <f>+Reactivos_[[#This Row],[Cantidad SPA]]*Reactivos_[[#This Row],[Valor de referencia]]</f>
        <v>0</v>
      </c>
      <c r="AE481" s="148" t="s">
        <v>76</v>
      </c>
      <c r="AF481" s="148" t="s">
        <v>77</v>
      </c>
    </row>
    <row r="482" spans="1:32" ht="34.5" customHeight="1" x14ac:dyDescent="0.25">
      <c r="A482" s="294" t="str">
        <f>IF(B482=Reactivos_[[#This Row],[Cantidad LANIP]],"LANIP",IF(B482=Reactivos_[[#This Row],[Cantidad 
LDV]],"LDV",IF(B482=Reactivos_[[#This Row],[Cantidad LNDV]],"LNDV",IF(B482=Reactivos_[[#This Row],[GGCA]],"GGCA",IF(B482=Reactivos_[[#This Row],[Cantidad LDF]],"LDF",IF(Reactivos_[[#This Row],[Cantidad LDF&amp;MR]],"LDF&amp;MR",IF(B482=Reactivos_[[#This Row],[Cantidad RED LASE]],"LASE",IF(B482=Reactivos_[[#This Row],[Cantidad LANIA]],"LANIA",IF(B482=Reactivos_[[#This Row],[Cantidad SPA]],"SPA"," ")))))))))</f>
        <v>LANIP</v>
      </c>
      <c r="B48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482" s="325">
        <v>480</v>
      </c>
      <c r="D482" s="326">
        <v>704</v>
      </c>
      <c r="E482" s="327" t="s">
        <v>1400</v>
      </c>
      <c r="F482" s="244"/>
      <c r="G482" s="327"/>
      <c r="H482" s="328" t="s">
        <v>141</v>
      </c>
      <c r="I482" s="329" t="s">
        <v>1401</v>
      </c>
      <c r="J48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482" s="240">
        <v>873147</v>
      </c>
      <c r="L482" s="160">
        <f>+Reactivos_[[#This Row],[Cantidad]]*Reactivos_[[#This Row],[Valor de referencia]]</f>
        <v>3492588</v>
      </c>
      <c r="M482" s="254">
        <v>4</v>
      </c>
      <c r="N482" s="255">
        <f>+Reactivos_[[#This Row],[Valor de referencia]]*Reactivos_[[#This Row],[Cantidad LANIP]]</f>
        <v>3492588</v>
      </c>
      <c r="O482" s="256"/>
      <c r="P482" s="255">
        <f>+Reactivos_[[#This Row],[Cantidad 
LDV]]*Reactivos_[[#This Row],[Valor de referencia]]</f>
        <v>0</v>
      </c>
      <c r="Q482" s="257"/>
      <c r="R482" s="255">
        <f>+Reactivos_[[#This Row],[Cantidad LNDV]]*Reactivos_[[#This Row],[Valor de referencia]]</f>
        <v>0</v>
      </c>
      <c r="S482" s="148"/>
      <c r="T482" s="255">
        <f>+Reactivos_[[#This Row],[GGCA]]*Reactivos_[[#This Row],[Valor de referencia]]</f>
        <v>0</v>
      </c>
      <c r="U482" s="254"/>
      <c r="V482" s="255">
        <f>+Reactivos_[[#This Row],[Cantidad LDF]]*Reactivos_[[#This Row],[Valor de referencia]]</f>
        <v>0</v>
      </c>
      <c r="W482" s="254"/>
      <c r="X482" s="255">
        <f>+Reactivos_[[#This Row],[Cantidad LDF&amp;MR]]*Reactivos_[[#This Row],[Valor de referencia]]</f>
        <v>0</v>
      </c>
      <c r="Y482" s="254"/>
      <c r="Z482" s="255">
        <f>+Reactivos_[[#This Row],[Cantidad RED LASE]]*Reactivos_[[#This Row],[Valor de referencia]]</f>
        <v>0</v>
      </c>
      <c r="AA482" s="254"/>
      <c r="AB482" s="255">
        <f>+Reactivos_[[#This Row],[Cantidad LANIA]]*Reactivos_[[#This Row],[Valor de referencia]]</f>
        <v>0</v>
      </c>
      <c r="AC482" s="254"/>
      <c r="AD482" s="255">
        <f>+Reactivos_[[#This Row],[Cantidad SPA]]*Reactivos_[[#This Row],[Valor de referencia]]</f>
        <v>0</v>
      </c>
      <c r="AE482" s="148" t="s">
        <v>76</v>
      </c>
      <c r="AF482" s="148" t="s">
        <v>77</v>
      </c>
    </row>
    <row r="483" spans="1:32" ht="55.5" customHeight="1" x14ac:dyDescent="0.25">
      <c r="A483" s="294" t="str">
        <f>IF(B483=Reactivos_[[#This Row],[Cantidad LANIP]],"LANIP",IF(B483=Reactivos_[[#This Row],[Cantidad 
LDV]],"LDV",IF(B483=Reactivos_[[#This Row],[Cantidad LNDV]],"LNDV",IF(B483=Reactivos_[[#This Row],[GGCA]],"GGCA",IF(B483=Reactivos_[[#This Row],[Cantidad LDF]],"LDF",IF(Reactivos_[[#This Row],[Cantidad LDF&amp;MR]],"LDF&amp;MR",IF(B483=Reactivos_[[#This Row],[Cantidad RED LASE]],"LASE",IF(B483=Reactivos_[[#This Row],[Cantidad LANIA]],"LANIA",IF(B483=Reactivos_[[#This Row],[Cantidad SPA]],"SPA"," ")))))))))</f>
        <v>LDV</v>
      </c>
      <c r="B48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483" s="325">
        <v>481</v>
      </c>
      <c r="D483" s="326">
        <v>705</v>
      </c>
      <c r="E483" s="327" t="s">
        <v>1402</v>
      </c>
      <c r="F483" s="244"/>
      <c r="G483" s="327"/>
      <c r="H483" s="348" t="s">
        <v>1403</v>
      </c>
      <c r="I483" s="329" t="s">
        <v>1404</v>
      </c>
      <c r="J48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40</v>
      </c>
      <c r="K483" s="240">
        <v>9873515</v>
      </c>
      <c r="L483" s="160">
        <f>+Reactivos_[[#This Row],[Cantidad]]*Reactivos_[[#This Row],[Valor de referencia]]</f>
        <v>394940600</v>
      </c>
      <c r="M483" s="254">
        <v>0</v>
      </c>
      <c r="N483" s="255">
        <f>+Reactivos_[[#This Row],[Valor de referencia]]*Reactivos_[[#This Row],[Cantidad LANIP]]</f>
        <v>0</v>
      </c>
      <c r="O483" s="256">
        <v>20</v>
      </c>
      <c r="P483" s="255">
        <f>+Reactivos_[[#This Row],[Cantidad 
LDV]]*Reactivos_[[#This Row],[Valor de referencia]]</f>
        <v>197470300</v>
      </c>
      <c r="Q483" s="257">
        <v>20</v>
      </c>
      <c r="R483" s="255">
        <f>+Reactivos_[[#This Row],[Cantidad LNDV]]*Reactivos_[[#This Row],[Valor de referencia]]</f>
        <v>197470300</v>
      </c>
      <c r="S483" s="148"/>
      <c r="T483" s="255">
        <f>+Reactivos_[[#This Row],[GGCA]]*Reactivos_[[#This Row],[Valor de referencia]]</f>
        <v>0</v>
      </c>
      <c r="U483" s="254"/>
      <c r="V483" s="255">
        <f>+Reactivos_[[#This Row],[Cantidad LDF]]*Reactivos_[[#This Row],[Valor de referencia]]</f>
        <v>0</v>
      </c>
      <c r="W483" s="254"/>
      <c r="X483" s="255">
        <f>+Reactivos_[[#This Row],[Cantidad LDF&amp;MR]]*Reactivos_[[#This Row],[Valor de referencia]]</f>
        <v>0</v>
      </c>
      <c r="Y483" s="254"/>
      <c r="Z483" s="255">
        <f>+Reactivos_[[#This Row],[Cantidad RED LASE]]*Reactivos_[[#This Row],[Valor de referencia]]</f>
        <v>0</v>
      </c>
      <c r="AA483" s="254"/>
      <c r="AB483" s="255">
        <f>+Reactivos_[[#This Row],[Cantidad LANIA]]*Reactivos_[[#This Row],[Valor de referencia]]</f>
        <v>0</v>
      </c>
      <c r="AC483" s="254"/>
      <c r="AD483" s="255">
        <f>+Reactivos_[[#This Row],[Cantidad SPA]]*Reactivos_[[#This Row],[Valor de referencia]]</f>
        <v>0</v>
      </c>
      <c r="AE483" s="148" t="s">
        <v>76</v>
      </c>
      <c r="AF483" s="148" t="s">
        <v>77</v>
      </c>
    </row>
    <row r="484" spans="1:32" ht="30.75" customHeight="1" x14ac:dyDescent="0.25">
      <c r="A484" s="294" t="str">
        <f>IF(B484=Reactivos_[[#This Row],[Cantidad LANIP]],"LANIP",IF(B484=Reactivos_[[#This Row],[Cantidad 
LDV]],"LDV",IF(B484=Reactivos_[[#This Row],[Cantidad LNDV]],"LNDV",IF(B484=Reactivos_[[#This Row],[GGCA]],"GGCA",IF(B484=Reactivos_[[#This Row],[Cantidad LDF]],"LDF",IF(Reactivos_[[#This Row],[Cantidad LDF&amp;MR]],"LDF&amp;MR",IF(B484=Reactivos_[[#This Row],[Cantidad RED LASE]],"LASE",IF(B484=Reactivos_[[#This Row],[Cantidad LANIA]],"LANIA",IF(B484=Reactivos_[[#This Row],[Cantidad SPA]],"SPA"," ")))))))))</f>
        <v>LANIP</v>
      </c>
      <c r="B48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484" s="325">
        <v>482</v>
      </c>
      <c r="D484" s="326">
        <v>708</v>
      </c>
      <c r="E484" s="327" t="s">
        <v>1405</v>
      </c>
      <c r="F484" s="244"/>
      <c r="G484" s="327"/>
      <c r="H484" s="328" t="s">
        <v>1406</v>
      </c>
      <c r="I484" s="329" t="s">
        <v>1407</v>
      </c>
      <c r="J48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K484" s="240">
        <v>2208082</v>
      </c>
      <c r="L484" s="160">
        <f>+Reactivos_[[#This Row],[Cantidad]]*Reactivos_[[#This Row],[Valor de referencia]]</f>
        <v>44161640</v>
      </c>
      <c r="M484" s="254">
        <v>20</v>
      </c>
      <c r="N484" s="255">
        <f>+Reactivos_[[#This Row],[Valor de referencia]]*Reactivos_[[#This Row],[Cantidad LANIP]]</f>
        <v>44161640</v>
      </c>
      <c r="O484" s="256"/>
      <c r="P484" s="255">
        <f>+Reactivos_[[#This Row],[Cantidad 
LDV]]*Reactivos_[[#This Row],[Valor de referencia]]</f>
        <v>0</v>
      </c>
      <c r="Q484" s="257"/>
      <c r="R484" s="255">
        <f>+Reactivos_[[#This Row],[Cantidad LNDV]]*Reactivos_[[#This Row],[Valor de referencia]]</f>
        <v>0</v>
      </c>
      <c r="S484" s="148"/>
      <c r="T484" s="255">
        <f>+Reactivos_[[#This Row],[GGCA]]*Reactivos_[[#This Row],[Valor de referencia]]</f>
        <v>0</v>
      </c>
      <c r="U484" s="254"/>
      <c r="V484" s="255">
        <f>+Reactivos_[[#This Row],[Cantidad LDF]]*Reactivos_[[#This Row],[Valor de referencia]]</f>
        <v>0</v>
      </c>
      <c r="W484" s="254"/>
      <c r="X484" s="255">
        <f>+Reactivos_[[#This Row],[Cantidad LDF&amp;MR]]*Reactivos_[[#This Row],[Valor de referencia]]</f>
        <v>0</v>
      </c>
      <c r="Y484" s="254"/>
      <c r="Z484" s="255">
        <f>+Reactivos_[[#This Row],[Cantidad RED LASE]]*Reactivos_[[#This Row],[Valor de referencia]]</f>
        <v>0</v>
      </c>
      <c r="AA484" s="254"/>
      <c r="AB484" s="255">
        <f>+Reactivos_[[#This Row],[Cantidad LANIA]]*Reactivos_[[#This Row],[Valor de referencia]]</f>
        <v>0</v>
      </c>
      <c r="AC484" s="254"/>
      <c r="AD484" s="255">
        <f>+Reactivos_[[#This Row],[Cantidad SPA]]*Reactivos_[[#This Row],[Valor de referencia]]</f>
        <v>0</v>
      </c>
      <c r="AE484" s="148" t="s">
        <v>76</v>
      </c>
      <c r="AF484" s="148" t="s">
        <v>77</v>
      </c>
    </row>
    <row r="485" spans="1:32" ht="53.25" customHeight="1" x14ac:dyDescent="0.25">
      <c r="A485" s="294" t="str">
        <f>IF(B485=Reactivos_[[#This Row],[Cantidad LANIP]],"LANIP",IF(B485=Reactivos_[[#This Row],[Cantidad 
LDV]],"LDV",IF(B485=Reactivos_[[#This Row],[Cantidad LNDV]],"LNDV",IF(B485=Reactivos_[[#This Row],[GGCA]],"GGCA",IF(B485=Reactivos_[[#This Row],[Cantidad LDF]],"LDF",IF(Reactivos_[[#This Row],[Cantidad LDF&amp;MR]],"LDF&amp;MR",IF(B485=Reactivos_[[#This Row],[Cantidad RED LASE]],"LASE",IF(B485=Reactivos_[[#This Row],[Cantidad LANIA]],"LANIA",IF(B485=Reactivos_[[#This Row],[Cantidad SPA]],"SPA"," ")))))))))</f>
        <v>LDV</v>
      </c>
      <c r="B48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485" s="325">
        <v>483</v>
      </c>
      <c r="D485" s="326">
        <v>710</v>
      </c>
      <c r="E485" s="327" t="s">
        <v>1408</v>
      </c>
      <c r="F485" s="244"/>
      <c r="G485" s="327"/>
      <c r="H485" s="419" t="s">
        <v>1409</v>
      </c>
      <c r="I485" s="363" t="s">
        <v>1410</v>
      </c>
      <c r="J48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485" s="160">
        <v>3759793</v>
      </c>
      <c r="L485" s="160">
        <f>+Reactivos_[[#This Row],[Cantidad]]*Reactivos_[[#This Row],[Valor de referencia]]</f>
        <v>15039172</v>
      </c>
      <c r="M485" s="254">
        <v>0</v>
      </c>
      <c r="N485" s="255">
        <f>+Reactivos_[[#This Row],[Valor de referencia]]*Reactivos_[[#This Row],[Cantidad LANIP]]</f>
        <v>0</v>
      </c>
      <c r="O485" s="256">
        <v>3</v>
      </c>
      <c r="P485" s="255">
        <f>+Reactivos_[[#This Row],[Cantidad 
LDV]]*Reactivos_[[#This Row],[Valor de referencia]]</f>
        <v>11279379</v>
      </c>
      <c r="Q485" s="257">
        <v>1</v>
      </c>
      <c r="R485" s="255">
        <f>+Reactivos_[[#This Row],[Cantidad LNDV]]*Reactivos_[[#This Row],[Valor de referencia]]</f>
        <v>3759793</v>
      </c>
      <c r="S485" s="148"/>
      <c r="T485" s="255">
        <f>+Reactivos_[[#This Row],[GGCA]]*Reactivos_[[#This Row],[Valor de referencia]]</f>
        <v>0</v>
      </c>
      <c r="U485" s="254"/>
      <c r="V485" s="255">
        <f>+Reactivos_[[#This Row],[Cantidad LDF]]*Reactivos_[[#This Row],[Valor de referencia]]</f>
        <v>0</v>
      </c>
      <c r="W485" s="254"/>
      <c r="X485" s="255">
        <f>+Reactivos_[[#This Row],[Cantidad LDF&amp;MR]]*Reactivos_[[#This Row],[Valor de referencia]]</f>
        <v>0</v>
      </c>
      <c r="Y485" s="254"/>
      <c r="Z485" s="255">
        <f>+Reactivos_[[#This Row],[Cantidad RED LASE]]*Reactivos_[[#This Row],[Valor de referencia]]</f>
        <v>0</v>
      </c>
      <c r="AA485" s="254"/>
      <c r="AB485" s="255">
        <f>+Reactivos_[[#This Row],[Cantidad LANIA]]*Reactivos_[[#This Row],[Valor de referencia]]</f>
        <v>0</v>
      </c>
      <c r="AC485" s="254"/>
      <c r="AD485" s="255">
        <f>+Reactivos_[[#This Row],[Cantidad SPA]]*Reactivos_[[#This Row],[Valor de referencia]]</f>
        <v>0</v>
      </c>
      <c r="AE485" s="148" t="s">
        <v>76</v>
      </c>
      <c r="AF485" s="148" t="s">
        <v>77</v>
      </c>
    </row>
    <row r="486" spans="1:32" ht="51.75" customHeight="1" x14ac:dyDescent="0.25">
      <c r="A486" s="294" t="str">
        <f>IF(B486=Reactivos_[[#This Row],[Cantidad LANIP]],"LANIP",IF(B486=Reactivos_[[#This Row],[Cantidad 
LDV]],"LDV",IF(B486=Reactivos_[[#This Row],[Cantidad LNDV]],"LNDV",IF(B486=Reactivos_[[#This Row],[GGCA]],"GGCA",IF(B486=Reactivos_[[#This Row],[Cantidad LDF]],"LDF",IF(Reactivos_[[#This Row],[Cantidad LDF&amp;MR]],"LDF&amp;MR",IF(B486=Reactivos_[[#This Row],[Cantidad RED LASE]],"LASE",IF(B486=Reactivos_[[#This Row],[Cantidad LANIA]],"LANIA",IF(B486=Reactivos_[[#This Row],[Cantidad SPA]],"SPA"," ")))))))))</f>
        <v>LNDV</v>
      </c>
      <c r="B48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486" s="325">
        <v>484</v>
      </c>
      <c r="D486" s="326">
        <v>711</v>
      </c>
      <c r="E486" s="331" t="s">
        <v>1411</v>
      </c>
      <c r="F486" s="332"/>
      <c r="G486" s="331"/>
      <c r="H486" s="348" t="s">
        <v>1412</v>
      </c>
      <c r="I486" s="363" t="s">
        <v>1410</v>
      </c>
      <c r="J48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486" s="160">
        <v>4545336</v>
      </c>
      <c r="L486" s="160">
        <f>+Reactivos_[[#This Row],[Cantidad]]*Reactivos_[[#This Row],[Valor de referencia]]</f>
        <v>45453360</v>
      </c>
      <c r="M486" s="254">
        <v>0</v>
      </c>
      <c r="N486" s="255">
        <f>+Reactivos_[[#This Row],[Valor de referencia]]*Reactivos_[[#This Row],[Cantidad LANIP]]</f>
        <v>0</v>
      </c>
      <c r="O486" s="256">
        <v>3</v>
      </c>
      <c r="P486" s="255">
        <f>+Reactivos_[[#This Row],[Cantidad 
LDV]]*Reactivos_[[#This Row],[Valor de referencia]]</f>
        <v>13636008</v>
      </c>
      <c r="Q486" s="257">
        <v>7</v>
      </c>
      <c r="R486" s="255">
        <f>+Reactivos_[[#This Row],[Cantidad LNDV]]*Reactivos_[[#This Row],[Valor de referencia]]</f>
        <v>31817352</v>
      </c>
      <c r="S486" s="148"/>
      <c r="T486" s="255">
        <f>+Reactivos_[[#This Row],[GGCA]]*Reactivos_[[#This Row],[Valor de referencia]]</f>
        <v>0</v>
      </c>
      <c r="U486" s="254"/>
      <c r="V486" s="255">
        <f>+Reactivos_[[#This Row],[Cantidad LDF]]*Reactivos_[[#This Row],[Valor de referencia]]</f>
        <v>0</v>
      </c>
      <c r="W486" s="254"/>
      <c r="X486" s="255">
        <f>+Reactivos_[[#This Row],[Cantidad LDF&amp;MR]]*Reactivos_[[#This Row],[Valor de referencia]]</f>
        <v>0</v>
      </c>
      <c r="Y486" s="254"/>
      <c r="Z486" s="255">
        <f>+Reactivos_[[#This Row],[Cantidad RED LASE]]*Reactivos_[[#This Row],[Valor de referencia]]</f>
        <v>0</v>
      </c>
      <c r="AA486" s="254"/>
      <c r="AB486" s="255">
        <f>+Reactivos_[[#This Row],[Cantidad LANIA]]*Reactivos_[[#This Row],[Valor de referencia]]</f>
        <v>0</v>
      </c>
      <c r="AC486" s="254"/>
      <c r="AD486" s="255">
        <f>+Reactivos_[[#This Row],[Cantidad SPA]]*Reactivos_[[#This Row],[Valor de referencia]]</f>
        <v>0</v>
      </c>
      <c r="AE486" s="148" t="s">
        <v>76</v>
      </c>
      <c r="AF486" s="148" t="s">
        <v>77</v>
      </c>
    </row>
    <row r="487" spans="1:32" ht="54.75" customHeight="1" x14ac:dyDescent="0.25">
      <c r="A487" s="294" t="str">
        <f>IF(B487=Reactivos_[[#This Row],[Cantidad LANIP]],"LANIP",IF(B487=Reactivos_[[#This Row],[Cantidad 
LDV]],"LDV",IF(B487=Reactivos_[[#This Row],[Cantidad LNDV]],"LNDV",IF(B487=Reactivos_[[#This Row],[GGCA]],"GGCA",IF(B487=Reactivos_[[#This Row],[Cantidad LDF]],"LDF",IF(Reactivos_[[#This Row],[Cantidad LDF&amp;MR]],"LDF&amp;MR",IF(B487=Reactivos_[[#This Row],[Cantidad RED LASE]],"LASE",IF(B487=Reactivos_[[#This Row],[Cantidad LANIA]],"LANIA",IF(B487=Reactivos_[[#This Row],[Cantidad SPA]],"SPA"," ")))))))))</f>
        <v>LNDV</v>
      </c>
      <c r="B48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487" s="325">
        <v>485</v>
      </c>
      <c r="D487" s="326">
        <v>712</v>
      </c>
      <c r="E487" s="327" t="s">
        <v>1413</v>
      </c>
      <c r="F487" s="244"/>
      <c r="G487" s="327"/>
      <c r="H487" s="348" t="s">
        <v>1414</v>
      </c>
      <c r="I487" s="363" t="s">
        <v>1410</v>
      </c>
      <c r="J48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487" s="160">
        <v>3397379</v>
      </c>
      <c r="L487" s="160">
        <f>+Reactivos_[[#This Row],[Cantidad]]*Reactivos_[[#This Row],[Valor de referencia]]</f>
        <v>33973790</v>
      </c>
      <c r="M487" s="254">
        <v>0</v>
      </c>
      <c r="N487" s="255">
        <f>+Reactivos_[[#This Row],[Valor de referencia]]*Reactivos_[[#This Row],[Cantidad LANIP]]</f>
        <v>0</v>
      </c>
      <c r="O487" s="256">
        <v>3</v>
      </c>
      <c r="P487" s="255">
        <f>+Reactivos_[[#This Row],[Cantidad 
LDV]]*Reactivos_[[#This Row],[Valor de referencia]]</f>
        <v>10192137</v>
      </c>
      <c r="Q487" s="257">
        <v>7</v>
      </c>
      <c r="R487" s="255">
        <f>+Reactivos_[[#This Row],[Cantidad LNDV]]*Reactivos_[[#This Row],[Valor de referencia]]</f>
        <v>23781653</v>
      </c>
      <c r="S487" s="148"/>
      <c r="T487" s="255">
        <f>+Reactivos_[[#This Row],[GGCA]]*Reactivos_[[#This Row],[Valor de referencia]]</f>
        <v>0</v>
      </c>
      <c r="U487" s="254"/>
      <c r="V487" s="255">
        <f>+Reactivos_[[#This Row],[Cantidad LDF]]*Reactivos_[[#This Row],[Valor de referencia]]</f>
        <v>0</v>
      </c>
      <c r="W487" s="254"/>
      <c r="X487" s="255">
        <f>+Reactivos_[[#This Row],[Cantidad LDF&amp;MR]]*Reactivos_[[#This Row],[Valor de referencia]]</f>
        <v>0</v>
      </c>
      <c r="Y487" s="254"/>
      <c r="Z487" s="255">
        <f>+Reactivos_[[#This Row],[Cantidad RED LASE]]*Reactivos_[[#This Row],[Valor de referencia]]</f>
        <v>0</v>
      </c>
      <c r="AA487" s="254"/>
      <c r="AB487" s="255">
        <f>+Reactivos_[[#This Row],[Cantidad LANIA]]*Reactivos_[[#This Row],[Valor de referencia]]</f>
        <v>0</v>
      </c>
      <c r="AC487" s="254"/>
      <c r="AD487" s="255">
        <f>+Reactivos_[[#This Row],[Cantidad SPA]]*Reactivos_[[#This Row],[Valor de referencia]]</f>
        <v>0</v>
      </c>
      <c r="AE487" s="148" t="s">
        <v>76</v>
      </c>
      <c r="AF487" s="148" t="s">
        <v>77</v>
      </c>
    </row>
    <row r="488" spans="1:32" ht="36.75" customHeight="1" x14ac:dyDescent="0.25">
      <c r="A488" s="294" t="str">
        <f>IF(B488=Reactivos_[[#This Row],[Cantidad LANIP]],"LANIP",IF(B488=Reactivos_[[#This Row],[Cantidad 
LDV]],"LDV",IF(B488=Reactivos_[[#This Row],[Cantidad LNDV]],"LNDV",IF(B488=Reactivos_[[#This Row],[GGCA]],"GGCA",IF(B488=Reactivos_[[#This Row],[Cantidad LDF]],"LDF",IF(Reactivos_[[#This Row],[Cantidad LDF&amp;MR]],"LDF&amp;MR",IF(B488=Reactivos_[[#This Row],[Cantidad RED LASE]],"LASE",IF(B488=Reactivos_[[#This Row],[Cantidad LANIA]],"LANIA",IF(B488=Reactivos_[[#This Row],[Cantidad SPA]],"SPA"," ")))))))))</f>
        <v>LDV</v>
      </c>
      <c r="B48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488" s="325">
        <v>486</v>
      </c>
      <c r="D488" s="326">
        <v>713</v>
      </c>
      <c r="E488" s="327" t="s">
        <v>1415</v>
      </c>
      <c r="F488" s="244"/>
      <c r="G488" s="327"/>
      <c r="H488" s="348" t="s">
        <v>1416</v>
      </c>
      <c r="I488" s="329" t="s">
        <v>1417</v>
      </c>
      <c r="J48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K488" s="160">
        <v>1432138</v>
      </c>
      <c r="L488" s="160">
        <f>+Reactivos_[[#This Row],[Cantidad]]*Reactivos_[[#This Row],[Valor de referencia]]</f>
        <v>28642760</v>
      </c>
      <c r="M488" s="254">
        <v>0</v>
      </c>
      <c r="N488" s="255">
        <f>+Reactivos_[[#This Row],[Valor de referencia]]*Reactivos_[[#This Row],[Cantidad LANIP]]</f>
        <v>0</v>
      </c>
      <c r="O488" s="256">
        <v>20</v>
      </c>
      <c r="P488" s="255">
        <f>+Reactivos_[[#This Row],[Cantidad 
LDV]]*Reactivos_[[#This Row],[Valor de referencia]]</f>
        <v>28642760</v>
      </c>
      <c r="Q488" s="257"/>
      <c r="R488" s="255">
        <f>+Reactivos_[[#This Row],[Cantidad LNDV]]*Reactivos_[[#This Row],[Valor de referencia]]</f>
        <v>0</v>
      </c>
      <c r="S488" s="148"/>
      <c r="T488" s="255">
        <f>+Reactivos_[[#This Row],[GGCA]]*Reactivos_[[#This Row],[Valor de referencia]]</f>
        <v>0</v>
      </c>
      <c r="U488" s="254"/>
      <c r="V488" s="255">
        <f>+Reactivos_[[#This Row],[Cantidad LDF]]*Reactivos_[[#This Row],[Valor de referencia]]</f>
        <v>0</v>
      </c>
      <c r="W488" s="254"/>
      <c r="X488" s="255">
        <f>+Reactivos_[[#This Row],[Cantidad LDF&amp;MR]]*Reactivos_[[#This Row],[Valor de referencia]]</f>
        <v>0</v>
      </c>
      <c r="Y488" s="254"/>
      <c r="Z488" s="255">
        <f>+Reactivos_[[#This Row],[Cantidad RED LASE]]*Reactivos_[[#This Row],[Valor de referencia]]</f>
        <v>0</v>
      </c>
      <c r="AA488" s="254"/>
      <c r="AB488" s="255">
        <f>+Reactivos_[[#This Row],[Cantidad LANIA]]*Reactivos_[[#This Row],[Valor de referencia]]</f>
        <v>0</v>
      </c>
      <c r="AC488" s="254"/>
      <c r="AD488" s="255">
        <f>+Reactivos_[[#This Row],[Cantidad SPA]]*Reactivos_[[#This Row],[Valor de referencia]]</f>
        <v>0</v>
      </c>
      <c r="AE488" s="148" t="s">
        <v>76</v>
      </c>
      <c r="AF488" s="148" t="s">
        <v>77</v>
      </c>
    </row>
    <row r="489" spans="1:32" ht="35.25" customHeight="1" x14ac:dyDescent="0.25">
      <c r="A489" s="294" t="str">
        <f>IF(B489=Reactivos_[[#This Row],[Cantidad LANIP]],"LANIP",IF(B489=Reactivos_[[#This Row],[Cantidad 
LDV]],"LDV",IF(B489=Reactivos_[[#This Row],[Cantidad LNDV]],"LNDV",IF(B489=Reactivos_[[#This Row],[GGCA]],"GGCA",IF(B489=Reactivos_[[#This Row],[Cantidad LDF]],"LDF",IF(Reactivos_[[#This Row],[Cantidad LDF&amp;MR]],"LDF&amp;MR",IF(B489=Reactivos_[[#This Row],[Cantidad RED LASE]],"LASE",IF(B489=Reactivos_[[#This Row],[Cantidad LANIA]],"LANIA",IF(B489=Reactivos_[[#This Row],[Cantidad SPA]],"SPA"," ")))))))))</f>
        <v>LNDV</v>
      </c>
      <c r="B48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89" s="325">
        <v>487</v>
      </c>
      <c r="D489" s="326">
        <v>714</v>
      </c>
      <c r="E489" s="331" t="s">
        <v>1418</v>
      </c>
      <c r="F489" s="332"/>
      <c r="G489" s="331"/>
      <c r="H489" s="372" t="s">
        <v>1419</v>
      </c>
      <c r="I489" s="334" t="s">
        <v>1391</v>
      </c>
      <c r="J48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89" s="160">
        <v>910218</v>
      </c>
      <c r="L489" s="160">
        <f>+Reactivos_[[#This Row],[Cantidad]]*Reactivos_[[#This Row],[Valor de referencia]]</f>
        <v>1820436</v>
      </c>
      <c r="M489" s="254">
        <v>0</v>
      </c>
      <c r="N489" s="255">
        <f>+Reactivos_[[#This Row],[Valor de referencia]]*Reactivos_[[#This Row],[Cantidad LANIP]]</f>
        <v>0</v>
      </c>
      <c r="O489" s="256">
        <v>0</v>
      </c>
      <c r="P489" s="255">
        <f>+Reactivos_[[#This Row],[Cantidad 
LDV]]*Reactivos_[[#This Row],[Valor de referencia]]</f>
        <v>0</v>
      </c>
      <c r="Q489" s="257">
        <v>2</v>
      </c>
      <c r="R489" s="255">
        <f>+Reactivos_[[#This Row],[Cantidad LNDV]]*Reactivos_[[#This Row],[Valor de referencia]]</f>
        <v>1820436</v>
      </c>
      <c r="S489" s="148"/>
      <c r="T489" s="255">
        <f>+Reactivos_[[#This Row],[GGCA]]*Reactivos_[[#This Row],[Valor de referencia]]</f>
        <v>0</v>
      </c>
      <c r="U489" s="254"/>
      <c r="V489" s="255">
        <f>+Reactivos_[[#This Row],[Cantidad LDF]]*Reactivos_[[#This Row],[Valor de referencia]]</f>
        <v>0</v>
      </c>
      <c r="W489" s="254"/>
      <c r="X489" s="255">
        <f>+Reactivos_[[#This Row],[Cantidad LDF&amp;MR]]*Reactivos_[[#This Row],[Valor de referencia]]</f>
        <v>0</v>
      </c>
      <c r="Y489" s="254"/>
      <c r="Z489" s="255">
        <f>+Reactivos_[[#This Row],[Cantidad RED LASE]]*Reactivos_[[#This Row],[Valor de referencia]]</f>
        <v>0</v>
      </c>
      <c r="AA489" s="254"/>
      <c r="AB489" s="255">
        <f>+Reactivos_[[#This Row],[Cantidad LANIA]]*Reactivos_[[#This Row],[Valor de referencia]]</f>
        <v>0</v>
      </c>
      <c r="AC489" s="254"/>
      <c r="AD489" s="255">
        <f>+Reactivos_[[#This Row],[Cantidad SPA]]*Reactivos_[[#This Row],[Valor de referencia]]</f>
        <v>0</v>
      </c>
      <c r="AE489" s="148" t="s">
        <v>76</v>
      </c>
      <c r="AF489" s="148" t="s">
        <v>77</v>
      </c>
    </row>
    <row r="490" spans="1:32" ht="33.75" customHeight="1" x14ac:dyDescent="0.25">
      <c r="A490" s="294" t="str">
        <f>IF(B490=Reactivos_[[#This Row],[Cantidad LANIP]],"LANIP",IF(B490=Reactivos_[[#This Row],[Cantidad 
LDV]],"LDV",IF(B490=Reactivos_[[#This Row],[Cantidad LNDV]],"LNDV",IF(B490=Reactivos_[[#This Row],[GGCA]],"GGCA",IF(B490=Reactivos_[[#This Row],[Cantidad LDF]],"LDF",IF(Reactivos_[[#This Row],[Cantidad LDF&amp;MR]],"LDF&amp;MR",IF(B490=Reactivos_[[#This Row],[Cantidad RED LASE]],"LASE",IF(B490=Reactivos_[[#This Row],[Cantidad LANIA]],"LANIA",IF(B490=Reactivos_[[#This Row],[Cantidad SPA]],"SPA"," ")))))))))</f>
        <v>LNDV</v>
      </c>
      <c r="B49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90" s="325">
        <v>488</v>
      </c>
      <c r="D490" s="326">
        <v>716</v>
      </c>
      <c r="E490" s="327" t="s">
        <v>1420</v>
      </c>
      <c r="F490" s="244"/>
      <c r="G490" s="327"/>
      <c r="H490" s="328" t="s">
        <v>1421</v>
      </c>
      <c r="I490" s="347" t="s">
        <v>1394</v>
      </c>
      <c r="J49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90" s="160">
        <v>4478667</v>
      </c>
      <c r="L490" s="160">
        <f>+Reactivos_[[#This Row],[Cantidad]]*Reactivos_[[#This Row],[Valor de referencia]]</f>
        <v>8957334</v>
      </c>
      <c r="M490" s="254">
        <v>0</v>
      </c>
      <c r="N490" s="255">
        <f>+Reactivos_[[#This Row],[Valor de referencia]]*Reactivos_[[#This Row],[Cantidad LANIP]]</f>
        <v>0</v>
      </c>
      <c r="O490" s="256"/>
      <c r="P490" s="255">
        <f>+Reactivos_[[#This Row],[Cantidad 
LDV]]*Reactivos_[[#This Row],[Valor de referencia]]</f>
        <v>0</v>
      </c>
      <c r="Q490" s="257">
        <v>2</v>
      </c>
      <c r="R490" s="255">
        <f>+Reactivos_[[#This Row],[Cantidad LNDV]]*Reactivos_[[#This Row],[Valor de referencia]]</f>
        <v>8957334</v>
      </c>
      <c r="S490" s="148"/>
      <c r="T490" s="255">
        <f>+Reactivos_[[#This Row],[GGCA]]*Reactivos_[[#This Row],[Valor de referencia]]</f>
        <v>0</v>
      </c>
      <c r="U490" s="254"/>
      <c r="V490" s="255">
        <f>+Reactivos_[[#This Row],[Cantidad LDF]]*Reactivos_[[#This Row],[Valor de referencia]]</f>
        <v>0</v>
      </c>
      <c r="W490" s="254"/>
      <c r="X490" s="255">
        <f>+Reactivos_[[#This Row],[Cantidad LDF&amp;MR]]*Reactivos_[[#This Row],[Valor de referencia]]</f>
        <v>0</v>
      </c>
      <c r="Y490" s="254"/>
      <c r="Z490" s="255">
        <f>+Reactivos_[[#This Row],[Cantidad RED LASE]]*Reactivos_[[#This Row],[Valor de referencia]]</f>
        <v>0</v>
      </c>
      <c r="AA490" s="254"/>
      <c r="AB490" s="255">
        <f>+Reactivos_[[#This Row],[Cantidad LANIA]]*Reactivos_[[#This Row],[Valor de referencia]]</f>
        <v>0</v>
      </c>
      <c r="AC490" s="254"/>
      <c r="AD490" s="255">
        <f>+Reactivos_[[#This Row],[Cantidad SPA]]*Reactivos_[[#This Row],[Valor de referencia]]</f>
        <v>0</v>
      </c>
      <c r="AE490" s="148" t="s">
        <v>76</v>
      </c>
      <c r="AF490" s="148" t="s">
        <v>77</v>
      </c>
    </row>
    <row r="491" spans="1:32" ht="33.75" customHeight="1" x14ac:dyDescent="0.25">
      <c r="A491" s="294" t="str">
        <f>IF(B491=Reactivos_[[#This Row],[Cantidad LANIP]],"LANIP",IF(B491=Reactivos_[[#This Row],[Cantidad 
LDV]],"LDV",IF(B491=Reactivos_[[#This Row],[Cantidad LNDV]],"LNDV",IF(B491=Reactivos_[[#This Row],[GGCA]],"GGCA",IF(B491=Reactivos_[[#This Row],[Cantidad LDF]],"LDF",IF(Reactivos_[[#This Row],[Cantidad LDF&amp;MR]],"LDF&amp;MR",IF(B491=Reactivos_[[#This Row],[Cantidad RED LASE]],"LASE",IF(B491=Reactivos_[[#This Row],[Cantidad LANIA]],"LANIA",IF(B491=Reactivos_[[#This Row],[Cantidad SPA]],"SPA"," ")))))))))</f>
        <v>LDV</v>
      </c>
      <c r="B49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491" s="325">
        <v>489</v>
      </c>
      <c r="D491" s="326">
        <v>717</v>
      </c>
      <c r="E491" s="327" t="s">
        <v>1422</v>
      </c>
      <c r="F491" s="244"/>
      <c r="G491" s="327"/>
      <c r="H491" s="328" t="s">
        <v>1423</v>
      </c>
      <c r="I491" s="363" t="s">
        <v>1407</v>
      </c>
      <c r="J49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K491" s="160">
        <v>2589254</v>
      </c>
      <c r="L491" s="160">
        <f>+Reactivos_[[#This Row],[Cantidad]]*Reactivos_[[#This Row],[Valor de referencia]]</f>
        <v>31071048</v>
      </c>
      <c r="M491" s="254">
        <v>0</v>
      </c>
      <c r="N491" s="255">
        <f>+Reactivos_[[#This Row],[Valor de referencia]]*Reactivos_[[#This Row],[Cantidad LANIP]]</f>
        <v>0</v>
      </c>
      <c r="O491" s="256">
        <v>5</v>
      </c>
      <c r="P491" s="255">
        <f>+Reactivos_[[#This Row],[Cantidad 
LDV]]*Reactivos_[[#This Row],[Valor de referencia]]</f>
        <v>12946270</v>
      </c>
      <c r="Q491" s="257"/>
      <c r="R491" s="255">
        <f>+Reactivos_[[#This Row],[Cantidad LNDV]]*Reactivos_[[#This Row],[Valor de referencia]]</f>
        <v>0</v>
      </c>
      <c r="S491" s="148"/>
      <c r="T491" s="255">
        <f>+Reactivos_[[#This Row],[GGCA]]*Reactivos_[[#This Row],[Valor de referencia]]</f>
        <v>0</v>
      </c>
      <c r="U491" s="254">
        <v>3</v>
      </c>
      <c r="V491" s="255">
        <f>+Reactivos_[[#This Row],[Cantidad LDF]]*Reactivos_[[#This Row],[Valor de referencia]]</f>
        <v>7767762</v>
      </c>
      <c r="W491" s="254">
        <v>4</v>
      </c>
      <c r="X491" s="255">
        <f>+Reactivos_[[#This Row],[Cantidad LDF&amp;MR]]*Reactivos_[[#This Row],[Valor de referencia]]</f>
        <v>10357016</v>
      </c>
      <c r="Y491" s="254"/>
      <c r="Z491" s="255">
        <f>+Reactivos_[[#This Row],[Cantidad RED LASE]]*Reactivos_[[#This Row],[Valor de referencia]]</f>
        <v>0</v>
      </c>
      <c r="AA491" s="254"/>
      <c r="AB491" s="255">
        <f>+Reactivos_[[#This Row],[Cantidad LANIA]]*Reactivos_[[#This Row],[Valor de referencia]]</f>
        <v>0</v>
      </c>
      <c r="AC491" s="254"/>
      <c r="AD491" s="255">
        <f>+Reactivos_[[#This Row],[Cantidad SPA]]*Reactivos_[[#This Row],[Valor de referencia]]</f>
        <v>0</v>
      </c>
      <c r="AE491" s="148" t="s">
        <v>76</v>
      </c>
      <c r="AF491" s="148" t="s">
        <v>77</v>
      </c>
    </row>
    <row r="492" spans="1:32" ht="39.75" customHeight="1" x14ac:dyDescent="0.25">
      <c r="A492" s="294" t="str">
        <f>IF(B492=Reactivos_[[#This Row],[Cantidad LANIP]],"LANIP",IF(B492=Reactivos_[[#This Row],[Cantidad 
LDV]],"LDV",IF(B492=Reactivos_[[#This Row],[Cantidad LNDV]],"LNDV",IF(B492=Reactivos_[[#This Row],[GGCA]],"GGCA",IF(B492=Reactivos_[[#This Row],[Cantidad LDF]],"LDF",IF(Reactivos_[[#This Row],[Cantidad LDF&amp;MR]],"LDF&amp;MR",IF(B492=Reactivos_[[#This Row],[Cantidad RED LASE]],"LASE",IF(B492=Reactivos_[[#This Row],[Cantidad LANIA]],"LANIA",IF(B492=Reactivos_[[#This Row],[Cantidad SPA]],"SPA"," ")))))))))</f>
        <v>LNDV</v>
      </c>
      <c r="B49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92" s="325">
        <v>490</v>
      </c>
      <c r="D492" s="326">
        <v>718</v>
      </c>
      <c r="E492" s="327" t="s">
        <v>1424</v>
      </c>
      <c r="F492" s="244"/>
      <c r="G492" s="327"/>
      <c r="H492" s="348" t="s">
        <v>1425</v>
      </c>
      <c r="I492" s="329" t="s">
        <v>162</v>
      </c>
      <c r="J49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92" s="160">
        <v>1088068</v>
      </c>
      <c r="L492" s="160">
        <f>+Reactivos_[[#This Row],[Cantidad]]*Reactivos_[[#This Row],[Valor de referencia]]</f>
        <v>1088068</v>
      </c>
      <c r="M492" s="254">
        <v>0</v>
      </c>
      <c r="N492" s="255">
        <f>+Reactivos_[[#This Row],[Valor de referencia]]*Reactivos_[[#This Row],[Cantidad LANIP]]</f>
        <v>0</v>
      </c>
      <c r="O492" s="256"/>
      <c r="P492" s="255">
        <f>+Reactivos_[[#This Row],[Cantidad 
LDV]]*Reactivos_[[#This Row],[Valor de referencia]]</f>
        <v>0</v>
      </c>
      <c r="Q492" s="257">
        <v>1</v>
      </c>
      <c r="R492" s="255">
        <f>+Reactivos_[[#This Row],[Cantidad LNDV]]*Reactivos_[[#This Row],[Valor de referencia]]</f>
        <v>1088068</v>
      </c>
      <c r="S492" s="148"/>
      <c r="T492" s="255">
        <f>+Reactivos_[[#This Row],[GGCA]]*Reactivos_[[#This Row],[Valor de referencia]]</f>
        <v>0</v>
      </c>
      <c r="U492" s="254"/>
      <c r="V492" s="255">
        <f>+Reactivos_[[#This Row],[Cantidad LDF]]*Reactivos_[[#This Row],[Valor de referencia]]</f>
        <v>0</v>
      </c>
      <c r="W492" s="254"/>
      <c r="X492" s="255">
        <f>+Reactivos_[[#This Row],[Cantidad LDF&amp;MR]]*Reactivos_[[#This Row],[Valor de referencia]]</f>
        <v>0</v>
      </c>
      <c r="Y492" s="254"/>
      <c r="Z492" s="255">
        <f>+Reactivos_[[#This Row],[Cantidad RED LASE]]*Reactivos_[[#This Row],[Valor de referencia]]</f>
        <v>0</v>
      </c>
      <c r="AA492" s="254"/>
      <c r="AB492" s="255">
        <f>+Reactivos_[[#This Row],[Cantidad LANIA]]*Reactivos_[[#This Row],[Valor de referencia]]</f>
        <v>0</v>
      </c>
      <c r="AC492" s="254"/>
      <c r="AD492" s="255">
        <f>+Reactivos_[[#This Row],[Cantidad SPA]]*Reactivos_[[#This Row],[Valor de referencia]]</f>
        <v>0</v>
      </c>
      <c r="AE492" s="148" t="s">
        <v>76</v>
      </c>
      <c r="AF492" s="148" t="s">
        <v>77</v>
      </c>
    </row>
    <row r="493" spans="1:32" ht="35.25" customHeight="1" x14ac:dyDescent="0.25">
      <c r="A493" s="294" t="str">
        <f>IF(B493=Reactivos_[[#This Row],[Cantidad LANIP]],"LANIP",IF(B493=Reactivos_[[#This Row],[Cantidad 
LDV]],"LDV",IF(B493=Reactivos_[[#This Row],[Cantidad LNDV]],"LNDV",IF(B493=Reactivos_[[#This Row],[GGCA]],"GGCA",IF(B493=Reactivos_[[#This Row],[Cantidad LDF]],"LDF",IF(Reactivos_[[#This Row],[Cantidad LDF&amp;MR]],"LDF&amp;MR",IF(B493=Reactivos_[[#This Row],[Cantidad RED LASE]],"LASE",IF(B493=Reactivos_[[#This Row],[Cantidad LANIA]],"LANIA",IF(B493=Reactivos_[[#This Row],[Cantidad SPA]],"SPA"," ")))))))))</f>
        <v>LDV</v>
      </c>
      <c r="B49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93" s="325">
        <v>491</v>
      </c>
      <c r="D493" s="326">
        <v>720</v>
      </c>
      <c r="E493" s="331" t="s">
        <v>1426</v>
      </c>
      <c r="F493" s="332"/>
      <c r="G493" s="331"/>
      <c r="H493" s="328" t="s">
        <v>1427</v>
      </c>
      <c r="I493" s="334" t="s">
        <v>1428</v>
      </c>
      <c r="J49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493" s="160">
        <v>3544241</v>
      </c>
      <c r="L493" s="160">
        <f>+Reactivos_[[#This Row],[Cantidad]]*Reactivos_[[#This Row],[Valor de referencia]]</f>
        <v>10632723</v>
      </c>
      <c r="M493" s="254">
        <v>0</v>
      </c>
      <c r="N493" s="255">
        <f>+Reactivos_[[#This Row],[Valor de referencia]]*Reactivos_[[#This Row],[Cantidad LANIP]]</f>
        <v>0</v>
      </c>
      <c r="O493" s="256">
        <v>2</v>
      </c>
      <c r="P493" s="255">
        <f>+Reactivos_[[#This Row],[Cantidad 
LDV]]*Reactivos_[[#This Row],[Valor de referencia]]</f>
        <v>7088482</v>
      </c>
      <c r="Q493" s="257">
        <v>1</v>
      </c>
      <c r="R493" s="255">
        <f>+Reactivos_[[#This Row],[Cantidad LNDV]]*Reactivos_[[#This Row],[Valor de referencia]]</f>
        <v>3544241</v>
      </c>
      <c r="S493" s="148"/>
      <c r="T493" s="255">
        <f>+Reactivos_[[#This Row],[GGCA]]*Reactivos_[[#This Row],[Valor de referencia]]</f>
        <v>0</v>
      </c>
      <c r="U493" s="254"/>
      <c r="V493" s="255">
        <f>+Reactivos_[[#This Row],[Cantidad LDF]]*Reactivos_[[#This Row],[Valor de referencia]]</f>
        <v>0</v>
      </c>
      <c r="W493" s="254"/>
      <c r="X493" s="255">
        <f>+Reactivos_[[#This Row],[Cantidad LDF&amp;MR]]*Reactivos_[[#This Row],[Valor de referencia]]</f>
        <v>0</v>
      </c>
      <c r="Y493" s="254"/>
      <c r="Z493" s="255">
        <f>+Reactivos_[[#This Row],[Cantidad RED LASE]]*Reactivos_[[#This Row],[Valor de referencia]]</f>
        <v>0</v>
      </c>
      <c r="AA493" s="254"/>
      <c r="AB493" s="255">
        <f>+Reactivos_[[#This Row],[Cantidad LANIA]]*Reactivos_[[#This Row],[Valor de referencia]]</f>
        <v>0</v>
      </c>
      <c r="AC493" s="254"/>
      <c r="AD493" s="255">
        <f>+Reactivos_[[#This Row],[Cantidad SPA]]*Reactivos_[[#This Row],[Valor de referencia]]</f>
        <v>0</v>
      </c>
      <c r="AE493" s="148" t="s">
        <v>76</v>
      </c>
      <c r="AF493" s="148" t="s">
        <v>77</v>
      </c>
    </row>
    <row r="494" spans="1:32" ht="31.5" customHeight="1" x14ac:dyDescent="0.25">
      <c r="A494" s="294" t="str">
        <f>IF(B494=Reactivos_[[#This Row],[Cantidad LANIP]],"LANIP",IF(B494=Reactivos_[[#This Row],[Cantidad 
LDV]],"LDV",IF(B494=Reactivos_[[#This Row],[Cantidad LNDV]],"LNDV",IF(B494=Reactivos_[[#This Row],[GGCA]],"GGCA",IF(B494=Reactivos_[[#This Row],[Cantidad LDF]],"LDF",IF(Reactivos_[[#This Row],[Cantidad LDF&amp;MR]],"LDF&amp;MR",IF(B494=Reactivos_[[#This Row],[Cantidad RED LASE]],"LASE",IF(B494=Reactivos_[[#This Row],[Cantidad LANIA]],"LANIA",IF(B494=Reactivos_[[#This Row],[Cantidad SPA]],"SPA"," ")))))))))</f>
        <v>LDV</v>
      </c>
      <c r="B49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94" s="325">
        <v>492</v>
      </c>
      <c r="D494" s="326">
        <v>721</v>
      </c>
      <c r="E494" s="343" t="s">
        <v>1429</v>
      </c>
      <c r="F494" s="351" t="s">
        <v>1430</v>
      </c>
      <c r="G494" s="331"/>
      <c r="H494" s="330" t="s">
        <v>1431</v>
      </c>
      <c r="I494" s="329" t="s">
        <v>1256</v>
      </c>
      <c r="J49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94" s="160">
        <v>1007529</v>
      </c>
      <c r="L494" s="160">
        <f>+Reactivos_[[#This Row],[Cantidad]]*Reactivos_[[#This Row],[Valor de referencia]]</f>
        <v>2015058</v>
      </c>
      <c r="M494" s="254">
        <v>0</v>
      </c>
      <c r="N494" s="255">
        <f>+Reactivos_[[#This Row],[Valor de referencia]]*Reactivos_[[#This Row],[Cantidad LANIP]]</f>
        <v>0</v>
      </c>
      <c r="O494" s="256">
        <v>1</v>
      </c>
      <c r="P494" s="255">
        <f>+Reactivos_[[#This Row],[Cantidad 
LDV]]*Reactivos_[[#This Row],[Valor de referencia]]</f>
        <v>1007529</v>
      </c>
      <c r="Q494" s="257">
        <v>1</v>
      </c>
      <c r="R494" s="255">
        <f>+Reactivos_[[#This Row],[Cantidad LNDV]]*Reactivos_[[#This Row],[Valor de referencia]]</f>
        <v>1007529</v>
      </c>
      <c r="S494" s="148"/>
      <c r="T494" s="255">
        <f>+Reactivos_[[#This Row],[GGCA]]*Reactivos_[[#This Row],[Valor de referencia]]</f>
        <v>0</v>
      </c>
      <c r="U494" s="254"/>
      <c r="V494" s="255">
        <f>+Reactivos_[[#This Row],[Cantidad LDF]]*Reactivos_[[#This Row],[Valor de referencia]]</f>
        <v>0</v>
      </c>
      <c r="W494" s="254"/>
      <c r="X494" s="255">
        <f>+Reactivos_[[#This Row],[Cantidad LDF&amp;MR]]*Reactivos_[[#This Row],[Valor de referencia]]</f>
        <v>0</v>
      </c>
      <c r="Y494" s="254"/>
      <c r="Z494" s="255">
        <f>+Reactivos_[[#This Row],[Cantidad RED LASE]]*Reactivos_[[#This Row],[Valor de referencia]]</f>
        <v>0</v>
      </c>
      <c r="AA494" s="254"/>
      <c r="AB494" s="255">
        <f>+Reactivos_[[#This Row],[Cantidad LANIA]]*Reactivos_[[#This Row],[Valor de referencia]]</f>
        <v>0</v>
      </c>
      <c r="AC494" s="254"/>
      <c r="AD494" s="255">
        <f>+Reactivos_[[#This Row],[Cantidad SPA]]*Reactivos_[[#This Row],[Valor de referencia]]</f>
        <v>0</v>
      </c>
      <c r="AE494" s="148" t="s">
        <v>76</v>
      </c>
      <c r="AF494" s="148" t="s">
        <v>77</v>
      </c>
    </row>
    <row r="495" spans="1:32" ht="31.5" customHeight="1" x14ac:dyDescent="0.25">
      <c r="A495" s="294" t="str">
        <f>IF(B495=Reactivos_[[#This Row],[Cantidad LANIP]],"LANIP",IF(B495=Reactivos_[[#This Row],[Cantidad 
LDV]],"LDV",IF(B495=Reactivos_[[#This Row],[Cantidad LNDV]],"LNDV",IF(B495=Reactivos_[[#This Row],[GGCA]],"GGCA",IF(B495=Reactivos_[[#This Row],[Cantidad LDF]],"LDF",IF(Reactivos_[[#This Row],[Cantidad LDF&amp;MR]],"LDF&amp;MR",IF(B495=Reactivos_[[#This Row],[Cantidad RED LASE]],"LASE",IF(B495=Reactivos_[[#This Row],[Cantidad LANIA]],"LANIA",IF(B495=Reactivos_[[#This Row],[Cantidad SPA]],"SPA"," ")))))))))</f>
        <v>LDV</v>
      </c>
      <c r="B49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95" s="325">
        <v>493</v>
      </c>
      <c r="D495" s="326">
        <v>722</v>
      </c>
      <c r="E495" s="331" t="s">
        <v>1432</v>
      </c>
      <c r="F495" s="351" t="s">
        <v>1433</v>
      </c>
      <c r="G495" s="331"/>
      <c r="H495" s="328" t="s">
        <v>1434</v>
      </c>
      <c r="I495" s="329" t="s">
        <v>184</v>
      </c>
      <c r="J49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95" s="160">
        <v>1353225</v>
      </c>
      <c r="L495" s="160">
        <f>+Reactivos_[[#This Row],[Cantidad]]*Reactivos_[[#This Row],[Valor de referencia]]</f>
        <v>1353225</v>
      </c>
      <c r="M495" s="254">
        <v>0</v>
      </c>
      <c r="N495" s="255">
        <f>+Reactivos_[[#This Row],[Valor de referencia]]*Reactivos_[[#This Row],[Cantidad LANIP]]</f>
        <v>0</v>
      </c>
      <c r="O495" s="256">
        <v>1</v>
      </c>
      <c r="P495" s="255">
        <f>+Reactivos_[[#This Row],[Cantidad 
LDV]]*Reactivos_[[#This Row],[Valor de referencia]]</f>
        <v>1353225</v>
      </c>
      <c r="Q495" s="257"/>
      <c r="R495" s="255">
        <f>+Reactivos_[[#This Row],[Cantidad LNDV]]*Reactivos_[[#This Row],[Valor de referencia]]</f>
        <v>0</v>
      </c>
      <c r="S495" s="148"/>
      <c r="T495" s="255">
        <f>+Reactivos_[[#This Row],[GGCA]]*Reactivos_[[#This Row],[Valor de referencia]]</f>
        <v>0</v>
      </c>
      <c r="U495" s="254"/>
      <c r="V495" s="255">
        <f>+Reactivos_[[#This Row],[Cantidad LDF]]*Reactivos_[[#This Row],[Valor de referencia]]</f>
        <v>0</v>
      </c>
      <c r="W495" s="254"/>
      <c r="X495" s="255">
        <f>+Reactivos_[[#This Row],[Cantidad LDF&amp;MR]]*Reactivos_[[#This Row],[Valor de referencia]]</f>
        <v>0</v>
      </c>
      <c r="Y495" s="254"/>
      <c r="Z495" s="255">
        <f>+Reactivos_[[#This Row],[Cantidad RED LASE]]*Reactivos_[[#This Row],[Valor de referencia]]</f>
        <v>0</v>
      </c>
      <c r="AA495" s="254"/>
      <c r="AB495" s="255">
        <f>+Reactivos_[[#This Row],[Cantidad LANIA]]*Reactivos_[[#This Row],[Valor de referencia]]</f>
        <v>0</v>
      </c>
      <c r="AC495" s="254"/>
      <c r="AD495" s="255">
        <f>+Reactivos_[[#This Row],[Cantidad SPA]]*Reactivos_[[#This Row],[Valor de referencia]]</f>
        <v>0</v>
      </c>
      <c r="AE495" s="148" t="s">
        <v>76</v>
      </c>
      <c r="AF495" s="148" t="s">
        <v>77</v>
      </c>
    </row>
    <row r="496" spans="1:32" ht="35.25" customHeight="1" x14ac:dyDescent="0.25">
      <c r="A496" s="294" t="str">
        <f>IF(B496=Reactivos_[[#This Row],[Cantidad LANIP]],"LANIP",IF(B496=Reactivos_[[#This Row],[Cantidad 
LDV]],"LDV",IF(B496=Reactivos_[[#This Row],[Cantidad LNDV]],"LNDV",IF(B496=Reactivos_[[#This Row],[GGCA]],"GGCA",IF(B496=Reactivos_[[#This Row],[Cantidad LDF]],"LDF",IF(Reactivos_[[#This Row],[Cantidad LDF&amp;MR]],"LDF&amp;MR",IF(B496=Reactivos_[[#This Row],[Cantidad RED LASE]],"LASE",IF(B496=Reactivos_[[#This Row],[Cantidad LANIA]],"LANIA",IF(B496=Reactivos_[[#This Row],[Cantidad SPA]],"SPA"," ")))))))))</f>
        <v>LDV</v>
      </c>
      <c r="B49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96" s="325">
        <v>494</v>
      </c>
      <c r="D496" s="326">
        <v>723</v>
      </c>
      <c r="E496" s="331" t="s">
        <v>1435</v>
      </c>
      <c r="F496" s="332"/>
      <c r="G496" s="331"/>
      <c r="H496" s="372" t="s">
        <v>141</v>
      </c>
      <c r="I496" s="334" t="s">
        <v>184</v>
      </c>
      <c r="J49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96" s="160">
        <v>4374010</v>
      </c>
      <c r="L496" s="160">
        <f>+Reactivos_[[#This Row],[Cantidad]]*Reactivos_[[#This Row],[Valor de referencia]]</f>
        <v>4374010</v>
      </c>
      <c r="M496" s="254">
        <v>0</v>
      </c>
      <c r="N496" s="255">
        <f>+Reactivos_[[#This Row],[Valor de referencia]]*Reactivos_[[#This Row],[Cantidad LANIP]]</f>
        <v>0</v>
      </c>
      <c r="O496" s="256">
        <v>1</v>
      </c>
      <c r="P496" s="255">
        <f>+Reactivos_[[#This Row],[Cantidad 
LDV]]*Reactivos_[[#This Row],[Valor de referencia]]</f>
        <v>4374010</v>
      </c>
      <c r="Q496" s="257"/>
      <c r="R496" s="255">
        <f>+Reactivos_[[#This Row],[Cantidad LNDV]]*Reactivos_[[#This Row],[Valor de referencia]]</f>
        <v>0</v>
      </c>
      <c r="S496" s="148"/>
      <c r="T496" s="255">
        <f>+Reactivos_[[#This Row],[GGCA]]*Reactivos_[[#This Row],[Valor de referencia]]</f>
        <v>0</v>
      </c>
      <c r="U496" s="254"/>
      <c r="V496" s="255">
        <f>+Reactivos_[[#This Row],[Cantidad LDF]]*Reactivos_[[#This Row],[Valor de referencia]]</f>
        <v>0</v>
      </c>
      <c r="W496" s="254"/>
      <c r="X496" s="255">
        <f>+Reactivos_[[#This Row],[Cantidad LDF&amp;MR]]*Reactivos_[[#This Row],[Valor de referencia]]</f>
        <v>0</v>
      </c>
      <c r="Y496" s="254"/>
      <c r="Z496" s="255">
        <f>+Reactivos_[[#This Row],[Cantidad RED LASE]]*Reactivos_[[#This Row],[Valor de referencia]]</f>
        <v>0</v>
      </c>
      <c r="AA496" s="254"/>
      <c r="AB496" s="255">
        <f>+Reactivos_[[#This Row],[Cantidad LANIA]]*Reactivos_[[#This Row],[Valor de referencia]]</f>
        <v>0</v>
      </c>
      <c r="AC496" s="254"/>
      <c r="AD496" s="255">
        <f>+Reactivos_[[#This Row],[Cantidad SPA]]*Reactivos_[[#This Row],[Valor de referencia]]</f>
        <v>0</v>
      </c>
      <c r="AE496" s="148" t="s">
        <v>76</v>
      </c>
      <c r="AF496" s="148" t="s">
        <v>77</v>
      </c>
    </row>
    <row r="497" spans="1:32" ht="33" customHeight="1" x14ac:dyDescent="0.2">
      <c r="A497" s="294" t="str">
        <f>IF(B497=Reactivos_[[#This Row],[Cantidad LANIP]],"LANIP",IF(B497=Reactivos_[[#This Row],[Cantidad 
LDV]],"LDV",IF(B497=Reactivos_[[#This Row],[Cantidad LNDV]],"LNDV",IF(B497=Reactivos_[[#This Row],[GGCA]],"GGCA",IF(B497=Reactivos_[[#This Row],[Cantidad LDF]],"LDF",IF(Reactivos_[[#This Row],[Cantidad LDF&amp;MR]],"LDF&amp;MR",IF(B497=Reactivos_[[#This Row],[Cantidad RED LASE]],"LASE",IF(B497=Reactivos_[[#This Row],[Cantidad LANIA]],"LANIA",IF(B497=Reactivos_[[#This Row],[Cantidad SPA]],"SPA"," ")))))))))</f>
        <v>LDV</v>
      </c>
      <c r="B49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97" s="325">
        <v>495</v>
      </c>
      <c r="D497" s="326">
        <v>724</v>
      </c>
      <c r="E497" s="331" t="s">
        <v>1436</v>
      </c>
      <c r="F497" s="332"/>
      <c r="G497" s="331"/>
      <c r="H497" s="373" t="s">
        <v>141</v>
      </c>
      <c r="I497" s="347" t="s">
        <v>162</v>
      </c>
      <c r="J49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97" s="160">
        <v>503954</v>
      </c>
      <c r="L497" s="160">
        <f>+Reactivos_[[#This Row],[Cantidad]]*Reactivos_[[#This Row],[Valor de referencia]]</f>
        <v>503954</v>
      </c>
      <c r="M497" s="254">
        <v>0</v>
      </c>
      <c r="N497" s="255">
        <f>+Reactivos_[[#This Row],[Valor de referencia]]*Reactivos_[[#This Row],[Cantidad LANIP]]</f>
        <v>0</v>
      </c>
      <c r="O497" s="256">
        <v>1</v>
      </c>
      <c r="P497" s="255">
        <f>+Reactivos_[[#This Row],[Cantidad 
LDV]]*Reactivos_[[#This Row],[Valor de referencia]]</f>
        <v>503954</v>
      </c>
      <c r="Q497" s="257"/>
      <c r="R497" s="255">
        <f>+Reactivos_[[#This Row],[Cantidad LNDV]]*Reactivos_[[#This Row],[Valor de referencia]]</f>
        <v>0</v>
      </c>
      <c r="S497" s="148"/>
      <c r="T497" s="255">
        <f>+Reactivos_[[#This Row],[GGCA]]*Reactivos_[[#This Row],[Valor de referencia]]</f>
        <v>0</v>
      </c>
      <c r="U497" s="254"/>
      <c r="V497" s="255">
        <f>+Reactivos_[[#This Row],[Cantidad LDF]]*Reactivos_[[#This Row],[Valor de referencia]]</f>
        <v>0</v>
      </c>
      <c r="W497" s="254"/>
      <c r="X497" s="255">
        <f>+Reactivos_[[#This Row],[Cantidad LDF&amp;MR]]*Reactivos_[[#This Row],[Valor de referencia]]</f>
        <v>0</v>
      </c>
      <c r="Y497" s="254"/>
      <c r="Z497" s="255">
        <f>+Reactivos_[[#This Row],[Cantidad RED LASE]]*Reactivos_[[#This Row],[Valor de referencia]]</f>
        <v>0</v>
      </c>
      <c r="AA497" s="254"/>
      <c r="AB497" s="255">
        <f>+Reactivos_[[#This Row],[Cantidad LANIA]]*Reactivos_[[#This Row],[Valor de referencia]]</f>
        <v>0</v>
      </c>
      <c r="AC497" s="254"/>
      <c r="AD497" s="255">
        <f>+Reactivos_[[#This Row],[Cantidad SPA]]*Reactivos_[[#This Row],[Valor de referencia]]</f>
        <v>0</v>
      </c>
      <c r="AE497" s="148" t="s">
        <v>76</v>
      </c>
      <c r="AF497" s="148" t="s">
        <v>77</v>
      </c>
    </row>
    <row r="498" spans="1:32" ht="33" customHeight="1" x14ac:dyDescent="0.2">
      <c r="A498" s="294" t="str">
        <f>IF(B498=Reactivos_[[#This Row],[Cantidad LANIP]],"LANIP",IF(B498=Reactivos_[[#This Row],[Cantidad 
LDV]],"LDV",IF(B498=Reactivos_[[#This Row],[Cantidad LNDV]],"LNDV",IF(B498=Reactivos_[[#This Row],[GGCA]],"GGCA",IF(B498=Reactivos_[[#This Row],[Cantidad LDF]],"LDF",IF(Reactivos_[[#This Row],[Cantidad LDF&amp;MR]],"LDF&amp;MR",IF(B498=Reactivos_[[#This Row],[Cantidad RED LASE]],"LASE",IF(B498=Reactivos_[[#This Row],[Cantidad LANIA]],"LANIA",IF(B498=Reactivos_[[#This Row],[Cantidad SPA]],"SPA"," ")))))))))</f>
        <v>LDV</v>
      </c>
      <c r="B49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498" s="325">
        <v>496</v>
      </c>
      <c r="D498" s="326">
        <v>725</v>
      </c>
      <c r="E498" s="245" t="s">
        <v>1437</v>
      </c>
      <c r="F498" s="374" t="s">
        <v>1438</v>
      </c>
      <c r="G498" s="245"/>
      <c r="H498" s="330" t="s">
        <v>1439</v>
      </c>
      <c r="I498" s="336" t="s">
        <v>802</v>
      </c>
      <c r="J49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498" s="160">
        <v>440413</v>
      </c>
      <c r="L498" s="160">
        <f>+Reactivos_[[#This Row],[Cantidad]]*Reactivos_[[#This Row],[Valor de referencia]]</f>
        <v>440413</v>
      </c>
      <c r="M498" s="254">
        <v>0</v>
      </c>
      <c r="N498" s="255">
        <f>+Reactivos_[[#This Row],[Valor de referencia]]*Reactivos_[[#This Row],[Cantidad LANIP]]</f>
        <v>0</v>
      </c>
      <c r="O498" s="256">
        <v>1</v>
      </c>
      <c r="P498" s="255">
        <f>+Reactivos_[[#This Row],[Cantidad 
LDV]]*Reactivos_[[#This Row],[Valor de referencia]]</f>
        <v>440413</v>
      </c>
      <c r="Q498" s="257"/>
      <c r="R498" s="255">
        <f>+Reactivos_[[#This Row],[Cantidad LNDV]]*Reactivos_[[#This Row],[Valor de referencia]]</f>
        <v>0</v>
      </c>
      <c r="S498" s="148"/>
      <c r="T498" s="255">
        <f>+Reactivos_[[#This Row],[GGCA]]*Reactivos_[[#This Row],[Valor de referencia]]</f>
        <v>0</v>
      </c>
      <c r="U498" s="254"/>
      <c r="V498" s="255">
        <f>+Reactivos_[[#This Row],[Cantidad LDF]]*Reactivos_[[#This Row],[Valor de referencia]]</f>
        <v>0</v>
      </c>
      <c r="W498" s="254"/>
      <c r="X498" s="255">
        <f>+Reactivos_[[#This Row],[Cantidad LDF&amp;MR]]*Reactivos_[[#This Row],[Valor de referencia]]</f>
        <v>0</v>
      </c>
      <c r="Y498" s="254"/>
      <c r="Z498" s="255">
        <f>+Reactivos_[[#This Row],[Cantidad RED LASE]]*Reactivos_[[#This Row],[Valor de referencia]]</f>
        <v>0</v>
      </c>
      <c r="AA498" s="254"/>
      <c r="AB498" s="255">
        <f>+Reactivos_[[#This Row],[Cantidad LANIA]]*Reactivos_[[#This Row],[Valor de referencia]]</f>
        <v>0</v>
      </c>
      <c r="AC498" s="254"/>
      <c r="AD498" s="255">
        <f>+Reactivos_[[#This Row],[Cantidad SPA]]*Reactivos_[[#This Row],[Valor de referencia]]</f>
        <v>0</v>
      </c>
      <c r="AE498" s="148" t="s">
        <v>76</v>
      </c>
      <c r="AF498" s="148" t="s">
        <v>77</v>
      </c>
    </row>
    <row r="499" spans="1:32" ht="34.5" customHeight="1" x14ac:dyDescent="0.2">
      <c r="A499" s="294" t="str">
        <f>IF(B499=Reactivos_[[#This Row],[Cantidad LANIP]],"LANIP",IF(B499=Reactivos_[[#This Row],[Cantidad 
LDV]],"LDV",IF(B499=Reactivos_[[#This Row],[Cantidad LNDV]],"LNDV",IF(B499=Reactivos_[[#This Row],[GGCA]],"GGCA",IF(B499=Reactivos_[[#This Row],[Cantidad LDF]],"LDF",IF(Reactivos_[[#This Row],[Cantidad LDF&amp;MR]],"LDF&amp;MR",IF(B499=Reactivos_[[#This Row],[Cantidad RED LASE]],"LASE",IF(B499=Reactivos_[[#This Row],[Cantidad LANIA]],"LANIA",IF(B499=Reactivos_[[#This Row],[Cantidad SPA]],"SPA"," ")))))))))</f>
        <v>LDV</v>
      </c>
      <c r="B49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499" s="325">
        <v>497</v>
      </c>
      <c r="D499" s="326">
        <v>726</v>
      </c>
      <c r="E499" s="331" t="s">
        <v>1440</v>
      </c>
      <c r="F499" s="375"/>
      <c r="G499" s="331"/>
      <c r="H499" s="333" t="s">
        <v>141</v>
      </c>
      <c r="I499" s="408" t="s">
        <v>1441</v>
      </c>
      <c r="J49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499" s="160">
        <v>2413789</v>
      </c>
      <c r="L499" s="160">
        <f>+Reactivos_[[#This Row],[Cantidad]]*Reactivos_[[#This Row],[Valor de referencia]]</f>
        <v>4827578</v>
      </c>
      <c r="M499" s="254">
        <v>0</v>
      </c>
      <c r="N499" s="255">
        <f>+Reactivos_[[#This Row],[Valor de referencia]]*Reactivos_[[#This Row],[Cantidad LANIP]]</f>
        <v>0</v>
      </c>
      <c r="O499" s="256">
        <v>2</v>
      </c>
      <c r="P499" s="255">
        <f>+Reactivos_[[#This Row],[Cantidad 
LDV]]*Reactivos_[[#This Row],[Valor de referencia]]</f>
        <v>4827578</v>
      </c>
      <c r="Q499" s="257"/>
      <c r="R499" s="255">
        <f>+Reactivos_[[#This Row],[Cantidad LNDV]]*Reactivos_[[#This Row],[Valor de referencia]]</f>
        <v>0</v>
      </c>
      <c r="S499" s="148"/>
      <c r="T499" s="255">
        <f>+Reactivos_[[#This Row],[GGCA]]*Reactivos_[[#This Row],[Valor de referencia]]</f>
        <v>0</v>
      </c>
      <c r="U499" s="254"/>
      <c r="V499" s="255">
        <f>+Reactivos_[[#This Row],[Cantidad LDF]]*Reactivos_[[#This Row],[Valor de referencia]]</f>
        <v>0</v>
      </c>
      <c r="W499" s="254"/>
      <c r="X499" s="255">
        <f>+Reactivos_[[#This Row],[Cantidad LDF&amp;MR]]*Reactivos_[[#This Row],[Valor de referencia]]</f>
        <v>0</v>
      </c>
      <c r="Y499" s="254"/>
      <c r="Z499" s="255">
        <f>+Reactivos_[[#This Row],[Cantidad RED LASE]]*Reactivos_[[#This Row],[Valor de referencia]]</f>
        <v>0</v>
      </c>
      <c r="AA499" s="254"/>
      <c r="AB499" s="255">
        <f>+Reactivos_[[#This Row],[Cantidad LANIA]]*Reactivos_[[#This Row],[Valor de referencia]]</f>
        <v>0</v>
      </c>
      <c r="AC499" s="254"/>
      <c r="AD499" s="255">
        <f>+Reactivos_[[#This Row],[Cantidad SPA]]*Reactivos_[[#This Row],[Valor de referencia]]</f>
        <v>0</v>
      </c>
      <c r="AE499" s="148" t="s">
        <v>76</v>
      </c>
      <c r="AF499" s="148" t="s">
        <v>77</v>
      </c>
    </row>
    <row r="500" spans="1:32" ht="35.25" customHeight="1" x14ac:dyDescent="0.25">
      <c r="A500" s="294" t="str">
        <f>IF(B500=Reactivos_[[#This Row],[Cantidad LANIP]],"LANIP",IF(B500=Reactivos_[[#This Row],[Cantidad 
LDV]],"LDV",IF(B500=Reactivos_[[#This Row],[Cantidad LNDV]],"LNDV",IF(B500=Reactivos_[[#This Row],[GGCA]],"GGCA",IF(B500=Reactivos_[[#This Row],[Cantidad LDF]],"LDF",IF(Reactivos_[[#This Row],[Cantidad LDF&amp;MR]],"LDF&amp;MR",IF(B500=Reactivos_[[#This Row],[Cantidad RED LASE]],"LASE",IF(B500=Reactivos_[[#This Row],[Cantidad LANIA]],"LANIA",IF(B500=Reactivos_[[#This Row],[Cantidad SPA]],"SPA"," ")))))))))</f>
        <v>LNDV</v>
      </c>
      <c r="B50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0" s="325">
        <v>498</v>
      </c>
      <c r="D500" s="326">
        <v>727</v>
      </c>
      <c r="E500" s="245" t="s">
        <v>1442</v>
      </c>
      <c r="F500" s="244" t="s">
        <v>1443</v>
      </c>
      <c r="G500" s="245"/>
      <c r="H500" s="349" t="s">
        <v>1444</v>
      </c>
      <c r="I500" s="416" t="s">
        <v>1445</v>
      </c>
      <c r="J50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0" s="160">
        <v>1242955</v>
      </c>
      <c r="L500" s="160">
        <f>+Reactivos_[[#This Row],[Cantidad]]*Reactivos_[[#This Row],[Valor de referencia]]</f>
        <v>1242955</v>
      </c>
      <c r="M500" s="254">
        <v>0</v>
      </c>
      <c r="N500" s="255">
        <f>+Reactivos_[[#This Row],[Valor de referencia]]*Reactivos_[[#This Row],[Cantidad LANIP]]</f>
        <v>0</v>
      </c>
      <c r="O500" s="256"/>
      <c r="P500" s="255">
        <f>+Reactivos_[[#This Row],[Cantidad 
LDV]]*Reactivos_[[#This Row],[Valor de referencia]]</f>
        <v>0</v>
      </c>
      <c r="Q500" s="257">
        <v>1</v>
      </c>
      <c r="R500" s="255">
        <f>+Reactivos_[[#This Row],[Cantidad LNDV]]*Reactivos_[[#This Row],[Valor de referencia]]</f>
        <v>1242955</v>
      </c>
      <c r="S500" s="148"/>
      <c r="T500" s="255">
        <f>+Reactivos_[[#This Row],[GGCA]]*Reactivos_[[#This Row],[Valor de referencia]]</f>
        <v>0</v>
      </c>
      <c r="U500" s="254"/>
      <c r="V500" s="255">
        <f>+Reactivos_[[#This Row],[Cantidad LDF]]*Reactivos_[[#This Row],[Valor de referencia]]</f>
        <v>0</v>
      </c>
      <c r="W500" s="254"/>
      <c r="X500" s="255">
        <f>+Reactivos_[[#This Row],[Cantidad LDF&amp;MR]]*Reactivos_[[#This Row],[Valor de referencia]]</f>
        <v>0</v>
      </c>
      <c r="Y500" s="254"/>
      <c r="Z500" s="255">
        <f>+Reactivos_[[#This Row],[Cantidad RED LASE]]*Reactivos_[[#This Row],[Valor de referencia]]</f>
        <v>0</v>
      </c>
      <c r="AA500" s="254"/>
      <c r="AB500" s="255">
        <f>+Reactivos_[[#This Row],[Cantidad LANIA]]*Reactivos_[[#This Row],[Valor de referencia]]</f>
        <v>0</v>
      </c>
      <c r="AC500" s="254"/>
      <c r="AD500" s="255">
        <f>+Reactivos_[[#This Row],[Cantidad SPA]]*Reactivos_[[#This Row],[Valor de referencia]]</f>
        <v>0</v>
      </c>
      <c r="AE500" s="148" t="s">
        <v>76</v>
      </c>
      <c r="AF500" s="148" t="s">
        <v>77</v>
      </c>
    </row>
    <row r="501" spans="1:32" ht="46.5" customHeight="1" x14ac:dyDescent="0.25">
      <c r="A501" s="294" t="str">
        <f>IF(B501=Reactivos_[[#This Row],[Cantidad LANIP]],"LANIP",IF(B501=Reactivos_[[#This Row],[Cantidad 
LDV]],"LDV",IF(B501=Reactivos_[[#This Row],[Cantidad LNDV]],"LNDV",IF(B501=Reactivos_[[#This Row],[GGCA]],"GGCA",IF(B501=Reactivos_[[#This Row],[Cantidad LDF]],"LDF",IF(Reactivos_[[#This Row],[Cantidad LDF&amp;MR]],"LDF&amp;MR",IF(B501=Reactivos_[[#This Row],[Cantidad RED LASE]],"LASE",IF(B501=Reactivos_[[#This Row],[Cantidad LANIA]],"LANIA",IF(B501=Reactivos_[[#This Row],[Cantidad SPA]],"SPA"," ")))))))))</f>
        <v>LNDV</v>
      </c>
      <c r="B50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1" s="325">
        <v>499</v>
      </c>
      <c r="D501" s="326">
        <v>729</v>
      </c>
      <c r="E501" s="245" t="s">
        <v>1446</v>
      </c>
      <c r="F501" s="244"/>
      <c r="G501" s="245"/>
      <c r="H501" s="328" t="s">
        <v>1447</v>
      </c>
      <c r="I501" s="336" t="s">
        <v>402</v>
      </c>
      <c r="J50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1" s="160">
        <v>1791307</v>
      </c>
      <c r="L501" s="160">
        <f>+Reactivos_[[#This Row],[Cantidad]]*Reactivos_[[#This Row],[Valor de referencia]]</f>
        <v>1791307</v>
      </c>
      <c r="M501" s="254">
        <v>0</v>
      </c>
      <c r="N501" s="255">
        <f>+Reactivos_[[#This Row],[Valor de referencia]]*Reactivos_[[#This Row],[Cantidad LANIP]]</f>
        <v>0</v>
      </c>
      <c r="O501" s="256"/>
      <c r="P501" s="255">
        <f>+Reactivos_[[#This Row],[Cantidad 
LDV]]*Reactivos_[[#This Row],[Valor de referencia]]</f>
        <v>0</v>
      </c>
      <c r="Q501" s="257">
        <v>1</v>
      </c>
      <c r="R501" s="255">
        <f>+Reactivos_[[#This Row],[Cantidad LNDV]]*Reactivos_[[#This Row],[Valor de referencia]]</f>
        <v>1791307</v>
      </c>
      <c r="S501" s="148"/>
      <c r="T501" s="255">
        <f>+Reactivos_[[#This Row],[GGCA]]*Reactivos_[[#This Row],[Valor de referencia]]</f>
        <v>0</v>
      </c>
      <c r="U501" s="254"/>
      <c r="V501" s="255">
        <f>+Reactivos_[[#This Row],[Cantidad LDF]]*Reactivos_[[#This Row],[Valor de referencia]]</f>
        <v>0</v>
      </c>
      <c r="W501" s="254"/>
      <c r="X501" s="255">
        <f>+Reactivos_[[#This Row],[Cantidad LDF&amp;MR]]*Reactivos_[[#This Row],[Valor de referencia]]</f>
        <v>0</v>
      </c>
      <c r="Y501" s="254"/>
      <c r="Z501" s="255">
        <f>+Reactivos_[[#This Row],[Cantidad RED LASE]]*Reactivos_[[#This Row],[Valor de referencia]]</f>
        <v>0</v>
      </c>
      <c r="AA501" s="254"/>
      <c r="AB501" s="255">
        <f>+Reactivos_[[#This Row],[Cantidad LANIA]]*Reactivos_[[#This Row],[Valor de referencia]]</f>
        <v>0</v>
      </c>
      <c r="AC501" s="254"/>
      <c r="AD501" s="255">
        <f>+Reactivos_[[#This Row],[Cantidad SPA]]*Reactivos_[[#This Row],[Valor de referencia]]</f>
        <v>0</v>
      </c>
      <c r="AE501" s="148" t="s">
        <v>76</v>
      </c>
      <c r="AF501" s="310" t="s">
        <v>101</v>
      </c>
    </row>
    <row r="502" spans="1:32" ht="33" customHeight="1" x14ac:dyDescent="0.25">
      <c r="A502" s="294" t="str">
        <f>IF(B502=Reactivos_[[#This Row],[Cantidad LANIP]],"LANIP",IF(B502=Reactivos_[[#This Row],[Cantidad 
LDV]],"LDV",IF(B502=Reactivos_[[#This Row],[Cantidad LNDV]],"LNDV",IF(B502=Reactivos_[[#This Row],[GGCA]],"GGCA",IF(B502=Reactivos_[[#This Row],[Cantidad LDF]],"LDF",IF(Reactivos_[[#This Row],[Cantidad LDF&amp;MR]],"LDF&amp;MR",IF(B502=Reactivos_[[#This Row],[Cantidad RED LASE]],"LASE",IF(B502=Reactivos_[[#This Row],[Cantidad LANIA]],"LANIA",IF(B502=Reactivos_[[#This Row],[Cantidad SPA]],"SPA"," ")))))))))</f>
        <v>LNDV</v>
      </c>
      <c r="B50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2" s="325">
        <v>500</v>
      </c>
      <c r="D502" s="326">
        <v>731</v>
      </c>
      <c r="E502" s="245" t="s">
        <v>1448</v>
      </c>
      <c r="F502" s="244"/>
      <c r="G502" s="245"/>
      <c r="H502" s="328" t="s">
        <v>1449</v>
      </c>
      <c r="I502" s="336" t="s">
        <v>402</v>
      </c>
      <c r="J50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2" s="160">
        <v>1791307</v>
      </c>
      <c r="L502" s="160">
        <f>+Reactivos_[[#This Row],[Cantidad]]*Reactivos_[[#This Row],[Valor de referencia]]</f>
        <v>1791307</v>
      </c>
      <c r="M502" s="254">
        <v>0</v>
      </c>
      <c r="N502" s="255">
        <f>+Reactivos_[[#This Row],[Valor de referencia]]*Reactivos_[[#This Row],[Cantidad LANIP]]</f>
        <v>0</v>
      </c>
      <c r="O502" s="256"/>
      <c r="P502" s="255">
        <f>+Reactivos_[[#This Row],[Cantidad 
LDV]]*Reactivos_[[#This Row],[Valor de referencia]]</f>
        <v>0</v>
      </c>
      <c r="Q502" s="257">
        <v>1</v>
      </c>
      <c r="R502" s="255">
        <f>+Reactivos_[[#This Row],[Cantidad LNDV]]*Reactivos_[[#This Row],[Valor de referencia]]</f>
        <v>1791307</v>
      </c>
      <c r="S502" s="148"/>
      <c r="T502" s="255">
        <f>+Reactivos_[[#This Row],[GGCA]]*Reactivos_[[#This Row],[Valor de referencia]]</f>
        <v>0</v>
      </c>
      <c r="U502" s="254"/>
      <c r="V502" s="255">
        <f>+Reactivos_[[#This Row],[Cantidad LDF]]*Reactivos_[[#This Row],[Valor de referencia]]</f>
        <v>0</v>
      </c>
      <c r="W502" s="254"/>
      <c r="X502" s="255">
        <f>+Reactivos_[[#This Row],[Cantidad LDF&amp;MR]]*Reactivos_[[#This Row],[Valor de referencia]]</f>
        <v>0</v>
      </c>
      <c r="Y502" s="254"/>
      <c r="Z502" s="255">
        <f>+Reactivos_[[#This Row],[Cantidad RED LASE]]*Reactivos_[[#This Row],[Valor de referencia]]</f>
        <v>0</v>
      </c>
      <c r="AA502" s="254"/>
      <c r="AB502" s="255">
        <f>+Reactivos_[[#This Row],[Cantidad LANIA]]*Reactivos_[[#This Row],[Valor de referencia]]</f>
        <v>0</v>
      </c>
      <c r="AC502" s="254"/>
      <c r="AD502" s="255">
        <f>+Reactivos_[[#This Row],[Cantidad SPA]]*Reactivos_[[#This Row],[Valor de referencia]]</f>
        <v>0</v>
      </c>
      <c r="AE502" s="148" t="s">
        <v>76</v>
      </c>
      <c r="AF502" s="310" t="s">
        <v>101</v>
      </c>
    </row>
    <row r="503" spans="1:32" ht="30.75" customHeight="1" x14ac:dyDescent="0.25">
      <c r="A503" s="294" t="str">
        <f>IF(B503=Reactivos_[[#This Row],[Cantidad LANIP]],"LANIP",IF(B503=Reactivos_[[#This Row],[Cantidad 
LDV]],"LDV",IF(B503=Reactivos_[[#This Row],[Cantidad LNDV]],"LNDV",IF(B503=Reactivos_[[#This Row],[GGCA]],"GGCA",IF(B503=Reactivos_[[#This Row],[Cantidad LDF]],"LDF",IF(Reactivos_[[#This Row],[Cantidad LDF&amp;MR]],"LDF&amp;MR",IF(B503=Reactivos_[[#This Row],[Cantidad RED LASE]],"LASE",IF(B503=Reactivos_[[#This Row],[Cantidad LANIA]],"LANIA",IF(B503=Reactivos_[[#This Row],[Cantidad SPA]],"SPA"," ")))))))))</f>
        <v>LNDV</v>
      </c>
      <c r="B50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3" s="325">
        <v>501</v>
      </c>
      <c r="D503" s="326">
        <v>732</v>
      </c>
      <c r="E503" s="245" t="s">
        <v>1450</v>
      </c>
      <c r="F503" s="244"/>
      <c r="G503" s="245"/>
      <c r="H503" s="335" t="s">
        <v>1451</v>
      </c>
      <c r="I503" s="336" t="s">
        <v>402</v>
      </c>
      <c r="J50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3" s="160">
        <v>1791307</v>
      </c>
      <c r="L503" s="160">
        <f>+Reactivos_[[#This Row],[Cantidad]]*Reactivos_[[#This Row],[Valor de referencia]]</f>
        <v>1791307</v>
      </c>
      <c r="M503" s="254">
        <v>0</v>
      </c>
      <c r="N503" s="255">
        <f>+Reactivos_[[#This Row],[Valor de referencia]]*Reactivos_[[#This Row],[Cantidad LANIP]]</f>
        <v>0</v>
      </c>
      <c r="O503" s="256"/>
      <c r="P503" s="255">
        <f>+Reactivos_[[#This Row],[Cantidad 
LDV]]*Reactivos_[[#This Row],[Valor de referencia]]</f>
        <v>0</v>
      </c>
      <c r="Q503" s="257">
        <v>1</v>
      </c>
      <c r="R503" s="255">
        <f>+Reactivos_[[#This Row],[Cantidad LNDV]]*Reactivos_[[#This Row],[Valor de referencia]]</f>
        <v>1791307</v>
      </c>
      <c r="S503" s="148"/>
      <c r="T503" s="255">
        <f>+Reactivos_[[#This Row],[GGCA]]*Reactivos_[[#This Row],[Valor de referencia]]</f>
        <v>0</v>
      </c>
      <c r="U503" s="254"/>
      <c r="V503" s="255">
        <f>+Reactivos_[[#This Row],[Cantidad LDF]]*Reactivos_[[#This Row],[Valor de referencia]]</f>
        <v>0</v>
      </c>
      <c r="W503" s="254"/>
      <c r="X503" s="255">
        <f>+Reactivos_[[#This Row],[Cantidad LDF&amp;MR]]*Reactivos_[[#This Row],[Valor de referencia]]</f>
        <v>0</v>
      </c>
      <c r="Y503" s="254"/>
      <c r="Z503" s="255">
        <f>+Reactivos_[[#This Row],[Cantidad RED LASE]]*Reactivos_[[#This Row],[Valor de referencia]]</f>
        <v>0</v>
      </c>
      <c r="AA503" s="254"/>
      <c r="AB503" s="255">
        <f>+Reactivos_[[#This Row],[Cantidad LANIA]]*Reactivos_[[#This Row],[Valor de referencia]]</f>
        <v>0</v>
      </c>
      <c r="AC503" s="254"/>
      <c r="AD503" s="255">
        <f>+Reactivos_[[#This Row],[Cantidad SPA]]*Reactivos_[[#This Row],[Valor de referencia]]</f>
        <v>0</v>
      </c>
      <c r="AE503" s="148" t="s">
        <v>76</v>
      </c>
      <c r="AF503" s="310" t="s">
        <v>101</v>
      </c>
    </row>
    <row r="504" spans="1:32" ht="35.25" customHeight="1" x14ac:dyDescent="0.25">
      <c r="A504" s="294" t="str">
        <f>IF(B504=Reactivos_[[#This Row],[Cantidad LANIP]],"LANIP",IF(B504=Reactivos_[[#This Row],[Cantidad 
LDV]],"LDV",IF(B504=Reactivos_[[#This Row],[Cantidad LNDV]],"LNDV",IF(B504=Reactivos_[[#This Row],[GGCA]],"GGCA",IF(B504=Reactivos_[[#This Row],[Cantidad LDF]],"LDF",IF(Reactivos_[[#This Row],[Cantidad LDF&amp;MR]],"LDF&amp;MR",IF(B504=Reactivos_[[#This Row],[Cantidad RED LASE]],"LASE",IF(B504=Reactivos_[[#This Row],[Cantidad LANIA]],"LANIA",IF(B504=Reactivos_[[#This Row],[Cantidad SPA]],"SPA"," ")))))))))</f>
        <v>LNDV</v>
      </c>
      <c r="B50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4" s="325">
        <v>502</v>
      </c>
      <c r="D504" s="326">
        <v>733</v>
      </c>
      <c r="E504" s="245" t="s">
        <v>1452</v>
      </c>
      <c r="F504" s="244"/>
      <c r="G504" s="245"/>
      <c r="H504" s="335" t="s">
        <v>1453</v>
      </c>
      <c r="I504" s="336" t="s">
        <v>402</v>
      </c>
      <c r="J50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4" s="160">
        <v>1791307</v>
      </c>
      <c r="L504" s="160">
        <f>+Reactivos_[[#This Row],[Cantidad]]*Reactivos_[[#This Row],[Valor de referencia]]</f>
        <v>1791307</v>
      </c>
      <c r="M504" s="254">
        <v>0</v>
      </c>
      <c r="N504" s="255">
        <f>+Reactivos_[[#This Row],[Valor de referencia]]*Reactivos_[[#This Row],[Cantidad LANIP]]</f>
        <v>0</v>
      </c>
      <c r="O504" s="256"/>
      <c r="P504" s="255">
        <f>+Reactivos_[[#This Row],[Cantidad 
LDV]]*Reactivos_[[#This Row],[Valor de referencia]]</f>
        <v>0</v>
      </c>
      <c r="Q504" s="257">
        <v>1</v>
      </c>
      <c r="R504" s="255">
        <f>+Reactivos_[[#This Row],[Cantidad LNDV]]*Reactivos_[[#This Row],[Valor de referencia]]</f>
        <v>1791307</v>
      </c>
      <c r="S504" s="148"/>
      <c r="T504" s="255">
        <f>+Reactivos_[[#This Row],[GGCA]]*Reactivos_[[#This Row],[Valor de referencia]]</f>
        <v>0</v>
      </c>
      <c r="U504" s="254"/>
      <c r="V504" s="255">
        <f>+Reactivos_[[#This Row],[Cantidad LDF]]*Reactivos_[[#This Row],[Valor de referencia]]</f>
        <v>0</v>
      </c>
      <c r="W504" s="254"/>
      <c r="X504" s="255">
        <f>+Reactivos_[[#This Row],[Cantidad LDF&amp;MR]]*Reactivos_[[#This Row],[Valor de referencia]]</f>
        <v>0</v>
      </c>
      <c r="Y504" s="254"/>
      <c r="Z504" s="255">
        <f>+Reactivos_[[#This Row],[Cantidad RED LASE]]*Reactivos_[[#This Row],[Valor de referencia]]</f>
        <v>0</v>
      </c>
      <c r="AA504" s="254"/>
      <c r="AB504" s="255">
        <f>+Reactivos_[[#This Row],[Cantidad LANIA]]*Reactivos_[[#This Row],[Valor de referencia]]</f>
        <v>0</v>
      </c>
      <c r="AC504" s="254"/>
      <c r="AD504" s="255">
        <f>+Reactivos_[[#This Row],[Cantidad SPA]]*Reactivos_[[#This Row],[Valor de referencia]]</f>
        <v>0</v>
      </c>
      <c r="AE504" s="148" t="s">
        <v>76</v>
      </c>
      <c r="AF504" s="310" t="s">
        <v>101</v>
      </c>
    </row>
    <row r="505" spans="1:32" ht="30" customHeight="1" x14ac:dyDescent="0.25">
      <c r="A505" s="294" t="str">
        <f>IF(B505=Reactivos_[[#This Row],[Cantidad LANIP]],"LANIP",IF(B505=Reactivos_[[#This Row],[Cantidad 
LDV]],"LDV",IF(B505=Reactivos_[[#This Row],[Cantidad LNDV]],"LNDV",IF(B505=Reactivos_[[#This Row],[GGCA]],"GGCA",IF(B505=Reactivos_[[#This Row],[Cantidad LDF]],"LDF",IF(Reactivos_[[#This Row],[Cantidad LDF&amp;MR]],"LDF&amp;MR",IF(B505=Reactivos_[[#This Row],[Cantidad RED LASE]],"LASE",IF(B505=Reactivos_[[#This Row],[Cantidad LANIA]],"LANIA",IF(B505=Reactivos_[[#This Row],[Cantidad SPA]],"SPA"," ")))))))))</f>
        <v>LNDV</v>
      </c>
      <c r="B50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5" s="325">
        <v>503</v>
      </c>
      <c r="D505" s="326">
        <v>734</v>
      </c>
      <c r="E505" s="245" t="s">
        <v>1454</v>
      </c>
      <c r="F505" s="244"/>
      <c r="G505" s="245"/>
      <c r="H505" s="328" t="s">
        <v>1455</v>
      </c>
      <c r="I505" s="336" t="s">
        <v>402</v>
      </c>
      <c r="J50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5" s="160">
        <v>1791307</v>
      </c>
      <c r="L505" s="160">
        <f>+Reactivos_[[#This Row],[Cantidad]]*Reactivos_[[#This Row],[Valor de referencia]]</f>
        <v>1791307</v>
      </c>
      <c r="M505" s="254">
        <v>0</v>
      </c>
      <c r="N505" s="255">
        <f>+Reactivos_[[#This Row],[Valor de referencia]]*Reactivos_[[#This Row],[Cantidad LANIP]]</f>
        <v>0</v>
      </c>
      <c r="O505" s="256"/>
      <c r="P505" s="255">
        <f>+Reactivos_[[#This Row],[Cantidad 
LDV]]*Reactivos_[[#This Row],[Valor de referencia]]</f>
        <v>0</v>
      </c>
      <c r="Q505" s="257">
        <v>1</v>
      </c>
      <c r="R505" s="255">
        <f>+Reactivos_[[#This Row],[Cantidad LNDV]]*Reactivos_[[#This Row],[Valor de referencia]]</f>
        <v>1791307</v>
      </c>
      <c r="S505" s="148"/>
      <c r="T505" s="255">
        <f>+Reactivos_[[#This Row],[GGCA]]*Reactivos_[[#This Row],[Valor de referencia]]</f>
        <v>0</v>
      </c>
      <c r="U505" s="254"/>
      <c r="V505" s="255">
        <f>+Reactivos_[[#This Row],[Cantidad LDF]]*Reactivos_[[#This Row],[Valor de referencia]]</f>
        <v>0</v>
      </c>
      <c r="W505" s="254"/>
      <c r="X505" s="255">
        <f>+Reactivos_[[#This Row],[Cantidad LDF&amp;MR]]*Reactivos_[[#This Row],[Valor de referencia]]</f>
        <v>0</v>
      </c>
      <c r="Y505" s="254"/>
      <c r="Z505" s="255">
        <f>+Reactivos_[[#This Row],[Cantidad RED LASE]]*Reactivos_[[#This Row],[Valor de referencia]]</f>
        <v>0</v>
      </c>
      <c r="AA505" s="254"/>
      <c r="AB505" s="255">
        <f>+Reactivos_[[#This Row],[Cantidad LANIA]]*Reactivos_[[#This Row],[Valor de referencia]]</f>
        <v>0</v>
      </c>
      <c r="AC505" s="254"/>
      <c r="AD505" s="255">
        <f>+Reactivos_[[#This Row],[Cantidad SPA]]*Reactivos_[[#This Row],[Valor de referencia]]</f>
        <v>0</v>
      </c>
      <c r="AE505" s="148" t="s">
        <v>76</v>
      </c>
      <c r="AF505" s="310" t="s">
        <v>101</v>
      </c>
    </row>
    <row r="506" spans="1:32" ht="34.5" customHeight="1" x14ac:dyDescent="0.25">
      <c r="A506" s="294" t="str">
        <f>IF(B506=Reactivos_[[#This Row],[Cantidad LANIP]],"LANIP",IF(B506=Reactivos_[[#This Row],[Cantidad 
LDV]],"LDV",IF(B506=Reactivos_[[#This Row],[Cantidad LNDV]],"LNDV",IF(B506=Reactivos_[[#This Row],[GGCA]],"GGCA",IF(B506=Reactivos_[[#This Row],[Cantidad LDF]],"LDF",IF(Reactivos_[[#This Row],[Cantidad LDF&amp;MR]],"LDF&amp;MR",IF(B506=Reactivos_[[#This Row],[Cantidad RED LASE]],"LASE",IF(B506=Reactivos_[[#This Row],[Cantidad LANIA]],"LANIA",IF(B506=Reactivos_[[#This Row],[Cantidad SPA]],"SPA"," ")))))))))</f>
        <v>LNDV</v>
      </c>
      <c r="B50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6" s="325">
        <v>504</v>
      </c>
      <c r="D506" s="326">
        <v>735</v>
      </c>
      <c r="E506" s="245" t="s">
        <v>1456</v>
      </c>
      <c r="F506" s="244"/>
      <c r="G506" s="245"/>
      <c r="H506" s="335" t="s">
        <v>1457</v>
      </c>
      <c r="I506" s="336" t="s">
        <v>402</v>
      </c>
      <c r="J50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6" s="160">
        <v>1791307</v>
      </c>
      <c r="L506" s="160">
        <f>+Reactivos_[[#This Row],[Cantidad]]*Reactivos_[[#This Row],[Valor de referencia]]</f>
        <v>1791307</v>
      </c>
      <c r="M506" s="254">
        <v>0</v>
      </c>
      <c r="N506" s="255">
        <f>+Reactivos_[[#This Row],[Valor de referencia]]*Reactivos_[[#This Row],[Cantidad LANIP]]</f>
        <v>0</v>
      </c>
      <c r="O506" s="256"/>
      <c r="P506" s="255">
        <f>+Reactivos_[[#This Row],[Cantidad 
LDV]]*Reactivos_[[#This Row],[Valor de referencia]]</f>
        <v>0</v>
      </c>
      <c r="Q506" s="257">
        <v>1</v>
      </c>
      <c r="R506" s="255">
        <f>+Reactivos_[[#This Row],[Cantidad LNDV]]*Reactivos_[[#This Row],[Valor de referencia]]</f>
        <v>1791307</v>
      </c>
      <c r="S506" s="148"/>
      <c r="T506" s="255">
        <f>+Reactivos_[[#This Row],[GGCA]]*Reactivos_[[#This Row],[Valor de referencia]]</f>
        <v>0</v>
      </c>
      <c r="U506" s="254"/>
      <c r="V506" s="255">
        <f>+Reactivos_[[#This Row],[Cantidad LDF]]*Reactivos_[[#This Row],[Valor de referencia]]</f>
        <v>0</v>
      </c>
      <c r="W506" s="254"/>
      <c r="X506" s="255">
        <f>+Reactivos_[[#This Row],[Cantidad LDF&amp;MR]]*Reactivos_[[#This Row],[Valor de referencia]]</f>
        <v>0</v>
      </c>
      <c r="Y506" s="254"/>
      <c r="Z506" s="255">
        <f>+Reactivos_[[#This Row],[Cantidad RED LASE]]*Reactivos_[[#This Row],[Valor de referencia]]</f>
        <v>0</v>
      </c>
      <c r="AA506" s="254"/>
      <c r="AB506" s="255">
        <f>+Reactivos_[[#This Row],[Cantidad LANIA]]*Reactivos_[[#This Row],[Valor de referencia]]</f>
        <v>0</v>
      </c>
      <c r="AC506" s="254"/>
      <c r="AD506" s="255">
        <f>+Reactivos_[[#This Row],[Cantidad SPA]]*Reactivos_[[#This Row],[Valor de referencia]]</f>
        <v>0</v>
      </c>
      <c r="AE506" s="148" t="s">
        <v>76</v>
      </c>
      <c r="AF506" s="310" t="s">
        <v>101</v>
      </c>
    </row>
    <row r="507" spans="1:32" ht="40.5" customHeight="1" x14ac:dyDescent="0.25">
      <c r="A507" s="294" t="str">
        <f>IF(B507=Reactivos_[[#This Row],[Cantidad LANIP]],"LANIP",IF(B507=Reactivos_[[#This Row],[Cantidad 
LDV]],"LDV",IF(B507=Reactivos_[[#This Row],[Cantidad LNDV]],"LNDV",IF(B507=Reactivos_[[#This Row],[GGCA]],"GGCA",IF(B507=Reactivos_[[#This Row],[Cantidad LDF]],"LDF",IF(Reactivos_[[#This Row],[Cantidad LDF&amp;MR]],"LDF&amp;MR",IF(B507=Reactivos_[[#This Row],[Cantidad RED LASE]],"LASE",IF(B507=Reactivos_[[#This Row],[Cantidad LANIA]],"LANIA",IF(B507=Reactivos_[[#This Row],[Cantidad SPA]],"SPA"," ")))))))))</f>
        <v>LNDV</v>
      </c>
      <c r="B50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7" s="325">
        <v>505</v>
      </c>
      <c r="D507" s="326">
        <v>737</v>
      </c>
      <c r="E507" s="245" t="s">
        <v>1458</v>
      </c>
      <c r="F507" s="244"/>
      <c r="G507" s="245"/>
      <c r="H507" s="328" t="s">
        <v>1459</v>
      </c>
      <c r="I507" s="336" t="s">
        <v>402</v>
      </c>
      <c r="J50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7" s="160">
        <v>1791307</v>
      </c>
      <c r="L507" s="160">
        <f>+Reactivos_[[#This Row],[Cantidad]]*Reactivos_[[#This Row],[Valor de referencia]]</f>
        <v>1791307</v>
      </c>
      <c r="M507" s="254">
        <v>0</v>
      </c>
      <c r="N507" s="255">
        <f>+Reactivos_[[#This Row],[Valor de referencia]]*Reactivos_[[#This Row],[Cantidad LANIP]]</f>
        <v>0</v>
      </c>
      <c r="O507" s="256"/>
      <c r="P507" s="255">
        <f>+Reactivos_[[#This Row],[Cantidad 
LDV]]*Reactivos_[[#This Row],[Valor de referencia]]</f>
        <v>0</v>
      </c>
      <c r="Q507" s="257">
        <v>1</v>
      </c>
      <c r="R507" s="255">
        <f>+Reactivos_[[#This Row],[Cantidad LNDV]]*Reactivos_[[#This Row],[Valor de referencia]]</f>
        <v>1791307</v>
      </c>
      <c r="S507" s="148"/>
      <c r="T507" s="255">
        <f>+Reactivos_[[#This Row],[GGCA]]*Reactivos_[[#This Row],[Valor de referencia]]</f>
        <v>0</v>
      </c>
      <c r="U507" s="254"/>
      <c r="V507" s="255">
        <f>+Reactivos_[[#This Row],[Cantidad LDF]]*Reactivos_[[#This Row],[Valor de referencia]]</f>
        <v>0</v>
      </c>
      <c r="W507" s="254"/>
      <c r="X507" s="255">
        <f>+Reactivos_[[#This Row],[Cantidad LDF&amp;MR]]*Reactivos_[[#This Row],[Valor de referencia]]</f>
        <v>0</v>
      </c>
      <c r="Y507" s="254"/>
      <c r="Z507" s="255">
        <f>+Reactivos_[[#This Row],[Cantidad RED LASE]]*Reactivos_[[#This Row],[Valor de referencia]]</f>
        <v>0</v>
      </c>
      <c r="AA507" s="254"/>
      <c r="AB507" s="255">
        <f>+Reactivos_[[#This Row],[Cantidad LANIA]]*Reactivos_[[#This Row],[Valor de referencia]]</f>
        <v>0</v>
      </c>
      <c r="AC507" s="254"/>
      <c r="AD507" s="255">
        <f>+Reactivos_[[#This Row],[Cantidad SPA]]*Reactivos_[[#This Row],[Valor de referencia]]</f>
        <v>0</v>
      </c>
      <c r="AE507" s="148" t="s">
        <v>76</v>
      </c>
      <c r="AF507" s="310" t="s">
        <v>101</v>
      </c>
    </row>
    <row r="508" spans="1:32" ht="44.25" customHeight="1" x14ac:dyDescent="0.25">
      <c r="A508" s="294" t="str">
        <f>IF(B508=Reactivos_[[#This Row],[Cantidad LANIP]],"LANIP",IF(B508=Reactivos_[[#This Row],[Cantidad 
LDV]],"LDV",IF(B508=Reactivos_[[#This Row],[Cantidad LNDV]],"LNDV",IF(B508=Reactivos_[[#This Row],[GGCA]],"GGCA",IF(B508=Reactivos_[[#This Row],[Cantidad LDF]],"LDF",IF(Reactivos_[[#This Row],[Cantidad LDF&amp;MR]],"LDF&amp;MR",IF(B508=Reactivos_[[#This Row],[Cantidad RED LASE]],"LASE",IF(B508=Reactivos_[[#This Row],[Cantidad LANIA]],"LANIA",IF(B508=Reactivos_[[#This Row],[Cantidad SPA]],"SPA"," ")))))))))</f>
        <v>LNDV</v>
      </c>
      <c r="B50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8" s="325">
        <v>506</v>
      </c>
      <c r="D508" s="326">
        <v>738</v>
      </c>
      <c r="E508" s="245" t="s">
        <v>1460</v>
      </c>
      <c r="F508" s="244"/>
      <c r="G508" s="245"/>
      <c r="H508" s="328" t="s">
        <v>1461</v>
      </c>
      <c r="I508" s="336" t="s">
        <v>402</v>
      </c>
      <c r="J50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8" s="160">
        <v>1343510</v>
      </c>
      <c r="L508" s="160">
        <f>+Reactivos_[[#This Row],[Cantidad]]*Reactivos_[[#This Row],[Valor de referencia]]</f>
        <v>1343510</v>
      </c>
      <c r="M508" s="254">
        <v>0</v>
      </c>
      <c r="N508" s="255">
        <f>+Reactivos_[[#This Row],[Valor de referencia]]*Reactivos_[[#This Row],[Cantidad LANIP]]</f>
        <v>0</v>
      </c>
      <c r="O508" s="256"/>
      <c r="P508" s="255">
        <f>+Reactivos_[[#This Row],[Cantidad 
LDV]]*Reactivos_[[#This Row],[Valor de referencia]]</f>
        <v>0</v>
      </c>
      <c r="Q508" s="257">
        <v>1</v>
      </c>
      <c r="R508" s="255">
        <f>+Reactivos_[[#This Row],[Cantidad LNDV]]*Reactivos_[[#This Row],[Valor de referencia]]</f>
        <v>1343510</v>
      </c>
      <c r="S508" s="148"/>
      <c r="T508" s="255">
        <f>+Reactivos_[[#This Row],[GGCA]]*Reactivos_[[#This Row],[Valor de referencia]]</f>
        <v>0</v>
      </c>
      <c r="U508" s="254"/>
      <c r="V508" s="255">
        <f>+Reactivos_[[#This Row],[Cantidad LDF]]*Reactivos_[[#This Row],[Valor de referencia]]</f>
        <v>0</v>
      </c>
      <c r="W508" s="254"/>
      <c r="X508" s="255">
        <f>+Reactivos_[[#This Row],[Cantidad LDF&amp;MR]]*Reactivos_[[#This Row],[Valor de referencia]]</f>
        <v>0</v>
      </c>
      <c r="Y508" s="254"/>
      <c r="Z508" s="255">
        <f>+Reactivos_[[#This Row],[Cantidad RED LASE]]*Reactivos_[[#This Row],[Valor de referencia]]</f>
        <v>0</v>
      </c>
      <c r="AA508" s="254"/>
      <c r="AB508" s="255">
        <f>+Reactivos_[[#This Row],[Cantidad LANIA]]*Reactivos_[[#This Row],[Valor de referencia]]</f>
        <v>0</v>
      </c>
      <c r="AC508" s="254"/>
      <c r="AD508" s="255">
        <f>+Reactivos_[[#This Row],[Cantidad SPA]]*Reactivos_[[#This Row],[Valor de referencia]]</f>
        <v>0</v>
      </c>
      <c r="AE508" s="148" t="s">
        <v>76</v>
      </c>
      <c r="AF508" s="310" t="s">
        <v>101</v>
      </c>
    </row>
    <row r="509" spans="1:32" ht="45" customHeight="1" x14ac:dyDescent="0.25">
      <c r="A509" s="294" t="str">
        <f>IF(B509=Reactivos_[[#This Row],[Cantidad LANIP]],"LANIP",IF(B509=Reactivos_[[#This Row],[Cantidad 
LDV]],"LDV",IF(B509=Reactivos_[[#This Row],[Cantidad LNDV]],"LNDV",IF(B509=Reactivos_[[#This Row],[GGCA]],"GGCA",IF(B509=Reactivos_[[#This Row],[Cantidad LDF]],"LDF",IF(Reactivos_[[#This Row],[Cantidad LDF&amp;MR]],"LDF&amp;MR",IF(B509=Reactivos_[[#This Row],[Cantidad RED LASE]],"LASE",IF(B509=Reactivos_[[#This Row],[Cantidad LANIA]],"LANIA",IF(B509=Reactivos_[[#This Row],[Cantidad SPA]],"SPA"," ")))))))))</f>
        <v>LNDV</v>
      </c>
      <c r="B50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09" s="325">
        <v>507</v>
      </c>
      <c r="D509" s="326">
        <v>739</v>
      </c>
      <c r="E509" s="245" t="s">
        <v>1462</v>
      </c>
      <c r="F509" s="244"/>
      <c r="G509" s="245"/>
      <c r="H509" s="335" t="s">
        <v>1463</v>
      </c>
      <c r="I509" s="336" t="s">
        <v>402</v>
      </c>
      <c r="J50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09" s="160">
        <v>1791307</v>
      </c>
      <c r="L509" s="160">
        <f>+Reactivos_[[#This Row],[Cantidad]]*Reactivos_[[#This Row],[Valor de referencia]]</f>
        <v>1791307</v>
      </c>
      <c r="M509" s="254">
        <v>0</v>
      </c>
      <c r="N509" s="255">
        <f>+Reactivos_[[#This Row],[Valor de referencia]]*Reactivos_[[#This Row],[Cantidad LANIP]]</f>
        <v>0</v>
      </c>
      <c r="O509" s="256"/>
      <c r="P509" s="255">
        <f>+Reactivos_[[#This Row],[Cantidad 
LDV]]*Reactivos_[[#This Row],[Valor de referencia]]</f>
        <v>0</v>
      </c>
      <c r="Q509" s="257">
        <v>1</v>
      </c>
      <c r="R509" s="255">
        <f>+Reactivos_[[#This Row],[Cantidad LNDV]]*Reactivos_[[#This Row],[Valor de referencia]]</f>
        <v>1791307</v>
      </c>
      <c r="S509" s="148"/>
      <c r="T509" s="255">
        <f>+Reactivos_[[#This Row],[GGCA]]*Reactivos_[[#This Row],[Valor de referencia]]</f>
        <v>0</v>
      </c>
      <c r="U509" s="254"/>
      <c r="V509" s="255">
        <f>+Reactivos_[[#This Row],[Cantidad LDF]]*Reactivos_[[#This Row],[Valor de referencia]]</f>
        <v>0</v>
      </c>
      <c r="W509" s="254"/>
      <c r="X509" s="255">
        <f>+Reactivos_[[#This Row],[Cantidad LDF&amp;MR]]*Reactivos_[[#This Row],[Valor de referencia]]</f>
        <v>0</v>
      </c>
      <c r="Y509" s="254"/>
      <c r="Z509" s="255">
        <f>+Reactivos_[[#This Row],[Cantidad RED LASE]]*Reactivos_[[#This Row],[Valor de referencia]]</f>
        <v>0</v>
      </c>
      <c r="AA509" s="254"/>
      <c r="AB509" s="255">
        <f>+Reactivos_[[#This Row],[Cantidad LANIA]]*Reactivos_[[#This Row],[Valor de referencia]]</f>
        <v>0</v>
      </c>
      <c r="AC509" s="254"/>
      <c r="AD509" s="255">
        <f>+Reactivos_[[#This Row],[Cantidad SPA]]*Reactivos_[[#This Row],[Valor de referencia]]</f>
        <v>0</v>
      </c>
      <c r="AE509" s="148" t="s">
        <v>76</v>
      </c>
      <c r="AF509" s="310" t="s">
        <v>101</v>
      </c>
    </row>
    <row r="510" spans="1:32" ht="34.5" customHeight="1" x14ac:dyDescent="0.25">
      <c r="A510" s="294" t="str">
        <f>IF(B510=Reactivos_[[#This Row],[Cantidad LANIP]],"LANIP",IF(B510=Reactivos_[[#This Row],[Cantidad 
LDV]],"LDV",IF(B510=Reactivos_[[#This Row],[Cantidad LNDV]],"LNDV",IF(B510=Reactivos_[[#This Row],[GGCA]],"GGCA",IF(B510=Reactivos_[[#This Row],[Cantidad LDF]],"LDF",IF(Reactivos_[[#This Row],[Cantidad LDF&amp;MR]],"LDF&amp;MR",IF(B510=Reactivos_[[#This Row],[Cantidad RED LASE]],"LASE",IF(B510=Reactivos_[[#This Row],[Cantidad LANIA]],"LANIA",IF(B510=Reactivos_[[#This Row],[Cantidad SPA]],"SPA"," ")))))))))</f>
        <v>LNDV</v>
      </c>
      <c r="B51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10" s="325">
        <v>508</v>
      </c>
      <c r="D510" s="326">
        <v>740</v>
      </c>
      <c r="E510" s="245" t="s">
        <v>1464</v>
      </c>
      <c r="F510" s="244"/>
      <c r="G510" s="245"/>
      <c r="H510" s="328" t="s">
        <v>1465</v>
      </c>
      <c r="I510" s="336" t="s">
        <v>402</v>
      </c>
      <c r="J51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10" s="160">
        <v>1791307</v>
      </c>
      <c r="L510" s="160">
        <f>+Reactivos_[[#This Row],[Cantidad]]*Reactivos_[[#This Row],[Valor de referencia]]</f>
        <v>1791307</v>
      </c>
      <c r="M510" s="254">
        <v>0</v>
      </c>
      <c r="N510" s="255">
        <f>+Reactivos_[[#This Row],[Valor de referencia]]*Reactivos_[[#This Row],[Cantidad LANIP]]</f>
        <v>0</v>
      </c>
      <c r="O510" s="256"/>
      <c r="P510" s="255">
        <f>+Reactivos_[[#This Row],[Cantidad 
LDV]]*Reactivos_[[#This Row],[Valor de referencia]]</f>
        <v>0</v>
      </c>
      <c r="Q510" s="257">
        <v>1</v>
      </c>
      <c r="R510" s="255">
        <f>+Reactivos_[[#This Row],[Cantidad LNDV]]*Reactivos_[[#This Row],[Valor de referencia]]</f>
        <v>1791307</v>
      </c>
      <c r="S510" s="148"/>
      <c r="T510" s="255">
        <f>+Reactivos_[[#This Row],[GGCA]]*Reactivos_[[#This Row],[Valor de referencia]]</f>
        <v>0</v>
      </c>
      <c r="U510" s="254"/>
      <c r="V510" s="255">
        <f>+Reactivos_[[#This Row],[Cantidad LDF]]*Reactivos_[[#This Row],[Valor de referencia]]</f>
        <v>0</v>
      </c>
      <c r="W510" s="254"/>
      <c r="X510" s="255">
        <f>+Reactivos_[[#This Row],[Cantidad LDF&amp;MR]]*Reactivos_[[#This Row],[Valor de referencia]]</f>
        <v>0</v>
      </c>
      <c r="Y510" s="254"/>
      <c r="Z510" s="255">
        <f>+Reactivos_[[#This Row],[Cantidad RED LASE]]*Reactivos_[[#This Row],[Valor de referencia]]</f>
        <v>0</v>
      </c>
      <c r="AA510" s="254"/>
      <c r="AB510" s="255">
        <f>+Reactivos_[[#This Row],[Cantidad LANIA]]*Reactivos_[[#This Row],[Valor de referencia]]</f>
        <v>0</v>
      </c>
      <c r="AC510" s="254"/>
      <c r="AD510" s="255">
        <f>+Reactivos_[[#This Row],[Cantidad SPA]]*Reactivos_[[#This Row],[Valor de referencia]]</f>
        <v>0</v>
      </c>
      <c r="AE510" s="148" t="s">
        <v>76</v>
      </c>
      <c r="AF510" s="310" t="s">
        <v>101</v>
      </c>
    </row>
    <row r="511" spans="1:32" ht="36.75" customHeight="1" x14ac:dyDescent="0.25">
      <c r="A511" s="294" t="str">
        <f>IF(B511=Reactivos_[[#This Row],[Cantidad LANIP]],"LANIP",IF(B511=Reactivos_[[#This Row],[Cantidad 
LDV]],"LDV",IF(B511=Reactivos_[[#This Row],[Cantidad LNDV]],"LNDV",IF(B511=Reactivos_[[#This Row],[GGCA]],"GGCA",IF(B511=Reactivos_[[#This Row],[Cantidad LDF]],"LDF",IF(Reactivos_[[#This Row],[Cantidad LDF&amp;MR]],"LDF&amp;MR",IF(B511=Reactivos_[[#This Row],[Cantidad RED LASE]],"LASE",IF(B511=Reactivos_[[#This Row],[Cantidad LANIA]],"LANIA",IF(B511=Reactivos_[[#This Row],[Cantidad SPA]],"SPA"," ")))))))))</f>
        <v>LNDV</v>
      </c>
      <c r="B51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11" s="325">
        <v>509</v>
      </c>
      <c r="D511" s="326">
        <v>741</v>
      </c>
      <c r="E511" s="245" t="s">
        <v>1466</v>
      </c>
      <c r="F511" s="244"/>
      <c r="G511" s="245"/>
      <c r="H511" s="328" t="s">
        <v>1467</v>
      </c>
      <c r="I511" s="336" t="s">
        <v>402</v>
      </c>
      <c r="J51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11" s="160">
        <v>1791307</v>
      </c>
      <c r="L511" s="160">
        <f>+Reactivos_[[#This Row],[Cantidad]]*Reactivos_[[#This Row],[Valor de referencia]]</f>
        <v>1791307</v>
      </c>
      <c r="M511" s="254">
        <v>0</v>
      </c>
      <c r="N511" s="255">
        <f>+Reactivos_[[#This Row],[Valor de referencia]]*Reactivos_[[#This Row],[Cantidad LANIP]]</f>
        <v>0</v>
      </c>
      <c r="O511" s="256"/>
      <c r="P511" s="255">
        <f>+Reactivos_[[#This Row],[Cantidad 
LDV]]*Reactivos_[[#This Row],[Valor de referencia]]</f>
        <v>0</v>
      </c>
      <c r="Q511" s="257">
        <v>1</v>
      </c>
      <c r="R511" s="255">
        <f>+Reactivos_[[#This Row],[Cantidad LNDV]]*Reactivos_[[#This Row],[Valor de referencia]]</f>
        <v>1791307</v>
      </c>
      <c r="S511" s="148"/>
      <c r="T511" s="255">
        <f>+Reactivos_[[#This Row],[GGCA]]*Reactivos_[[#This Row],[Valor de referencia]]</f>
        <v>0</v>
      </c>
      <c r="U511" s="254"/>
      <c r="V511" s="255">
        <f>+Reactivos_[[#This Row],[Cantidad LDF]]*Reactivos_[[#This Row],[Valor de referencia]]</f>
        <v>0</v>
      </c>
      <c r="W511" s="254"/>
      <c r="X511" s="255">
        <f>+Reactivos_[[#This Row],[Cantidad LDF&amp;MR]]*Reactivos_[[#This Row],[Valor de referencia]]</f>
        <v>0</v>
      </c>
      <c r="Y511" s="254"/>
      <c r="Z511" s="255">
        <f>+Reactivos_[[#This Row],[Cantidad RED LASE]]*Reactivos_[[#This Row],[Valor de referencia]]</f>
        <v>0</v>
      </c>
      <c r="AA511" s="254"/>
      <c r="AB511" s="255">
        <f>+Reactivos_[[#This Row],[Cantidad LANIA]]*Reactivos_[[#This Row],[Valor de referencia]]</f>
        <v>0</v>
      </c>
      <c r="AC511" s="254"/>
      <c r="AD511" s="255">
        <f>+Reactivos_[[#This Row],[Cantidad SPA]]*Reactivos_[[#This Row],[Valor de referencia]]</f>
        <v>0</v>
      </c>
      <c r="AE511" s="148" t="s">
        <v>76</v>
      </c>
      <c r="AF511" s="310" t="s">
        <v>101</v>
      </c>
    </row>
    <row r="512" spans="1:32" ht="22.5" customHeight="1" x14ac:dyDescent="0.25">
      <c r="A512" s="294" t="str">
        <f>IF(B512=Reactivos_[[#This Row],[Cantidad LANIP]],"LANIP",IF(B512=Reactivos_[[#This Row],[Cantidad 
LDV]],"LDV",IF(B512=Reactivos_[[#This Row],[Cantidad LNDV]],"LNDV",IF(B512=Reactivos_[[#This Row],[GGCA]],"GGCA",IF(B512=Reactivos_[[#This Row],[Cantidad LDF]],"LDF",IF(Reactivos_[[#This Row],[Cantidad LDF&amp;MR]],"LDF&amp;MR",IF(B512=Reactivos_[[#This Row],[Cantidad RED LASE]],"LASE",IF(B512=Reactivos_[[#This Row],[Cantidad LANIA]],"LANIA",IF(B512=Reactivos_[[#This Row],[Cantidad SPA]],"SPA"," ")))))))))</f>
        <v>LNDV</v>
      </c>
      <c r="B51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12" s="325">
        <v>510</v>
      </c>
      <c r="D512" s="326">
        <v>742</v>
      </c>
      <c r="E512" s="245" t="s">
        <v>1468</v>
      </c>
      <c r="F512" s="244"/>
      <c r="G512" s="245"/>
      <c r="H512" s="328" t="s">
        <v>1469</v>
      </c>
      <c r="I512" s="336" t="s">
        <v>402</v>
      </c>
      <c r="J51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12" s="160">
        <v>1791307</v>
      </c>
      <c r="L512" s="160">
        <f>+Reactivos_[[#This Row],[Cantidad]]*Reactivos_[[#This Row],[Valor de referencia]]</f>
        <v>1791307</v>
      </c>
      <c r="M512" s="254">
        <v>0</v>
      </c>
      <c r="N512" s="255">
        <f>+Reactivos_[[#This Row],[Valor de referencia]]*Reactivos_[[#This Row],[Cantidad LANIP]]</f>
        <v>0</v>
      </c>
      <c r="O512" s="256"/>
      <c r="P512" s="255">
        <f>+Reactivos_[[#This Row],[Cantidad 
LDV]]*Reactivos_[[#This Row],[Valor de referencia]]</f>
        <v>0</v>
      </c>
      <c r="Q512" s="257">
        <v>1</v>
      </c>
      <c r="R512" s="255">
        <f>+Reactivos_[[#This Row],[Cantidad LNDV]]*Reactivos_[[#This Row],[Valor de referencia]]</f>
        <v>1791307</v>
      </c>
      <c r="S512" s="148"/>
      <c r="T512" s="255">
        <f>+Reactivos_[[#This Row],[GGCA]]*Reactivos_[[#This Row],[Valor de referencia]]</f>
        <v>0</v>
      </c>
      <c r="U512" s="254"/>
      <c r="V512" s="255">
        <f>+Reactivos_[[#This Row],[Cantidad LDF]]*Reactivos_[[#This Row],[Valor de referencia]]</f>
        <v>0</v>
      </c>
      <c r="W512" s="254"/>
      <c r="X512" s="255">
        <f>+Reactivos_[[#This Row],[Cantidad LDF&amp;MR]]*Reactivos_[[#This Row],[Valor de referencia]]</f>
        <v>0</v>
      </c>
      <c r="Y512" s="254"/>
      <c r="Z512" s="255">
        <f>+Reactivos_[[#This Row],[Cantidad RED LASE]]*Reactivos_[[#This Row],[Valor de referencia]]</f>
        <v>0</v>
      </c>
      <c r="AA512" s="254"/>
      <c r="AB512" s="255">
        <f>+Reactivos_[[#This Row],[Cantidad LANIA]]*Reactivos_[[#This Row],[Valor de referencia]]</f>
        <v>0</v>
      </c>
      <c r="AC512" s="254"/>
      <c r="AD512" s="255">
        <f>+Reactivos_[[#This Row],[Cantidad SPA]]*Reactivos_[[#This Row],[Valor de referencia]]</f>
        <v>0</v>
      </c>
      <c r="AE512" s="148" t="s">
        <v>76</v>
      </c>
      <c r="AF512" s="310" t="s">
        <v>101</v>
      </c>
    </row>
    <row r="513" spans="1:32" ht="37.5" customHeight="1" x14ac:dyDescent="0.25">
      <c r="A513" s="294" t="str">
        <f>IF(B513=Reactivos_[[#This Row],[Cantidad LANIP]],"LANIP",IF(B513=Reactivos_[[#This Row],[Cantidad 
LDV]],"LDV",IF(B513=Reactivos_[[#This Row],[Cantidad LNDV]],"LNDV",IF(B513=Reactivos_[[#This Row],[GGCA]],"GGCA",IF(B513=Reactivos_[[#This Row],[Cantidad LDF]],"LDF",IF(Reactivos_[[#This Row],[Cantidad LDF&amp;MR]],"LDF&amp;MR",IF(B513=Reactivos_[[#This Row],[Cantidad RED LASE]],"LASE",IF(B513=Reactivos_[[#This Row],[Cantidad LANIA]],"LANIA",IF(B513=Reactivos_[[#This Row],[Cantidad SPA]],"SPA"," ")))))))))</f>
        <v>LNDV</v>
      </c>
      <c r="B51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13" s="325">
        <v>511</v>
      </c>
      <c r="D513" s="326">
        <v>743</v>
      </c>
      <c r="E513" s="245" t="s">
        <v>1470</v>
      </c>
      <c r="F513" s="244"/>
      <c r="G513" s="245"/>
      <c r="H513" s="335" t="s">
        <v>1471</v>
      </c>
      <c r="I513" s="336" t="s">
        <v>402</v>
      </c>
      <c r="J51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13" s="160">
        <v>1791307</v>
      </c>
      <c r="L513" s="160">
        <f>+Reactivos_[[#This Row],[Cantidad]]*Reactivos_[[#This Row],[Valor de referencia]]</f>
        <v>1791307</v>
      </c>
      <c r="M513" s="254">
        <v>0</v>
      </c>
      <c r="N513" s="255">
        <f>+Reactivos_[[#This Row],[Valor de referencia]]*Reactivos_[[#This Row],[Cantidad LANIP]]</f>
        <v>0</v>
      </c>
      <c r="O513" s="256"/>
      <c r="P513" s="255">
        <f>+Reactivos_[[#This Row],[Cantidad 
LDV]]*Reactivos_[[#This Row],[Valor de referencia]]</f>
        <v>0</v>
      </c>
      <c r="Q513" s="257">
        <v>1</v>
      </c>
      <c r="R513" s="255">
        <f>+Reactivos_[[#This Row],[Cantidad LNDV]]*Reactivos_[[#This Row],[Valor de referencia]]</f>
        <v>1791307</v>
      </c>
      <c r="S513" s="148"/>
      <c r="T513" s="255">
        <f>+Reactivos_[[#This Row],[GGCA]]*Reactivos_[[#This Row],[Valor de referencia]]</f>
        <v>0</v>
      </c>
      <c r="U513" s="254"/>
      <c r="V513" s="255">
        <f>+Reactivos_[[#This Row],[Cantidad LDF]]*Reactivos_[[#This Row],[Valor de referencia]]</f>
        <v>0</v>
      </c>
      <c r="W513" s="254"/>
      <c r="X513" s="255">
        <f>+Reactivos_[[#This Row],[Cantidad LDF&amp;MR]]*Reactivos_[[#This Row],[Valor de referencia]]</f>
        <v>0</v>
      </c>
      <c r="Y513" s="254"/>
      <c r="Z513" s="255">
        <f>+Reactivos_[[#This Row],[Cantidad RED LASE]]*Reactivos_[[#This Row],[Valor de referencia]]</f>
        <v>0</v>
      </c>
      <c r="AA513" s="254"/>
      <c r="AB513" s="255">
        <f>+Reactivos_[[#This Row],[Cantidad LANIA]]*Reactivos_[[#This Row],[Valor de referencia]]</f>
        <v>0</v>
      </c>
      <c r="AC513" s="254"/>
      <c r="AD513" s="255">
        <f>+Reactivos_[[#This Row],[Cantidad SPA]]*Reactivos_[[#This Row],[Valor de referencia]]</f>
        <v>0</v>
      </c>
      <c r="AE513" s="148" t="s">
        <v>76</v>
      </c>
      <c r="AF513" s="310" t="s">
        <v>101</v>
      </c>
    </row>
    <row r="514" spans="1:32" ht="40.5" customHeight="1" x14ac:dyDescent="0.25">
      <c r="A514" s="294" t="str">
        <f>IF(B514=Reactivos_[[#This Row],[Cantidad LANIP]],"LANIP",IF(B514=Reactivos_[[#This Row],[Cantidad 
LDV]],"LDV",IF(B514=Reactivos_[[#This Row],[Cantidad LNDV]],"LNDV",IF(B514=Reactivos_[[#This Row],[GGCA]],"GGCA",IF(B514=Reactivos_[[#This Row],[Cantidad LDF]],"LDF",IF(Reactivos_[[#This Row],[Cantidad LDF&amp;MR]],"LDF&amp;MR",IF(B514=Reactivos_[[#This Row],[Cantidad RED LASE]],"LASE",IF(B514=Reactivos_[[#This Row],[Cantidad LANIA]],"LANIA",IF(B514=Reactivos_[[#This Row],[Cantidad SPA]],"SPA"," ")))))))))</f>
        <v>LNDV</v>
      </c>
      <c r="B51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14" s="325">
        <v>512</v>
      </c>
      <c r="D514" s="326">
        <v>744</v>
      </c>
      <c r="E514" s="245" t="s">
        <v>1472</v>
      </c>
      <c r="F514" s="244"/>
      <c r="G514" s="245"/>
      <c r="H514" s="328" t="s">
        <v>1473</v>
      </c>
      <c r="I514" s="336" t="s">
        <v>402</v>
      </c>
      <c r="J51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14" s="160">
        <v>1791307</v>
      </c>
      <c r="L514" s="160">
        <f>+Reactivos_[[#This Row],[Cantidad]]*Reactivos_[[#This Row],[Valor de referencia]]</f>
        <v>1791307</v>
      </c>
      <c r="M514" s="254">
        <v>0</v>
      </c>
      <c r="N514" s="255">
        <f>+Reactivos_[[#This Row],[Valor de referencia]]*Reactivos_[[#This Row],[Cantidad LANIP]]</f>
        <v>0</v>
      </c>
      <c r="O514" s="256"/>
      <c r="P514" s="255">
        <f>+Reactivos_[[#This Row],[Cantidad 
LDV]]*Reactivos_[[#This Row],[Valor de referencia]]</f>
        <v>0</v>
      </c>
      <c r="Q514" s="257">
        <v>1</v>
      </c>
      <c r="R514" s="255">
        <f>+Reactivos_[[#This Row],[Cantidad LNDV]]*Reactivos_[[#This Row],[Valor de referencia]]</f>
        <v>1791307</v>
      </c>
      <c r="S514" s="148"/>
      <c r="T514" s="255">
        <f>+Reactivos_[[#This Row],[GGCA]]*Reactivos_[[#This Row],[Valor de referencia]]</f>
        <v>0</v>
      </c>
      <c r="U514" s="254"/>
      <c r="V514" s="255">
        <f>+Reactivos_[[#This Row],[Cantidad LDF]]*Reactivos_[[#This Row],[Valor de referencia]]</f>
        <v>0</v>
      </c>
      <c r="W514" s="254"/>
      <c r="X514" s="255">
        <f>+Reactivos_[[#This Row],[Cantidad LDF&amp;MR]]*Reactivos_[[#This Row],[Valor de referencia]]</f>
        <v>0</v>
      </c>
      <c r="Y514" s="254"/>
      <c r="Z514" s="255">
        <f>+Reactivos_[[#This Row],[Cantidad RED LASE]]*Reactivos_[[#This Row],[Valor de referencia]]</f>
        <v>0</v>
      </c>
      <c r="AA514" s="254"/>
      <c r="AB514" s="255">
        <f>+Reactivos_[[#This Row],[Cantidad LANIA]]*Reactivos_[[#This Row],[Valor de referencia]]</f>
        <v>0</v>
      </c>
      <c r="AC514" s="254"/>
      <c r="AD514" s="255">
        <f>+Reactivos_[[#This Row],[Cantidad SPA]]*Reactivos_[[#This Row],[Valor de referencia]]</f>
        <v>0</v>
      </c>
      <c r="AE514" s="148" t="s">
        <v>76</v>
      </c>
      <c r="AF514" s="310" t="s">
        <v>101</v>
      </c>
    </row>
    <row r="515" spans="1:32" ht="31.5" customHeight="1" x14ac:dyDescent="0.25">
      <c r="A515" s="294" t="str">
        <f>IF(B515=Reactivos_[[#This Row],[Cantidad LANIP]],"LANIP",IF(B515=Reactivos_[[#This Row],[Cantidad 
LDV]],"LDV",IF(B515=Reactivos_[[#This Row],[Cantidad LNDV]],"LNDV",IF(B515=Reactivos_[[#This Row],[GGCA]],"GGCA",IF(B515=Reactivos_[[#This Row],[Cantidad LDF]],"LDF",IF(Reactivos_[[#This Row],[Cantidad LDF&amp;MR]],"LDF&amp;MR",IF(B515=Reactivos_[[#This Row],[Cantidad RED LASE]],"LASE",IF(B515=Reactivos_[[#This Row],[Cantidad LANIA]],"LANIA",IF(B515=Reactivos_[[#This Row],[Cantidad SPA]],"SPA"," ")))))))))</f>
        <v>LDF&amp;MR</v>
      </c>
      <c r="B51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515" s="325">
        <v>513</v>
      </c>
      <c r="D515" s="326">
        <v>746</v>
      </c>
      <c r="E515" s="376" t="s">
        <v>1474</v>
      </c>
      <c r="F515" s="244"/>
      <c r="G515" s="245"/>
      <c r="H515" s="377" t="s">
        <v>183</v>
      </c>
      <c r="I515" s="420" t="s">
        <v>1475</v>
      </c>
      <c r="J51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515" s="160">
        <v>24752</v>
      </c>
      <c r="L515" s="160">
        <f>+Reactivos_[[#This Row],[Cantidad]]*Reactivos_[[#This Row],[Valor de referencia]]</f>
        <v>74256</v>
      </c>
      <c r="M515" s="254">
        <v>0</v>
      </c>
      <c r="N515" s="255">
        <f>+Reactivos_[[#This Row],[Valor de referencia]]*Reactivos_[[#This Row],[Cantidad LANIP]]</f>
        <v>0</v>
      </c>
      <c r="O515" s="256"/>
      <c r="P515" s="255">
        <f>+Reactivos_[[#This Row],[Cantidad 
LDV]]*Reactivos_[[#This Row],[Valor de referencia]]</f>
        <v>0</v>
      </c>
      <c r="Q515" s="257"/>
      <c r="R515" s="255">
        <f>+Reactivos_[[#This Row],[Cantidad LNDV]]*Reactivos_[[#This Row],[Valor de referencia]]</f>
        <v>0</v>
      </c>
      <c r="S515" s="148"/>
      <c r="T515" s="255">
        <f>+Reactivos_[[#This Row],[GGCA]]*Reactivos_[[#This Row],[Valor de referencia]]</f>
        <v>0</v>
      </c>
      <c r="U515" s="254"/>
      <c r="V515" s="255">
        <f>+Reactivos_[[#This Row],[Cantidad LDF]]*Reactivos_[[#This Row],[Valor de referencia]]</f>
        <v>0</v>
      </c>
      <c r="W515" s="254">
        <v>3</v>
      </c>
      <c r="X515" s="255">
        <f>+Reactivos_[[#This Row],[Cantidad LDF&amp;MR]]*Reactivos_[[#This Row],[Valor de referencia]]</f>
        <v>74256</v>
      </c>
      <c r="Y515" s="254"/>
      <c r="Z515" s="255">
        <f>+Reactivos_[[#This Row],[Cantidad RED LASE]]*Reactivos_[[#This Row],[Valor de referencia]]</f>
        <v>0</v>
      </c>
      <c r="AA515" s="254"/>
      <c r="AB515" s="255">
        <f>+Reactivos_[[#This Row],[Cantidad LANIA]]*Reactivos_[[#This Row],[Valor de referencia]]</f>
        <v>0</v>
      </c>
      <c r="AC515" s="254"/>
      <c r="AD515" s="255">
        <f>+Reactivos_[[#This Row],[Cantidad SPA]]*Reactivos_[[#This Row],[Valor de referencia]]</f>
        <v>0</v>
      </c>
      <c r="AE515" s="148" t="s">
        <v>76</v>
      </c>
      <c r="AF515" s="148" t="s">
        <v>77</v>
      </c>
    </row>
    <row r="516" spans="1:32" ht="31.5" customHeight="1" x14ac:dyDescent="0.2">
      <c r="A516" s="294" t="str">
        <f>IF(B516=Reactivos_[[#This Row],[Cantidad LANIP]],"LANIP",IF(B516=Reactivos_[[#This Row],[Cantidad 
LDV]],"LDV",IF(B516=Reactivos_[[#This Row],[Cantidad LNDV]],"LNDV",IF(B516=Reactivos_[[#This Row],[GGCA]],"GGCA",IF(B516=Reactivos_[[#This Row],[Cantidad LDF]],"LDF",IF(Reactivos_[[#This Row],[Cantidad LDF&amp;MR]],"LDF&amp;MR",IF(B516=Reactivos_[[#This Row],[Cantidad RED LASE]],"LASE",IF(B516=Reactivos_[[#This Row],[Cantidad LANIA]],"LANIA",IF(B516=Reactivos_[[#This Row],[Cantidad SPA]],"SPA"," ")))))))))</f>
        <v>LDF&amp;MR</v>
      </c>
      <c r="B51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516" s="325">
        <v>514</v>
      </c>
      <c r="D516" s="326">
        <v>747</v>
      </c>
      <c r="E516" s="376" t="s">
        <v>1476</v>
      </c>
      <c r="F516" s="378"/>
      <c r="G516" s="245"/>
      <c r="H516" s="377" t="s">
        <v>183</v>
      </c>
      <c r="I516" s="340" t="s">
        <v>1477</v>
      </c>
      <c r="J51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516" s="160">
        <v>78897</v>
      </c>
      <c r="L516" s="160">
        <f>+Reactivos_[[#This Row],[Cantidad]]*Reactivos_[[#This Row],[Valor de referencia]]</f>
        <v>236691</v>
      </c>
      <c r="M516" s="254">
        <v>0</v>
      </c>
      <c r="N516" s="255">
        <f>+Reactivos_[[#This Row],[Valor de referencia]]*Reactivos_[[#This Row],[Cantidad LANIP]]</f>
        <v>0</v>
      </c>
      <c r="O516" s="256"/>
      <c r="P516" s="255">
        <f>+Reactivos_[[#This Row],[Cantidad 
LDV]]*Reactivos_[[#This Row],[Valor de referencia]]</f>
        <v>0</v>
      </c>
      <c r="Q516" s="257"/>
      <c r="R516" s="255">
        <f>+Reactivos_[[#This Row],[Cantidad LNDV]]*Reactivos_[[#This Row],[Valor de referencia]]</f>
        <v>0</v>
      </c>
      <c r="S516" s="148"/>
      <c r="T516" s="255">
        <f>+Reactivos_[[#This Row],[GGCA]]*Reactivos_[[#This Row],[Valor de referencia]]</f>
        <v>0</v>
      </c>
      <c r="U516" s="254"/>
      <c r="V516" s="255">
        <f>+Reactivos_[[#This Row],[Cantidad LDF]]*Reactivos_[[#This Row],[Valor de referencia]]</f>
        <v>0</v>
      </c>
      <c r="W516" s="254">
        <v>3</v>
      </c>
      <c r="X516" s="255">
        <f>+Reactivos_[[#This Row],[Cantidad LDF&amp;MR]]*Reactivos_[[#This Row],[Valor de referencia]]</f>
        <v>236691</v>
      </c>
      <c r="Y516" s="254"/>
      <c r="Z516" s="255">
        <f>+Reactivos_[[#This Row],[Cantidad RED LASE]]*Reactivos_[[#This Row],[Valor de referencia]]</f>
        <v>0</v>
      </c>
      <c r="AA516" s="254"/>
      <c r="AB516" s="255">
        <f>+Reactivos_[[#This Row],[Cantidad LANIA]]*Reactivos_[[#This Row],[Valor de referencia]]</f>
        <v>0</v>
      </c>
      <c r="AC516" s="254"/>
      <c r="AD516" s="255">
        <f>+Reactivos_[[#This Row],[Cantidad SPA]]*Reactivos_[[#This Row],[Valor de referencia]]</f>
        <v>0</v>
      </c>
      <c r="AE516" s="148" t="s">
        <v>76</v>
      </c>
      <c r="AF516" s="148" t="s">
        <v>77</v>
      </c>
    </row>
    <row r="517" spans="1:32" ht="29.25" customHeight="1" x14ac:dyDescent="0.2">
      <c r="A517" s="294" t="str">
        <f>IF(B517=Reactivos_[[#This Row],[Cantidad LANIP]],"LANIP",IF(B517=Reactivos_[[#This Row],[Cantidad 
LDV]],"LDV",IF(B517=Reactivos_[[#This Row],[Cantidad LNDV]],"LNDV",IF(B517=Reactivos_[[#This Row],[GGCA]],"GGCA",IF(B517=Reactivos_[[#This Row],[Cantidad LDF]],"LDF",IF(Reactivos_[[#This Row],[Cantidad LDF&amp;MR]],"LDF&amp;MR",IF(B517=Reactivos_[[#This Row],[Cantidad RED LASE]],"LASE",IF(B517=Reactivos_[[#This Row],[Cantidad LANIA]],"LANIA",IF(B517=Reactivos_[[#This Row],[Cantidad SPA]],"SPA"," ")))))))))</f>
        <v>LNDV</v>
      </c>
      <c r="B51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17" s="325">
        <v>515</v>
      </c>
      <c r="D517" s="326">
        <v>748</v>
      </c>
      <c r="E517" s="327" t="s">
        <v>1478</v>
      </c>
      <c r="F517" s="244" t="s">
        <v>1479</v>
      </c>
      <c r="G517" s="378" t="s">
        <v>1480</v>
      </c>
      <c r="H517" s="348" t="s">
        <v>1481</v>
      </c>
      <c r="I517" s="329" t="s">
        <v>650</v>
      </c>
      <c r="J51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17" s="160">
        <v>486393</v>
      </c>
      <c r="L517" s="160">
        <f>+Reactivos_[[#This Row],[Cantidad]]*Reactivos_[[#This Row],[Valor de referencia]]</f>
        <v>486393</v>
      </c>
      <c r="M517" s="254">
        <v>0</v>
      </c>
      <c r="N517" s="255">
        <f>+Reactivos_[[#This Row],[Valor de referencia]]*Reactivos_[[#This Row],[Cantidad LANIP]]</f>
        <v>0</v>
      </c>
      <c r="O517" s="256"/>
      <c r="P517" s="255">
        <f>+Reactivos_[[#This Row],[Cantidad 
LDV]]*Reactivos_[[#This Row],[Valor de referencia]]</f>
        <v>0</v>
      </c>
      <c r="Q517" s="257">
        <v>1</v>
      </c>
      <c r="R517" s="255">
        <f>+Reactivos_[[#This Row],[Cantidad LNDV]]*Reactivos_[[#This Row],[Valor de referencia]]</f>
        <v>486393</v>
      </c>
      <c r="S517" s="148"/>
      <c r="T517" s="255">
        <f>+Reactivos_[[#This Row],[GGCA]]*Reactivos_[[#This Row],[Valor de referencia]]</f>
        <v>0</v>
      </c>
      <c r="U517" s="254"/>
      <c r="V517" s="255">
        <f>+Reactivos_[[#This Row],[Cantidad LDF]]*Reactivos_[[#This Row],[Valor de referencia]]</f>
        <v>0</v>
      </c>
      <c r="W517" s="254"/>
      <c r="X517" s="255">
        <f>+Reactivos_[[#This Row],[Cantidad LDF&amp;MR]]*Reactivos_[[#This Row],[Valor de referencia]]</f>
        <v>0</v>
      </c>
      <c r="Y517" s="254"/>
      <c r="Z517" s="255">
        <f>+Reactivos_[[#This Row],[Cantidad RED LASE]]*Reactivos_[[#This Row],[Valor de referencia]]</f>
        <v>0</v>
      </c>
      <c r="AA517" s="254"/>
      <c r="AB517" s="255">
        <f>+Reactivos_[[#This Row],[Cantidad LANIA]]*Reactivos_[[#This Row],[Valor de referencia]]</f>
        <v>0</v>
      </c>
      <c r="AC517" s="254"/>
      <c r="AD517" s="255">
        <f>+Reactivos_[[#This Row],[Cantidad SPA]]*Reactivos_[[#This Row],[Valor de referencia]]</f>
        <v>0</v>
      </c>
      <c r="AE517" s="148" t="s">
        <v>76</v>
      </c>
      <c r="AF517" s="148" t="s">
        <v>77</v>
      </c>
    </row>
    <row r="518" spans="1:32" ht="38.25" customHeight="1" x14ac:dyDescent="0.25">
      <c r="A518" s="294" t="str">
        <f>IF(B518=Reactivos_[[#This Row],[Cantidad LANIP]],"LANIP",IF(B518=Reactivos_[[#This Row],[Cantidad 
LDV]],"LDV",IF(B518=Reactivos_[[#This Row],[Cantidad LNDV]],"LNDV",IF(B518=Reactivos_[[#This Row],[GGCA]],"GGCA",IF(B518=Reactivos_[[#This Row],[Cantidad LDF]],"LDF",IF(Reactivos_[[#This Row],[Cantidad LDF&amp;MR]],"LDF&amp;MR",IF(B518=Reactivos_[[#This Row],[Cantidad RED LASE]],"LASE",IF(B518=Reactivos_[[#This Row],[Cantidad LANIA]],"LANIA",IF(B518=Reactivos_[[#This Row],[Cantidad SPA]],"SPA"," ")))))))))</f>
        <v>LNDV</v>
      </c>
      <c r="B51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518" s="325">
        <v>516</v>
      </c>
      <c r="D518" s="326">
        <v>749</v>
      </c>
      <c r="E518" s="327" t="s">
        <v>1482</v>
      </c>
      <c r="F518" s="244" t="s">
        <v>1479</v>
      </c>
      <c r="G518" s="327"/>
      <c r="H518" s="330" t="s">
        <v>1483</v>
      </c>
      <c r="I518" s="329" t="s">
        <v>107</v>
      </c>
      <c r="J51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K518" s="160">
        <v>579084</v>
      </c>
      <c r="L518" s="160">
        <f>+Reactivos_[[#This Row],[Cantidad]]*Reactivos_[[#This Row],[Valor de referencia]]</f>
        <v>11581680</v>
      </c>
      <c r="M518" s="254">
        <v>0</v>
      </c>
      <c r="N518" s="255">
        <f>+Reactivos_[[#This Row],[Valor de referencia]]*Reactivos_[[#This Row],[Cantidad LANIP]]</f>
        <v>0</v>
      </c>
      <c r="O518" s="256"/>
      <c r="P518" s="255">
        <f>+Reactivos_[[#This Row],[Cantidad 
LDV]]*Reactivos_[[#This Row],[Valor de referencia]]</f>
        <v>0</v>
      </c>
      <c r="Q518" s="257">
        <v>20</v>
      </c>
      <c r="R518" s="255">
        <f>+Reactivos_[[#This Row],[Cantidad LNDV]]*Reactivos_[[#This Row],[Valor de referencia]]</f>
        <v>11581680</v>
      </c>
      <c r="S518" s="148"/>
      <c r="T518" s="255">
        <f>+Reactivos_[[#This Row],[GGCA]]*Reactivos_[[#This Row],[Valor de referencia]]</f>
        <v>0</v>
      </c>
      <c r="U518" s="254"/>
      <c r="V518" s="255">
        <f>+Reactivos_[[#This Row],[Cantidad LDF]]*Reactivos_[[#This Row],[Valor de referencia]]</f>
        <v>0</v>
      </c>
      <c r="W518" s="254"/>
      <c r="X518" s="255">
        <f>+Reactivos_[[#This Row],[Cantidad LDF&amp;MR]]*Reactivos_[[#This Row],[Valor de referencia]]</f>
        <v>0</v>
      </c>
      <c r="Y518" s="254"/>
      <c r="Z518" s="255">
        <f>+Reactivos_[[#This Row],[Cantidad RED LASE]]*Reactivos_[[#This Row],[Valor de referencia]]</f>
        <v>0</v>
      </c>
      <c r="AA518" s="254"/>
      <c r="AB518" s="255">
        <f>+Reactivos_[[#This Row],[Cantidad LANIA]]*Reactivos_[[#This Row],[Valor de referencia]]</f>
        <v>0</v>
      </c>
      <c r="AC518" s="254"/>
      <c r="AD518" s="255">
        <f>+Reactivos_[[#This Row],[Cantidad SPA]]*Reactivos_[[#This Row],[Valor de referencia]]</f>
        <v>0</v>
      </c>
      <c r="AE518" s="148" t="s">
        <v>76</v>
      </c>
      <c r="AF518" s="148" t="s">
        <v>77</v>
      </c>
    </row>
    <row r="519" spans="1:32" ht="30.75" customHeight="1" x14ac:dyDescent="0.25">
      <c r="A519" s="294" t="str">
        <f>IF(B519=Reactivos_[[#This Row],[Cantidad LANIP]],"LANIP",IF(B519=Reactivos_[[#This Row],[Cantidad 
LDV]],"LDV",IF(B519=Reactivos_[[#This Row],[Cantidad LNDV]],"LNDV",IF(B519=Reactivos_[[#This Row],[GGCA]],"GGCA",IF(B519=Reactivos_[[#This Row],[Cantidad LDF]],"LDF",IF(Reactivos_[[#This Row],[Cantidad LDF&amp;MR]],"LDF&amp;MR",IF(B519=Reactivos_[[#This Row],[Cantidad RED LASE]],"LASE",IF(B519=Reactivos_[[#This Row],[Cantidad LANIA]],"LANIA",IF(B519=Reactivos_[[#This Row],[Cantidad SPA]],"SPA"," ")))))))))</f>
        <v>LNDV</v>
      </c>
      <c r="B51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19" s="325">
        <v>517</v>
      </c>
      <c r="D519" s="326">
        <v>751</v>
      </c>
      <c r="E519" s="327" t="s">
        <v>1484</v>
      </c>
      <c r="F519" s="244"/>
      <c r="G519" s="245"/>
      <c r="H519" s="330" t="s">
        <v>567</v>
      </c>
      <c r="I519" s="148" t="s">
        <v>1221</v>
      </c>
      <c r="J51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19" s="160">
        <v>824511</v>
      </c>
      <c r="L519" s="160">
        <f>+Reactivos_[[#This Row],[Cantidad]]*Reactivos_[[#This Row],[Valor de referencia]]</f>
        <v>824511</v>
      </c>
      <c r="M519" s="254">
        <v>0</v>
      </c>
      <c r="N519" s="255">
        <f>+Reactivos_[[#This Row],[Valor de referencia]]*Reactivos_[[#This Row],[Cantidad LANIP]]</f>
        <v>0</v>
      </c>
      <c r="O519" s="256"/>
      <c r="P519" s="255">
        <f>+Reactivos_[[#This Row],[Cantidad 
LDV]]*Reactivos_[[#This Row],[Valor de referencia]]</f>
        <v>0</v>
      </c>
      <c r="Q519" s="257">
        <v>1</v>
      </c>
      <c r="R519" s="255">
        <f>+Reactivos_[[#This Row],[Cantidad LNDV]]*Reactivos_[[#This Row],[Valor de referencia]]</f>
        <v>824511</v>
      </c>
      <c r="S519" s="148"/>
      <c r="T519" s="255">
        <f>+Reactivos_[[#This Row],[GGCA]]*Reactivos_[[#This Row],[Valor de referencia]]</f>
        <v>0</v>
      </c>
      <c r="U519" s="254"/>
      <c r="V519" s="255">
        <f>+Reactivos_[[#This Row],[Cantidad LDF]]*Reactivos_[[#This Row],[Valor de referencia]]</f>
        <v>0</v>
      </c>
      <c r="W519" s="254"/>
      <c r="X519" s="255">
        <f>+Reactivos_[[#This Row],[Cantidad LDF&amp;MR]]*Reactivos_[[#This Row],[Valor de referencia]]</f>
        <v>0</v>
      </c>
      <c r="Y519" s="254"/>
      <c r="Z519" s="255">
        <f>+Reactivos_[[#This Row],[Cantidad RED LASE]]*Reactivos_[[#This Row],[Valor de referencia]]</f>
        <v>0</v>
      </c>
      <c r="AA519" s="254"/>
      <c r="AB519" s="255">
        <f>+Reactivos_[[#This Row],[Cantidad LANIA]]*Reactivos_[[#This Row],[Valor de referencia]]</f>
        <v>0</v>
      </c>
      <c r="AC519" s="254"/>
      <c r="AD519" s="255">
        <f>+Reactivos_[[#This Row],[Cantidad SPA]]*Reactivos_[[#This Row],[Valor de referencia]]</f>
        <v>0</v>
      </c>
      <c r="AE519" s="148" t="s">
        <v>76</v>
      </c>
      <c r="AF519" s="148" t="s">
        <v>77</v>
      </c>
    </row>
    <row r="520" spans="1:32" ht="38.25" customHeight="1" x14ac:dyDescent="0.2">
      <c r="A520" s="294" t="str">
        <f>IF(B520=Reactivos_[[#This Row],[Cantidad LANIP]],"LANIP",IF(B520=Reactivos_[[#This Row],[Cantidad 
LDV]],"LDV",IF(B520=Reactivos_[[#This Row],[Cantidad LNDV]],"LNDV",IF(B520=Reactivos_[[#This Row],[GGCA]],"GGCA",IF(B520=Reactivos_[[#This Row],[Cantidad LDF]],"LDF",IF(Reactivos_[[#This Row],[Cantidad LDF&amp;MR]],"LDF&amp;MR",IF(B520=Reactivos_[[#This Row],[Cantidad RED LASE]],"LASE",IF(B520=Reactivos_[[#This Row],[Cantidad LANIA]],"LANIA",IF(B520=Reactivos_[[#This Row],[Cantidad SPA]],"SPA"," ")))))))))</f>
        <v>LANIA</v>
      </c>
      <c r="B52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20" s="325">
        <v>518</v>
      </c>
      <c r="D520" s="326">
        <v>754</v>
      </c>
      <c r="E520" s="358" t="s">
        <v>1485</v>
      </c>
      <c r="F520" s="350"/>
      <c r="G520" s="321"/>
      <c r="H520" s="373" t="s">
        <v>1486</v>
      </c>
      <c r="I520" s="347" t="s">
        <v>596</v>
      </c>
      <c r="J52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20" s="160">
        <v>892489</v>
      </c>
      <c r="L520" s="160">
        <f>+Reactivos_[[#This Row],[Cantidad]]*Reactivos_[[#This Row],[Valor de referencia]]</f>
        <v>892489</v>
      </c>
      <c r="M520" s="254">
        <v>0</v>
      </c>
      <c r="N520" s="255">
        <f>+Reactivos_[[#This Row],[Valor de referencia]]*Reactivos_[[#This Row],[Cantidad LANIP]]</f>
        <v>0</v>
      </c>
      <c r="O520" s="256">
        <v>0</v>
      </c>
      <c r="P520" s="255">
        <f>+Reactivos_[[#This Row],[Cantidad 
LDV]]*Reactivos_[[#This Row],[Valor de referencia]]</f>
        <v>0</v>
      </c>
      <c r="Q520" s="257"/>
      <c r="R520" s="255">
        <f>+Reactivos_[[#This Row],[Cantidad LNDV]]*Reactivos_[[#This Row],[Valor de referencia]]</f>
        <v>0</v>
      </c>
      <c r="S520" s="148"/>
      <c r="T520" s="255">
        <f>+Reactivos_[[#This Row],[GGCA]]*Reactivos_[[#This Row],[Valor de referencia]]</f>
        <v>0</v>
      </c>
      <c r="U520" s="254"/>
      <c r="V520" s="255">
        <f>+Reactivos_[[#This Row],[Cantidad LDF]]*Reactivos_[[#This Row],[Valor de referencia]]</f>
        <v>0</v>
      </c>
      <c r="W520" s="254"/>
      <c r="X520" s="255">
        <f>+Reactivos_[[#This Row],[Cantidad LDF&amp;MR]]*Reactivos_[[#This Row],[Valor de referencia]]</f>
        <v>0</v>
      </c>
      <c r="Y520" s="254"/>
      <c r="Z520" s="255">
        <f>+Reactivos_[[#This Row],[Cantidad RED LASE]]*Reactivos_[[#This Row],[Valor de referencia]]</f>
        <v>0</v>
      </c>
      <c r="AA520" s="254">
        <v>1</v>
      </c>
      <c r="AB520" s="255">
        <f>+Reactivos_[[#This Row],[Cantidad LANIA]]*Reactivos_[[#This Row],[Valor de referencia]]</f>
        <v>892489</v>
      </c>
      <c r="AC520" s="254"/>
      <c r="AD520" s="255">
        <f>+Reactivos_[[#This Row],[Cantidad SPA]]*Reactivos_[[#This Row],[Valor de referencia]]</f>
        <v>0</v>
      </c>
      <c r="AE520" s="148" t="s">
        <v>76</v>
      </c>
      <c r="AF520" s="148" t="s">
        <v>77</v>
      </c>
    </row>
    <row r="521" spans="1:32" ht="36" customHeight="1" x14ac:dyDescent="0.2">
      <c r="A521" s="294" t="str">
        <f>IF(B521=Reactivos_[[#This Row],[Cantidad LANIP]],"LANIP",IF(B521=Reactivos_[[#This Row],[Cantidad 
LDV]],"LDV",IF(B521=Reactivos_[[#This Row],[Cantidad LNDV]],"LNDV",IF(B521=Reactivos_[[#This Row],[GGCA]],"GGCA",IF(B521=Reactivos_[[#This Row],[Cantidad LDF]],"LDF",IF(Reactivos_[[#This Row],[Cantidad LDF&amp;MR]],"LDF&amp;MR",IF(B521=Reactivos_[[#This Row],[Cantidad RED LASE]],"LASE",IF(B521=Reactivos_[[#This Row],[Cantidad LANIA]],"LANIA",IF(B521=Reactivos_[[#This Row],[Cantidad SPA]],"SPA"," ")))))))))</f>
        <v>LANIA</v>
      </c>
      <c r="B52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21" s="325">
        <v>519</v>
      </c>
      <c r="D521" s="326">
        <v>755</v>
      </c>
      <c r="E521" s="358" t="s">
        <v>1487</v>
      </c>
      <c r="F521" s="350"/>
      <c r="G521" s="321"/>
      <c r="H521" s="373" t="s">
        <v>1488</v>
      </c>
      <c r="I521" s="347" t="s">
        <v>596</v>
      </c>
      <c r="J52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21" s="160">
        <v>773500</v>
      </c>
      <c r="L521" s="160">
        <f>+Reactivos_[[#This Row],[Cantidad]]*Reactivos_[[#This Row],[Valor de referencia]]</f>
        <v>773500</v>
      </c>
      <c r="M521" s="254">
        <v>0</v>
      </c>
      <c r="N521" s="255">
        <f>+Reactivos_[[#This Row],[Valor de referencia]]*Reactivos_[[#This Row],[Cantidad LANIP]]</f>
        <v>0</v>
      </c>
      <c r="O521" s="256"/>
      <c r="P521" s="255">
        <f>+Reactivos_[[#This Row],[Cantidad 
LDV]]*Reactivos_[[#This Row],[Valor de referencia]]</f>
        <v>0</v>
      </c>
      <c r="Q521" s="257"/>
      <c r="R521" s="255">
        <f>+Reactivos_[[#This Row],[Cantidad LNDV]]*Reactivos_[[#This Row],[Valor de referencia]]</f>
        <v>0</v>
      </c>
      <c r="S521" s="148"/>
      <c r="T521" s="255">
        <f>+Reactivos_[[#This Row],[GGCA]]*Reactivos_[[#This Row],[Valor de referencia]]</f>
        <v>0</v>
      </c>
      <c r="U521" s="254"/>
      <c r="V521" s="255">
        <f>+Reactivos_[[#This Row],[Cantidad LDF]]*Reactivos_[[#This Row],[Valor de referencia]]</f>
        <v>0</v>
      </c>
      <c r="W521" s="254"/>
      <c r="X521" s="255">
        <f>+Reactivos_[[#This Row],[Cantidad LDF&amp;MR]]*Reactivos_[[#This Row],[Valor de referencia]]</f>
        <v>0</v>
      </c>
      <c r="Y521" s="254"/>
      <c r="Z521" s="255">
        <f>+Reactivos_[[#This Row],[Cantidad RED LASE]]*Reactivos_[[#This Row],[Valor de referencia]]</f>
        <v>0</v>
      </c>
      <c r="AA521" s="254">
        <v>1</v>
      </c>
      <c r="AB521" s="255">
        <f>+Reactivos_[[#This Row],[Cantidad LANIA]]*Reactivos_[[#This Row],[Valor de referencia]]</f>
        <v>773500</v>
      </c>
      <c r="AC521" s="254"/>
      <c r="AD521" s="255">
        <f>+Reactivos_[[#This Row],[Cantidad SPA]]*Reactivos_[[#This Row],[Valor de referencia]]</f>
        <v>0</v>
      </c>
      <c r="AE521" s="148" t="s">
        <v>76</v>
      </c>
      <c r="AF521" s="148" t="s">
        <v>77</v>
      </c>
    </row>
    <row r="522" spans="1:32" ht="38.25" x14ac:dyDescent="0.25">
      <c r="A522" s="294" t="str">
        <f>IF(B522=Reactivos_[[#This Row],[Cantidad LANIP]],"LANIP",IF(B522=Reactivos_[[#This Row],[Cantidad 
LDV]],"LDV",IF(B522=Reactivos_[[#This Row],[Cantidad LNDV]],"LNDV",IF(B522=Reactivos_[[#This Row],[GGCA]],"GGCA",IF(B522=Reactivos_[[#This Row],[Cantidad LDF]],"LDF",IF(Reactivos_[[#This Row],[Cantidad LDF&amp;MR]],"LDF&amp;MR",IF(B522=Reactivos_[[#This Row],[Cantidad RED LASE]],"LASE",IF(B522=Reactivos_[[#This Row],[Cantidad LANIA]],"LANIA",IF(B522=Reactivos_[[#This Row],[Cantidad SPA]],"SPA"," ")))))))))</f>
        <v>LDF&amp;MR</v>
      </c>
      <c r="B52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22" s="325">
        <v>520</v>
      </c>
      <c r="D522" s="326">
        <v>756</v>
      </c>
      <c r="E522" s="245" t="s">
        <v>1489</v>
      </c>
      <c r="F522" s="244"/>
      <c r="G522" s="245"/>
      <c r="H522" s="349" t="s">
        <v>1490</v>
      </c>
      <c r="I522" s="336" t="s">
        <v>1491</v>
      </c>
      <c r="J52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22" s="160">
        <v>1834832</v>
      </c>
      <c r="L522" s="160">
        <f>+Reactivos_[[#This Row],[Cantidad]]*Reactivos_[[#This Row],[Valor de referencia]]</f>
        <v>1834832</v>
      </c>
      <c r="M522" s="254">
        <v>0</v>
      </c>
      <c r="N522" s="255">
        <f>+Reactivos_[[#This Row],[Valor de referencia]]*Reactivos_[[#This Row],[Cantidad LANIP]]</f>
        <v>0</v>
      </c>
      <c r="O522" s="256"/>
      <c r="P522" s="255">
        <f>+Reactivos_[[#This Row],[Cantidad 
LDV]]*Reactivos_[[#This Row],[Valor de referencia]]</f>
        <v>0</v>
      </c>
      <c r="Q522" s="257"/>
      <c r="R522" s="255">
        <f>+Reactivos_[[#This Row],[Cantidad LNDV]]*Reactivos_[[#This Row],[Valor de referencia]]</f>
        <v>0</v>
      </c>
      <c r="S522" s="148"/>
      <c r="T522" s="255">
        <f>+Reactivos_[[#This Row],[GGCA]]*Reactivos_[[#This Row],[Valor de referencia]]</f>
        <v>0</v>
      </c>
      <c r="U522" s="254"/>
      <c r="V522" s="255">
        <f>+Reactivos_[[#This Row],[Cantidad LDF]]*Reactivos_[[#This Row],[Valor de referencia]]</f>
        <v>0</v>
      </c>
      <c r="W522" s="254">
        <v>1</v>
      </c>
      <c r="X522" s="255">
        <f>+Reactivos_[[#This Row],[Cantidad LDF&amp;MR]]*Reactivos_[[#This Row],[Valor de referencia]]</f>
        <v>1834832</v>
      </c>
      <c r="Y522" s="254"/>
      <c r="Z522" s="255">
        <f>+Reactivos_[[#This Row],[Cantidad RED LASE]]*Reactivos_[[#This Row],[Valor de referencia]]</f>
        <v>0</v>
      </c>
      <c r="AA522" s="254"/>
      <c r="AB522" s="255">
        <f>+Reactivos_[[#This Row],[Cantidad LANIA]]*Reactivos_[[#This Row],[Valor de referencia]]</f>
        <v>0</v>
      </c>
      <c r="AC522" s="254"/>
      <c r="AD522" s="255">
        <f>+Reactivos_[[#This Row],[Cantidad SPA]]*Reactivos_[[#This Row],[Valor de referencia]]</f>
        <v>0</v>
      </c>
      <c r="AE522" s="148" t="s">
        <v>76</v>
      </c>
      <c r="AF522" s="148" t="s">
        <v>77</v>
      </c>
    </row>
    <row r="523" spans="1:32" ht="40.5" customHeight="1" x14ac:dyDescent="0.25">
      <c r="A523" s="294" t="str">
        <f>IF(B523=Reactivos_[[#This Row],[Cantidad LANIP]],"LANIP",IF(B523=Reactivos_[[#This Row],[Cantidad 
LDV]],"LDV",IF(B523=Reactivos_[[#This Row],[Cantidad LNDV]],"LNDV",IF(B523=Reactivos_[[#This Row],[GGCA]],"GGCA",IF(B523=Reactivos_[[#This Row],[Cantidad LDF]],"LDF",IF(Reactivos_[[#This Row],[Cantidad LDF&amp;MR]],"LDF&amp;MR",IF(B523=Reactivos_[[#This Row],[Cantidad RED LASE]],"LASE",IF(B523=Reactivos_[[#This Row],[Cantidad LANIA]],"LANIA",IF(B523=Reactivos_[[#This Row],[Cantidad SPA]],"SPA"," ")))))))))</f>
        <v>LDV</v>
      </c>
      <c r="B52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23" s="325">
        <v>521</v>
      </c>
      <c r="D523" s="326">
        <v>758</v>
      </c>
      <c r="E523" s="327" t="s">
        <v>1492</v>
      </c>
      <c r="F523" s="244"/>
      <c r="G523" s="327"/>
      <c r="H523" s="328" t="s">
        <v>103</v>
      </c>
      <c r="I523" s="329" t="s">
        <v>1493</v>
      </c>
      <c r="J52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23" s="160">
        <v>186304</v>
      </c>
      <c r="L523" s="160">
        <f>+Reactivos_[[#This Row],[Cantidad]]*Reactivos_[[#This Row],[Valor de referencia]]</f>
        <v>186304</v>
      </c>
      <c r="M523" s="254">
        <v>0</v>
      </c>
      <c r="N523" s="255">
        <f>+Reactivos_[[#This Row],[Valor de referencia]]*Reactivos_[[#This Row],[Cantidad LANIP]]</f>
        <v>0</v>
      </c>
      <c r="O523" s="256">
        <v>1</v>
      </c>
      <c r="P523" s="255">
        <f>+Reactivos_[[#This Row],[Cantidad 
LDV]]*Reactivos_[[#This Row],[Valor de referencia]]</f>
        <v>186304</v>
      </c>
      <c r="Q523" s="257"/>
      <c r="R523" s="255">
        <f>+Reactivos_[[#This Row],[Cantidad LNDV]]*Reactivos_[[#This Row],[Valor de referencia]]</f>
        <v>0</v>
      </c>
      <c r="S523" s="148"/>
      <c r="T523" s="255">
        <f>+Reactivos_[[#This Row],[GGCA]]*Reactivos_[[#This Row],[Valor de referencia]]</f>
        <v>0</v>
      </c>
      <c r="U523" s="254"/>
      <c r="V523" s="255">
        <f>+Reactivos_[[#This Row],[Cantidad LDF]]*Reactivos_[[#This Row],[Valor de referencia]]</f>
        <v>0</v>
      </c>
      <c r="W523" s="254"/>
      <c r="X523" s="255">
        <f>+Reactivos_[[#This Row],[Cantidad LDF&amp;MR]]*Reactivos_[[#This Row],[Valor de referencia]]</f>
        <v>0</v>
      </c>
      <c r="Y523" s="254"/>
      <c r="Z523" s="255">
        <f>+Reactivos_[[#This Row],[Cantidad RED LASE]]*Reactivos_[[#This Row],[Valor de referencia]]</f>
        <v>0</v>
      </c>
      <c r="AA523" s="254"/>
      <c r="AB523" s="255">
        <f>+Reactivos_[[#This Row],[Cantidad LANIA]]*Reactivos_[[#This Row],[Valor de referencia]]</f>
        <v>0</v>
      </c>
      <c r="AC523" s="254"/>
      <c r="AD523" s="255">
        <f>+Reactivos_[[#This Row],[Cantidad SPA]]*Reactivos_[[#This Row],[Valor de referencia]]</f>
        <v>0</v>
      </c>
      <c r="AE523" s="148" t="s">
        <v>76</v>
      </c>
      <c r="AF523" s="148" t="s">
        <v>77</v>
      </c>
    </row>
    <row r="524" spans="1:32" ht="43.5" customHeight="1" x14ac:dyDescent="0.25">
      <c r="A524" s="294" t="str">
        <f>IF(B524=Reactivos_[[#This Row],[Cantidad LANIP]],"LANIP",IF(B524=Reactivos_[[#This Row],[Cantidad 
LDV]],"LDV",IF(B524=Reactivos_[[#This Row],[Cantidad LNDV]],"LNDV",IF(B524=Reactivos_[[#This Row],[GGCA]],"GGCA",IF(B524=Reactivos_[[#This Row],[Cantidad LDF]],"LDF",IF(Reactivos_[[#This Row],[Cantidad LDF&amp;MR]],"LDF&amp;MR",IF(B524=Reactivos_[[#This Row],[Cantidad RED LASE]],"LASE",IF(B524=Reactivos_[[#This Row],[Cantidad LANIA]],"LANIA",IF(B524=Reactivos_[[#This Row],[Cantidad SPA]],"SPA"," ")))))))))</f>
        <v>LNDV</v>
      </c>
      <c r="B52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C524" s="325">
        <v>522</v>
      </c>
      <c r="D524" s="326">
        <v>759</v>
      </c>
      <c r="E524" s="331" t="s">
        <v>1494</v>
      </c>
      <c r="F524" s="332"/>
      <c r="G524" s="331"/>
      <c r="H524" s="328" t="s">
        <v>1495</v>
      </c>
      <c r="I524" s="329" t="s">
        <v>1496</v>
      </c>
      <c r="J52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28</v>
      </c>
      <c r="K524" s="160">
        <v>11933713</v>
      </c>
      <c r="L524" s="160">
        <f>+Reactivos_[[#This Row],[Cantidad]]*Reactivos_[[#This Row],[Valor de referencia]]</f>
        <v>334143964</v>
      </c>
      <c r="M524" s="254">
        <v>0</v>
      </c>
      <c r="N524" s="255">
        <f>+Reactivos_[[#This Row],[Valor de referencia]]*Reactivos_[[#This Row],[Cantidad LANIP]]</f>
        <v>0</v>
      </c>
      <c r="O524" s="256">
        <v>13</v>
      </c>
      <c r="P524" s="255">
        <f>+Reactivos_[[#This Row],[Cantidad 
LDV]]*Reactivos_[[#This Row],[Valor de referencia]]</f>
        <v>155138269</v>
      </c>
      <c r="Q524" s="257">
        <v>15</v>
      </c>
      <c r="R524" s="255">
        <f>+Reactivos_[[#This Row],[Cantidad LNDV]]*Reactivos_[[#This Row],[Valor de referencia]]</f>
        <v>179005695</v>
      </c>
      <c r="S524" s="148"/>
      <c r="T524" s="255">
        <f>+Reactivos_[[#This Row],[GGCA]]*Reactivos_[[#This Row],[Valor de referencia]]</f>
        <v>0</v>
      </c>
      <c r="U524" s="254"/>
      <c r="V524" s="255">
        <f>+Reactivos_[[#This Row],[Cantidad LDF]]*Reactivos_[[#This Row],[Valor de referencia]]</f>
        <v>0</v>
      </c>
      <c r="W524" s="254"/>
      <c r="X524" s="255">
        <f>+Reactivos_[[#This Row],[Cantidad LDF&amp;MR]]*Reactivos_[[#This Row],[Valor de referencia]]</f>
        <v>0</v>
      </c>
      <c r="Y524" s="254"/>
      <c r="Z524" s="255">
        <f>+Reactivos_[[#This Row],[Cantidad RED LASE]]*Reactivos_[[#This Row],[Valor de referencia]]</f>
        <v>0</v>
      </c>
      <c r="AA524" s="254"/>
      <c r="AB524" s="255">
        <f>+Reactivos_[[#This Row],[Cantidad LANIA]]*Reactivos_[[#This Row],[Valor de referencia]]</f>
        <v>0</v>
      </c>
      <c r="AC524" s="254"/>
      <c r="AD524" s="255">
        <f>+Reactivos_[[#This Row],[Cantidad SPA]]*Reactivos_[[#This Row],[Valor de referencia]]</f>
        <v>0</v>
      </c>
      <c r="AE524" s="148" t="s">
        <v>76</v>
      </c>
      <c r="AF524" s="148" t="s">
        <v>77</v>
      </c>
    </row>
    <row r="525" spans="1:32" ht="40.5" customHeight="1" x14ac:dyDescent="0.25">
      <c r="A525" s="294" t="str">
        <f>IF(B525=Reactivos_[[#This Row],[Cantidad LANIP]],"LANIP",IF(B525=Reactivos_[[#This Row],[Cantidad 
LDV]],"LDV",IF(B525=Reactivos_[[#This Row],[Cantidad LNDV]],"LNDV",IF(B525=Reactivos_[[#This Row],[GGCA]],"GGCA",IF(B525=Reactivos_[[#This Row],[Cantidad LDF]],"LDF",IF(Reactivos_[[#This Row],[Cantidad LDF&amp;MR]],"LDF&amp;MR",IF(B525=Reactivos_[[#This Row],[Cantidad RED LASE]],"LASE",IF(B525=Reactivos_[[#This Row],[Cantidad LANIA]],"LANIA",IF(B525=Reactivos_[[#This Row],[Cantidad SPA]],"SPA"," ")))))))))</f>
        <v>LNDV</v>
      </c>
      <c r="B52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525" s="325">
        <v>523</v>
      </c>
      <c r="D525" s="326">
        <v>760</v>
      </c>
      <c r="E525" s="327" t="s">
        <v>1497</v>
      </c>
      <c r="F525" s="244"/>
      <c r="G525" s="327"/>
      <c r="H525" s="328" t="s">
        <v>1498</v>
      </c>
      <c r="I525" s="329" t="s">
        <v>1394</v>
      </c>
      <c r="J52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525" s="160">
        <v>3599182</v>
      </c>
      <c r="L525" s="160">
        <f>+Reactivos_[[#This Row],[Cantidad]]*Reactivos_[[#This Row],[Valor de referencia]]</f>
        <v>35991820</v>
      </c>
      <c r="M525" s="254">
        <v>0</v>
      </c>
      <c r="N525" s="255">
        <f>+Reactivos_[[#This Row],[Valor de referencia]]*Reactivos_[[#This Row],[Cantidad LANIP]]</f>
        <v>0</v>
      </c>
      <c r="O525" s="256"/>
      <c r="P525" s="255">
        <f>+Reactivos_[[#This Row],[Cantidad 
LDV]]*Reactivos_[[#This Row],[Valor de referencia]]</f>
        <v>0</v>
      </c>
      <c r="Q525" s="257">
        <v>10</v>
      </c>
      <c r="R525" s="255">
        <f>+Reactivos_[[#This Row],[Cantidad LNDV]]*Reactivos_[[#This Row],[Valor de referencia]]</f>
        <v>35991820</v>
      </c>
      <c r="S525" s="148"/>
      <c r="T525" s="255">
        <f>+Reactivos_[[#This Row],[GGCA]]*Reactivos_[[#This Row],[Valor de referencia]]</f>
        <v>0</v>
      </c>
      <c r="U525" s="254"/>
      <c r="V525" s="255">
        <f>+Reactivos_[[#This Row],[Cantidad LDF]]*Reactivos_[[#This Row],[Valor de referencia]]</f>
        <v>0</v>
      </c>
      <c r="W525" s="254"/>
      <c r="X525" s="255">
        <f>+Reactivos_[[#This Row],[Cantidad LDF&amp;MR]]*Reactivos_[[#This Row],[Valor de referencia]]</f>
        <v>0</v>
      </c>
      <c r="Y525" s="254"/>
      <c r="Z525" s="255">
        <f>+Reactivos_[[#This Row],[Cantidad RED LASE]]*Reactivos_[[#This Row],[Valor de referencia]]</f>
        <v>0</v>
      </c>
      <c r="AA525" s="254"/>
      <c r="AB525" s="255">
        <f>+Reactivos_[[#This Row],[Cantidad LANIA]]*Reactivos_[[#This Row],[Valor de referencia]]</f>
        <v>0</v>
      </c>
      <c r="AC525" s="254"/>
      <c r="AD525" s="255">
        <f>+Reactivos_[[#This Row],[Cantidad SPA]]*Reactivos_[[#This Row],[Valor de referencia]]</f>
        <v>0</v>
      </c>
      <c r="AE525" s="148" t="s">
        <v>76</v>
      </c>
      <c r="AF525" s="148" t="s">
        <v>77</v>
      </c>
    </row>
    <row r="526" spans="1:32" ht="25.5" x14ac:dyDescent="0.25">
      <c r="A526" s="294" t="str">
        <f>IF(B526=Reactivos_[[#This Row],[Cantidad LANIP]],"LANIP",IF(B526=Reactivos_[[#This Row],[Cantidad 
LDV]],"LDV",IF(B526=Reactivos_[[#This Row],[Cantidad LNDV]],"LNDV",IF(B526=Reactivos_[[#This Row],[GGCA]],"GGCA",IF(B526=Reactivos_[[#This Row],[Cantidad LDF]],"LDF",IF(Reactivos_[[#This Row],[Cantidad LDF&amp;MR]],"LDF&amp;MR",IF(B526=Reactivos_[[#This Row],[Cantidad RED LASE]],"LASE",IF(B526=Reactivos_[[#This Row],[Cantidad LANIA]],"LANIA",IF(B526=Reactivos_[[#This Row],[Cantidad SPA]],"SPA"," ")))))))))</f>
        <v>LNDV</v>
      </c>
      <c r="B52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26" s="325">
        <v>524</v>
      </c>
      <c r="D526" s="326">
        <v>764</v>
      </c>
      <c r="E526" s="245" t="s">
        <v>1499</v>
      </c>
      <c r="F526" s="244"/>
      <c r="G526" s="245"/>
      <c r="H526" s="346" t="s">
        <v>1500</v>
      </c>
      <c r="I526" s="416" t="s">
        <v>1501</v>
      </c>
      <c r="J52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26" s="160">
        <v>1044820</v>
      </c>
      <c r="L526" s="160">
        <f>+Reactivos_[[#This Row],[Cantidad]]*Reactivos_[[#This Row],[Valor de referencia]]</f>
        <v>1044820</v>
      </c>
      <c r="M526" s="254">
        <v>0</v>
      </c>
      <c r="N526" s="255">
        <f>+Reactivos_[[#This Row],[Valor de referencia]]*Reactivos_[[#This Row],[Cantidad LANIP]]</f>
        <v>0</v>
      </c>
      <c r="O526" s="256"/>
      <c r="P526" s="255">
        <f>+Reactivos_[[#This Row],[Cantidad 
LDV]]*Reactivos_[[#This Row],[Valor de referencia]]</f>
        <v>0</v>
      </c>
      <c r="Q526" s="257">
        <v>1</v>
      </c>
      <c r="R526" s="255">
        <f>+Reactivos_[[#This Row],[Cantidad LNDV]]*Reactivos_[[#This Row],[Valor de referencia]]</f>
        <v>1044820</v>
      </c>
      <c r="S526" s="148"/>
      <c r="T526" s="255">
        <f>+Reactivos_[[#This Row],[GGCA]]*Reactivos_[[#This Row],[Valor de referencia]]</f>
        <v>0</v>
      </c>
      <c r="U526" s="254"/>
      <c r="V526" s="255">
        <f>+Reactivos_[[#This Row],[Cantidad LDF]]*Reactivos_[[#This Row],[Valor de referencia]]</f>
        <v>0</v>
      </c>
      <c r="W526" s="254"/>
      <c r="X526" s="255">
        <f>+Reactivos_[[#This Row],[Cantidad LDF&amp;MR]]*Reactivos_[[#This Row],[Valor de referencia]]</f>
        <v>0</v>
      </c>
      <c r="Y526" s="254"/>
      <c r="Z526" s="255">
        <f>+Reactivos_[[#This Row],[Cantidad RED LASE]]*Reactivos_[[#This Row],[Valor de referencia]]</f>
        <v>0</v>
      </c>
      <c r="AA526" s="254"/>
      <c r="AB526" s="255">
        <f>+Reactivos_[[#This Row],[Cantidad LANIA]]*Reactivos_[[#This Row],[Valor de referencia]]</f>
        <v>0</v>
      </c>
      <c r="AC526" s="254"/>
      <c r="AD526" s="255">
        <f>+Reactivos_[[#This Row],[Cantidad SPA]]*Reactivos_[[#This Row],[Valor de referencia]]</f>
        <v>0</v>
      </c>
      <c r="AE526" s="148" t="s">
        <v>76</v>
      </c>
      <c r="AF526" s="148" t="s">
        <v>77</v>
      </c>
    </row>
    <row r="527" spans="1:32" ht="22.5" customHeight="1" x14ac:dyDescent="0.25">
      <c r="A527" s="294" t="str">
        <f>IF(B527=Reactivos_[[#This Row],[Cantidad LANIP]],"LANIP",IF(B527=Reactivos_[[#This Row],[Cantidad 
LDV]],"LDV",IF(B527=Reactivos_[[#This Row],[Cantidad LNDV]],"LNDV",IF(B527=Reactivos_[[#This Row],[GGCA]],"GGCA",IF(B527=Reactivos_[[#This Row],[Cantidad LDF]],"LDF",IF(Reactivos_[[#This Row],[Cantidad LDF&amp;MR]],"LDF&amp;MR",IF(B527=Reactivos_[[#This Row],[Cantidad RED LASE]],"LASE",IF(B527=Reactivos_[[#This Row],[Cantidad LANIA]],"LANIA",IF(B527=Reactivos_[[#This Row],[Cantidad SPA]],"SPA"," ")))))))))</f>
        <v>LDV</v>
      </c>
      <c r="B52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27" s="325">
        <v>525</v>
      </c>
      <c r="D527" s="326">
        <v>765</v>
      </c>
      <c r="E527" s="331" t="s">
        <v>1502</v>
      </c>
      <c r="F527" s="332" t="s">
        <v>1503</v>
      </c>
      <c r="G527" s="331" t="s">
        <v>1504</v>
      </c>
      <c r="H527" s="348" t="s">
        <v>1505</v>
      </c>
      <c r="I527" s="329" t="s">
        <v>1506</v>
      </c>
      <c r="J52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27" s="160">
        <v>1155680</v>
      </c>
      <c r="L527" s="160">
        <f>+Reactivos_[[#This Row],[Cantidad]]*Reactivos_[[#This Row],[Valor de referencia]]</f>
        <v>2311360</v>
      </c>
      <c r="M527" s="254">
        <v>0</v>
      </c>
      <c r="N527" s="255">
        <f>+Reactivos_[[#This Row],[Valor de referencia]]*Reactivos_[[#This Row],[Cantidad LANIP]]</f>
        <v>0</v>
      </c>
      <c r="O527" s="256">
        <v>1</v>
      </c>
      <c r="P527" s="255">
        <f>+Reactivos_[[#This Row],[Cantidad 
LDV]]*Reactivos_[[#This Row],[Valor de referencia]]</f>
        <v>1155680</v>
      </c>
      <c r="Q527" s="257">
        <v>1</v>
      </c>
      <c r="R527" s="255">
        <f>+Reactivos_[[#This Row],[Cantidad LNDV]]*Reactivos_[[#This Row],[Valor de referencia]]</f>
        <v>1155680</v>
      </c>
      <c r="S527" s="148"/>
      <c r="T527" s="255">
        <f>+Reactivos_[[#This Row],[GGCA]]*Reactivos_[[#This Row],[Valor de referencia]]</f>
        <v>0</v>
      </c>
      <c r="U527" s="254"/>
      <c r="V527" s="255">
        <f>+Reactivos_[[#This Row],[Cantidad LDF]]*Reactivos_[[#This Row],[Valor de referencia]]</f>
        <v>0</v>
      </c>
      <c r="W527" s="254"/>
      <c r="X527" s="255">
        <f>+Reactivos_[[#This Row],[Cantidad LDF&amp;MR]]*Reactivos_[[#This Row],[Valor de referencia]]</f>
        <v>0</v>
      </c>
      <c r="Y527" s="254"/>
      <c r="Z527" s="255">
        <f>+Reactivos_[[#This Row],[Cantidad RED LASE]]*Reactivos_[[#This Row],[Valor de referencia]]</f>
        <v>0</v>
      </c>
      <c r="AA527" s="254"/>
      <c r="AB527" s="255">
        <f>+Reactivos_[[#This Row],[Cantidad LANIA]]*Reactivos_[[#This Row],[Valor de referencia]]</f>
        <v>0</v>
      </c>
      <c r="AC527" s="254"/>
      <c r="AD527" s="255">
        <f>+Reactivos_[[#This Row],[Cantidad SPA]]*Reactivos_[[#This Row],[Valor de referencia]]</f>
        <v>0</v>
      </c>
      <c r="AE527" s="148" t="s">
        <v>76</v>
      </c>
      <c r="AF527" s="148" t="s">
        <v>77</v>
      </c>
    </row>
    <row r="528" spans="1:32" ht="38.25" x14ac:dyDescent="0.25">
      <c r="A528" s="294" t="str">
        <f>IF(B528=Reactivos_[[#This Row],[Cantidad LANIP]],"LANIP",IF(B528=Reactivos_[[#This Row],[Cantidad 
LDV]],"LDV",IF(B528=Reactivos_[[#This Row],[Cantidad LNDV]],"LNDV",IF(B528=Reactivos_[[#This Row],[GGCA]],"GGCA",IF(B528=Reactivos_[[#This Row],[Cantidad LDF]],"LDF",IF(Reactivos_[[#This Row],[Cantidad LDF&amp;MR]],"LDF&amp;MR",IF(B528=Reactivos_[[#This Row],[Cantidad RED LASE]],"LASE",IF(B528=Reactivos_[[#This Row],[Cantidad LANIA]],"LANIA",IF(B528=Reactivos_[[#This Row],[Cantidad SPA]],"SPA"," ")))))))))</f>
        <v>LANIP</v>
      </c>
      <c r="B52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528" s="325">
        <v>526</v>
      </c>
      <c r="D528" s="326">
        <v>770</v>
      </c>
      <c r="E528" s="331" t="s">
        <v>1507</v>
      </c>
      <c r="F528" s="332"/>
      <c r="G528" s="331"/>
      <c r="H528" s="348" t="s">
        <v>1508</v>
      </c>
      <c r="I528" s="329" t="s">
        <v>139</v>
      </c>
      <c r="J52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528" s="160">
        <v>6936857</v>
      </c>
      <c r="L528" s="160">
        <f>+Reactivos_[[#This Row],[Cantidad]]*Reactivos_[[#This Row],[Valor de referencia]]</f>
        <v>27747428</v>
      </c>
      <c r="M528" s="254">
        <v>4</v>
      </c>
      <c r="N528" s="255">
        <f>+Reactivos_[[#This Row],[Valor de referencia]]*Reactivos_[[#This Row],[Cantidad LANIP]]</f>
        <v>27747428</v>
      </c>
      <c r="O528" s="256"/>
      <c r="P528" s="255">
        <f>+Reactivos_[[#This Row],[Cantidad 
LDV]]*Reactivos_[[#This Row],[Valor de referencia]]</f>
        <v>0</v>
      </c>
      <c r="Q528" s="257"/>
      <c r="R528" s="255">
        <f>+Reactivos_[[#This Row],[Cantidad LNDV]]*Reactivos_[[#This Row],[Valor de referencia]]</f>
        <v>0</v>
      </c>
      <c r="S528" s="148"/>
      <c r="T528" s="255">
        <f>+Reactivos_[[#This Row],[GGCA]]*Reactivos_[[#This Row],[Valor de referencia]]</f>
        <v>0</v>
      </c>
      <c r="U528" s="254"/>
      <c r="V528" s="255">
        <f>+Reactivos_[[#This Row],[Cantidad LDF]]*Reactivos_[[#This Row],[Valor de referencia]]</f>
        <v>0</v>
      </c>
      <c r="W528" s="254"/>
      <c r="X528" s="255">
        <f>+Reactivos_[[#This Row],[Cantidad LDF&amp;MR]]*Reactivos_[[#This Row],[Valor de referencia]]</f>
        <v>0</v>
      </c>
      <c r="Y528" s="254"/>
      <c r="Z528" s="255">
        <f>+Reactivos_[[#This Row],[Cantidad RED LASE]]*Reactivos_[[#This Row],[Valor de referencia]]</f>
        <v>0</v>
      </c>
      <c r="AA528" s="254"/>
      <c r="AB528" s="255">
        <f>+Reactivos_[[#This Row],[Cantidad LANIA]]*Reactivos_[[#This Row],[Valor de referencia]]</f>
        <v>0</v>
      </c>
      <c r="AC528" s="254"/>
      <c r="AD528" s="255">
        <f>+Reactivos_[[#This Row],[Cantidad SPA]]*Reactivos_[[#This Row],[Valor de referencia]]</f>
        <v>0</v>
      </c>
      <c r="AE528" s="148" t="s">
        <v>76</v>
      </c>
      <c r="AF528" s="148" t="s">
        <v>77</v>
      </c>
    </row>
    <row r="529" spans="1:32" ht="37.5" customHeight="1" x14ac:dyDescent="0.25">
      <c r="A529" s="294" t="str">
        <f>IF(B529=Reactivos_[[#This Row],[Cantidad LANIP]],"LANIP",IF(B529=Reactivos_[[#This Row],[Cantidad 
LDV]],"LDV",IF(B529=Reactivos_[[#This Row],[Cantidad LNDV]],"LNDV",IF(B529=Reactivos_[[#This Row],[GGCA]],"GGCA",IF(B529=Reactivos_[[#This Row],[Cantidad LDF]],"LDF",IF(Reactivos_[[#This Row],[Cantidad LDF&amp;MR]],"LDF&amp;MR",IF(B529=Reactivos_[[#This Row],[Cantidad RED LASE]],"LASE",IF(B529=Reactivos_[[#This Row],[Cantidad LANIA]],"LANIA",IF(B529=Reactivos_[[#This Row],[Cantidad SPA]],"SPA"," ")))))))))</f>
        <v>LNDV</v>
      </c>
      <c r="B52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29" s="325">
        <v>527</v>
      </c>
      <c r="D529" s="326">
        <v>773</v>
      </c>
      <c r="E529" s="327" t="s">
        <v>1509</v>
      </c>
      <c r="F529" s="244"/>
      <c r="G529" s="327"/>
      <c r="H529" s="330" t="s">
        <v>388</v>
      </c>
      <c r="I529" s="329" t="s">
        <v>1510</v>
      </c>
      <c r="J52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29" s="160">
        <v>2926358</v>
      </c>
      <c r="L529" s="160">
        <f>+Reactivos_[[#This Row],[Cantidad]]*Reactivos_[[#This Row],[Valor de referencia]]</f>
        <v>5852716</v>
      </c>
      <c r="M529" s="254">
        <v>0</v>
      </c>
      <c r="N529" s="255">
        <f>+Reactivos_[[#This Row],[Valor de referencia]]*Reactivos_[[#This Row],[Cantidad LANIP]]</f>
        <v>0</v>
      </c>
      <c r="O529" s="256"/>
      <c r="P529" s="255">
        <f>+Reactivos_[[#This Row],[Cantidad 
LDV]]*Reactivos_[[#This Row],[Valor de referencia]]</f>
        <v>0</v>
      </c>
      <c r="Q529" s="257">
        <v>2</v>
      </c>
      <c r="R529" s="255">
        <f>+Reactivos_[[#This Row],[Cantidad LNDV]]*Reactivos_[[#This Row],[Valor de referencia]]</f>
        <v>5852716</v>
      </c>
      <c r="S529" s="148"/>
      <c r="T529" s="255">
        <f>+Reactivos_[[#This Row],[GGCA]]*Reactivos_[[#This Row],[Valor de referencia]]</f>
        <v>0</v>
      </c>
      <c r="U529" s="254"/>
      <c r="V529" s="255">
        <f>+Reactivos_[[#This Row],[Cantidad LDF]]*Reactivos_[[#This Row],[Valor de referencia]]</f>
        <v>0</v>
      </c>
      <c r="W529" s="254"/>
      <c r="X529" s="255">
        <f>+Reactivos_[[#This Row],[Cantidad LDF&amp;MR]]*Reactivos_[[#This Row],[Valor de referencia]]</f>
        <v>0</v>
      </c>
      <c r="Y529" s="254"/>
      <c r="Z529" s="255">
        <f>+Reactivos_[[#This Row],[Cantidad RED LASE]]*Reactivos_[[#This Row],[Valor de referencia]]</f>
        <v>0</v>
      </c>
      <c r="AA529" s="254"/>
      <c r="AB529" s="255">
        <f>+Reactivos_[[#This Row],[Cantidad LANIA]]*Reactivos_[[#This Row],[Valor de referencia]]</f>
        <v>0</v>
      </c>
      <c r="AC529" s="254"/>
      <c r="AD529" s="255">
        <f>+Reactivos_[[#This Row],[Cantidad SPA]]*Reactivos_[[#This Row],[Valor de referencia]]</f>
        <v>0</v>
      </c>
      <c r="AE529" s="148" t="s">
        <v>76</v>
      </c>
      <c r="AF529" s="148" t="s">
        <v>77</v>
      </c>
    </row>
    <row r="530" spans="1:32" ht="42" customHeight="1" x14ac:dyDescent="0.25">
      <c r="A530" s="294" t="str">
        <f>IF(B530=Reactivos_[[#This Row],[Cantidad LANIP]],"LANIP",IF(B530=Reactivos_[[#This Row],[Cantidad 
LDV]],"LDV",IF(B530=Reactivos_[[#This Row],[Cantidad LNDV]],"LNDV",IF(B530=Reactivos_[[#This Row],[GGCA]],"GGCA",IF(B530=Reactivos_[[#This Row],[Cantidad LDF]],"LDF",IF(Reactivos_[[#This Row],[Cantidad LDF&amp;MR]],"LDF&amp;MR",IF(B530=Reactivos_[[#This Row],[Cantidad RED LASE]],"LASE",IF(B530=Reactivos_[[#This Row],[Cantidad LANIA]],"LANIA",IF(B530=Reactivos_[[#This Row],[Cantidad SPA]],"SPA"," ")))))))))</f>
        <v>LNDV</v>
      </c>
      <c r="B53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530" s="325">
        <v>528</v>
      </c>
      <c r="D530" s="326">
        <v>774</v>
      </c>
      <c r="E530" s="245" t="s">
        <v>1511</v>
      </c>
      <c r="F530" s="244"/>
      <c r="G530" s="245"/>
      <c r="H530" s="346" t="s">
        <v>1512</v>
      </c>
      <c r="I530" s="336" t="s">
        <v>1513</v>
      </c>
      <c r="J53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530" s="160">
        <v>681756</v>
      </c>
      <c r="L530" s="160">
        <f>+Reactivos_[[#This Row],[Cantidad]]*Reactivos_[[#This Row],[Valor de referencia]]</f>
        <v>3408780</v>
      </c>
      <c r="M530" s="254">
        <v>0</v>
      </c>
      <c r="N530" s="255">
        <f>+Reactivos_[[#This Row],[Valor de referencia]]*Reactivos_[[#This Row],[Cantidad LANIP]]</f>
        <v>0</v>
      </c>
      <c r="O530" s="256">
        <v>2</v>
      </c>
      <c r="P530" s="255">
        <f>+Reactivos_[[#This Row],[Cantidad 
LDV]]*Reactivos_[[#This Row],[Valor de referencia]]</f>
        <v>1363512</v>
      </c>
      <c r="Q530" s="257">
        <v>3</v>
      </c>
      <c r="R530" s="255">
        <f>+Reactivos_[[#This Row],[Cantidad LNDV]]*Reactivos_[[#This Row],[Valor de referencia]]</f>
        <v>2045268</v>
      </c>
      <c r="S530" s="148"/>
      <c r="T530" s="255">
        <f>+Reactivos_[[#This Row],[GGCA]]*Reactivos_[[#This Row],[Valor de referencia]]</f>
        <v>0</v>
      </c>
      <c r="U530" s="254"/>
      <c r="V530" s="255">
        <f>+Reactivos_[[#This Row],[Cantidad LDF]]*Reactivos_[[#This Row],[Valor de referencia]]</f>
        <v>0</v>
      </c>
      <c r="W530" s="254"/>
      <c r="X530" s="255">
        <f>+Reactivos_[[#This Row],[Cantidad LDF&amp;MR]]*Reactivos_[[#This Row],[Valor de referencia]]</f>
        <v>0</v>
      </c>
      <c r="Y530" s="254"/>
      <c r="Z530" s="255">
        <f>+Reactivos_[[#This Row],[Cantidad RED LASE]]*Reactivos_[[#This Row],[Valor de referencia]]</f>
        <v>0</v>
      </c>
      <c r="AA530" s="254"/>
      <c r="AB530" s="255">
        <f>+Reactivos_[[#This Row],[Cantidad LANIA]]*Reactivos_[[#This Row],[Valor de referencia]]</f>
        <v>0</v>
      </c>
      <c r="AC530" s="254"/>
      <c r="AD530" s="255">
        <f>+Reactivos_[[#This Row],[Cantidad SPA]]*Reactivos_[[#This Row],[Valor de referencia]]</f>
        <v>0</v>
      </c>
      <c r="AE530" s="148" t="s">
        <v>76</v>
      </c>
      <c r="AF530" s="148" t="s">
        <v>77</v>
      </c>
    </row>
    <row r="531" spans="1:32" ht="25.5" x14ac:dyDescent="0.25">
      <c r="A531" s="294" t="str">
        <f>IF(B531=Reactivos_[[#This Row],[Cantidad LANIP]],"LANIP",IF(B531=Reactivos_[[#This Row],[Cantidad 
LDV]],"LDV",IF(B531=Reactivos_[[#This Row],[Cantidad LNDV]],"LNDV",IF(B531=Reactivos_[[#This Row],[GGCA]],"GGCA",IF(B531=Reactivos_[[#This Row],[Cantidad LDF]],"LDF",IF(Reactivos_[[#This Row],[Cantidad LDF&amp;MR]],"LDF&amp;MR",IF(B531=Reactivos_[[#This Row],[Cantidad RED LASE]],"LASE",IF(B531=Reactivos_[[#This Row],[Cantidad LANIA]],"LANIA",IF(B531=Reactivos_[[#This Row],[Cantidad SPA]],"SPA"," ")))))))))</f>
        <v>LNDV</v>
      </c>
      <c r="B53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531" s="325">
        <v>529</v>
      </c>
      <c r="D531" s="326">
        <v>775</v>
      </c>
      <c r="E531" s="327" t="s">
        <v>1514</v>
      </c>
      <c r="F531" s="244"/>
      <c r="G531" s="327"/>
      <c r="H531" s="348" t="s">
        <v>1515</v>
      </c>
      <c r="I531" s="329" t="s">
        <v>1516</v>
      </c>
      <c r="J53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531" s="160">
        <v>595205</v>
      </c>
      <c r="L531" s="160">
        <f>+Reactivos_[[#This Row],[Cantidad]]*Reactivos_[[#This Row],[Valor de referencia]]</f>
        <v>1785615</v>
      </c>
      <c r="M531" s="254">
        <v>0</v>
      </c>
      <c r="N531" s="255">
        <f>+Reactivos_[[#This Row],[Valor de referencia]]*Reactivos_[[#This Row],[Cantidad LANIP]]</f>
        <v>0</v>
      </c>
      <c r="O531" s="256"/>
      <c r="P531" s="255">
        <f>+Reactivos_[[#This Row],[Cantidad 
LDV]]*Reactivos_[[#This Row],[Valor de referencia]]</f>
        <v>0</v>
      </c>
      <c r="Q531" s="257">
        <v>3</v>
      </c>
      <c r="R531" s="255">
        <f>+Reactivos_[[#This Row],[Cantidad LNDV]]*Reactivos_[[#This Row],[Valor de referencia]]</f>
        <v>1785615</v>
      </c>
      <c r="S531" s="148"/>
      <c r="T531" s="255">
        <f>+Reactivos_[[#This Row],[GGCA]]*Reactivos_[[#This Row],[Valor de referencia]]</f>
        <v>0</v>
      </c>
      <c r="U531" s="254"/>
      <c r="V531" s="255">
        <f>+Reactivos_[[#This Row],[Cantidad LDF]]*Reactivos_[[#This Row],[Valor de referencia]]</f>
        <v>0</v>
      </c>
      <c r="W531" s="254"/>
      <c r="X531" s="255">
        <f>+Reactivos_[[#This Row],[Cantidad LDF&amp;MR]]*Reactivos_[[#This Row],[Valor de referencia]]</f>
        <v>0</v>
      </c>
      <c r="Y531" s="254"/>
      <c r="Z531" s="255">
        <f>+Reactivos_[[#This Row],[Cantidad RED LASE]]*Reactivos_[[#This Row],[Valor de referencia]]</f>
        <v>0</v>
      </c>
      <c r="AA531" s="254"/>
      <c r="AB531" s="255">
        <f>+Reactivos_[[#This Row],[Cantidad LANIA]]*Reactivos_[[#This Row],[Valor de referencia]]</f>
        <v>0</v>
      </c>
      <c r="AC531" s="254"/>
      <c r="AD531" s="255">
        <f>+Reactivos_[[#This Row],[Cantidad SPA]]*Reactivos_[[#This Row],[Valor de referencia]]</f>
        <v>0</v>
      </c>
      <c r="AE531" s="148" t="s">
        <v>76</v>
      </c>
      <c r="AF531" s="148" t="s">
        <v>77</v>
      </c>
    </row>
    <row r="532" spans="1:32" ht="47.25" customHeight="1" x14ac:dyDescent="0.25">
      <c r="A532" s="294" t="str">
        <f>IF(B532=Reactivos_[[#This Row],[Cantidad LANIP]],"LANIP",IF(B532=Reactivos_[[#This Row],[Cantidad 
LDV]],"LDV",IF(B532=Reactivos_[[#This Row],[Cantidad LNDV]],"LNDV",IF(B532=Reactivos_[[#This Row],[GGCA]],"GGCA",IF(B532=Reactivos_[[#This Row],[Cantidad LDF]],"LDF",IF(Reactivos_[[#This Row],[Cantidad LDF&amp;MR]],"LDF&amp;MR",IF(B532=Reactivos_[[#This Row],[Cantidad RED LASE]],"LASE",IF(B532=Reactivos_[[#This Row],[Cantidad LANIA]],"LANIA",IF(B532=Reactivos_[[#This Row],[Cantidad SPA]],"SPA"," ")))))))))</f>
        <v>LDF</v>
      </c>
      <c r="B53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C532" s="325">
        <v>530</v>
      </c>
      <c r="D532" s="326">
        <v>776</v>
      </c>
      <c r="E532" s="327" t="s">
        <v>1517</v>
      </c>
      <c r="F532" s="244"/>
      <c r="G532" s="327"/>
      <c r="H532" s="342" t="s">
        <v>1518</v>
      </c>
      <c r="I532" s="363" t="s">
        <v>217</v>
      </c>
      <c r="J53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532" s="160">
        <v>386155</v>
      </c>
      <c r="L532" s="160">
        <f>+Reactivos_[[#This Row],[Cantidad]]*Reactivos_[[#This Row],[Valor de referencia]]</f>
        <v>6178480</v>
      </c>
      <c r="M532" s="254">
        <v>0</v>
      </c>
      <c r="N532" s="255">
        <f>+Reactivos_[[#This Row],[Valor de referencia]]*Reactivos_[[#This Row],[Cantidad LANIP]]</f>
        <v>0</v>
      </c>
      <c r="O532" s="256">
        <v>1</v>
      </c>
      <c r="P532" s="255">
        <f>+Reactivos_[[#This Row],[Cantidad 
LDV]]*Reactivos_[[#This Row],[Valor de referencia]]</f>
        <v>386155</v>
      </c>
      <c r="Q532" s="257"/>
      <c r="R532" s="255">
        <f>+Reactivos_[[#This Row],[Cantidad LNDV]]*Reactivos_[[#This Row],[Valor de referencia]]</f>
        <v>0</v>
      </c>
      <c r="S532" s="148"/>
      <c r="T532" s="255">
        <f>+Reactivos_[[#This Row],[GGCA]]*Reactivos_[[#This Row],[Valor de referencia]]</f>
        <v>0</v>
      </c>
      <c r="U532" s="254">
        <v>12</v>
      </c>
      <c r="V532" s="255">
        <f>+Reactivos_[[#This Row],[Cantidad LDF]]*Reactivos_[[#This Row],[Valor de referencia]]</f>
        <v>4633860</v>
      </c>
      <c r="W532" s="258">
        <v>3</v>
      </c>
      <c r="X532" s="255">
        <f>+Reactivos_[[#This Row],[Cantidad LDF&amp;MR]]*Reactivos_[[#This Row],[Valor de referencia]]</f>
        <v>1158465</v>
      </c>
      <c r="Y532" s="254"/>
      <c r="Z532" s="255">
        <f>+Reactivos_[[#This Row],[Cantidad RED LASE]]*Reactivos_[[#This Row],[Valor de referencia]]</f>
        <v>0</v>
      </c>
      <c r="AA532" s="254"/>
      <c r="AB532" s="255">
        <f>+Reactivos_[[#This Row],[Cantidad LANIA]]*Reactivos_[[#This Row],[Valor de referencia]]</f>
        <v>0</v>
      </c>
      <c r="AC532" s="254"/>
      <c r="AD532" s="255">
        <f>+Reactivos_[[#This Row],[Cantidad SPA]]*Reactivos_[[#This Row],[Valor de referencia]]</f>
        <v>0</v>
      </c>
      <c r="AE532" s="148" t="s">
        <v>76</v>
      </c>
      <c r="AF532" s="148" t="s">
        <v>77</v>
      </c>
    </row>
    <row r="533" spans="1:32" x14ac:dyDescent="0.25">
      <c r="A533" s="294" t="str">
        <f>IF(B533=Reactivos_[[#This Row],[Cantidad LANIP]],"LANIP",IF(B533=Reactivos_[[#This Row],[Cantidad 
LDV]],"LDV",IF(B533=Reactivos_[[#This Row],[Cantidad LNDV]],"LNDV",IF(B533=Reactivos_[[#This Row],[GGCA]],"GGCA",IF(B533=Reactivos_[[#This Row],[Cantidad LDF]],"LDF",IF(Reactivos_[[#This Row],[Cantidad LDF&amp;MR]],"LDF&amp;MR",IF(B533=Reactivos_[[#This Row],[Cantidad RED LASE]],"LASE",IF(B533=Reactivos_[[#This Row],[Cantidad LANIA]],"LANIA",IF(B533=Reactivos_[[#This Row],[Cantidad SPA]],"SPA"," ")))))))))</f>
        <v>LNDV</v>
      </c>
      <c r="B53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533" s="325">
        <v>531</v>
      </c>
      <c r="D533" s="326">
        <v>777</v>
      </c>
      <c r="E533" s="331" t="s">
        <v>1519</v>
      </c>
      <c r="F533" s="332"/>
      <c r="G533" s="331"/>
      <c r="H533" s="348" t="s">
        <v>1520</v>
      </c>
      <c r="I533" s="329" t="s">
        <v>1521</v>
      </c>
      <c r="J53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533" s="160">
        <v>2523856</v>
      </c>
      <c r="L533" s="160">
        <f>+Reactivos_[[#This Row],[Cantidad]]*Reactivos_[[#This Row],[Valor de referencia]]</f>
        <v>10095424</v>
      </c>
      <c r="M533" s="254">
        <v>0</v>
      </c>
      <c r="N533" s="255">
        <f>+Reactivos_[[#This Row],[Valor de referencia]]*Reactivos_[[#This Row],[Cantidad LANIP]]</f>
        <v>0</v>
      </c>
      <c r="O533" s="256">
        <v>0</v>
      </c>
      <c r="P533" s="255">
        <f>+Reactivos_[[#This Row],[Cantidad 
LDV]]*Reactivos_[[#This Row],[Valor de referencia]]</f>
        <v>0</v>
      </c>
      <c r="Q533" s="257">
        <v>4</v>
      </c>
      <c r="R533" s="255">
        <f>+Reactivos_[[#This Row],[Cantidad LNDV]]*Reactivos_[[#This Row],[Valor de referencia]]</f>
        <v>10095424</v>
      </c>
      <c r="S533" s="148"/>
      <c r="T533" s="255">
        <f>+Reactivos_[[#This Row],[GGCA]]*Reactivos_[[#This Row],[Valor de referencia]]</f>
        <v>0</v>
      </c>
      <c r="U533" s="254"/>
      <c r="V533" s="255">
        <f>+Reactivos_[[#This Row],[Cantidad LDF]]*Reactivos_[[#This Row],[Valor de referencia]]</f>
        <v>0</v>
      </c>
      <c r="W533" s="254"/>
      <c r="X533" s="255">
        <f>+Reactivos_[[#This Row],[Cantidad LDF&amp;MR]]*Reactivos_[[#This Row],[Valor de referencia]]</f>
        <v>0</v>
      </c>
      <c r="Y533" s="254"/>
      <c r="Z533" s="255">
        <f>+Reactivos_[[#This Row],[Cantidad RED LASE]]*Reactivos_[[#This Row],[Valor de referencia]]</f>
        <v>0</v>
      </c>
      <c r="AA533" s="254"/>
      <c r="AB533" s="255">
        <f>+Reactivos_[[#This Row],[Cantidad LANIA]]*Reactivos_[[#This Row],[Valor de referencia]]</f>
        <v>0</v>
      </c>
      <c r="AC533" s="254"/>
      <c r="AD533" s="255">
        <f>+Reactivos_[[#This Row],[Cantidad SPA]]*Reactivos_[[#This Row],[Valor de referencia]]</f>
        <v>0</v>
      </c>
      <c r="AE533" s="148" t="s">
        <v>76</v>
      </c>
      <c r="AF533" s="148" t="s">
        <v>77</v>
      </c>
    </row>
    <row r="534" spans="1:32" ht="45.75" customHeight="1" x14ac:dyDescent="0.25">
      <c r="A534" s="294" t="str">
        <f>IF(B534=Reactivos_[[#This Row],[Cantidad LANIP]],"LANIP",IF(B534=Reactivos_[[#This Row],[Cantidad 
LDV]],"LDV",IF(B534=Reactivos_[[#This Row],[Cantidad LNDV]],"LNDV",IF(B534=Reactivos_[[#This Row],[GGCA]],"GGCA",IF(B534=Reactivos_[[#This Row],[Cantidad LDF]],"LDF",IF(Reactivos_[[#This Row],[Cantidad LDF&amp;MR]],"LDF&amp;MR",IF(B534=Reactivos_[[#This Row],[Cantidad RED LASE]],"LASE",IF(B534=Reactivos_[[#This Row],[Cantidad LANIA]],"LANIA",IF(B534=Reactivos_[[#This Row],[Cantidad SPA]],"SPA"," ")))))))))</f>
        <v>LNDV</v>
      </c>
      <c r="B53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34" s="325">
        <v>532</v>
      </c>
      <c r="D534" s="326">
        <v>778</v>
      </c>
      <c r="E534" s="331" t="s">
        <v>1522</v>
      </c>
      <c r="F534" s="332"/>
      <c r="G534" s="331"/>
      <c r="H534" s="342" t="s">
        <v>1523</v>
      </c>
      <c r="I534" s="341" t="s">
        <v>1524</v>
      </c>
      <c r="J53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34" s="160">
        <v>353054</v>
      </c>
      <c r="L534" s="160">
        <f>+Reactivos_[[#This Row],[Cantidad]]*Reactivos_[[#This Row],[Valor de referencia]]</f>
        <v>353054</v>
      </c>
      <c r="M534" s="254">
        <v>0</v>
      </c>
      <c r="N534" s="255">
        <f>+Reactivos_[[#This Row],[Valor de referencia]]*Reactivos_[[#This Row],[Cantidad LANIP]]</f>
        <v>0</v>
      </c>
      <c r="O534" s="256"/>
      <c r="P534" s="255">
        <f>+Reactivos_[[#This Row],[Cantidad 
LDV]]*Reactivos_[[#This Row],[Valor de referencia]]</f>
        <v>0</v>
      </c>
      <c r="Q534" s="257">
        <v>1</v>
      </c>
      <c r="R534" s="255">
        <f>+Reactivos_[[#This Row],[Cantidad LNDV]]*Reactivos_[[#This Row],[Valor de referencia]]</f>
        <v>353054</v>
      </c>
      <c r="S534" s="148"/>
      <c r="T534" s="255">
        <f>+Reactivos_[[#This Row],[GGCA]]*Reactivos_[[#This Row],[Valor de referencia]]</f>
        <v>0</v>
      </c>
      <c r="U534" s="254"/>
      <c r="V534" s="255">
        <f>+Reactivos_[[#This Row],[Cantidad LDF]]*Reactivos_[[#This Row],[Valor de referencia]]</f>
        <v>0</v>
      </c>
      <c r="W534" s="254"/>
      <c r="X534" s="255">
        <f>+Reactivos_[[#This Row],[Cantidad LDF&amp;MR]]*Reactivos_[[#This Row],[Valor de referencia]]</f>
        <v>0</v>
      </c>
      <c r="Y534" s="254"/>
      <c r="Z534" s="255">
        <f>+Reactivos_[[#This Row],[Cantidad RED LASE]]*Reactivos_[[#This Row],[Valor de referencia]]</f>
        <v>0</v>
      </c>
      <c r="AA534" s="254"/>
      <c r="AB534" s="255">
        <f>+Reactivos_[[#This Row],[Cantidad LANIA]]*Reactivos_[[#This Row],[Valor de referencia]]</f>
        <v>0</v>
      </c>
      <c r="AC534" s="254"/>
      <c r="AD534" s="255">
        <f>+Reactivos_[[#This Row],[Cantidad SPA]]*Reactivos_[[#This Row],[Valor de referencia]]</f>
        <v>0</v>
      </c>
      <c r="AE534" s="148" t="s">
        <v>76</v>
      </c>
      <c r="AF534" s="148" t="s">
        <v>77</v>
      </c>
    </row>
    <row r="535" spans="1:32" ht="39" customHeight="1" x14ac:dyDescent="0.25">
      <c r="A535" s="294" t="str">
        <f>IF(B535=Reactivos_[[#This Row],[Cantidad LANIP]],"LANIP",IF(B535=Reactivos_[[#This Row],[Cantidad 
LDV]],"LDV",IF(B535=Reactivos_[[#This Row],[Cantidad LNDV]],"LNDV",IF(B535=Reactivos_[[#This Row],[GGCA]],"GGCA",IF(B535=Reactivos_[[#This Row],[Cantidad LDF]],"LDF",IF(Reactivos_[[#This Row],[Cantidad LDF&amp;MR]],"LDF&amp;MR",IF(B535=Reactivos_[[#This Row],[Cantidad RED LASE]],"LASE",IF(B535=Reactivos_[[#This Row],[Cantidad LANIA]],"LANIA",IF(B535=Reactivos_[[#This Row],[Cantidad SPA]],"SPA"," ")))))))))</f>
        <v>LDF</v>
      </c>
      <c r="B53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535" s="325">
        <v>533</v>
      </c>
      <c r="D535" s="326">
        <v>779</v>
      </c>
      <c r="E535" s="331" t="s">
        <v>1525</v>
      </c>
      <c r="F535" s="332"/>
      <c r="G535" s="331"/>
      <c r="H535" s="421" t="s">
        <v>1526</v>
      </c>
      <c r="I535" s="334" t="s">
        <v>120</v>
      </c>
      <c r="J53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535" s="160">
        <v>2389163</v>
      </c>
      <c r="L535" s="160">
        <f>+Reactivos_[[#This Row],[Cantidad]]*Reactivos_[[#This Row],[Valor de referencia]]</f>
        <v>9556652</v>
      </c>
      <c r="M535" s="254">
        <v>1</v>
      </c>
      <c r="N535" s="255">
        <f>+Reactivos_[[#This Row],[Valor de referencia]]*Reactivos_[[#This Row],[Cantidad LANIP]]</f>
        <v>2389163</v>
      </c>
      <c r="O535" s="256"/>
      <c r="P535" s="255">
        <f>+Reactivos_[[#This Row],[Cantidad 
LDV]]*Reactivos_[[#This Row],[Valor de referencia]]</f>
        <v>0</v>
      </c>
      <c r="Q535" s="257"/>
      <c r="R535" s="255">
        <f>+Reactivos_[[#This Row],[Cantidad LNDV]]*Reactivos_[[#This Row],[Valor de referencia]]</f>
        <v>0</v>
      </c>
      <c r="S535" s="148"/>
      <c r="T535" s="255">
        <f>+Reactivos_[[#This Row],[GGCA]]*Reactivos_[[#This Row],[Valor de referencia]]</f>
        <v>0</v>
      </c>
      <c r="U535" s="254">
        <v>3</v>
      </c>
      <c r="V535" s="255">
        <f>+Reactivos_[[#This Row],[Cantidad LDF]]*Reactivos_[[#This Row],[Valor de referencia]]</f>
        <v>7167489</v>
      </c>
      <c r="W535" s="254"/>
      <c r="X535" s="255">
        <f>+Reactivos_[[#This Row],[Cantidad LDF&amp;MR]]*Reactivos_[[#This Row],[Valor de referencia]]</f>
        <v>0</v>
      </c>
      <c r="Y535" s="254"/>
      <c r="Z535" s="255">
        <f>+Reactivos_[[#This Row],[Cantidad RED LASE]]*Reactivos_[[#This Row],[Valor de referencia]]</f>
        <v>0</v>
      </c>
      <c r="AA535" s="254"/>
      <c r="AB535" s="255">
        <f>+Reactivos_[[#This Row],[Cantidad LANIA]]*Reactivos_[[#This Row],[Valor de referencia]]</f>
        <v>0</v>
      </c>
      <c r="AC535" s="254"/>
      <c r="AD535" s="255">
        <f>+Reactivos_[[#This Row],[Cantidad SPA]]*Reactivos_[[#This Row],[Valor de referencia]]</f>
        <v>0</v>
      </c>
      <c r="AE535" s="148" t="s">
        <v>76</v>
      </c>
      <c r="AF535" s="148" t="s">
        <v>77</v>
      </c>
    </row>
    <row r="536" spans="1:32" ht="22.5" customHeight="1" x14ac:dyDescent="0.25">
      <c r="A536" s="294" t="str">
        <f>IF(B536=Reactivos_[[#This Row],[Cantidad LANIP]],"LANIP",IF(B536=Reactivos_[[#This Row],[Cantidad 
LDV]],"LDV",IF(B536=Reactivos_[[#This Row],[Cantidad LNDV]],"LNDV",IF(B536=Reactivos_[[#This Row],[GGCA]],"GGCA",IF(B536=Reactivos_[[#This Row],[Cantidad LDF]],"LDF",IF(Reactivos_[[#This Row],[Cantidad LDF&amp;MR]],"LDF&amp;MR",IF(B536=Reactivos_[[#This Row],[Cantidad RED LASE]],"LASE",IF(B536=Reactivos_[[#This Row],[Cantidad LANIA]],"LANIA",IF(B536=Reactivos_[[#This Row],[Cantidad SPA]],"SPA"," ")))))))))</f>
        <v>LDF</v>
      </c>
      <c r="B53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536" s="325">
        <v>534</v>
      </c>
      <c r="D536" s="326">
        <v>780</v>
      </c>
      <c r="E536" s="331" t="s">
        <v>1527</v>
      </c>
      <c r="F536" s="332"/>
      <c r="G536" s="331"/>
      <c r="H536" s="344" t="s">
        <v>1528</v>
      </c>
      <c r="I536" s="334" t="s">
        <v>546</v>
      </c>
      <c r="J53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K536" s="160">
        <v>903907</v>
      </c>
      <c r="L536" s="160">
        <f>+Reactivos_[[#This Row],[Cantidad]]*Reactivos_[[#This Row],[Valor de referencia]]</f>
        <v>9942977</v>
      </c>
      <c r="M536" s="254">
        <v>0</v>
      </c>
      <c r="N536" s="255">
        <f>+Reactivos_[[#This Row],[Valor de referencia]]*Reactivos_[[#This Row],[Cantidad LANIP]]</f>
        <v>0</v>
      </c>
      <c r="O536" s="256"/>
      <c r="P536" s="255">
        <f>+Reactivos_[[#This Row],[Cantidad 
LDV]]*Reactivos_[[#This Row],[Valor de referencia]]</f>
        <v>0</v>
      </c>
      <c r="Q536" s="257"/>
      <c r="R536" s="255">
        <f>+Reactivos_[[#This Row],[Cantidad LNDV]]*Reactivos_[[#This Row],[Valor de referencia]]</f>
        <v>0</v>
      </c>
      <c r="S536" s="148"/>
      <c r="T536" s="255">
        <f>+Reactivos_[[#This Row],[GGCA]]*Reactivos_[[#This Row],[Valor de referencia]]</f>
        <v>0</v>
      </c>
      <c r="U536" s="254">
        <v>7</v>
      </c>
      <c r="V536" s="255">
        <f>+Reactivos_[[#This Row],[Cantidad LDF]]*Reactivos_[[#This Row],[Valor de referencia]]</f>
        <v>6327349</v>
      </c>
      <c r="W536" s="254">
        <v>3</v>
      </c>
      <c r="X536" s="255">
        <f>+Reactivos_[[#This Row],[Cantidad LDF&amp;MR]]*Reactivos_[[#This Row],[Valor de referencia]]</f>
        <v>2711721</v>
      </c>
      <c r="Y536" s="254"/>
      <c r="Z536" s="255">
        <f>+Reactivos_[[#This Row],[Cantidad RED LASE]]*Reactivos_[[#This Row],[Valor de referencia]]</f>
        <v>0</v>
      </c>
      <c r="AA536" s="254">
        <v>1</v>
      </c>
      <c r="AB536" s="255">
        <f>+Reactivos_[[#This Row],[Cantidad LANIA]]*Reactivos_[[#This Row],[Valor de referencia]]</f>
        <v>903907</v>
      </c>
      <c r="AC536" s="254"/>
      <c r="AD536" s="255">
        <f>+Reactivos_[[#This Row],[Cantidad SPA]]*Reactivos_[[#This Row],[Valor de referencia]]</f>
        <v>0</v>
      </c>
      <c r="AE536" s="148" t="s">
        <v>76</v>
      </c>
      <c r="AF536" s="148" t="s">
        <v>77</v>
      </c>
    </row>
    <row r="537" spans="1:32" ht="25.5" x14ac:dyDescent="0.25">
      <c r="A537" s="294" t="str">
        <f>IF(B537=Reactivos_[[#This Row],[Cantidad LANIP]],"LANIP",IF(B537=Reactivos_[[#This Row],[Cantidad 
LDV]],"LDV",IF(B537=Reactivos_[[#This Row],[Cantidad LNDV]],"LNDV",IF(B537=Reactivos_[[#This Row],[GGCA]],"GGCA",IF(B537=Reactivos_[[#This Row],[Cantidad LDF]],"LDF",IF(Reactivos_[[#This Row],[Cantidad LDF&amp;MR]],"LDF&amp;MR",IF(B537=Reactivos_[[#This Row],[Cantidad RED LASE]],"LASE",IF(B537=Reactivos_[[#This Row],[Cantidad LANIA]],"LANIA",IF(B537=Reactivos_[[#This Row],[Cantidad SPA]],"SPA"," ")))))))))</f>
        <v>LNDV</v>
      </c>
      <c r="B53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18</v>
      </c>
      <c r="C537" s="325">
        <v>535</v>
      </c>
      <c r="D537" s="326">
        <v>781</v>
      </c>
      <c r="E537" s="331" t="s">
        <v>1529</v>
      </c>
      <c r="F537" s="332"/>
      <c r="G537" s="331"/>
      <c r="H537" s="333" t="s">
        <v>1530</v>
      </c>
      <c r="I537" s="334" t="s">
        <v>1531</v>
      </c>
      <c r="J53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18</v>
      </c>
      <c r="K537" s="160">
        <v>532520</v>
      </c>
      <c r="L537" s="160">
        <f>+Reactivos_[[#This Row],[Cantidad]]*Reactivos_[[#This Row],[Valor de referencia]]</f>
        <v>9585360</v>
      </c>
      <c r="M537" s="254">
        <v>0</v>
      </c>
      <c r="N537" s="255">
        <f>+Reactivos_[[#This Row],[Valor de referencia]]*Reactivos_[[#This Row],[Cantidad LANIP]]</f>
        <v>0</v>
      </c>
      <c r="O537" s="256"/>
      <c r="P537" s="255">
        <f>+Reactivos_[[#This Row],[Cantidad 
LDV]]*Reactivos_[[#This Row],[Valor de referencia]]</f>
        <v>0</v>
      </c>
      <c r="Q537" s="257">
        <v>18</v>
      </c>
      <c r="R537" s="255">
        <f>+Reactivos_[[#This Row],[Cantidad LNDV]]*Reactivos_[[#This Row],[Valor de referencia]]</f>
        <v>9585360</v>
      </c>
      <c r="S537" s="148"/>
      <c r="T537" s="255">
        <f>+Reactivos_[[#This Row],[GGCA]]*Reactivos_[[#This Row],[Valor de referencia]]</f>
        <v>0</v>
      </c>
      <c r="U537" s="254"/>
      <c r="V537" s="255">
        <f>+Reactivos_[[#This Row],[Cantidad LDF]]*Reactivos_[[#This Row],[Valor de referencia]]</f>
        <v>0</v>
      </c>
      <c r="W537" s="254"/>
      <c r="X537" s="255">
        <f>+Reactivos_[[#This Row],[Cantidad LDF&amp;MR]]*Reactivos_[[#This Row],[Valor de referencia]]</f>
        <v>0</v>
      </c>
      <c r="Y537" s="254"/>
      <c r="Z537" s="255">
        <f>+Reactivos_[[#This Row],[Cantidad RED LASE]]*Reactivos_[[#This Row],[Valor de referencia]]</f>
        <v>0</v>
      </c>
      <c r="AA537" s="254"/>
      <c r="AB537" s="255">
        <f>+Reactivos_[[#This Row],[Cantidad LANIA]]*Reactivos_[[#This Row],[Valor de referencia]]</f>
        <v>0</v>
      </c>
      <c r="AC537" s="254"/>
      <c r="AD537" s="255">
        <f>+Reactivos_[[#This Row],[Cantidad SPA]]*Reactivos_[[#This Row],[Valor de referencia]]</f>
        <v>0</v>
      </c>
      <c r="AE537" s="148" t="s">
        <v>76</v>
      </c>
      <c r="AF537" s="148" t="s">
        <v>77</v>
      </c>
    </row>
    <row r="538" spans="1:32" ht="22.5" customHeight="1" x14ac:dyDescent="0.25">
      <c r="A538" s="294" t="str">
        <f>IF(B538=Reactivos_[[#This Row],[Cantidad LANIP]],"LANIP",IF(B538=Reactivos_[[#This Row],[Cantidad 
LDV]],"LDV",IF(B538=Reactivos_[[#This Row],[Cantidad LNDV]],"LNDV",IF(B538=Reactivos_[[#This Row],[GGCA]],"GGCA",IF(B538=Reactivos_[[#This Row],[Cantidad LDF]],"LDF",IF(Reactivos_[[#This Row],[Cantidad LDF&amp;MR]],"LDF&amp;MR",IF(B538=Reactivos_[[#This Row],[Cantidad RED LASE]],"LASE",IF(B538=Reactivos_[[#This Row],[Cantidad LANIA]],"LANIA",IF(B538=Reactivos_[[#This Row],[Cantidad SPA]],"SPA"," ")))))))))</f>
        <v>LDV</v>
      </c>
      <c r="B53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C538" s="325">
        <v>536</v>
      </c>
      <c r="D538" s="326">
        <v>782</v>
      </c>
      <c r="E538" s="331" t="s">
        <v>1532</v>
      </c>
      <c r="F538" s="332"/>
      <c r="G538" s="331"/>
      <c r="H538" s="333" t="s">
        <v>1533</v>
      </c>
      <c r="I538" s="334" t="s">
        <v>1534</v>
      </c>
      <c r="J53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18</v>
      </c>
      <c r="K538" s="160">
        <v>1102178</v>
      </c>
      <c r="L538" s="160">
        <f>+Reactivos_[[#This Row],[Cantidad]]*Reactivos_[[#This Row],[Valor de referencia]]</f>
        <v>19839204</v>
      </c>
      <c r="M538" s="254">
        <v>0</v>
      </c>
      <c r="N538" s="255">
        <f>+Reactivos_[[#This Row],[Valor de referencia]]*Reactivos_[[#This Row],[Cantidad LANIP]]</f>
        <v>0</v>
      </c>
      <c r="O538" s="256">
        <v>15</v>
      </c>
      <c r="P538" s="255">
        <f>+Reactivos_[[#This Row],[Cantidad 
LDV]]*Reactivos_[[#This Row],[Valor de referencia]]</f>
        <v>16532670</v>
      </c>
      <c r="Q538" s="257">
        <v>2</v>
      </c>
      <c r="R538" s="255">
        <f>+Reactivos_[[#This Row],[Cantidad LNDV]]*Reactivos_[[#This Row],[Valor de referencia]]</f>
        <v>2204356</v>
      </c>
      <c r="S538" s="148"/>
      <c r="T538" s="255">
        <f>+Reactivos_[[#This Row],[GGCA]]*Reactivos_[[#This Row],[Valor de referencia]]</f>
        <v>0</v>
      </c>
      <c r="U538" s="254"/>
      <c r="V538" s="255">
        <f>+Reactivos_[[#This Row],[Cantidad LDF]]*Reactivos_[[#This Row],[Valor de referencia]]</f>
        <v>0</v>
      </c>
      <c r="W538" s="254"/>
      <c r="X538" s="255">
        <f>+Reactivos_[[#This Row],[Cantidad LDF&amp;MR]]*Reactivos_[[#This Row],[Valor de referencia]]</f>
        <v>0</v>
      </c>
      <c r="Y538" s="254"/>
      <c r="Z538" s="255">
        <f>+Reactivos_[[#This Row],[Cantidad RED LASE]]*Reactivos_[[#This Row],[Valor de referencia]]</f>
        <v>0</v>
      </c>
      <c r="AA538" s="254">
        <v>1</v>
      </c>
      <c r="AB538" s="255">
        <f>+Reactivos_[[#This Row],[Cantidad LANIA]]*Reactivos_[[#This Row],[Valor de referencia]]</f>
        <v>1102178</v>
      </c>
      <c r="AC538" s="254"/>
      <c r="AD538" s="255">
        <f>+Reactivos_[[#This Row],[Cantidad SPA]]*Reactivos_[[#This Row],[Valor de referencia]]</f>
        <v>0</v>
      </c>
      <c r="AE538" s="148" t="s">
        <v>76</v>
      </c>
      <c r="AF538" s="148" t="s">
        <v>77</v>
      </c>
    </row>
    <row r="539" spans="1:32" ht="22.5" customHeight="1" x14ac:dyDescent="0.25">
      <c r="A539" s="294" t="str">
        <f>IF(B539=Reactivos_[[#This Row],[Cantidad LANIP]],"LANIP",IF(B539=Reactivos_[[#This Row],[Cantidad 
LDV]],"LDV",IF(B539=Reactivos_[[#This Row],[Cantidad LNDV]],"LNDV",IF(B539=Reactivos_[[#This Row],[GGCA]],"GGCA",IF(B539=Reactivos_[[#This Row],[Cantidad LDF]],"LDF",IF(Reactivos_[[#This Row],[Cantidad LDF&amp;MR]],"LDF&amp;MR",IF(B539=Reactivos_[[#This Row],[Cantidad RED LASE]],"LASE",IF(B539=Reactivos_[[#This Row],[Cantidad LANIA]],"LANIA",IF(B539=Reactivos_[[#This Row],[Cantidad SPA]],"SPA"," ")))))))))</f>
        <v>LNDV</v>
      </c>
      <c r="B53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39" s="325">
        <v>537</v>
      </c>
      <c r="D539" s="326">
        <v>783</v>
      </c>
      <c r="E539" s="331" t="s">
        <v>1535</v>
      </c>
      <c r="F539" s="332"/>
      <c r="G539" s="331"/>
      <c r="H539" s="344" t="s">
        <v>1536</v>
      </c>
      <c r="I539" s="334" t="s">
        <v>1233</v>
      </c>
      <c r="J53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539" s="160">
        <v>278777</v>
      </c>
      <c r="L539" s="160">
        <f>+Reactivos_[[#This Row],[Cantidad]]*Reactivos_[[#This Row],[Valor de referencia]]</f>
        <v>836331</v>
      </c>
      <c r="M539" s="254">
        <v>0</v>
      </c>
      <c r="N539" s="255">
        <f>+Reactivos_[[#This Row],[Valor de referencia]]*Reactivos_[[#This Row],[Cantidad LANIP]]</f>
        <v>0</v>
      </c>
      <c r="O539" s="256"/>
      <c r="P539" s="255">
        <f>+Reactivos_[[#This Row],[Cantidad 
LDV]]*Reactivos_[[#This Row],[Valor de referencia]]</f>
        <v>0</v>
      </c>
      <c r="Q539" s="257">
        <v>2</v>
      </c>
      <c r="R539" s="255">
        <f>+Reactivos_[[#This Row],[Cantidad LNDV]]*Reactivos_[[#This Row],[Valor de referencia]]</f>
        <v>557554</v>
      </c>
      <c r="S539" s="148"/>
      <c r="T539" s="255">
        <f>+Reactivos_[[#This Row],[GGCA]]*Reactivos_[[#This Row],[Valor de referencia]]</f>
        <v>0</v>
      </c>
      <c r="U539" s="254"/>
      <c r="V539" s="255">
        <f>+Reactivos_[[#This Row],[Cantidad LDF]]*Reactivos_[[#This Row],[Valor de referencia]]</f>
        <v>0</v>
      </c>
      <c r="W539" s="254"/>
      <c r="X539" s="255">
        <f>+Reactivos_[[#This Row],[Cantidad LDF&amp;MR]]*Reactivos_[[#This Row],[Valor de referencia]]</f>
        <v>0</v>
      </c>
      <c r="Y539" s="254"/>
      <c r="Z539" s="255">
        <f>+Reactivos_[[#This Row],[Cantidad RED LASE]]*Reactivos_[[#This Row],[Valor de referencia]]</f>
        <v>0</v>
      </c>
      <c r="AA539" s="254">
        <v>1</v>
      </c>
      <c r="AB539" s="255">
        <f>+Reactivos_[[#This Row],[Cantidad LANIA]]*Reactivos_[[#This Row],[Valor de referencia]]</f>
        <v>278777</v>
      </c>
      <c r="AC539" s="254"/>
      <c r="AD539" s="255">
        <f>+Reactivos_[[#This Row],[Cantidad SPA]]*Reactivos_[[#This Row],[Valor de referencia]]</f>
        <v>0</v>
      </c>
      <c r="AE539" s="148" t="s">
        <v>76</v>
      </c>
      <c r="AF539" s="148" t="s">
        <v>77</v>
      </c>
    </row>
    <row r="540" spans="1:32" ht="22.5" customHeight="1" x14ac:dyDescent="0.25">
      <c r="A540" s="294" t="str">
        <f>IF(B540=Reactivos_[[#This Row],[Cantidad LANIP]],"LANIP",IF(B540=Reactivos_[[#This Row],[Cantidad 
LDV]],"LDV",IF(B540=Reactivos_[[#This Row],[Cantidad LNDV]],"LNDV",IF(B540=Reactivos_[[#This Row],[GGCA]],"GGCA",IF(B540=Reactivos_[[#This Row],[Cantidad LDF]],"LDF",IF(Reactivos_[[#This Row],[Cantidad LDF&amp;MR]],"LDF&amp;MR",IF(B540=Reactivos_[[#This Row],[Cantidad RED LASE]],"LASE",IF(B540=Reactivos_[[#This Row],[Cantidad LANIA]],"LANIA",IF(B540=Reactivos_[[#This Row],[Cantidad SPA]],"SPA"," ")))))))))</f>
        <v>LDV</v>
      </c>
      <c r="B54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C540" s="325">
        <v>538</v>
      </c>
      <c r="D540" s="326">
        <v>784</v>
      </c>
      <c r="E540" s="331" t="s">
        <v>1537</v>
      </c>
      <c r="F540" s="332"/>
      <c r="G540" s="331"/>
      <c r="H540" s="333" t="s">
        <v>1538</v>
      </c>
      <c r="I540" s="334" t="s">
        <v>120</v>
      </c>
      <c r="J54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19</v>
      </c>
      <c r="K540" s="160">
        <v>814678</v>
      </c>
      <c r="L540" s="160">
        <f>+Reactivos_[[#This Row],[Cantidad]]*Reactivos_[[#This Row],[Valor de referencia]]</f>
        <v>15478882</v>
      </c>
      <c r="M540" s="254">
        <v>0</v>
      </c>
      <c r="N540" s="255">
        <f>+Reactivos_[[#This Row],[Valor de referencia]]*Reactivos_[[#This Row],[Cantidad LANIP]]</f>
        <v>0</v>
      </c>
      <c r="O540" s="256">
        <v>15</v>
      </c>
      <c r="P540" s="255">
        <f>+Reactivos_[[#This Row],[Cantidad 
LDV]]*Reactivos_[[#This Row],[Valor de referencia]]</f>
        <v>12220170</v>
      </c>
      <c r="Q540" s="257">
        <v>2</v>
      </c>
      <c r="R540" s="255">
        <f>+Reactivos_[[#This Row],[Cantidad LNDV]]*Reactivos_[[#This Row],[Valor de referencia]]</f>
        <v>1629356</v>
      </c>
      <c r="S540" s="148"/>
      <c r="T540" s="255">
        <f>+Reactivos_[[#This Row],[GGCA]]*Reactivos_[[#This Row],[Valor de referencia]]</f>
        <v>0</v>
      </c>
      <c r="U540" s="254">
        <v>2</v>
      </c>
      <c r="V540" s="255">
        <f>+Reactivos_[[#This Row],[Cantidad LDF]]*Reactivos_[[#This Row],[Valor de referencia]]</f>
        <v>1629356</v>
      </c>
      <c r="W540" s="254"/>
      <c r="X540" s="255">
        <f>+Reactivos_[[#This Row],[Cantidad LDF&amp;MR]]*Reactivos_[[#This Row],[Valor de referencia]]</f>
        <v>0</v>
      </c>
      <c r="Y540" s="254"/>
      <c r="Z540" s="255">
        <f>+Reactivos_[[#This Row],[Cantidad RED LASE]]*Reactivos_[[#This Row],[Valor de referencia]]</f>
        <v>0</v>
      </c>
      <c r="AA540" s="254"/>
      <c r="AB540" s="255">
        <f>+Reactivos_[[#This Row],[Cantidad LANIA]]*Reactivos_[[#This Row],[Valor de referencia]]</f>
        <v>0</v>
      </c>
      <c r="AC540" s="254"/>
      <c r="AD540" s="255">
        <f>+Reactivos_[[#This Row],[Cantidad SPA]]*Reactivos_[[#This Row],[Valor de referencia]]</f>
        <v>0</v>
      </c>
      <c r="AE540" s="148" t="s">
        <v>76</v>
      </c>
      <c r="AF540" s="148" t="s">
        <v>77</v>
      </c>
    </row>
    <row r="541" spans="1:32" ht="22.5" customHeight="1" x14ac:dyDescent="0.25">
      <c r="A541" s="294" t="str">
        <f>IF(B541=Reactivos_[[#This Row],[Cantidad LANIP]],"LANIP",IF(B541=Reactivos_[[#This Row],[Cantidad 
LDV]],"LDV",IF(B541=Reactivos_[[#This Row],[Cantidad LNDV]],"LNDV",IF(B541=Reactivos_[[#This Row],[GGCA]],"GGCA",IF(B541=Reactivos_[[#This Row],[Cantidad LDF]],"LDF",IF(Reactivos_[[#This Row],[Cantidad LDF&amp;MR]],"LDF&amp;MR",IF(B541=Reactivos_[[#This Row],[Cantidad RED LASE]],"LASE",IF(B541=Reactivos_[[#This Row],[Cantidad LANIA]],"LANIA",IF(B541=Reactivos_[[#This Row],[Cantidad SPA]],"SPA"," ")))))))))</f>
        <v>LDF</v>
      </c>
      <c r="B54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541" s="325">
        <v>539</v>
      </c>
      <c r="D541" s="326">
        <v>785</v>
      </c>
      <c r="E541" s="327" t="s">
        <v>1539</v>
      </c>
      <c r="F541" s="244"/>
      <c r="G541" s="327"/>
      <c r="H541" s="328" t="s">
        <v>141</v>
      </c>
      <c r="I541" s="329" t="s">
        <v>120</v>
      </c>
      <c r="J54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K541" s="160">
        <v>1274731</v>
      </c>
      <c r="L541" s="160">
        <f>+Reactivos_[[#This Row],[Cantidad]]*Reactivos_[[#This Row],[Valor de referencia]]</f>
        <v>10197848</v>
      </c>
      <c r="M541" s="254">
        <v>0</v>
      </c>
      <c r="N541" s="255">
        <f>+Reactivos_[[#This Row],[Valor de referencia]]*Reactivos_[[#This Row],[Cantidad LANIP]]</f>
        <v>0</v>
      </c>
      <c r="O541" s="256"/>
      <c r="P541" s="255">
        <f>+Reactivos_[[#This Row],[Cantidad 
LDV]]*Reactivos_[[#This Row],[Valor de referencia]]</f>
        <v>0</v>
      </c>
      <c r="Q541" s="257"/>
      <c r="R541" s="255">
        <f>+Reactivos_[[#This Row],[Cantidad LNDV]]*Reactivos_[[#This Row],[Valor de referencia]]</f>
        <v>0</v>
      </c>
      <c r="S541" s="148"/>
      <c r="T541" s="255">
        <f>+Reactivos_[[#This Row],[GGCA]]*Reactivos_[[#This Row],[Valor de referencia]]</f>
        <v>0</v>
      </c>
      <c r="U541" s="254">
        <v>8</v>
      </c>
      <c r="V541" s="255">
        <f>+Reactivos_[[#This Row],[Cantidad LDF]]*Reactivos_[[#This Row],[Valor de referencia]]</f>
        <v>10197848</v>
      </c>
      <c r="W541" s="254"/>
      <c r="X541" s="255">
        <f>+Reactivos_[[#This Row],[Cantidad LDF&amp;MR]]*Reactivos_[[#This Row],[Valor de referencia]]</f>
        <v>0</v>
      </c>
      <c r="Y541" s="254"/>
      <c r="Z541" s="255">
        <f>+Reactivos_[[#This Row],[Cantidad RED LASE]]*Reactivos_[[#This Row],[Valor de referencia]]</f>
        <v>0</v>
      </c>
      <c r="AA541" s="254"/>
      <c r="AB541" s="255">
        <f>+Reactivos_[[#This Row],[Cantidad LANIA]]*Reactivos_[[#This Row],[Valor de referencia]]</f>
        <v>0</v>
      </c>
      <c r="AC541" s="254"/>
      <c r="AD541" s="255">
        <f>+Reactivos_[[#This Row],[Cantidad SPA]]*Reactivos_[[#This Row],[Valor de referencia]]</f>
        <v>0</v>
      </c>
      <c r="AE541" s="148" t="s">
        <v>76</v>
      </c>
      <c r="AF541" s="148" t="s">
        <v>77</v>
      </c>
    </row>
    <row r="542" spans="1:32" ht="22.5" customHeight="1" x14ac:dyDescent="0.25">
      <c r="A542" s="294" t="str">
        <f>IF(B542=Reactivos_[[#This Row],[Cantidad LANIP]],"LANIP",IF(B542=Reactivos_[[#This Row],[Cantidad 
LDV]],"LDV",IF(B542=Reactivos_[[#This Row],[Cantidad LNDV]],"LNDV",IF(B542=Reactivos_[[#This Row],[GGCA]],"GGCA",IF(B542=Reactivos_[[#This Row],[Cantidad LDF]],"LDF",IF(Reactivos_[[#This Row],[Cantidad LDF&amp;MR]],"LDF&amp;MR",IF(B542=Reactivos_[[#This Row],[Cantidad RED LASE]],"LASE",IF(B542=Reactivos_[[#This Row],[Cantidad LANIA]],"LANIA",IF(B542=Reactivos_[[#This Row],[Cantidad SPA]],"SPA"," ")))))))))</f>
        <v>LANIP</v>
      </c>
      <c r="B54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42" s="325">
        <v>540</v>
      </c>
      <c r="D542" s="326">
        <v>786</v>
      </c>
      <c r="E542" s="331" t="s">
        <v>1540</v>
      </c>
      <c r="F542" s="332"/>
      <c r="G542" s="331"/>
      <c r="H542" s="333" t="s">
        <v>1541</v>
      </c>
      <c r="I542" s="334" t="s">
        <v>107</v>
      </c>
      <c r="J54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42" s="160">
        <v>1826522</v>
      </c>
      <c r="L542" s="160">
        <f>+Reactivos_[[#This Row],[Cantidad]]*Reactivos_[[#This Row],[Valor de referencia]]</f>
        <v>3653044</v>
      </c>
      <c r="M542" s="254">
        <v>2</v>
      </c>
      <c r="N542" s="255">
        <f>+Reactivos_[[#This Row],[Valor de referencia]]*Reactivos_[[#This Row],[Cantidad LANIP]]</f>
        <v>3653044</v>
      </c>
      <c r="O542" s="256"/>
      <c r="P542" s="255">
        <f>+Reactivos_[[#This Row],[Cantidad 
LDV]]*Reactivos_[[#This Row],[Valor de referencia]]</f>
        <v>0</v>
      </c>
      <c r="Q542" s="257"/>
      <c r="R542" s="255">
        <f>+Reactivos_[[#This Row],[Cantidad LNDV]]*Reactivos_[[#This Row],[Valor de referencia]]</f>
        <v>0</v>
      </c>
      <c r="S542" s="148"/>
      <c r="T542" s="255">
        <f>+Reactivos_[[#This Row],[GGCA]]*Reactivos_[[#This Row],[Valor de referencia]]</f>
        <v>0</v>
      </c>
      <c r="U542" s="254"/>
      <c r="V542" s="255">
        <f>+Reactivos_[[#This Row],[Cantidad LDF]]*Reactivos_[[#This Row],[Valor de referencia]]</f>
        <v>0</v>
      </c>
      <c r="W542" s="254"/>
      <c r="X542" s="255">
        <f>+Reactivos_[[#This Row],[Cantidad LDF&amp;MR]]*Reactivos_[[#This Row],[Valor de referencia]]</f>
        <v>0</v>
      </c>
      <c r="Y542" s="254"/>
      <c r="Z542" s="255">
        <f>+Reactivos_[[#This Row],[Cantidad RED LASE]]*Reactivos_[[#This Row],[Valor de referencia]]</f>
        <v>0</v>
      </c>
      <c r="AA542" s="254"/>
      <c r="AB542" s="255">
        <f>+Reactivos_[[#This Row],[Cantidad LANIA]]*Reactivos_[[#This Row],[Valor de referencia]]</f>
        <v>0</v>
      </c>
      <c r="AC542" s="254"/>
      <c r="AD542" s="255">
        <f>+Reactivos_[[#This Row],[Cantidad SPA]]*Reactivos_[[#This Row],[Valor de referencia]]</f>
        <v>0</v>
      </c>
      <c r="AE542" s="148" t="s">
        <v>76</v>
      </c>
      <c r="AF542" s="148" t="s">
        <v>77</v>
      </c>
    </row>
    <row r="543" spans="1:32" ht="43.5" customHeight="1" x14ac:dyDescent="0.25">
      <c r="A543" s="294" t="str">
        <f>IF(B543=Reactivos_[[#This Row],[Cantidad LANIP]],"LANIP",IF(B543=Reactivos_[[#This Row],[Cantidad 
LDV]],"LDV",IF(B543=Reactivos_[[#This Row],[Cantidad LNDV]],"LNDV",IF(B543=Reactivos_[[#This Row],[GGCA]],"GGCA",IF(B543=Reactivos_[[#This Row],[Cantidad LDF]],"LDF",IF(Reactivos_[[#This Row],[Cantidad LDF&amp;MR]],"LDF&amp;MR",IF(B543=Reactivos_[[#This Row],[Cantidad RED LASE]],"LASE",IF(B543=Reactivos_[[#This Row],[Cantidad LANIA]],"LANIA",IF(B543=Reactivos_[[#This Row],[Cantidad SPA]],"SPA"," ")))))))))</f>
        <v>LDV</v>
      </c>
      <c r="B54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43" s="325">
        <v>541</v>
      </c>
      <c r="D543" s="326">
        <v>789</v>
      </c>
      <c r="E543" s="331" t="s">
        <v>1542</v>
      </c>
      <c r="F543" s="244" t="s">
        <v>1543</v>
      </c>
      <c r="G543" s="331" t="s">
        <v>1544</v>
      </c>
      <c r="H543" s="344" t="s">
        <v>1545</v>
      </c>
      <c r="I543" s="334" t="s">
        <v>1546</v>
      </c>
      <c r="J54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43" s="160">
        <v>233383</v>
      </c>
      <c r="L543" s="160">
        <f>+Reactivos_[[#This Row],[Cantidad]]*Reactivos_[[#This Row],[Valor de referencia]]</f>
        <v>233383</v>
      </c>
      <c r="M543" s="254">
        <v>0</v>
      </c>
      <c r="N543" s="255">
        <f>+Reactivos_[[#This Row],[Valor de referencia]]*Reactivos_[[#This Row],[Cantidad LANIP]]</f>
        <v>0</v>
      </c>
      <c r="O543" s="256">
        <v>1</v>
      </c>
      <c r="P543" s="255">
        <f>+Reactivos_[[#This Row],[Cantidad 
LDV]]*Reactivos_[[#This Row],[Valor de referencia]]</f>
        <v>233383</v>
      </c>
      <c r="Q543" s="257"/>
      <c r="R543" s="255">
        <f>+Reactivos_[[#This Row],[Cantidad LNDV]]*Reactivos_[[#This Row],[Valor de referencia]]</f>
        <v>0</v>
      </c>
      <c r="S543" s="148"/>
      <c r="T543" s="255">
        <f>+Reactivos_[[#This Row],[GGCA]]*Reactivos_[[#This Row],[Valor de referencia]]</f>
        <v>0</v>
      </c>
      <c r="U543" s="254"/>
      <c r="V543" s="255">
        <f>+Reactivos_[[#This Row],[Cantidad LDF]]*Reactivos_[[#This Row],[Valor de referencia]]</f>
        <v>0</v>
      </c>
      <c r="W543" s="254"/>
      <c r="X543" s="255">
        <f>+Reactivos_[[#This Row],[Cantidad LDF&amp;MR]]*Reactivos_[[#This Row],[Valor de referencia]]</f>
        <v>0</v>
      </c>
      <c r="Y543" s="254"/>
      <c r="Z543" s="255">
        <f>+Reactivos_[[#This Row],[Cantidad RED LASE]]*Reactivos_[[#This Row],[Valor de referencia]]</f>
        <v>0</v>
      </c>
      <c r="AA543" s="254"/>
      <c r="AB543" s="255">
        <f>+Reactivos_[[#This Row],[Cantidad LANIA]]*Reactivos_[[#This Row],[Valor de referencia]]</f>
        <v>0</v>
      </c>
      <c r="AC543" s="254"/>
      <c r="AD543" s="255">
        <f>+Reactivos_[[#This Row],[Cantidad SPA]]*Reactivos_[[#This Row],[Valor de referencia]]</f>
        <v>0</v>
      </c>
      <c r="AE543" s="148" t="s">
        <v>77</v>
      </c>
      <c r="AF543" s="148" t="s">
        <v>77</v>
      </c>
    </row>
    <row r="544" spans="1:32" ht="38.25" x14ac:dyDescent="0.25">
      <c r="A544" s="294" t="str">
        <f>IF(B544=Reactivos_[[#This Row],[Cantidad LANIP]],"LANIP",IF(B544=Reactivos_[[#This Row],[Cantidad 
LDV]],"LDV",IF(B544=Reactivos_[[#This Row],[Cantidad LNDV]],"LNDV",IF(B544=Reactivos_[[#This Row],[GGCA]],"GGCA",IF(B544=Reactivos_[[#This Row],[Cantidad LDF]],"LDF",IF(Reactivos_[[#This Row],[Cantidad LDF&amp;MR]],"LDF&amp;MR",IF(B544=Reactivos_[[#This Row],[Cantidad RED LASE]],"LASE",IF(B544=Reactivos_[[#This Row],[Cantidad LANIA]],"LANIA",IF(B544=Reactivos_[[#This Row],[Cantidad SPA]],"SPA"," ")))))))))</f>
        <v>LANIA</v>
      </c>
      <c r="B54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40</v>
      </c>
      <c r="C544" s="325">
        <v>542</v>
      </c>
      <c r="D544" s="326">
        <v>790</v>
      </c>
      <c r="E544" s="331" t="s">
        <v>1547</v>
      </c>
      <c r="F544" s="244" t="s">
        <v>1543</v>
      </c>
      <c r="G544" s="331" t="s">
        <v>1544</v>
      </c>
      <c r="H544" s="344" t="s">
        <v>1548</v>
      </c>
      <c r="I544" s="408" t="s">
        <v>1549</v>
      </c>
      <c r="J54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55</v>
      </c>
      <c r="K544" s="160">
        <v>516177</v>
      </c>
      <c r="L544" s="160">
        <f>+Reactivos_[[#This Row],[Cantidad]]*Reactivos_[[#This Row],[Valor de referencia]]</f>
        <v>28389735</v>
      </c>
      <c r="M544" s="254">
        <v>15</v>
      </c>
      <c r="N544" s="255">
        <f>+Reactivos_[[#This Row],[Valor de referencia]]*Reactivos_[[#This Row],[Cantidad LANIP]]</f>
        <v>7742655</v>
      </c>
      <c r="O544" s="256"/>
      <c r="P544" s="255">
        <f>+Reactivos_[[#This Row],[Cantidad 
LDV]]*Reactivos_[[#This Row],[Valor de referencia]]</f>
        <v>0</v>
      </c>
      <c r="Q544" s="257"/>
      <c r="R544" s="255">
        <f>+Reactivos_[[#This Row],[Cantidad LNDV]]*Reactivos_[[#This Row],[Valor de referencia]]</f>
        <v>0</v>
      </c>
      <c r="S544" s="148"/>
      <c r="T544" s="255">
        <f>+Reactivos_[[#This Row],[GGCA]]*Reactivos_[[#This Row],[Valor de referencia]]</f>
        <v>0</v>
      </c>
      <c r="U544" s="254"/>
      <c r="V544" s="255">
        <f>+Reactivos_[[#This Row],[Cantidad LDF]]*Reactivos_[[#This Row],[Valor de referencia]]</f>
        <v>0</v>
      </c>
      <c r="W544" s="254"/>
      <c r="X544" s="255">
        <f>+Reactivos_[[#This Row],[Cantidad LDF&amp;MR]]*Reactivos_[[#This Row],[Valor de referencia]]</f>
        <v>0</v>
      </c>
      <c r="Y544" s="254"/>
      <c r="Z544" s="255">
        <f>+Reactivos_[[#This Row],[Cantidad RED LASE]]*Reactivos_[[#This Row],[Valor de referencia]]</f>
        <v>0</v>
      </c>
      <c r="AA544" s="254">
        <v>40</v>
      </c>
      <c r="AB544" s="255">
        <f>+Reactivos_[[#This Row],[Cantidad LANIA]]*Reactivos_[[#This Row],[Valor de referencia]]</f>
        <v>20647080</v>
      </c>
      <c r="AC544" s="254"/>
      <c r="AD544" s="255">
        <f>+Reactivos_[[#This Row],[Cantidad SPA]]*Reactivos_[[#This Row],[Valor de referencia]]</f>
        <v>0</v>
      </c>
      <c r="AE544" s="148" t="s">
        <v>77</v>
      </c>
      <c r="AF544" s="148" t="s">
        <v>77</v>
      </c>
    </row>
    <row r="545" spans="1:32" ht="63.75" x14ac:dyDescent="0.25">
      <c r="A545" s="294" t="str">
        <f>IF(B545=Reactivos_[[#This Row],[Cantidad LANIP]],"LANIP",IF(B545=Reactivos_[[#This Row],[Cantidad 
LDV]],"LDV",IF(B545=Reactivos_[[#This Row],[Cantidad LNDV]],"LNDV",IF(B545=Reactivos_[[#This Row],[GGCA]],"GGCA",IF(B545=Reactivos_[[#This Row],[Cantidad LDF]],"LDF",IF(Reactivos_[[#This Row],[Cantidad LDF&amp;MR]],"LDF&amp;MR",IF(B545=Reactivos_[[#This Row],[Cantidad RED LASE]],"LASE",IF(B545=Reactivos_[[#This Row],[Cantidad LANIA]],"LANIA",IF(B545=Reactivos_[[#This Row],[Cantidad SPA]],"SPA"," ")))))))))</f>
        <v>LNDV</v>
      </c>
      <c r="B54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45" s="325">
        <v>543</v>
      </c>
      <c r="D545" s="326">
        <v>791</v>
      </c>
      <c r="E545" s="245" t="s">
        <v>1550</v>
      </c>
      <c r="F545" s="244" t="s">
        <v>1543</v>
      </c>
      <c r="G545" s="245" t="s">
        <v>1551</v>
      </c>
      <c r="H545" s="346" t="s">
        <v>1552</v>
      </c>
      <c r="I545" s="336" t="s">
        <v>1553</v>
      </c>
      <c r="J54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45" s="160">
        <v>366520</v>
      </c>
      <c r="L545" s="160">
        <f>+Reactivos_[[#This Row],[Cantidad]]*Reactivos_[[#This Row],[Valor de referencia]]</f>
        <v>366520</v>
      </c>
      <c r="M545" s="254">
        <v>0</v>
      </c>
      <c r="N545" s="255">
        <f>+Reactivos_[[#This Row],[Valor de referencia]]*Reactivos_[[#This Row],[Cantidad LANIP]]</f>
        <v>0</v>
      </c>
      <c r="O545" s="256"/>
      <c r="P545" s="255">
        <f>+Reactivos_[[#This Row],[Cantidad 
LDV]]*Reactivos_[[#This Row],[Valor de referencia]]</f>
        <v>0</v>
      </c>
      <c r="Q545" s="257">
        <v>1</v>
      </c>
      <c r="R545" s="255">
        <f>+Reactivos_[[#This Row],[Cantidad LNDV]]*Reactivos_[[#This Row],[Valor de referencia]]</f>
        <v>366520</v>
      </c>
      <c r="S545" s="148"/>
      <c r="T545" s="255">
        <f>+Reactivos_[[#This Row],[GGCA]]*Reactivos_[[#This Row],[Valor de referencia]]</f>
        <v>0</v>
      </c>
      <c r="U545" s="254"/>
      <c r="V545" s="255">
        <f>+Reactivos_[[#This Row],[Cantidad LDF]]*Reactivos_[[#This Row],[Valor de referencia]]</f>
        <v>0</v>
      </c>
      <c r="W545" s="254"/>
      <c r="X545" s="255">
        <f>+Reactivos_[[#This Row],[Cantidad LDF&amp;MR]]*Reactivos_[[#This Row],[Valor de referencia]]</f>
        <v>0</v>
      </c>
      <c r="Y545" s="254"/>
      <c r="Z545" s="255">
        <f>+Reactivos_[[#This Row],[Cantidad RED LASE]]*Reactivos_[[#This Row],[Valor de referencia]]</f>
        <v>0</v>
      </c>
      <c r="AA545" s="254"/>
      <c r="AB545" s="255">
        <f>+Reactivos_[[#This Row],[Cantidad LANIA]]*Reactivos_[[#This Row],[Valor de referencia]]</f>
        <v>0</v>
      </c>
      <c r="AC545" s="254"/>
      <c r="AD545" s="255">
        <f>+Reactivos_[[#This Row],[Cantidad SPA]]*Reactivos_[[#This Row],[Valor de referencia]]</f>
        <v>0</v>
      </c>
      <c r="AE545" s="148" t="s">
        <v>77</v>
      </c>
      <c r="AF545" s="148" t="s">
        <v>77</v>
      </c>
    </row>
    <row r="546" spans="1:32" ht="22.5" customHeight="1" x14ac:dyDescent="0.25">
      <c r="A546" s="294" t="str">
        <f>IF(B546=Reactivos_[[#This Row],[Cantidad LANIP]],"LANIP",IF(B546=Reactivos_[[#This Row],[Cantidad 
LDV]],"LDV",IF(B546=Reactivos_[[#This Row],[Cantidad LNDV]],"LNDV",IF(B546=Reactivos_[[#This Row],[GGCA]],"GGCA",IF(B546=Reactivos_[[#This Row],[Cantidad LDF]],"LDF",IF(Reactivos_[[#This Row],[Cantidad LDF&amp;MR]],"LDF&amp;MR",IF(B546=Reactivos_[[#This Row],[Cantidad RED LASE]],"LASE",IF(B546=Reactivos_[[#This Row],[Cantidad LANIA]],"LANIA",IF(B546=Reactivos_[[#This Row],[Cantidad SPA]],"SPA"," ")))))))))</f>
        <v>LANIA</v>
      </c>
      <c r="B54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70</v>
      </c>
      <c r="C546" s="325">
        <v>544</v>
      </c>
      <c r="D546" s="326">
        <v>792</v>
      </c>
      <c r="E546" s="331" t="s">
        <v>1554</v>
      </c>
      <c r="F546" s="244" t="s">
        <v>1543</v>
      </c>
      <c r="G546" s="331" t="s">
        <v>1544</v>
      </c>
      <c r="H546" s="344" t="s">
        <v>1548</v>
      </c>
      <c r="I546" s="334" t="s">
        <v>126</v>
      </c>
      <c r="J54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102</v>
      </c>
      <c r="K546" s="160">
        <v>308345</v>
      </c>
      <c r="L546" s="160">
        <f>+Reactivos_[[#This Row],[Cantidad]]*Reactivos_[[#This Row],[Valor de referencia]]</f>
        <v>31451190</v>
      </c>
      <c r="M546" s="254">
        <v>32</v>
      </c>
      <c r="N546" s="255">
        <f>+Reactivos_[[#This Row],[Valor de referencia]]*Reactivos_[[#This Row],[Cantidad LANIP]]</f>
        <v>9867040</v>
      </c>
      <c r="O546" s="256"/>
      <c r="P546" s="255">
        <f>+Reactivos_[[#This Row],[Cantidad 
LDV]]*Reactivos_[[#This Row],[Valor de referencia]]</f>
        <v>0</v>
      </c>
      <c r="Q546" s="257"/>
      <c r="R546" s="255">
        <f>+Reactivos_[[#This Row],[Cantidad LNDV]]*Reactivos_[[#This Row],[Valor de referencia]]</f>
        <v>0</v>
      </c>
      <c r="S546" s="148"/>
      <c r="T546" s="255">
        <f>+Reactivos_[[#This Row],[GGCA]]*Reactivos_[[#This Row],[Valor de referencia]]</f>
        <v>0</v>
      </c>
      <c r="U546" s="254"/>
      <c r="V546" s="255">
        <f>+Reactivos_[[#This Row],[Cantidad LDF]]*Reactivos_[[#This Row],[Valor de referencia]]</f>
        <v>0</v>
      </c>
      <c r="W546" s="254"/>
      <c r="X546" s="255">
        <f>+Reactivos_[[#This Row],[Cantidad LDF&amp;MR]]*Reactivos_[[#This Row],[Valor de referencia]]</f>
        <v>0</v>
      </c>
      <c r="Y546" s="254"/>
      <c r="Z546" s="255">
        <f>+Reactivos_[[#This Row],[Cantidad RED LASE]]*Reactivos_[[#This Row],[Valor de referencia]]</f>
        <v>0</v>
      </c>
      <c r="AA546" s="254">
        <v>70</v>
      </c>
      <c r="AB546" s="255">
        <f>+Reactivos_[[#This Row],[Cantidad LANIA]]*Reactivos_[[#This Row],[Valor de referencia]]</f>
        <v>21584150</v>
      </c>
      <c r="AC546" s="254"/>
      <c r="AD546" s="255">
        <f>+Reactivos_[[#This Row],[Cantidad SPA]]*Reactivos_[[#This Row],[Valor de referencia]]</f>
        <v>0</v>
      </c>
      <c r="AE546" s="148" t="s">
        <v>77</v>
      </c>
      <c r="AF546" s="148" t="s">
        <v>77</v>
      </c>
    </row>
    <row r="547" spans="1:32" ht="22.5" customHeight="1" x14ac:dyDescent="0.25">
      <c r="A547" s="294" t="str">
        <f>IF(B547=Reactivos_[[#This Row],[Cantidad LANIP]],"LANIP",IF(B547=Reactivos_[[#This Row],[Cantidad 
LDV]],"LDV",IF(B547=Reactivos_[[#This Row],[Cantidad LNDV]],"LNDV",IF(B547=Reactivos_[[#This Row],[GGCA]],"GGCA",IF(B547=Reactivos_[[#This Row],[Cantidad LDF]],"LDF",IF(Reactivos_[[#This Row],[Cantidad LDF&amp;MR]],"LDF&amp;MR",IF(B547=Reactivos_[[#This Row],[Cantidad RED LASE]],"LASE",IF(B547=Reactivos_[[#This Row],[Cantidad LANIA]],"LANIA",IF(B547=Reactivos_[[#This Row],[Cantidad SPA]],"SPA"," ")))))))))</f>
        <v>LANIA</v>
      </c>
      <c r="B54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47" s="325">
        <v>545</v>
      </c>
      <c r="D547" s="326">
        <v>793</v>
      </c>
      <c r="E547" s="245" t="s">
        <v>1555</v>
      </c>
      <c r="F547" s="244" t="s">
        <v>1556</v>
      </c>
      <c r="G547" s="245"/>
      <c r="H547" s="409" t="s">
        <v>1557</v>
      </c>
      <c r="I547" s="336" t="s">
        <v>552</v>
      </c>
      <c r="J54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47" s="160">
        <v>1286390</v>
      </c>
      <c r="L547" s="160">
        <f>+Reactivos_[[#This Row],[Cantidad]]*Reactivos_[[#This Row],[Valor de referencia]]</f>
        <v>1286390</v>
      </c>
      <c r="M547" s="254">
        <v>0</v>
      </c>
      <c r="N547" s="255">
        <f>+Reactivos_[[#This Row],[Valor de referencia]]*Reactivos_[[#This Row],[Cantidad LANIP]]</f>
        <v>0</v>
      </c>
      <c r="O547" s="256"/>
      <c r="P547" s="255">
        <f>+Reactivos_[[#This Row],[Cantidad 
LDV]]*Reactivos_[[#This Row],[Valor de referencia]]</f>
        <v>0</v>
      </c>
      <c r="Q547" s="257"/>
      <c r="R547" s="255">
        <f>+Reactivos_[[#This Row],[Cantidad LNDV]]*Reactivos_[[#This Row],[Valor de referencia]]</f>
        <v>0</v>
      </c>
      <c r="S547" s="148"/>
      <c r="T547" s="255">
        <f>+Reactivos_[[#This Row],[GGCA]]*Reactivos_[[#This Row],[Valor de referencia]]</f>
        <v>0</v>
      </c>
      <c r="U547" s="254"/>
      <c r="V547" s="255">
        <f>+Reactivos_[[#This Row],[Cantidad LDF]]*Reactivos_[[#This Row],[Valor de referencia]]</f>
        <v>0</v>
      </c>
      <c r="W547" s="254"/>
      <c r="X547" s="255">
        <f>+Reactivos_[[#This Row],[Cantidad LDF&amp;MR]]*Reactivos_[[#This Row],[Valor de referencia]]</f>
        <v>0</v>
      </c>
      <c r="Y547" s="254"/>
      <c r="Z547" s="255">
        <f>+Reactivos_[[#This Row],[Cantidad RED LASE]]*Reactivos_[[#This Row],[Valor de referencia]]</f>
        <v>0</v>
      </c>
      <c r="AA547" s="254">
        <v>1</v>
      </c>
      <c r="AB547" s="255">
        <f>+Reactivos_[[#This Row],[Cantidad LANIA]]*Reactivos_[[#This Row],[Valor de referencia]]</f>
        <v>1286390</v>
      </c>
      <c r="AC547" s="254"/>
      <c r="AD547" s="255">
        <f>+Reactivos_[[#This Row],[Cantidad SPA]]*Reactivos_[[#This Row],[Valor de referencia]]</f>
        <v>0</v>
      </c>
      <c r="AE547" s="148" t="s">
        <v>76</v>
      </c>
      <c r="AF547" s="148" t="s">
        <v>77</v>
      </c>
    </row>
    <row r="548" spans="1:32" ht="22.5" customHeight="1" x14ac:dyDescent="0.25">
      <c r="A548" s="294" t="str">
        <f>IF(B548=Reactivos_[[#This Row],[Cantidad LANIP]],"LANIP",IF(B548=Reactivos_[[#This Row],[Cantidad 
LDV]],"LDV",IF(B548=Reactivos_[[#This Row],[Cantidad LNDV]],"LNDV",IF(B548=Reactivos_[[#This Row],[GGCA]],"GGCA",IF(B548=Reactivos_[[#This Row],[Cantidad LDF]],"LDF",IF(Reactivos_[[#This Row],[Cantidad LDF&amp;MR]],"LDF&amp;MR",IF(B548=Reactivos_[[#This Row],[Cantidad RED LASE]],"LASE",IF(B548=Reactivos_[[#This Row],[Cantidad LANIA]],"LANIA",IF(B548=Reactivos_[[#This Row],[Cantidad SPA]],"SPA"," ")))))))))</f>
        <v>LANIP</v>
      </c>
      <c r="B54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48" s="325">
        <v>546</v>
      </c>
      <c r="D548" s="326">
        <v>797</v>
      </c>
      <c r="E548" s="331" t="s">
        <v>1558</v>
      </c>
      <c r="F548" s="332" t="s">
        <v>1559</v>
      </c>
      <c r="G548" s="331"/>
      <c r="H548" s="344" t="s">
        <v>1548</v>
      </c>
      <c r="I548" s="334" t="s">
        <v>217</v>
      </c>
      <c r="J54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548" s="160">
        <v>1891735</v>
      </c>
      <c r="L548" s="160">
        <f>+Reactivos_[[#This Row],[Cantidad]]*Reactivos_[[#This Row],[Valor de referencia]]</f>
        <v>5675205</v>
      </c>
      <c r="M548" s="254">
        <v>2</v>
      </c>
      <c r="N548" s="255">
        <f>+Reactivos_[[#This Row],[Valor de referencia]]*Reactivos_[[#This Row],[Cantidad LANIP]]</f>
        <v>3783470</v>
      </c>
      <c r="O548" s="256"/>
      <c r="P548" s="255">
        <f>+Reactivos_[[#This Row],[Cantidad 
LDV]]*Reactivos_[[#This Row],[Valor de referencia]]</f>
        <v>0</v>
      </c>
      <c r="Q548" s="257"/>
      <c r="R548" s="255">
        <f>+Reactivos_[[#This Row],[Cantidad LNDV]]*Reactivos_[[#This Row],[Valor de referencia]]</f>
        <v>0</v>
      </c>
      <c r="S548" s="148"/>
      <c r="T548" s="255">
        <f>+Reactivos_[[#This Row],[GGCA]]*Reactivos_[[#This Row],[Valor de referencia]]</f>
        <v>0</v>
      </c>
      <c r="U548" s="254"/>
      <c r="V548" s="255">
        <f>+Reactivos_[[#This Row],[Cantidad LDF]]*Reactivos_[[#This Row],[Valor de referencia]]</f>
        <v>0</v>
      </c>
      <c r="W548" s="254"/>
      <c r="X548" s="255">
        <f>+Reactivos_[[#This Row],[Cantidad LDF&amp;MR]]*Reactivos_[[#This Row],[Valor de referencia]]</f>
        <v>0</v>
      </c>
      <c r="Y548" s="254"/>
      <c r="Z548" s="255">
        <f>+Reactivos_[[#This Row],[Cantidad RED LASE]]*Reactivos_[[#This Row],[Valor de referencia]]</f>
        <v>0</v>
      </c>
      <c r="AA548" s="254">
        <v>1</v>
      </c>
      <c r="AB548" s="255">
        <f>+Reactivos_[[#This Row],[Cantidad LANIA]]*Reactivos_[[#This Row],[Valor de referencia]]</f>
        <v>1891735</v>
      </c>
      <c r="AC548" s="254"/>
      <c r="AD548" s="255">
        <f>+Reactivos_[[#This Row],[Cantidad SPA]]*Reactivos_[[#This Row],[Valor de referencia]]</f>
        <v>0</v>
      </c>
      <c r="AE548" s="148" t="s">
        <v>76</v>
      </c>
      <c r="AF548" s="148" t="s">
        <v>77</v>
      </c>
    </row>
    <row r="549" spans="1:32" ht="22.5" customHeight="1" x14ac:dyDescent="0.25">
      <c r="A549" s="294" t="str">
        <f>IF(B549=Reactivos_[[#This Row],[Cantidad LANIP]],"LANIP",IF(B549=Reactivos_[[#This Row],[Cantidad 
LDV]],"LDV",IF(B549=Reactivos_[[#This Row],[Cantidad LNDV]],"LNDV",IF(B549=Reactivos_[[#This Row],[GGCA]],"GGCA",IF(B549=Reactivos_[[#This Row],[Cantidad LDF]],"LDF",IF(Reactivos_[[#This Row],[Cantidad LDF&amp;MR]],"LDF&amp;MR",IF(B549=Reactivos_[[#This Row],[Cantidad RED LASE]],"LASE",IF(B549=Reactivos_[[#This Row],[Cantidad LANIA]],"LANIA",IF(B549=Reactivos_[[#This Row],[Cantidad SPA]],"SPA"," ")))))))))</f>
        <v>LNDV</v>
      </c>
      <c r="B54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49" s="325">
        <v>547</v>
      </c>
      <c r="D549" s="326">
        <v>813</v>
      </c>
      <c r="E549" s="245" t="s">
        <v>1560</v>
      </c>
      <c r="F549" s="244" t="s">
        <v>1561</v>
      </c>
      <c r="G549" s="245"/>
      <c r="H549" s="346" t="s">
        <v>1562</v>
      </c>
      <c r="I549" s="336" t="s">
        <v>1563</v>
      </c>
      <c r="J54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49" s="160">
        <v>9677556</v>
      </c>
      <c r="L549" s="160">
        <f>+Reactivos_[[#This Row],[Cantidad]]*Reactivos_[[#This Row],[Valor de referencia]]</f>
        <v>9677556</v>
      </c>
      <c r="M549" s="254">
        <v>0</v>
      </c>
      <c r="N549" s="255">
        <f>+Reactivos_[[#This Row],[Valor de referencia]]*Reactivos_[[#This Row],[Cantidad LANIP]]</f>
        <v>0</v>
      </c>
      <c r="O549" s="256"/>
      <c r="P549" s="255">
        <f>+Reactivos_[[#This Row],[Cantidad 
LDV]]*Reactivos_[[#This Row],[Valor de referencia]]</f>
        <v>0</v>
      </c>
      <c r="Q549" s="257">
        <v>1</v>
      </c>
      <c r="R549" s="255">
        <f>+Reactivos_[[#This Row],[Cantidad LNDV]]*Reactivos_[[#This Row],[Valor de referencia]]</f>
        <v>9677556</v>
      </c>
      <c r="S549" s="148"/>
      <c r="T549" s="255">
        <f>+Reactivos_[[#This Row],[GGCA]]*Reactivos_[[#This Row],[Valor de referencia]]</f>
        <v>0</v>
      </c>
      <c r="U549" s="254"/>
      <c r="V549" s="255">
        <f>+Reactivos_[[#This Row],[Cantidad LDF]]*Reactivos_[[#This Row],[Valor de referencia]]</f>
        <v>0</v>
      </c>
      <c r="W549" s="254"/>
      <c r="X549" s="255">
        <f>+Reactivos_[[#This Row],[Cantidad LDF&amp;MR]]*Reactivos_[[#This Row],[Valor de referencia]]</f>
        <v>0</v>
      </c>
      <c r="Y549" s="254"/>
      <c r="Z549" s="255">
        <f>+Reactivos_[[#This Row],[Cantidad RED LASE]]*Reactivos_[[#This Row],[Valor de referencia]]</f>
        <v>0</v>
      </c>
      <c r="AA549" s="254"/>
      <c r="AB549" s="255">
        <f>+Reactivos_[[#This Row],[Cantidad LANIA]]*Reactivos_[[#This Row],[Valor de referencia]]</f>
        <v>0</v>
      </c>
      <c r="AC549" s="254"/>
      <c r="AD549" s="255">
        <f>+Reactivos_[[#This Row],[Cantidad SPA]]*Reactivos_[[#This Row],[Valor de referencia]]</f>
        <v>0</v>
      </c>
      <c r="AE549" s="148" t="s">
        <v>76</v>
      </c>
      <c r="AF549" s="148" t="s">
        <v>77</v>
      </c>
    </row>
    <row r="550" spans="1:32" ht="22.5" customHeight="1" x14ac:dyDescent="0.25">
      <c r="A550" s="294" t="str">
        <f>IF(B550=Reactivos_[[#This Row],[Cantidad LANIP]],"LANIP",IF(B550=Reactivos_[[#This Row],[Cantidad 
LDV]],"LDV",IF(B550=Reactivos_[[#This Row],[Cantidad LNDV]],"LNDV",IF(B550=Reactivos_[[#This Row],[GGCA]],"GGCA",IF(B550=Reactivos_[[#This Row],[Cantidad LDF]],"LDF",IF(Reactivos_[[#This Row],[Cantidad LDF&amp;MR]],"LDF&amp;MR",IF(B550=Reactivos_[[#This Row],[Cantidad RED LASE]],"LASE",IF(B550=Reactivos_[[#This Row],[Cantidad LANIA]],"LANIA",IF(B550=Reactivos_[[#This Row],[Cantidad SPA]],"SPA"," ")))))))))</f>
        <v>LNDV</v>
      </c>
      <c r="B55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50" s="325">
        <v>548</v>
      </c>
      <c r="D550" s="326">
        <v>815</v>
      </c>
      <c r="E550" s="331" t="s">
        <v>1564</v>
      </c>
      <c r="F550" s="332" t="s">
        <v>1565</v>
      </c>
      <c r="G550" s="331"/>
      <c r="H550" s="328" t="s">
        <v>1566</v>
      </c>
      <c r="I550" s="334" t="s">
        <v>1567</v>
      </c>
      <c r="J55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50" s="160">
        <v>343238</v>
      </c>
      <c r="L550" s="160">
        <f>+Reactivos_[[#This Row],[Cantidad]]*Reactivos_[[#This Row],[Valor de referencia]]</f>
        <v>686476</v>
      </c>
      <c r="M550" s="254">
        <v>0</v>
      </c>
      <c r="N550" s="255">
        <f>+Reactivos_[[#This Row],[Valor de referencia]]*Reactivos_[[#This Row],[Cantidad LANIP]]</f>
        <v>0</v>
      </c>
      <c r="O550" s="256"/>
      <c r="P550" s="255">
        <f>+Reactivos_[[#This Row],[Cantidad 
LDV]]*Reactivos_[[#This Row],[Valor de referencia]]</f>
        <v>0</v>
      </c>
      <c r="Q550" s="257">
        <v>2</v>
      </c>
      <c r="R550" s="255">
        <f>+Reactivos_[[#This Row],[Cantidad LNDV]]*Reactivos_[[#This Row],[Valor de referencia]]</f>
        <v>686476</v>
      </c>
      <c r="S550" s="148"/>
      <c r="T550" s="255">
        <f>+Reactivos_[[#This Row],[GGCA]]*Reactivos_[[#This Row],[Valor de referencia]]</f>
        <v>0</v>
      </c>
      <c r="U550" s="254"/>
      <c r="V550" s="255">
        <f>+Reactivos_[[#This Row],[Cantidad LDF]]*Reactivos_[[#This Row],[Valor de referencia]]</f>
        <v>0</v>
      </c>
      <c r="W550" s="254"/>
      <c r="X550" s="255">
        <f>+Reactivos_[[#This Row],[Cantidad LDF&amp;MR]]*Reactivos_[[#This Row],[Valor de referencia]]</f>
        <v>0</v>
      </c>
      <c r="Y550" s="254"/>
      <c r="Z550" s="255">
        <f>+Reactivos_[[#This Row],[Cantidad RED LASE]]*Reactivos_[[#This Row],[Valor de referencia]]</f>
        <v>0</v>
      </c>
      <c r="AA550" s="254"/>
      <c r="AB550" s="255">
        <f>+Reactivos_[[#This Row],[Cantidad LANIA]]*Reactivos_[[#This Row],[Valor de referencia]]</f>
        <v>0</v>
      </c>
      <c r="AC550" s="254"/>
      <c r="AD550" s="255">
        <f>+Reactivos_[[#This Row],[Cantidad SPA]]*Reactivos_[[#This Row],[Valor de referencia]]</f>
        <v>0</v>
      </c>
      <c r="AE550" s="148" t="s">
        <v>76</v>
      </c>
      <c r="AF550" s="148" t="s">
        <v>77</v>
      </c>
    </row>
    <row r="551" spans="1:32" ht="33" customHeight="1" x14ac:dyDescent="0.25">
      <c r="A551" s="294" t="str">
        <f>IF(B551=Reactivos_[[#This Row],[Cantidad LANIP]],"LANIP",IF(B551=Reactivos_[[#This Row],[Cantidad 
LDV]],"LDV",IF(B551=Reactivos_[[#This Row],[Cantidad LNDV]],"LNDV",IF(B551=Reactivos_[[#This Row],[GGCA]],"GGCA",IF(B551=Reactivos_[[#This Row],[Cantidad LDF]],"LDF",IF(Reactivos_[[#This Row],[Cantidad LDF&amp;MR]],"LDF&amp;MR",IF(B551=Reactivos_[[#This Row],[Cantidad RED LASE]],"LASE",IF(B551=Reactivos_[[#This Row],[Cantidad LANIA]],"LANIA",IF(B551=Reactivos_[[#This Row],[Cantidad SPA]],"SPA"," ")))))))))</f>
        <v>LNDV</v>
      </c>
      <c r="B55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551" s="325">
        <v>549</v>
      </c>
      <c r="D551" s="326">
        <v>816</v>
      </c>
      <c r="E551" s="327" t="s">
        <v>1568</v>
      </c>
      <c r="F551" s="350" t="s">
        <v>1565</v>
      </c>
      <c r="G551" s="321"/>
      <c r="H551" s="328" t="s">
        <v>1569</v>
      </c>
      <c r="I551" s="329" t="s">
        <v>104</v>
      </c>
      <c r="J55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K551" s="160">
        <v>279481</v>
      </c>
      <c r="L551" s="160">
        <f>+Reactivos_[[#This Row],[Cantidad]]*Reactivos_[[#This Row],[Valor de referencia]]</f>
        <v>5589620</v>
      </c>
      <c r="M551" s="254">
        <v>0</v>
      </c>
      <c r="N551" s="255">
        <f>+Reactivos_[[#This Row],[Valor de referencia]]*Reactivos_[[#This Row],[Cantidad LANIP]]</f>
        <v>0</v>
      </c>
      <c r="O551" s="256"/>
      <c r="P551" s="255">
        <f>+Reactivos_[[#This Row],[Cantidad 
LDV]]*Reactivos_[[#This Row],[Valor de referencia]]</f>
        <v>0</v>
      </c>
      <c r="Q551" s="257">
        <v>20</v>
      </c>
      <c r="R551" s="255">
        <f>+Reactivos_[[#This Row],[Cantidad LNDV]]*Reactivos_[[#This Row],[Valor de referencia]]</f>
        <v>5589620</v>
      </c>
      <c r="S551" s="148"/>
      <c r="T551" s="255">
        <f>+Reactivos_[[#This Row],[GGCA]]*Reactivos_[[#This Row],[Valor de referencia]]</f>
        <v>0</v>
      </c>
      <c r="U551" s="254"/>
      <c r="V551" s="255">
        <f>+Reactivos_[[#This Row],[Cantidad LDF]]*Reactivos_[[#This Row],[Valor de referencia]]</f>
        <v>0</v>
      </c>
      <c r="W551" s="254"/>
      <c r="X551" s="255">
        <f>+Reactivos_[[#This Row],[Cantidad LDF&amp;MR]]*Reactivos_[[#This Row],[Valor de referencia]]</f>
        <v>0</v>
      </c>
      <c r="Y551" s="254"/>
      <c r="Z551" s="255">
        <f>+Reactivos_[[#This Row],[Cantidad RED LASE]]*Reactivos_[[#This Row],[Valor de referencia]]</f>
        <v>0</v>
      </c>
      <c r="AA551" s="254"/>
      <c r="AB551" s="255">
        <f>+Reactivos_[[#This Row],[Cantidad LANIA]]*Reactivos_[[#This Row],[Valor de referencia]]</f>
        <v>0</v>
      </c>
      <c r="AC551" s="254"/>
      <c r="AD551" s="255">
        <f>+Reactivos_[[#This Row],[Cantidad SPA]]*Reactivos_[[#This Row],[Valor de referencia]]</f>
        <v>0</v>
      </c>
      <c r="AE551" s="148" t="s">
        <v>76</v>
      </c>
      <c r="AF551" s="148" t="s">
        <v>77</v>
      </c>
    </row>
    <row r="552" spans="1:32" ht="22.5" customHeight="1" x14ac:dyDescent="0.25">
      <c r="A552" s="294" t="str">
        <f>IF(B552=Reactivos_[[#This Row],[Cantidad LANIP]],"LANIP",IF(B552=Reactivos_[[#This Row],[Cantidad 
LDV]],"LDV",IF(B552=Reactivos_[[#This Row],[Cantidad LNDV]],"LNDV",IF(B552=Reactivos_[[#This Row],[GGCA]],"GGCA",IF(B552=Reactivos_[[#This Row],[Cantidad LDF]],"LDF",IF(Reactivos_[[#This Row],[Cantidad LDF&amp;MR]],"LDF&amp;MR",IF(B552=Reactivos_[[#This Row],[Cantidad RED LASE]],"LASE",IF(B552=Reactivos_[[#This Row],[Cantidad LANIA]],"LANIA",IF(B552=Reactivos_[[#This Row],[Cantidad SPA]],"SPA"," ")))))))))</f>
        <v>LDF</v>
      </c>
      <c r="B55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52" s="325">
        <v>550</v>
      </c>
      <c r="D552" s="326">
        <v>818</v>
      </c>
      <c r="E552" s="331" t="s">
        <v>1570</v>
      </c>
      <c r="F552" s="351" t="s">
        <v>1571</v>
      </c>
      <c r="G552" s="350" t="s">
        <v>1572</v>
      </c>
      <c r="H552" s="348" t="s">
        <v>1573</v>
      </c>
      <c r="I552" s="329" t="s">
        <v>201</v>
      </c>
      <c r="J55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52" s="160">
        <v>1087472</v>
      </c>
      <c r="L552" s="160">
        <f>+Reactivos_[[#This Row],[Cantidad]]*Reactivos_[[#This Row],[Valor de referencia]]</f>
        <v>1087472</v>
      </c>
      <c r="M552" s="254">
        <v>0</v>
      </c>
      <c r="N552" s="255">
        <f>+Reactivos_[[#This Row],[Valor de referencia]]*Reactivos_[[#This Row],[Cantidad LANIP]]</f>
        <v>0</v>
      </c>
      <c r="O552" s="256"/>
      <c r="P552" s="255">
        <f>+Reactivos_[[#This Row],[Cantidad 
LDV]]*Reactivos_[[#This Row],[Valor de referencia]]</f>
        <v>0</v>
      </c>
      <c r="Q552" s="257"/>
      <c r="R552" s="255">
        <f>+Reactivos_[[#This Row],[Cantidad LNDV]]*Reactivos_[[#This Row],[Valor de referencia]]</f>
        <v>0</v>
      </c>
      <c r="S552" s="148"/>
      <c r="T552" s="255">
        <f>+Reactivos_[[#This Row],[GGCA]]*Reactivos_[[#This Row],[Valor de referencia]]</f>
        <v>0</v>
      </c>
      <c r="U552" s="254">
        <v>1</v>
      </c>
      <c r="V552" s="255">
        <f>+Reactivos_[[#This Row],[Cantidad LDF]]*Reactivos_[[#This Row],[Valor de referencia]]</f>
        <v>1087472</v>
      </c>
      <c r="W552" s="254"/>
      <c r="X552" s="255">
        <f>+Reactivos_[[#This Row],[Cantidad LDF&amp;MR]]*Reactivos_[[#This Row],[Valor de referencia]]</f>
        <v>0</v>
      </c>
      <c r="Y552" s="254"/>
      <c r="Z552" s="255">
        <f>+Reactivos_[[#This Row],[Cantidad RED LASE]]*Reactivos_[[#This Row],[Valor de referencia]]</f>
        <v>0</v>
      </c>
      <c r="AA552" s="254"/>
      <c r="AB552" s="255">
        <f>+Reactivos_[[#This Row],[Cantidad LANIA]]*Reactivos_[[#This Row],[Valor de referencia]]</f>
        <v>0</v>
      </c>
      <c r="AC552" s="254"/>
      <c r="AD552" s="255">
        <f>+Reactivos_[[#This Row],[Cantidad SPA]]*Reactivos_[[#This Row],[Valor de referencia]]</f>
        <v>0</v>
      </c>
      <c r="AE552" s="148" t="s">
        <v>76</v>
      </c>
      <c r="AF552" s="148" t="s">
        <v>77</v>
      </c>
    </row>
    <row r="553" spans="1:32" ht="22.5" customHeight="1" x14ac:dyDescent="0.25">
      <c r="A553" s="294" t="str">
        <f>IF(B553=Reactivos_[[#This Row],[Cantidad LANIP]],"LANIP",IF(B553=Reactivos_[[#This Row],[Cantidad 
LDV]],"LDV",IF(B553=Reactivos_[[#This Row],[Cantidad LNDV]],"LNDV",IF(B553=Reactivos_[[#This Row],[GGCA]],"GGCA",IF(B553=Reactivos_[[#This Row],[Cantidad LDF]],"LDF",IF(Reactivos_[[#This Row],[Cantidad LDF&amp;MR]],"LDF&amp;MR",IF(B553=Reactivos_[[#This Row],[Cantidad RED LASE]],"LASE",IF(B553=Reactivos_[[#This Row],[Cantidad LANIA]],"LANIA",IF(B553=Reactivos_[[#This Row],[Cantidad SPA]],"SPA"," ")))))))))</f>
        <v>LDF</v>
      </c>
      <c r="B55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53" s="325">
        <v>551</v>
      </c>
      <c r="D553" s="326">
        <v>819</v>
      </c>
      <c r="E553" s="331" t="s">
        <v>1574</v>
      </c>
      <c r="F553" s="332"/>
      <c r="G553" s="331"/>
      <c r="H553" s="342" t="s">
        <v>1575</v>
      </c>
      <c r="I553" s="329" t="s">
        <v>1256</v>
      </c>
      <c r="J55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53" s="160">
        <v>1225079</v>
      </c>
      <c r="L553" s="160">
        <f>+Reactivos_[[#This Row],[Cantidad]]*Reactivos_[[#This Row],[Valor de referencia]]</f>
        <v>2450158</v>
      </c>
      <c r="M553" s="254">
        <v>0</v>
      </c>
      <c r="N553" s="255">
        <f>+Reactivos_[[#This Row],[Valor de referencia]]*Reactivos_[[#This Row],[Cantidad LANIP]]</f>
        <v>0</v>
      </c>
      <c r="O553" s="256"/>
      <c r="P553" s="255">
        <f>+Reactivos_[[#This Row],[Cantidad 
LDV]]*Reactivos_[[#This Row],[Valor de referencia]]</f>
        <v>0</v>
      </c>
      <c r="Q553" s="257"/>
      <c r="R553" s="255">
        <f>+Reactivos_[[#This Row],[Cantidad LNDV]]*Reactivos_[[#This Row],[Valor de referencia]]</f>
        <v>0</v>
      </c>
      <c r="S553" s="148"/>
      <c r="T553" s="255">
        <f>+Reactivos_[[#This Row],[GGCA]]*Reactivos_[[#This Row],[Valor de referencia]]</f>
        <v>0</v>
      </c>
      <c r="U553" s="254">
        <v>1</v>
      </c>
      <c r="V553" s="255">
        <f>+Reactivos_[[#This Row],[Cantidad LDF]]*Reactivos_[[#This Row],[Valor de referencia]]</f>
        <v>1225079</v>
      </c>
      <c r="W553" s="254">
        <v>1</v>
      </c>
      <c r="X553" s="255">
        <f>+Reactivos_[[#This Row],[Cantidad LDF&amp;MR]]*Reactivos_[[#This Row],[Valor de referencia]]</f>
        <v>1225079</v>
      </c>
      <c r="Y553" s="254"/>
      <c r="Z553" s="255">
        <f>+Reactivos_[[#This Row],[Cantidad RED LASE]]*Reactivos_[[#This Row],[Valor de referencia]]</f>
        <v>0</v>
      </c>
      <c r="AA553" s="254"/>
      <c r="AB553" s="255">
        <f>+Reactivos_[[#This Row],[Cantidad LANIA]]*Reactivos_[[#This Row],[Valor de referencia]]</f>
        <v>0</v>
      </c>
      <c r="AC553" s="254"/>
      <c r="AD553" s="255">
        <f>+Reactivos_[[#This Row],[Cantidad SPA]]*Reactivos_[[#This Row],[Valor de referencia]]</f>
        <v>0</v>
      </c>
      <c r="AE553" s="148" t="s">
        <v>76</v>
      </c>
      <c r="AF553" s="148" t="s">
        <v>77</v>
      </c>
    </row>
    <row r="554" spans="1:32" ht="22.5" customHeight="1" x14ac:dyDescent="0.25">
      <c r="A554" s="294" t="str">
        <f>IF(B554=Reactivos_[[#This Row],[Cantidad LANIP]],"LANIP",IF(B554=Reactivos_[[#This Row],[Cantidad 
LDV]],"LDV",IF(B554=Reactivos_[[#This Row],[Cantidad LNDV]],"LNDV",IF(B554=Reactivos_[[#This Row],[GGCA]],"GGCA",IF(B554=Reactivos_[[#This Row],[Cantidad LDF]],"LDF",IF(Reactivos_[[#This Row],[Cantidad LDF&amp;MR]],"LDF&amp;MR",IF(B554=Reactivos_[[#This Row],[Cantidad RED LASE]],"LASE",IF(B554=Reactivos_[[#This Row],[Cantidad LANIA]],"LANIA",IF(B554=Reactivos_[[#This Row],[Cantidad SPA]],"SPA"," ")))))))))</f>
        <v>LDF</v>
      </c>
      <c r="B55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54" s="325">
        <v>552</v>
      </c>
      <c r="D554" s="326">
        <v>820</v>
      </c>
      <c r="E554" s="331" t="s">
        <v>1576</v>
      </c>
      <c r="F554" s="332"/>
      <c r="G554" s="331"/>
      <c r="H554" s="342" t="s">
        <v>1577</v>
      </c>
      <c r="I554" s="329" t="s">
        <v>217</v>
      </c>
      <c r="J55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54" s="160">
        <v>736323</v>
      </c>
      <c r="L554" s="160">
        <f>+Reactivos_[[#This Row],[Cantidad]]*Reactivos_[[#This Row],[Valor de referencia]]</f>
        <v>1472646</v>
      </c>
      <c r="M554" s="254">
        <v>0</v>
      </c>
      <c r="N554" s="255">
        <f>+Reactivos_[[#This Row],[Valor de referencia]]*Reactivos_[[#This Row],[Cantidad LANIP]]</f>
        <v>0</v>
      </c>
      <c r="O554" s="256"/>
      <c r="P554" s="255">
        <f>+Reactivos_[[#This Row],[Cantidad 
LDV]]*Reactivos_[[#This Row],[Valor de referencia]]</f>
        <v>0</v>
      </c>
      <c r="Q554" s="257"/>
      <c r="R554" s="255">
        <f>+Reactivos_[[#This Row],[Cantidad LNDV]]*Reactivos_[[#This Row],[Valor de referencia]]</f>
        <v>0</v>
      </c>
      <c r="S554" s="148"/>
      <c r="T554" s="255">
        <f>+Reactivos_[[#This Row],[GGCA]]*Reactivos_[[#This Row],[Valor de referencia]]</f>
        <v>0</v>
      </c>
      <c r="U554" s="254">
        <v>1</v>
      </c>
      <c r="V554" s="255">
        <f>+Reactivos_[[#This Row],[Cantidad LDF]]*Reactivos_[[#This Row],[Valor de referencia]]</f>
        <v>736323</v>
      </c>
      <c r="W554" s="254">
        <v>1</v>
      </c>
      <c r="X554" s="255">
        <f>+Reactivos_[[#This Row],[Cantidad LDF&amp;MR]]*Reactivos_[[#This Row],[Valor de referencia]]</f>
        <v>736323</v>
      </c>
      <c r="Y554" s="254"/>
      <c r="Z554" s="255">
        <f>+Reactivos_[[#This Row],[Cantidad RED LASE]]*Reactivos_[[#This Row],[Valor de referencia]]</f>
        <v>0</v>
      </c>
      <c r="AA554" s="254"/>
      <c r="AB554" s="255">
        <f>+Reactivos_[[#This Row],[Cantidad LANIA]]*Reactivos_[[#This Row],[Valor de referencia]]</f>
        <v>0</v>
      </c>
      <c r="AC554" s="254"/>
      <c r="AD554" s="255">
        <f>+Reactivos_[[#This Row],[Cantidad SPA]]*Reactivos_[[#This Row],[Valor de referencia]]</f>
        <v>0</v>
      </c>
      <c r="AE554" s="148" t="s">
        <v>76</v>
      </c>
      <c r="AF554" s="148" t="s">
        <v>77</v>
      </c>
    </row>
    <row r="555" spans="1:32" ht="22.5" customHeight="1" x14ac:dyDescent="0.25">
      <c r="A555" s="294" t="str">
        <f>IF(B555=Reactivos_[[#This Row],[Cantidad LANIP]],"LANIP",IF(B555=Reactivos_[[#This Row],[Cantidad 
LDV]],"LDV",IF(B555=Reactivos_[[#This Row],[Cantidad LNDV]],"LNDV",IF(B555=Reactivos_[[#This Row],[GGCA]],"GGCA",IF(B555=Reactivos_[[#This Row],[Cantidad LDF]],"LDF",IF(Reactivos_[[#This Row],[Cantidad LDF&amp;MR]],"LDF&amp;MR",IF(B555=Reactivos_[[#This Row],[Cantidad RED LASE]],"LASE",IF(B555=Reactivos_[[#This Row],[Cantidad LANIA]],"LANIA",IF(B555=Reactivos_[[#This Row],[Cantidad SPA]],"SPA"," ")))))))))</f>
        <v>LNDV</v>
      </c>
      <c r="B55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55" s="325">
        <v>553</v>
      </c>
      <c r="D555" s="326">
        <v>821</v>
      </c>
      <c r="E555" s="245" t="s">
        <v>1578</v>
      </c>
      <c r="F555" s="244" t="s">
        <v>1579</v>
      </c>
      <c r="G555" s="245"/>
      <c r="H555" s="346" t="s">
        <v>1580</v>
      </c>
      <c r="I555" s="336" t="s">
        <v>1581</v>
      </c>
      <c r="J55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55" s="160">
        <v>258647</v>
      </c>
      <c r="L555" s="160">
        <f>+Reactivos_[[#This Row],[Cantidad]]*Reactivos_[[#This Row],[Valor de referencia]]</f>
        <v>258647</v>
      </c>
      <c r="M555" s="254">
        <v>0</v>
      </c>
      <c r="N555" s="255">
        <f>+Reactivos_[[#This Row],[Valor de referencia]]*Reactivos_[[#This Row],[Cantidad LANIP]]</f>
        <v>0</v>
      </c>
      <c r="O555" s="256"/>
      <c r="P555" s="255">
        <f>+Reactivos_[[#This Row],[Cantidad 
LDV]]*Reactivos_[[#This Row],[Valor de referencia]]</f>
        <v>0</v>
      </c>
      <c r="Q555" s="257">
        <v>1</v>
      </c>
      <c r="R555" s="255">
        <f>+Reactivos_[[#This Row],[Cantidad LNDV]]*Reactivos_[[#This Row],[Valor de referencia]]</f>
        <v>258647</v>
      </c>
      <c r="S555" s="148"/>
      <c r="T555" s="255">
        <f>+Reactivos_[[#This Row],[GGCA]]*Reactivos_[[#This Row],[Valor de referencia]]</f>
        <v>0</v>
      </c>
      <c r="U555" s="254"/>
      <c r="V555" s="255">
        <f>+Reactivos_[[#This Row],[Cantidad LDF]]*Reactivos_[[#This Row],[Valor de referencia]]</f>
        <v>0</v>
      </c>
      <c r="W555" s="254"/>
      <c r="X555" s="255">
        <f>+Reactivos_[[#This Row],[Cantidad LDF&amp;MR]]*Reactivos_[[#This Row],[Valor de referencia]]</f>
        <v>0</v>
      </c>
      <c r="Y555" s="254"/>
      <c r="Z555" s="255">
        <f>+Reactivos_[[#This Row],[Cantidad RED LASE]]*Reactivos_[[#This Row],[Valor de referencia]]</f>
        <v>0</v>
      </c>
      <c r="AA555" s="254"/>
      <c r="AB555" s="255">
        <f>+Reactivos_[[#This Row],[Cantidad LANIA]]*Reactivos_[[#This Row],[Valor de referencia]]</f>
        <v>0</v>
      </c>
      <c r="AC555" s="254"/>
      <c r="AD555" s="255">
        <f>+Reactivos_[[#This Row],[Cantidad SPA]]*Reactivos_[[#This Row],[Valor de referencia]]</f>
        <v>0</v>
      </c>
      <c r="AE555" s="148" t="s">
        <v>76</v>
      </c>
      <c r="AF555" s="148" t="s">
        <v>77</v>
      </c>
    </row>
    <row r="556" spans="1:32" ht="54" customHeight="1" x14ac:dyDescent="0.25">
      <c r="A556" s="294" t="str">
        <f>IF(B556=Reactivos_[[#This Row],[Cantidad LANIP]],"LANIP",IF(B556=Reactivos_[[#This Row],[Cantidad 
LDV]],"LDV",IF(B556=Reactivos_[[#This Row],[Cantidad LNDV]],"LNDV",IF(B556=Reactivos_[[#This Row],[GGCA]],"GGCA",IF(B556=Reactivos_[[#This Row],[Cantidad LDF]],"LDF",IF(Reactivos_[[#This Row],[Cantidad LDF&amp;MR]],"LDF&amp;MR",IF(B556=Reactivos_[[#This Row],[Cantidad RED LASE]],"LASE",IF(B556=Reactivos_[[#This Row],[Cantidad LANIA]],"LANIA",IF(B556=Reactivos_[[#This Row],[Cantidad SPA]],"SPA"," ")))))))))</f>
        <v>LDV</v>
      </c>
      <c r="B55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556" s="325">
        <v>554</v>
      </c>
      <c r="D556" s="326">
        <v>823</v>
      </c>
      <c r="E556" s="331" t="s">
        <v>1582</v>
      </c>
      <c r="F556" s="332"/>
      <c r="G556" s="331"/>
      <c r="H556" s="328" t="s">
        <v>1583</v>
      </c>
      <c r="I556" s="334" t="s">
        <v>1584</v>
      </c>
      <c r="J55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556" s="160">
        <v>1692658</v>
      </c>
      <c r="L556" s="160">
        <f>+Reactivos_[[#This Row],[Cantidad]]*Reactivos_[[#This Row],[Valor de referencia]]</f>
        <v>16926580</v>
      </c>
      <c r="M556" s="254">
        <v>0</v>
      </c>
      <c r="N556" s="255">
        <f>+Reactivos_[[#This Row],[Valor de referencia]]*Reactivos_[[#This Row],[Cantidad LANIP]]</f>
        <v>0</v>
      </c>
      <c r="O556" s="256">
        <v>5</v>
      </c>
      <c r="P556" s="255">
        <f>+Reactivos_[[#This Row],[Cantidad 
LDV]]*Reactivos_[[#This Row],[Valor de referencia]]</f>
        <v>8463290</v>
      </c>
      <c r="Q556" s="257">
        <v>5</v>
      </c>
      <c r="R556" s="255">
        <f>+Reactivos_[[#This Row],[Cantidad LNDV]]*Reactivos_[[#This Row],[Valor de referencia]]</f>
        <v>8463290</v>
      </c>
      <c r="S556" s="148"/>
      <c r="T556" s="255">
        <f>+Reactivos_[[#This Row],[GGCA]]*Reactivos_[[#This Row],[Valor de referencia]]</f>
        <v>0</v>
      </c>
      <c r="U556" s="254"/>
      <c r="V556" s="255">
        <f>+Reactivos_[[#This Row],[Cantidad LDF]]*Reactivos_[[#This Row],[Valor de referencia]]</f>
        <v>0</v>
      </c>
      <c r="W556" s="254"/>
      <c r="X556" s="255">
        <f>+Reactivos_[[#This Row],[Cantidad LDF&amp;MR]]*Reactivos_[[#This Row],[Valor de referencia]]</f>
        <v>0</v>
      </c>
      <c r="Y556" s="254"/>
      <c r="Z556" s="255">
        <f>+Reactivos_[[#This Row],[Cantidad RED LASE]]*Reactivos_[[#This Row],[Valor de referencia]]</f>
        <v>0</v>
      </c>
      <c r="AA556" s="254"/>
      <c r="AB556" s="255">
        <f>+Reactivos_[[#This Row],[Cantidad LANIA]]*Reactivos_[[#This Row],[Valor de referencia]]</f>
        <v>0</v>
      </c>
      <c r="AC556" s="254"/>
      <c r="AD556" s="255">
        <f>+Reactivos_[[#This Row],[Cantidad SPA]]*Reactivos_[[#This Row],[Valor de referencia]]</f>
        <v>0</v>
      </c>
      <c r="AE556" s="148" t="s">
        <v>76</v>
      </c>
      <c r="AF556" s="310" t="s">
        <v>101</v>
      </c>
    </row>
    <row r="557" spans="1:32" ht="22.5" customHeight="1" x14ac:dyDescent="0.25">
      <c r="A557" s="294" t="str">
        <f>IF(B557=Reactivos_[[#This Row],[Cantidad LANIP]],"LANIP",IF(B557=Reactivos_[[#This Row],[Cantidad 
LDV]],"LDV",IF(B557=Reactivos_[[#This Row],[Cantidad LNDV]],"LNDV",IF(B557=Reactivos_[[#This Row],[GGCA]],"GGCA",IF(B557=Reactivos_[[#This Row],[Cantidad LDF]],"LDF",IF(Reactivos_[[#This Row],[Cantidad LDF&amp;MR]],"LDF&amp;MR",IF(B557=Reactivos_[[#This Row],[Cantidad RED LASE]],"LASE",IF(B557=Reactivos_[[#This Row],[Cantidad LANIA]],"LANIA",IF(B557=Reactivos_[[#This Row],[Cantidad SPA]],"SPA"," ")))))))))</f>
        <v>LNDV</v>
      </c>
      <c r="B55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57" s="325">
        <v>555</v>
      </c>
      <c r="D557" s="326">
        <v>824</v>
      </c>
      <c r="E557" s="327" t="s">
        <v>1585</v>
      </c>
      <c r="F557" s="244"/>
      <c r="G557" s="245"/>
      <c r="H557" s="328" t="s">
        <v>1586</v>
      </c>
      <c r="I557" s="148" t="s">
        <v>1221</v>
      </c>
      <c r="J55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57" s="160">
        <v>1999200</v>
      </c>
      <c r="L557" s="160">
        <f>+Reactivos_[[#This Row],[Cantidad]]*Reactivos_[[#This Row],[Valor de referencia]]</f>
        <v>1999200</v>
      </c>
      <c r="M557" s="254">
        <v>0</v>
      </c>
      <c r="N557" s="255">
        <f>+Reactivos_[[#This Row],[Valor de referencia]]*Reactivos_[[#This Row],[Cantidad LANIP]]</f>
        <v>0</v>
      </c>
      <c r="O557" s="256"/>
      <c r="P557" s="255">
        <f>+Reactivos_[[#This Row],[Cantidad 
LDV]]*Reactivos_[[#This Row],[Valor de referencia]]</f>
        <v>0</v>
      </c>
      <c r="Q557" s="257">
        <v>1</v>
      </c>
      <c r="R557" s="255">
        <f>+Reactivos_[[#This Row],[Cantidad LNDV]]*Reactivos_[[#This Row],[Valor de referencia]]</f>
        <v>1999200</v>
      </c>
      <c r="S557" s="148"/>
      <c r="T557" s="255">
        <f>+Reactivos_[[#This Row],[GGCA]]*Reactivos_[[#This Row],[Valor de referencia]]</f>
        <v>0</v>
      </c>
      <c r="U557" s="254"/>
      <c r="V557" s="255">
        <f>+Reactivos_[[#This Row],[Cantidad LDF]]*Reactivos_[[#This Row],[Valor de referencia]]</f>
        <v>0</v>
      </c>
      <c r="W557" s="254"/>
      <c r="X557" s="255">
        <f>+Reactivos_[[#This Row],[Cantidad LDF&amp;MR]]*Reactivos_[[#This Row],[Valor de referencia]]</f>
        <v>0</v>
      </c>
      <c r="Y557" s="254"/>
      <c r="Z557" s="255">
        <f>+Reactivos_[[#This Row],[Cantidad RED LASE]]*Reactivos_[[#This Row],[Valor de referencia]]</f>
        <v>0</v>
      </c>
      <c r="AA557" s="254"/>
      <c r="AB557" s="255">
        <f>+Reactivos_[[#This Row],[Cantidad LANIA]]*Reactivos_[[#This Row],[Valor de referencia]]</f>
        <v>0</v>
      </c>
      <c r="AC557" s="254"/>
      <c r="AD557" s="255">
        <f>+Reactivos_[[#This Row],[Cantidad SPA]]*Reactivos_[[#This Row],[Valor de referencia]]</f>
        <v>0</v>
      </c>
      <c r="AE557" s="148" t="s">
        <v>76</v>
      </c>
      <c r="AF557" s="148" t="s">
        <v>77</v>
      </c>
    </row>
    <row r="558" spans="1:32" ht="22.5" customHeight="1" x14ac:dyDescent="0.25">
      <c r="A558" s="294" t="str">
        <f>IF(B558=Reactivos_[[#This Row],[Cantidad LANIP]],"LANIP",IF(B558=Reactivos_[[#This Row],[Cantidad 
LDV]],"LDV",IF(B558=Reactivos_[[#This Row],[Cantidad LNDV]],"LNDV",IF(B558=Reactivos_[[#This Row],[GGCA]],"GGCA",IF(B558=Reactivos_[[#This Row],[Cantidad LDF]],"LDF",IF(Reactivos_[[#This Row],[Cantidad LDF&amp;MR]],"LDF&amp;MR",IF(B558=Reactivos_[[#This Row],[Cantidad RED LASE]],"LASE",IF(B558=Reactivos_[[#This Row],[Cantidad LANIA]],"LANIA",IF(B558=Reactivos_[[#This Row],[Cantidad SPA]],"SPA"," ")))))))))</f>
        <v>LDV</v>
      </c>
      <c r="B55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558" s="325">
        <v>556</v>
      </c>
      <c r="D558" s="326">
        <v>825</v>
      </c>
      <c r="E558" s="327" t="s">
        <v>1587</v>
      </c>
      <c r="F558" s="244"/>
      <c r="G558" s="327"/>
      <c r="H558" s="328" t="s">
        <v>1588</v>
      </c>
      <c r="I558" s="347" t="s">
        <v>1589</v>
      </c>
      <c r="J55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14</v>
      </c>
      <c r="K558" s="160">
        <v>2560226</v>
      </c>
      <c r="L558" s="160">
        <f>+Reactivos_[[#This Row],[Cantidad]]*Reactivos_[[#This Row],[Valor de referencia]]</f>
        <v>35843164</v>
      </c>
      <c r="M558" s="254">
        <v>0</v>
      </c>
      <c r="N558" s="255">
        <f>+Reactivos_[[#This Row],[Valor de referencia]]*Reactivos_[[#This Row],[Cantidad LANIP]]</f>
        <v>0</v>
      </c>
      <c r="O558" s="256">
        <v>13</v>
      </c>
      <c r="P558" s="255">
        <f>+Reactivos_[[#This Row],[Cantidad 
LDV]]*Reactivos_[[#This Row],[Valor de referencia]]</f>
        <v>33282938</v>
      </c>
      <c r="Q558" s="257"/>
      <c r="R558" s="255">
        <f>+Reactivos_[[#This Row],[Cantidad LNDV]]*Reactivos_[[#This Row],[Valor de referencia]]</f>
        <v>0</v>
      </c>
      <c r="S558" s="148"/>
      <c r="T558" s="255">
        <f>+Reactivos_[[#This Row],[GGCA]]*Reactivos_[[#This Row],[Valor de referencia]]</f>
        <v>0</v>
      </c>
      <c r="U558" s="254"/>
      <c r="V558" s="255">
        <f>+Reactivos_[[#This Row],[Cantidad LDF]]*Reactivos_[[#This Row],[Valor de referencia]]</f>
        <v>0</v>
      </c>
      <c r="W558" s="254"/>
      <c r="X558" s="255">
        <f>+Reactivos_[[#This Row],[Cantidad LDF&amp;MR]]*Reactivos_[[#This Row],[Valor de referencia]]</f>
        <v>0</v>
      </c>
      <c r="Y558" s="254"/>
      <c r="Z558" s="255">
        <f>+Reactivos_[[#This Row],[Cantidad RED LASE]]*Reactivos_[[#This Row],[Valor de referencia]]</f>
        <v>0</v>
      </c>
      <c r="AA558" s="254">
        <v>1</v>
      </c>
      <c r="AB558" s="255">
        <f>+Reactivos_[[#This Row],[Cantidad LANIA]]*Reactivos_[[#This Row],[Valor de referencia]]</f>
        <v>2560226</v>
      </c>
      <c r="AC558" s="254"/>
      <c r="AD558" s="255">
        <f>+Reactivos_[[#This Row],[Cantidad SPA]]*Reactivos_[[#This Row],[Valor de referencia]]</f>
        <v>0</v>
      </c>
      <c r="AE558" s="148" t="s">
        <v>76</v>
      </c>
      <c r="AF558" s="148" t="s">
        <v>77</v>
      </c>
    </row>
    <row r="559" spans="1:32" ht="22.5" customHeight="1" x14ac:dyDescent="0.25">
      <c r="A559" s="294" t="str">
        <f>IF(B559=Reactivos_[[#This Row],[Cantidad LANIP]],"LANIP",IF(B559=Reactivos_[[#This Row],[Cantidad 
LDV]],"LDV",IF(B559=Reactivos_[[#This Row],[Cantidad LNDV]],"LNDV",IF(B559=Reactivos_[[#This Row],[GGCA]],"GGCA",IF(B559=Reactivos_[[#This Row],[Cantidad LDF]],"LDF",IF(Reactivos_[[#This Row],[Cantidad LDF&amp;MR]],"LDF&amp;MR",IF(B559=Reactivos_[[#This Row],[Cantidad RED LASE]],"LASE",IF(B559=Reactivos_[[#This Row],[Cantidad LANIA]],"LANIA",IF(B559=Reactivos_[[#This Row],[Cantidad SPA]],"SPA"," ")))))))))</f>
        <v>LDV</v>
      </c>
      <c r="B55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559" s="325">
        <v>557</v>
      </c>
      <c r="D559" s="326">
        <v>826</v>
      </c>
      <c r="E559" s="327" t="s">
        <v>1590</v>
      </c>
      <c r="F559" s="244"/>
      <c r="G559" s="327"/>
      <c r="H559" s="328" t="s">
        <v>388</v>
      </c>
      <c r="I559" s="347" t="s">
        <v>1589</v>
      </c>
      <c r="J55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559" s="160">
        <v>3208535</v>
      </c>
      <c r="L559" s="160">
        <f>+Reactivos_[[#This Row],[Cantidad]]*Reactivos_[[#This Row],[Valor de referencia]]</f>
        <v>41710955</v>
      </c>
      <c r="M559" s="254">
        <v>0</v>
      </c>
      <c r="N559" s="255">
        <f>+Reactivos_[[#This Row],[Valor de referencia]]*Reactivos_[[#This Row],[Cantidad LANIP]]</f>
        <v>0</v>
      </c>
      <c r="O559" s="256">
        <v>13</v>
      </c>
      <c r="P559" s="255">
        <f>+Reactivos_[[#This Row],[Cantidad 
LDV]]*Reactivos_[[#This Row],[Valor de referencia]]</f>
        <v>41710955</v>
      </c>
      <c r="Q559" s="257"/>
      <c r="R559" s="255">
        <f>+Reactivos_[[#This Row],[Cantidad LNDV]]*Reactivos_[[#This Row],[Valor de referencia]]</f>
        <v>0</v>
      </c>
      <c r="S559" s="148"/>
      <c r="T559" s="255">
        <f>+Reactivos_[[#This Row],[GGCA]]*Reactivos_[[#This Row],[Valor de referencia]]</f>
        <v>0</v>
      </c>
      <c r="U559" s="254"/>
      <c r="V559" s="255">
        <f>+Reactivos_[[#This Row],[Cantidad LDF]]*Reactivos_[[#This Row],[Valor de referencia]]</f>
        <v>0</v>
      </c>
      <c r="W559" s="254"/>
      <c r="X559" s="255">
        <f>+Reactivos_[[#This Row],[Cantidad LDF&amp;MR]]*Reactivos_[[#This Row],[Valor de referencia]]</f>
        <v>0</v>
      </c>
      <c r="Y559" s="254"/>
      <c r="Z559" s="255">
        <f>+Reactivos_[[#This Row],[Cantidad RED LASE]]*Reactivos_[[#This Row],[Valor de referencia]]</f>
        <v>0</v>
      </c>
      <c r="AA559" s="254"/>
      <c r="AB559" s="255">
        <f>+Reactivos_[[#This Row],[Cantidad LANIA]]*Reactivos_[[#This Row],[Valor de referencia]]</f>
        <v>0</v>
      </c>
      <c r="AC559" s="254"/>
      <c r="AD559" s="255">
        <f>+Reactivos_[[#This Row],[Cantidad SPA]]*Reactivos_[[#This Row],[Valor de referencia]]</f>
        <v>0</v>
      </c>
      <c r="AE559" s="148" t="s">
        <v>76</v>
      </c>
      <c r="AF559" s="148" t="s">
        <v>77</v>
      </c>
    </row>
    <row r="560" spans="1:32" ht="37.5" customHeight="1" x14ac:dyDescent="0.25">
      <c r="A560" s="294" t="str">
        <f>IF(B560=Reactivos_[[#This Row],[Cantidad LANIP]],"LANIP",IF(B560=Reactivos_[[#This Row],[Cantidad 
LDV]],"LDV",IF(B560=Reactivos_[[#This Row],[Cantidad LNDV]],"LNDV",IF(B560=Reactivos_[[#This Row],[GGCA]],"GGCA",IF(B560=Reactivos_[[#This Row],[Cantidad LDF]],"LDF",IF(Reactivos_[[#This Row],[Cantidad LDF&amp;MR]],"LDF&amp;MR",IF(B560=Reactivos_[[#This Row],[Cantidad RED LASE]],"LASE",IF(B560=Reactivos_[[#This Row],[Cantidad LANIA]],"LANIA",IF(B560=Reactivos_[[#This Row],[Cantidad SPA]],"SPA"," ")))))))))</f>
        <v>LDF</v>
      </c>
      <c r="B56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C560" s="325">
        <v>558</v>
      </c>
      <c r="D560" s="326">
        <v>827</v>
      </c>
      <c r="E560" s="327" t="s">
        <v>1591</v>
      </c>
      <c r="F560" s="244"/>
      <c r="G560" s="327"/>
      <c r="H560" s="328" t="s">
        <v>1592</v>
      </c>
      <c r="I560" s="347" t="s">
        <v>1593</v>
      </c>
      <c r="J56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K560" s="160">
        <v>807009</v>
      </c>
      <c r="L560" s="160">
        <f>+Reactivos_[[#This Row],[Cantidad]]*Reactivos_[[#This Row],[Valor de referencia]]</f>
        <v>12105135</v>
      </c>
      <c r="M560" s="254">
        <v>0</v>
      </c>
      <c r="N560" s="255">
        <f>+Reactivos_[[#This Row],[Valor de referencia]]*Reactivos_[[#This Row],[Cantidad LANIP]]</f>
        <v>0</v>
      </c>
      <c r="O560" s="256"/>
      <c r="P560" s="255">
        <f>+Reactivos_[[#This Row],[Cantidad 
LDV]]*Reactivos_[[#This Row],[Valor de referencia]]</f>
        <v>0</v>
      </c>
      <c r="Q560" s="257"/>
      <c r="R560" s="255">
        <f>+Reactivos_[[#This Row],[Cantidad LNDV]]*Reactivos_[[#This Row],[Valor de referencia]]</f>
        <v>0</v>
      </c>
      <c r="S560" s="148"/>
      <c r="T560" s="255">
        <f>+Reactivos_[[#This Row],[GGCA]]*Reactivos_[[#This Row],[Valor de referencia]]</f>
        <v>0</v>
      </c>
      <c r="U560" s="254">
        <v>15</v>
      </c>
      <c r="V560" s="255">
        <f>+Reactivos_[[#This Row],[Cantidad LDF]]*Reactivos_[[#This Row],[Valor de referencia]]</f>
        <v>12105135</v>
      </c>
      <c r="W560" s="254"/>
      <c r="X560" s="255">
        <f>+Reactivos_[[#This Row],[Cantidad LDF&amp;MR]]*Reactivos_[[#This Row],[Valor de referencia]]</f>
        <v>0</v>
      </c>
      <c r="Y560" s="254"/>
      <c r="Z560" s="255">
        <f>+Reactivos_[[#This Row],[Cantidad RED LASE]]*Reactivos_[[#This Row],[Valor de referencia]]</f>
        <v>0</v>
      </c>
      <c r="AA560" s="254"/>
      <c r="AB560" s="255">
        <f>+Reactivos_[[#This Row],[Cantidad LANIA]]*Reactivos_[[#This Row],[Valor de referencia]]</f>
        <v>0</v>
      </c>
      <c r="AC560" s="254"/>
      <c r="AD560" s="255">
        <f>+Reactivos_[[#This Row],[Cantidad SPA]]*Reactivos_[[#This Row],[Valor de referencia]]</f>
        <v>0</v>
      </c>
      <c r="AE560" s="148" t="s">
        <v>76</v>
      </c>
      <c r="AF560" s="148" t="s">
        <v>77</v>
      </c>
    </row>
    <row r="561" spans="1:32" ht="22.5" customHeight="1" x14ac:dyDescent="0.25">
      <c r="A561" s="294" t="str">
        <f>IF(B561=Reactivos_[[#This Row],[Cantidad LANIP]],"LANIP",IF(B561=Reactivos_[[#This Row],[Cantidad 
LDV]],"LDV",IF(B561=Reactivos_[[#This Row],[Cantidad LNDV]],"LNDV",IF(B561=Reactivos_[[#This Row],[GGCA]],"GGCA",IF(B561=Reactivos_[[#This Row],[Cantidad LDF]],"LDF",IF(Reactivos_[[#This Row],[Cantidad LDF&amp;MR]],"LDF&amp;MR",IF(B561=Reactivos_[[#This Row],[Cantidad RED LASE]],"LASE",IF(B561=Reactivos_[[#This Row],[Cantidad LANIA]],"LANIA",IF(B561=Reactivos_[[#This Row],[Cantidad SPA]],"SPA"," ")))))))))</f>
        <v>LANIP</v>
      </c>
      <c r="B56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61" s="325">
        <v>559</v>
      </c>
      <c r="D561" s="326">
        <v>828</v>
      </c>
      <c r="E561" s="331" t="s">
        <v>1594</v>
      </c>
      <c r="F561" s="332"/>
      <c r="G561" s="331"/>
      <c r="H561" s="328" t="s">
        <v>1595</v>
      </c>
      <c r="I561" s="329" t="s">
        <v>1596</v>
      </c>
      <c r="J56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61" s="160">
        <v>2272632</v>
      </c>
      <c r="L561" s="160">
        <f>+Reactivos_[[#This Row],[Cantidad]]*Reactivos_[[#This Row],[Valor de referencia]]</f>
        <v>2272632</v>
      </c>
      <c r="M561" s="254">
        <v>1</v>
      </c>
      <c r="N561" s="255">
        <f>+Reactivos_[[#This Row],[Valor de referencia]]*Reactivos_[[#This Row],[Cantidad LANIP]]</f>
        <v>2272632</v>
      </c>
      <c r="O561" s="256"/>
      <c r="P561" s="255">
        <f>+Reactivos_[[#This Row],[Cantidad 
LDV]]*Reactivos_[[#This Row],[Valor de referencia]]</f>
        <v>0</v>
      </c>
      <c r="Q561" s="257"/>
      <c r="R561" s="255">
        <f>+Reactivos_[[#This Row],[Cantidad LNDV]]*Reactivos_[[#This Row],[Valor de referencia]]</f>
        <v>0</v>
      </c>
      <c r="S561" s="148"/>
      <c r="T561" s="255">
        <f>+Reactivos_[[#This Row],[GGCA]]*Reactivos_[[#This Row],[Valor de referencia]]</f>
        <v>0</v>
      </c>
      <c r="U561" s="254"/>
      <c r="V561" s="255">
        <f>+Reactivos_[[#This Row],[Cantidad LDF]]*Reactivos_[[#This Row],[Valor de referencia]]</f>
        <v>0</v>
      </c>
      <c r="W561" s="254"/>
      <c r="X561" s="255">
        <f>+Reactivos_[[#This Row],[Cantidad LDF&amp;MR]]*Reactivos_[[#This Row],[Valor de referencia]]</f>
        <v>0</v>
      </c>
      <c r="Y561" s="254"/>
      <c r="Z561" s="255">
        <f>+Reactivos_[[#This Row],[Cantidad RED LASE]]*Reactivos_[[#This Row],[Valor de referencia]]</f>
        <v>0</v>
      </c>
      <c r="AA561" s="254"/>
      <c r="AB561" s="255">
        <f>+Reactivos_[[#This Row],[Cantidad LANIA]]*Reactivos_[[#This Row],[Valor de referencia]]</f>
        <v>0</v>
      </c>
      <c r="AC561" s="254"/>
      <c r="AD561" s="255">
        <f>+Reactivos_[[#This Row],[Cantidad SPA]]*Reactivos_[[#This Row],[Valor de referencia]]</f>
        <v>0</v>
      </c>
      <c r="AE561" s="148" t="s">
        <v>76</v>
      </c>
      <c r="AF561" s="148" t="s">
        <v>77</v>
      </c>
    </row>
    <row r="562" spans="1:32" ht="22.5" customHeight="1" x14ac:dyDescent="0.25">
      <c r="A562" s="294" t="str">
        <f>IF(B562=Reactivos_[[#This Row],[Cantidad LANIP]],"LANIP",IF(B562=Reactivos_[[#This Row],[Cantidad 
LDV]],"LDV",IF(B562=Reactivos_[[#This Row],[Cantidad LNDV]],"LNDV",IF(B562=Reactivos_[[#This Row],[GGCA]],"GGCA",IF(B562=Reactivos_[[#This Row],[Cantidad LDF]],"LDF",IF(Reactivos_[[#This Row],[Cantidad LDF&amp;MR]],"LDF&amp;MR",IF(B562=Reactivos_[[#This Row],[Cantidad RED LASE]],"LASE",IF(B562=Reactivos_[[#This Row],[Cantidad LANIA]],"LANIA",IF(B562=Reactivos_[[#This Row],[Cantidad SPA]],"SPA"," ")))))))))</f>
        <v>LANIP</v>
      </c>
      <c r="B56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62" s="325">
        <v>560</v>
      </c>
      <c r="D562" s="326">
        <v>829</v>
      </c>
      <c r="E562" s="331" t="s">
        <v>1597</v>
      </c>
      <c r="F562" s="332"/>
      <c r="G562" s="331"/>
      <c r="H562" s="328" t="s">
        <v>1598</v>
      </c>
      <c r="I562" s="329" t="s">
        <v>1596</v>
      </c>
      <c r="J56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62" s="160">
        <v>2640272</v>
      </c>
      <c r="L562" s="160">
        <f>+Reactivos_[[#This Row],[Cantidad]]*Reactivos_[[#This Row],[Valor de referencia]]</f>
        <v>2640272</v>
      </c>
      <c r="M562" s="254">
        <v>1</v>
      </c>
      <c r="N562" s="255">
        <f>+Reactivos_[[#This Row],[Valor de referencia]]*Reactivos_[[#This Row],[Cantidad LANIP]]</f>
        <v>2640272</v>
      </c>
      <c r="O562" s="256"/>
      <c r="P562" s="255">
        <f>+Reactivos_[[#This Row],[Cantidad 
LDV]]*Reactivos_[[#This Row],[Valor de referencia]]</f>
        <v>0</v>
      </c>
      <c r="Q562" s="257"/>
      <c r="R562" s="255">
        <f>+Reactivos_[[#This Row],[Cantidad LNDV]]*Reactivos_[[#This Row],[Valor de referencia]]</f>
        <v>0</v>
      </c>
      <c r="S562" s="148"/>
      <c r="T562" s="255">
        <f>+Reactivos_[[#This Row],[GGCA]]*Reactivos_[[#This Row],[Valor de referencia]]</f>
        <v>0</v>
      </c>
      <c r="U562" s="254"/>
      <c r="V562" s="255">
        <f>+Reactivos_[[#This Row],[Cantidad LDF]]*Reactivos_[[#This Row],[Valor de referencia]]</f>
        <v>0</v>
      </c>
      <c r="W562" s="254"/>
      <c r="X562" s="255">
        <f>+Reactivos_[[#This Row],[Cantidad LDF&amp;MR]]*Reactivos_[[#This Row],[Valor de referencia]]</f>
        <v>0</v>
      </c>
      <c r="Y562" s="254"/>
      <c r="Z562" s="255">
        <f>+Reactivos_[[#This Row],[Cantidad RED LASE]]*Reactivos_[[#This Row],[Valor de referencia]]</f>
        <v>0</v>
      </c>
      <c r="AA562" s="254"/>
      <c r="AB562" s="255">
        <f>+Reactivos_[[#This Row],[Cantidad LANIA]]*Reactivos_[[#This Row],[Valor de referencia]]</f>
        <v>0</v>
      </c>
      <c r="AC562" s="254"/>
      <c r="AD562" s="255">
        <f>+Reactivos_[[#This Row],[Cantidad SPA]]*Reactivos_[[#This Row],[Valor de referencia]]</f>
        <v>0</v>
      </c>
      <c r="AE562" s="148" t="s">
        <v>76</v>
      </c>
      <c r="AF562" s="148" t="s">
        <v>77</v>
      </c>
    </row>
    <row r="563" spans="1:32" ht="22.5" customHeight="1" x14ac:dyDescent="0.25">
      <c r="A563" s="294" t="str">
        <f>IF(B563=Reactivos_[[#This Row],[Cantidad LANIP]],"LANIP",IF(B563=Reactivos_[[#This Row],[Cantidad 
LDV]],"LDV",IF(B563=Reactivos_[[#This Row],[Cantidad LNDV]],"LNDV",IF(B563=Reactivos_[[#This Row],[GGCA]],"GGCA",IF(B563=Reactivos_[[#This Row],[Cantidad LDF]],"LDF",IF(Reactivos_[[#This Row],[Cantidad LDF&amp;MR]],"LDF&amp;MR",IF(B563=Reactivos_[[#This Row],[Cantidad RED LASE]],"LASE",IF(B563=Reactivos_[[#This Row],[Cantidad LANIA]],"LANIA",IF(B563=Reactivos_[[#This Row],[Cantidad SPA]],"SPA"," ")))))))))</f>
        <v>LNDV</v>
      </c>
      <c r="B56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63" s="325">
        <v>561</v>
      </c>
      <c r="D563" s="326">
        <v>830</v>
      </c>
      <c r="E563" s="331" t="s">
        <v>1599</v>
      </c>
      <c r="F563" s="332" t="s">
        <v>1600</v>
      </c>
      <c r="G563" s="331"/>
      <c r="H563" s="328" t="s">
        <v>1601</v>
      </c>
      <c r="I563" s="410" t="s">
        <v>1602</v>
      </c>
      <c r="J56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563" s="160">
        <v>604282</v>
      </c>
      <c r="L563" s="160">
        <f>+Reactivos_[[#This Row],[Cantidad]]*Reactivos_[[#This Row],[Valor de referencia]]</f>
        <v>1812846</v>
      </c>
      <c r="M563" s="254">
        <v>1</v>
      </c>
      <c r="N563" s="255">
        <f>+Reactivos_[[#This Row],[Valor de referencia]]*Reactivos_[[#This Row],[Cantidad LANIP]]</f>
        <v>604282</v>
      </c>
      <c r="O563" s="256"/>
      <c r="P563" s="255">
        <f>+Reactivos_[[#This Row],[Cantidad 
LDV]]*Reactivos_[[#This Row],[Valor de referencia]]</f>
        <v>0</v>
      </c>
      <c r="Q563" s="257">
        <v>2</v>
      </c>
      <c r="R563" s="255">
        <f>+Reactivos_[[#This Row],[Cantidad LNDV]]*Reactivos_[[#This Row],[Valor de referencia]]</f>
        <v>1208564</v>
      </c>
      <c r="S563" s="148"/>
      <c r="T563" s="255">
        <f>+Reactivos_[[#This Row],[GGCA]]*Reactivos_[[#This Row],[Valor de referencia]]</f>
        <v>0</v>
      </c>
      <c r="U563" s="254"/>
      <c r="V563" s="255">
        <f>+Reactivos_[[#This Row],[Cantidad LDF]]*Reactivos_[[#This Row],[Valor de referencia]]</f>
        <v>0</v>
      </c>
      <c r="W563" s="254"/>
      <c r="X563" s="255">
        <f>+Reactivos_[[#This Row],[Cantidad LDF&amp;MR]]*Reactivos_[[#This Row],[Valor de referencia]]</f>
        <v>0</v>
      </c>
      <c r="Y563" s="254"/>
      <c r="Z563" s="255">
        <f>+Reactivos_[[#This Row],[Cantidad RED LASE]]*Reactivos_[[#This Row],[Valor de referencia]]</f>
        <v>0</v>
      </c>
      <c r="AA563" s="254"/>
      <c r="AB563" s="255">
        <f>+Reactivos_[[#This Row],[Cantidad LANIA]]*Reactivos_[[#This Row],[Valor de referencia]]</f>
        <v>0</v>
      </c>
      <c r="AC563" s="254"/>
      <c r="AD563" s="255">
        <f>+Reactivos_[[#This Row],[Cantidad SPA]]*Reactivos_[[#This Row],[Valor de referencia]]</f>
        <v>0</v>
      </c>
      <c r="AE563" s="148" t="s">
        <v>76</v>
      </c>
      <c r="AF563" s="148" t="s">
        <v>77</v>
      </c>
    </row>
    <row r="564" spans="1:32" ht="22.5" customHeight="1" x14ac:dyDescent="0.25">
      <c r="A564" s="294" t="str">
        <f>IF(B564=Reactivos_[[#This Row],[Cantidad LANIP]],"LANIP",IF(B564=Reactivos_[[#This Row],[Cantidad 
LDV]],"LDV",IF(B564=Reactivos_[[#This Row],[Cantidad LNDV]],"LNDV",IF(B564=Reactivos_[[#This Row],[GGCA]],"GGCA",IF(B564=Reactivos_[[#This Row],[Cantidad LDF]],"LDF",IF(Reactivos_[[#This Row],[Cantidad LDF&amp;MR]],"LDF&amp;MR",IF(B564=Reactivos_[[#This Row],[Cantidad RED LASE]],"LASE",IF(B564=Reactivos_[[#This Row],[Cantidad LANIA]],"LANIA",IF(B564=Reactivos_[[#This Row],[Cantidad SPA]],"SPA"," ")))))))))</f>
        <v>LANIP</v>
      </c>
      <c r="B56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564" s="325">
        <v>562</v>
      </c>
      <c r="D564" s="326">
        <v>831</v>
      </c>
      <c r="E564" s="331" t="s">
        <v>1603</v>
      </c>
      <c r="F564" s="332" t="s">
        <v>1600</v>
      </c>
      <c r="G564" s="331"/>
      <c r="H564" s="328" t="s">
        <v>1604</v>
      </c>
      <c r="I564" s="329" t="s">
        <v>116</v>
      </c>
      <c r="J56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564" s="160">
        <v>8397465</v>
      </c>
      <c r="L564" s="160">
        <f>+Reactivos_[[#This Row],[Cantidad]]*Reactivos_[[#This Row],[Valor de referencia]]</f>
        <v>83974650</v>
      </c>
      <c r="M564" s="254">
        <v>7</v>
      </c>
      <c r="N564" s="255">
        <f>+Reactivos_[[#This Row],[Valor de referencia]]*Reactivos_[[#This Row],[Cantidad LANIP]]</f>
        <v>58782255</v>
      </c>
      <c r="O564" s="256"/>
      <c r="P564" s="255">
        <f>+Reactivos_[[#This Row],[Cantidad 
LDV]]*Reactivos_[[#This Row],[Valor de referencia]]</f>
        <v>0</v>
      </c>
      <c r="Q564" s="257">
        <v>3</v>
      </c>
      <c r="R564" s="255">
        <f>+Reactivos_[[#This Row],[Cantidad LNDV]]*Reactivos_[[#This Row],[Valor de referencia]]</f>
        <v>25192395</v>
      </c>
      <c r="S564" s="148"/>
      <c r="T564" s="255">
        <f>+Reactivos_[[#This Row],[GGCA]]*Reactivos_[[#This Row],[Valor de referencia]]</f>
        <v>0</v>
      </c>
      <c r="U564" s="254"/>
      <c r="V564" s="255">
        <f>+Reactivos_[[#This Row],[Cantidad LDF]]*Reactivos_[[#This Row],[Valor de referencia]]</f>
        <v>0</v>
      </c>
      <c r="W564" s="254"/>
      <c r="X564" s="255">
        <f>+Reactivos_[[#This Row],[Cantidad LDF&amp;MR]]*Reactivos_[[#This Row],[Valor de referencia]]</f>
        <v>0</v>
      </c>
      <c r="Y564" s="254"/>
      <c r="Z564" s="255">
        <f>+Reactivos_[[#This Row],[Cantidad RED LASE]]*Reactivos_[[#This Row],[Valor de referencia]]</f>
        <v>0</v>
      </c>
      <c r="AA564" s="254"/>
      <c r="AB564" s="255">
        <f>+Reactivos_[[#This Row],[Cantidad LANIA]]*Reactivos_[[#This Row],[Valor de referencia]]</f>
        <v>0</v>
      </c>
      <c r="AC564" s="254"/>
      <c r="AD564" s="255">
        <f>+Reactivos_[[#This Row],[Cantidad SPA]]*Reactivos_[[#This Row],[Valor de referencia]]</f>
        <v>0</v>
      </c>
      <c r="AE564" s="148" t="s">
        <v>76</v>
      </c>
      <c r="AF564" s="148" t="s">
        <v>77</v>
      </c>
    </row>
    <row r="565" spans="1:32" ht="25.5" x14ac:dyDescent="0.25">
      <c r="A565" s="294" t="str">
        <f>IF(B565=Reactivos_[[#This Row],[Cantidad LANIP]],"LANIP",IF(B565=Reactivos_[[#This Row],[Cantidad 
LDV]],"LDV",IF(B565=Reactivos_[[#This Row],[Cantidad LNDV]],"LNDV",IF(B565=Reactivos_[[#This Row],[GGCA]],"GGCA",IF(B565=Reactivos_[[#This Row],[Cantidad LDF]],"LDF",IF(Reactivos_[[#This Row],[Cantidad LDF&amp;MR]],"LDF&amp;MR",IF(B565=Reactivos_[[#This Row],[Cantidad RED LASE]],"LASE",IF(B565=Reactivos_[[#This Row],[Cantidad LANIA]],"LANIA",IF(B565=Reactivos_[[#This Row],[Cantidad SPA]],"SPA"," ")))))))))</f>
        <v>LANIA</v>
      </c>
      <c r="B56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65" s="325">
        <v>563</v>
      </c>
      <c r="D565" s="326">
        <v>832</v>
      </c>
      <c r="E565" s="327" t="s">
        <v>1605</v>
      </c>
      <c r="F565" s="244" t="s">
        <v>1606</v>
      </c>
      <c r="G565" s="327"/>
      <c r="H565" s="328" t="s">
        <v>1607</v>
      </c>
      <c r="I565" s="329" t="s">
        <v>120</v>
      </c>
      <c r="J56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65" s="160">
        <v>734310</v>
      </c>
      <c r="L565" s="160">
        <f>+Reactivos_[[#This Row],[Cantidad]]*Reactivos_[[#This Row],[Valor de referencia]]</f>
        <v>1468620</v>
      </c>
      <c r="M565" s="254">
        <v>0</v>
      </c>
      <c r="N565" s="255">
        <f>+Reactivos_[[#This Row],[Valor de referencia]]*Reactivos_[[#This Row],[Cantidad LANIP]]</f>
        <v>0</v>
      </c>
      <c r="O565" s="256"/>
      <c r="P565" s="255">
        <f>+Reactivos_[[#This Row],[Cantidad 
LDV]]*Reactivos_[[#This Row],[Valor de referencia]]</f>
        <v>0</v>
      </c>
      <c r="Q565" s="257"/>
      <c r="R565" s="255">
        <f>+Reactivos_[[#This Row],[Cantidad LNDV]]*Reactivos_[[#This Row],[Valor de referencia]]</f>
        <v>0</v>
      </c>
      <c r="S565" s="148"/>
      <c r="T565" s="255">
        <f>+Reactivos_[[#This Row],[GGCA]]*Reactivos_[[#This Row],[Valor de referencia]]</f>
        <v>0</v>
      </c>
      <c r="U565" s="254"/>
      <c r="V565" s="255">
        <f>+Reactivos_[[#This Row],[Cantidad LDF]]*Reactivos_[[#This Row],[Valor de referencia]]</f>
        <v>0</v>
      </c>
      <c r="W565" s="254"/>
      <c r="X565" s="255">
        <f>+Reactivos_[[#This Row],[Cantidad LDF&amp;MR]]*Reactivos_[[#This Row],[Valor de referencia]]</f>
        <v>0</v>
      </c>
      <c r="Y565" s="254"/>
      <c r="Z565" s="255">
        <f>+Reactivos_[[#This Row],[Cantidad RED LASE]]*Reactivos_[[#This Row],[Valor de referencia]]</f>
        <v>0</v>
      </c>
      <c r="AA565" s="254">
        <v>2</v>
      </c>
      <c r="AB565" s="255">
        <f>+Reactivos_[[#This Row],[Cantidad LANIA]]*Reactivos_[[#This Row],[Valor de referencia]]</f>
        <v>1468620</v>
      </c>
      <c r="AC565" s="254"/>
      <c r="AD565" s="255">
        <f>+Reactivos_[[#This Row],[Cantidad SPA]]*Reactivos_[[#This Row],[Valor de referencia]]</f>
        <v>0</v>
      </c>
      <c r="AE565" s="148" t="s">
        <v>76</v>
      </c>
      <c r="AF565" s="148" t="s">
        <v>77</v>
      </c>
    </row>
    <row r="566" spans="1:32" ht="38.25" x14ac:dyDescent="0.25">
      <c r="A566" s="294" t="str">
        <f>IF(B566=Reactivos_[[#This Row],[Cantidad LANIP]],"LANIP",IF(B566=Reactivos_[[#This Row],[Cantidad 
LDV]],"LDV",IF(B566=Reactivos_[[#This Row],[Cantidad LNDV]],"LNDV",IF(B566=Reactivos_[[#This Row],[GGCA]],"GGCA",IF(B566=Reactivos_[[#This Row],[Cantidad LDF]],"LDF",IF(Reactivos_[[#This Row],[Cantidad LDF&amp;MR]],"LDF&amp;MR",IF(B566=Reactivos_[[#This Row],[Cantidad RED LASE]],"LASE",IF(B566=Reactivos_[[#This Row],[Cantidad LANIA]],"LANIA",IF(B566=Reactivos_[[#This Row],[Cantidad SPA]],"SPA"," ")))))))))</f>
        <v>LANIP</v>
      </c>
      <c r="B56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66" s="325">
        <v>564</v>
      </c>
      <c r="D566" s="326">
        <v>833</v>
      </c>
      <c r="E566" s="245" t="s">
        <v>1608</v>
      </c>
      <c r="F566" s="244" t="s">
        <v>1609</v>
      </c>
      <c r="G566" s="245" t="s">
        <v>1610</v>
      </c>
      <c r="H566" s="346" t="s">
        <v>1611</v>
      </c>
      <c r="I566" s="336" t="s">
        <v>1344</v>
      </c>
      <c r="J56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66" s="160">
        <v>582743</v>
      </c>
      <c r="L566" s="160">
        <f>+Reactivos_[[#This Row],[Cantidad]]*Reactivos_[[#This Row],[Valor de referencia]]</f>
        <v>582743</v>
      </c>
      <c r="M566" s="254">
        <v>1</v>
      </c>
      <c r="N566" s="255">
        <f>+Reactivos_[[#This Row],[Valor de referencia]]*Reactivos_[[#This Row],[Cantidad LANIP]]</f>
        <v>582743</v>
      </c>
      <c r="O566" s="256"/>
      <c r="P566" s="255">
        <f>+Reactivos_[[#This Row],[Cantidad 
LDV]]*Reactivos_[[#This Row],[Valor de referencia]]</f>
        <v>0</v>
      </c>
      <c r="Q566" s="257"/>
      <c r="R566" s="255">
        <f>+Reactivos_[[#This Row],[Cantidad LNDV]]*Reactivos_[[#This Row],[Valor de referencia]]</f>
        <v>0</v>
      </c>
      <c r="S566" s="148"/>
      <c r="T566" s="255">
        <f>+Reactivos_[[#This Row],[GGCA]]*Reactivos_[[#This Row],[Valor de referencia]]</f>
        <v>0</v>
      </c>
      <c r="U566" s="254"/>
      <c r="V566" s="255">
        <f>+Reactivos_[[#This Row],[Cantidad LDF]]*Reactivos_[[#This Row],[Valor de referencia]]</f>
        <v>0</v>
      </c>
      <c r="W566" s="254"/>
      <c r="X566" s="255">
        <f>+Reactivos_[[#This Row],[Cantidad LDF&amp;MR]]*Reactivos_[[#This Row],[Valor de referencia]]</f>
        <v>0</v>
      </c>
      <c r="Y566" s="254"/>
      <c r="Z566" s="255">
        <f>+Reactivos_[[#This Row],[Cantidad RED LASE]]*Reactivos_[[#This Row],[Valor de referencia]]</f>
        <v>0</v>
      </c>
      <c r="AA566" s="254"/>
      <c r="AB566" s="255">
        <f>+Reactivos_[[#This Row],[Cantidad LANIA]]*Reactivos_[[#This Row],[Valor de referencia]]</f>
        <v>0</v>
      </c>
      <c r="AC566" s="254"/>
      <c r="AD566" s="255">
        <f>+Reactivos_[[#This Row],[Cantidad SPA]]*Reactivos_[[#This Row],[Valor de referencia]]</f>
        <v>0</v>
      </c>
      <c r="AE566" s="148" t="s">
        <v>76</v>
      </c>
      <c r="AF566" s="148" t="s">
        <v>77</v>
      </c>
    </row>
    <row r="567" spans="1:32" x14ac:dyDescent="0.25">
      <c r="A567" s="294" t="str">
        <f>IF(B567=Reactivos_[[#This Row],[Cantidad LANIP]],"LANIP",IF(B567=Reactivos_[[#This Row],[Cantidad 
LDV]],"LDV",IF(B567=Reactivos_[[#This Row],[Cantidad LNDV]],"LNDV",IF(B567=Reactivos_[[#This Row],[GGCA]],"GGCA",IF(B567=Reactivos_[[#This Row],[Cantidad LDF]],"LDF",IF(Reactivos_[[#This Row],[Cantidad LDF&amp;MR]],"LDF&amp;MR",IF(B567=Reactivos_[[#This Row],[Cantidad RED LASE]],"LASE",IF(B567=Reactivos_[[#This Row],[Cantidad LANIA]],"LANIA",IF(B567=Reactivos_[[#This Row],[Cantidad SPA]],"SPA"," ")))))))))</f>
        <v>LANIP</v>
      </c>
      <c r="B56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67" s="325">
        <v>565</v>
      </c>
      <c r="D567" s="326">
        <v>834</v>
      </c>
      <c r="E567" s="245" t="s">
        <v>1612</v>
      </c>
      <c r="F567" s="244"/>
      <c r="G567" s="245"/>
      <c r="H567" s="328" t="s">
        <v>1613</v>
      </c>
      <c r="I567" s="329" t="s">
        <v>1614</v>
      </c>
      <c r="J56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567" s="160">
        <v>3036202</v>
      </c>
      <c r="L567" s="160">
        <f>+Reactivos_[[#This Row],[Cantidad]]*Reactivos_[[#This Row],[Valor de referencia]]</f>
        <v>12144808</v>
      </c>
      <c r="M567" s="254">
        <v>2</v>
      </c>
      <c r="N567" s="255">
        <f>+Reactivos_[[#This Row],[Valor de referencia]]*Reactivos_[[#This Row],[Cantidad LANIP]]</f>
        <v>6072404</v>
      </c>
      <c r="O567" s="256"/>
      <c r="P567" s="255">
        <f>+Reactivos_[[#This Row],[Cantidad 
LDV]]*Reactivos_[[#This Row],[Valor de referencia]]</f>
        <v>0</v>
      </c>
      <c r="Q567" s="257"/>
      <c r="R567" s="255">
        <f>+Reactivos_[[#This Row],[Cantidad LNDV]]*Reactivos_[[#This Row],[Valor de referencia]]</f>
        <v>0</v>
      </c>
      <c r="S567" s="148"/>
      <c r="T567" s="255">
        <f>+Reactivos_[[#This Row],[GGCA]]*Reactivos_[[#This Row],[Valor de referencia]]</f>
        <v>0</v>
      </c>
      <c r="U567" s="254"/>
      <c r="V567" s="255">
        <f>+Reactivos_[[#This Row],[Cantidad LDF]]*Reactivos_[[#This Row],[Valor de referencia]]</f>
        <v>0</v>
      </c>
      <c r="W567" s="254"/>
      <c r="X567" s="255">
        <f>+Reactivos_[[#This Row],[Cantidad LDF&amp;MR]]*Reactivos_[[#This Row],[Valor de referencia]]</f>
        <v>0</v>
      </c>
      <c r="Y567" s="254"/>
      <c r="Z567" s="255">
        <f>+Reactivos_[[#This Row],[Cantidad RED LASE]]*Reactivos_[[#This Row],[Valor de referencia]]</f>
        <v>0</v>
      </c>
      <c r="AA567" s="254">
        <v>2</v>
      </c>
      <c r="AB567" s="255">
        <f>+Reactivos_[[#This Row],[Cantidad LANIA]]*Reactivos_[[#This Row],[Valor de referencia]]</f>
        <v>6072404</v>
      </c>
      <c r="AC567" s="254"/>
      <c r="AD567" s="255">
        <f>+Reactivos_[[#This Row],[Cantidad SPA]]*Reactivos_[[#This Row],[Valor de referencia]]</f>
        <v>0</v>
      </c>
      <c r="AE567" s="148" t="s">
        <v>76</v>
      </c>
      <c r="AF567" s="148" t="s">
        <v>77</v>
      </c>
    </row>
    <row r="568" spans="1:32" ht="22.5" customHeight="1" x14ac:dyDescent="0.25">
      <c r="A568" s="294" t="str">
        <f>IF(B568=Reactivos_[[#This Row],[Cantidad LANIP]],"LANIP",IF(B568=Reactivos_[[#This Row],[Cantidad 
LDV]],"LDV",IF(B568=Reactivos_[[#This Row],[Cantidad LNDV]],"LNDV",IF(B568=Reactivos_[[#This Row],[GGCA]],"GGCA",IF(B568=Reactivos_[[#This Row],[Cantidad LDF]],"LDF",IF(Reactivos_[[#This Row],[Cantidad LDF&amp;MR]],"LDF&amp;MR",IF(B568=Reactivos_[[#This Row],[Cantidad RED LASE]],"LASE",IF(B568=Reactivos_[[#This Row],[Cantidad LANIA]],"LANIA",IF(B568=Reactivos_[[#This Row],[Cantidad SPA]],"SPA"," ")))))))))</f>
        <v>LANIP</v>
      </c>
      <c r="B56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68" s="325">
        <v>566</v>
      </c>
      <c r="D568" s="326">
        <v>835</v>
      </c>
      <c r="E568" s="331" t="s">
        <v>1615</v>
      </c>
      <c r="F568" s="332"/>
      <c r="G568" s="331"/>
      <c r="H568" s="348" t="s">
        <v>1616</v>
      </c>
      <c r="I568" s="408" t="s">
        <v>1617</v>
      </c>
      <c r="J56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68" s="160">
        <v>308880</v>
      </c>
      <c r="L568" s="160">
        <f>+Reactivos_[[#This Row],[Cantidad]]*Reactivos_[[#This Row],[Valor de referencia]]</f>
        <v>617760</v>
      </c>
      <c r="M568" s="254">
        <v>2</v>
      </c>
      <c r="N568" s="255">
        <f>+Reactivos_[[#This Row],[Valor de referencia]]*Reactivos_[[#This Row],[Cantidad LANIP]]</f>
        <v>617760</v>
      </c>
      <c r="O568" s="256"/>
      <c r="P568" s="255">
        <f>+Reactivos_[[#This Row],[Cantidad 
LDV]]*Reactivos_[[#This Row],[Valor de referencia]]</f>
        <v>0</v>
      </c>
      <c r="Q568" s="257"/>
      <c r="R568" s="255">
        <f>+Reactivos_[[#This Row],[Cantidad LNDV]]*Reactivos_[[#This Row],[Valor de referencia]]</f>
        <v>0</v>
      </c>
      <c r="S568" s="148"/>
      <c r="T568" s="255">
        <f>+Reactivos_[[#This Row],[GGCA]]*Reactivos_[[#This Row],[Valor de referencia]]</f>
        <v>0</v>
      </c>
      <c r="U568" s="254"/>
      <c r="V568" s="255">
        <f>+Reactivos_[[#This Row],[Cantidad LDF]]*Reactivos_[[#This Row],[Valor de referencia]]</f>
        <v>0</v>
      </c>
      <c r="W568" s="254"/>
      <c r="X568" s="255">
        <f>+Reactivos_[[#This Row],[Cantidad LDF&amp;MR]]*Reactivos_[[#This Row],[Valor de referencia]]</f>
        <v>0</v>
      </c>
      <c r="Y568" s="254"/>
      <c r="Z568" s="255">
        <f>+Reactivos_[[#This Row],[Cantidad RED LASE]]*Reactivos_[[#This Row],[Valor de referencia]]</f>
        <v>0</v>
      </c>
      <c r="AA568" s="254"/>
      <c r="AB568" s="255">
        <f>+Reactivos_[[#This Row],[Cantidad LANIA]]*Reactivos_[[#This Row],[Valor de referencia]]</f>
        <v>0</v>
      </c>
      <c r="AC568" s="254"/>
      <c r="AD568" s="255">
        <f>+Reactivos_[[#This Row],[Cantidad SPA]]*Reactivos_[[#This Row],[Valor de referencia]]</f>
        <v>0</v>
      </c>
      <c r="AE568" s="148" t="s">
        <v>76</v>
      </c>
      <c r="AF568" s="148" t="s">
        <v>77</v>
      </c>
    </row>
    <row r="569" spans="1:32" ht="22.5" customHeight="1" x14ac:dyDescent="0.25">
      <c r="A569" s="294" t="str">
        <f>IF(B569=Reactivos_[[#This Row],[Cantidad LANIP]],"LANIP",IF(B569=Reactivos_[[#This Row],[Cantidad 
LDV]],"LDV",IF(B569=Reactivos_[[#This Row],[Cantidad LNDV]],"LNDV",IF(B569=Reactivos_[[#This Row],[GGCA]],"GGCA",IF(B569=Reactivos_[[#This Row],[Cantidad LDF]],"LDF",IF(Reactivos_[[#This Row],[Cantidad LDF&amp;MR]],"LDF&amp;MR",IF(B569=Reactivos_[[#This Row],[Cantidad RED LASE]],"LASE",IF(B569=Reactivos_[[#This Row],[Cantidad LANIA]],"LANIA",IF(B569=Reactivos_[[#This Row],[Cantidad SPA]],"SPA"," ")))))))))</f>
        <v>LNDV</v>
      </c>
      <c r="B56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25</v>
      </c>
      <c r="C569" s="325">
        <v>567</v>
      </c>
      <c r="D569" s="326">
        <v>836</v>
      </c>
      <c r="E569" s="331" t="s">
        <v>1618</v>
      </c>
      <c r="F569" s="351" t="s">
        <v>1619</v>
      </c>
      <c r="G569" s="320" t="s">
        <v>1620</v>
      </c>
      <c r="H569" s="348" t="s">
        <v>1621</v>
      </c>
      <c r="I569" s="329" t="s">
        <v>1622</v>
      </c>
      <c r="J56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33</v>
      </c>
      <c r="K569" s="160">
        <v>563324</v>
      </c>
      <c r="L569" s="160">
        <f>+Reactivos_[[#This Row],[Cantidad]]*Reactivos_[[#This Row],[Valor de referencia]]</f>
        <v>18589692</v>
      </c>
      <c r="M569" s="254">
        <v>0</v>
      </c>
      <c r="N569" s="255">
        <f>+Reactivos_[[#This Row],[Valor de referencia]]*Reactivos_[[#This Row],[Cantidad LANIP]]</f>
        <v>0</v>
      </c>
      <c r="O569" s="256">
        <v>8</v>
      </c>
      <c r="P569" s="255">
        <f>+Reactivos_[[#This Row],[Cantidad 
LDV]]*Reactivos_[[#This Row],[Valor de referencia]]</f>
        <v>4506592</v>
      </c>
      <c r="Q569" s="257">
        <v>25</v>
      </c>
      <c r="R569" s="255">
        <f>+Reactivos_[[#This Row],[Cantidad LNDV]]*Reactivos_[[#This Row],[Valor de referencia]]</f>
        <v>14083100</v>
      </c>
      <c r="S569" s="148"/>
      <c r="T569" s="255">
        <f>+Reactivos_[[#This Row],[GGCA]]*Reactivos_[[#This Row],[Valor de referencia]]</f>
        <v>0</v>
      </c>
      <c r="U569" s="254"/>
      <c r="V569" s="255">
        <f>+Reactivos_[[#This Row],[Cantidad LDF]]*Reactivos_[[#This Row],[Valor de referencia]]</f>
        <v>0</v>
      </c>
      <c r="W569" s="254"/>
      <c r="X569" s="255">
        <f>+Reactivos_[[#This Row],[Cantidad LDF&amp;MR]]*Reactivos_[[#This Row],[Valor de referencia]]</f>
        <v>0</v>
      </c>
      <c r="Y569" s="254"/>
      <c r="Z569" s="255">
        <f>+Reactivos_[[#This Row],[Cantidad RED LASE]]*Reactivos_[[#This Row],[Valor de referencia]]</f>
        <v>0</v>
      </c>
      <c r="AA569" s="254"/>
      <c r="AB569" s="255">
        <f>+Reactivos_[[#This Row],[Cantidad LANIA]]*Reactivos_[[#This Row],[Valor de referencia]]</f>
        <v>0</v>
      </c>
      <c r="AC569" s="254"/>
      <c r="AD569" s="255">
        <f>+Reactivos_[[#This Row],[Cantidad SPA]]*Reactivos_[[#This Row],[Valor de referencia]]</f>
        <v>0</v>
      </c>
      <c r="AE569" s="148" t="s">
        <v>76</v>
      </c>
      <c r="AF569" s="148" t="s">
        <v>77</v>
      </c>
    </row>
    <row r="570" spans="1:32" ht="22.5" customHeight="1" x14ac:dyDescent="0.25">
      <c r="A570" s="294" t="str">
        <f>IF(B570=Reactivos_[[#This Row],[Cantidad LANIP]],"LANIP",IF(B570=Reactivos_[[#This Row],[Cantidad 
LDV]],"LDV",IF(B570=Reactivos_[[#This Row],[Cantidad LNDV]],"LNDV",IF(B570=Reactivos_[[#This Row],[GGCA]],"GGCA",IF(B570=Reactivos_[[#This Row],[Cantidad LDF]],"LDF",IF(Reactivos_[[#This Row],[Cantidad LDF&amp;MR]],"LDF&amp;MR",IF(B570=Reactivos_[[#This Row],[Cantidad RED LASE]],"LASE",IF(B570=Reactivos_[[#This Row],[Cantidad LANIA]],"LANIA",IF(B570=Reactivos_[[#This Row],[Cantidad SPA]],"SPA"," ")))))))))</f>
        <v>LNDV</v>
      </c>
      <c r="B57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70" s="325">
        <v>568</v>
      </c>
      <c r="D570" s="326">
        <v>839</v>
      </c>
      <c r="E570" s="245" t="s">
        <v>1623</v>
      </c>
      <c r="F570" s="244"/>
      <c r="G570" s="245"/>
      <c r="H570" s="346" t="s">
        <v>1624</v>
      </c>
      <c r="I570" s="336" t="s">
        <v>1625</v>
      </c>
      <c r="J57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70" s="160">
        <v>1513680</v>
      </c>
      <c r="L570" s="160">
        <f>+Reactivos_[[#This Row],[Cantidad]]*Reactivos_[[#This Row],[Valor de referencia]]</f>
        <v>1513680</v>
      </c>
      <c r="M570" s="254">
        <v>0</v>
      </c>
      <c r="N570" s="255">
        <f>+Reactivos_[[#This Row],[Valor de referencia]]*Reactivos_[[#This Row],[Cantidad LANIP]]</f>
        <v>0</v>
      </c>
      <c r="O570" s="256"/>
      <c r="P570" s="255">
        <f>+Reactivos_[[#This Row],[Cantidad 
LDV]]*Reactivos_[[#This Row],[Valor de referencia]]</f>
        <v>0</v>
      </c>
      <c r="Q570" s="257">
        <v>1</v>
      </c>
      <c r="R570" s="255">
        <f>+Reactivos_[[#This Row],[Cantidad LNDV]]*Reactivos_[[#This Row],[Valor de referencia]]</f>
        <v>1513680</v>
      </c>
      <c r="S570" s="148"/>
      <c r="T570" s="255">
        <f>+Reactivos_[[#This Row],[GGCA]]*Reactivos_[[#This Row],[Valor de referencia]]</f>
        <v>0</v>
      </c>
      <c r="U570" s="254"/>
      <c r="V570" s="255">
        <f>+Reactivos_[[#This Row],[Cantidad LDF]]*Reactivos_[[#This Row],[Valor de referencia]]</f>
        <v>0</v>
      </c>
      <c r="W570" s="254"/>
      <c r="X570" s="255">
        <f>+Reactivos_[[#This Row],[Cantidad LDF&amp;MR]]*Reactivos_[[#This Row],[Valor de referencia]]</f>
        <v>0</v>
      </c>
      <c r="Y570" s="254"/>
      <c r="Z570" s="255">
        <f>+Reactivos_[[#This Row],[Cantidad RED LASE]]*Reactivos_[[#This Row],[Valor de referencia]]</f>
        <v>0</v>
      </c>
      <c r="AA570" s="254"/>
      <c r="AB570" s="255">
        <f>+Reactivos_[[#This Row],[Cantidad LANIA]]*Reactivos_[[#This Row],[Valor de referencia]]</f>
        <v>0</v>
      </c>
      <c r="AC570" s="254"/>
      <c r="AD570" s="255">
        <f>+Reactivos_[[#This Row],[Cantidad SPA]]*Reactivos_[[#This Row],[Valor de referencia]]</f>
        <v>0</v>
      </c>
      <c r="AE570" s="148" t="s">
        <v>76</v>
      </c>
      <c r="AF570" s="148" t="s">
        <v>77</v>
      </c>
    </row>
    <row r="571" spans="1:32" ht="25.5" x14ac:dyDescent="0.25">
      <c r="A571" s="294" t="str">
        <f>IF(B571=Reactivos_[[#This Row],[Cantidad LANIP]],"LANIP",IF(B571=Reactivos_[[#This Row],[Cantidad 
LDV]],"LDV",IF(B571=Reactivos_[[#This Row],[Cantidad LNDV]],"LNDV",IF(B571=Reactivos_[[#This Row],[GGCA]],"GGCA",IF(B571=Reactivos_[[#This Row],[Cantidad LDF]],"LDF",IF(Reactivos_[[#This Row],[Cantidad LDF&amp;MR]],"LDF&amp;MR",IF(B571=Reactivos_[[#This Row],[Cantidad RED LASE]],"LASE",IF(B571=Reactivos_[[#This Row],[Cantidad LANIA]],"LANIA",IF(B571=Reactivos_[[#This Row],[Cantidad SPA]],"SPA"," ")))))))))</f>
        <v>LNDV</v>
      </c>
      <c r="B57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571" s="325">
        <v>569</v>
      </c>
      <c r="D571" s="326">
        <v>842</v>
      </c>
      <c r="E571" s="331" t="s">
        <v>1626</v>
      </c>
      <c r="F571" s="351" t="s">
        <v>1627</v>
      </c>
      <c r="G571" s="320" t="s">
        <v>1628</v>
      </c>
      <c r="H571" s="348" t="s">
        <v>1629</v>
      </c>
      <c r="I571" s="329" t="s">
        <v>1630</v>
      </c>
      <c r="J57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571" s="160">
        <v>327369</v>
      </c>
      <c r="L571" s="160">
        <f>+Reactivos_[[#This Row],[Cantidad]]*Reactivos_[[#This Row],[Valor de referencia]]</f>
        <v>3273690</v>
      </c>
      <c r="M571" s="254">
        <v>0</v>
      </c>
      <c r="N571" s="255">
        <f>+Reactivos_[[#This Row],[Valor de referencia]]*Reactivos_[[#This Row],[Cantidad LANIP]]</f>
        <v>0</v>
      </c>
      <c r="O571" s="256"/>
      <c r="P571" s="255">
        <f>+Reactivos_[[#This Row],[Cantidad 
LDV]]*Reactivos_[[#This Row],[Valor de referencia]]</f>
        <v>0</v>
      </c>
      <c r="Q571" s="257">
        <v>8</v>
      </c>
      <c r="R571" s="255">
        <f>+Reactivos_[[#This Row],[Cantidad LNDV]]*Reactivos_[[#This Row],[Valor de referencia]]</f>
        <v>2618952</v>
      </c>
      <c r="S571" s="148"/>
      <c r="T571" s="255">
        <f>+Reactivos_[[#This Row],[GGCA]]*Reactivos_[[#This Row],[Valor de referencia]]</f>
        <v>0</v>
      </c>
      <c r="U571" s="254">
        <v>2</v>
      </c>
      <c r="V571" s="255">
        <f>+Reactivos_[[#This Row],[Cantidad LDF]]*Reactivos_[[#This Row],[Valor de referencia]]</f>
        <v>654738</v>
      </c>
      <c r="W571" s="254"/>
      <c r="X571" s="255">
        <f>+Reactivos_[[#This Row],[Cantidad LDF&amp;MR]]*Reactivos_[[#This Row],[Valor de referencia]]</f>
        <v>0</v>
      </c>
      <c r="Y571" s="254"/>
      <c r="Z571" s="255">
        <f>+Reactivos_[[#This Row],[Cantidad RED LASE]]*Reactivos_[[#This Row],[Valor de referencia]]</f>
        <v>0</v>
      </c>
      <c r="AA571" s="254"/>
      <c r="AB571" s="255">
        <f>+Reactivos_[[#This Row],[Cantidad LANIA]]*Reactivos_[[#This Row],[Valor de referencia]]</f>
        <v>0</v>
      </c>
      <c r="AC571" s="254"/>
      <c r="AD571" s="255">
        <f>+Reactivos_[[#This Row],[Cantidad SPA]]*Reactivos_[[#This Row],[Valor de referencia]]</f>
        <v>0</v>
      </c>
      <c r="AE571" s="148" t="s">
        <v>76</v>
      </c>
      <c r="AF571" s="148" t="s">
        <v>77</v>
      </c>
    </row>
    <row r="572" spans="1:32" ht="22.5" customHeight="1" x14ac:dyDescent="0.25">
      <c r="A572" s="294" t="str">
        <f>IF(B572=Reactivos_[[#This Row],[Cantidad LANIP]],"LANIP",IF(B572=Reactivos_[[#This Row],[Cantidad 
LDV]],"LDV",IF(B572=Reactivos_[[#This Row],[Cantidad LNDV]],"LNDV",IF(B572=Reactivos_[[#This Row],[GGCA]],"GGCA",IF(B572=Reactivos_[[#This Row],[Cantidad LDF]],"LDF",IF(Reactivos_[[#This Row],[Cantidad LDF&amp;MR]],"LDF&amp;MR",IF(B572=Reactivos_[[#This Row],[Cantidad RED LASE]],"LASE",IF(B572=Reactivos_[[#This Row],[Cantidad LANIA]],"LANIA",IF(B572=Reactivos_[[#This Row],[Cantidad SPA]],"SPA"," ")))))))))</f>
        <v>LNDV</v>
      </c>
      <c r="B57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C572" s="325">
        <v>570</v>
      </c>
      <c r="D572" s="326">
        <v>844</v>
      </c>
      <c r="E572" s="327" t="s">
        <v>1631</v>
      </c>
      <c r="F572" s="244"/>
      <c r="G572" s="327"/>
      <c r="H572" s="328" t="s">
        <v>1632</v>
      </c>
      <c r="I572" s="329" t="s">
        <v>107</v>
      </c>
      <c r="J57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572" s="160">
        <v>702100</v>
      </c>
      <c r="L572" s="160">
        <f>+Reactivos_[[#This Row],[Cantidad]]*Reactivos_[[#This Row],[Valor de referencia]]</f>
        <v>11233600</v>
      </c>
      <c r="M572" s="254">
        <v>0</v>
      </c>
      <c r="N572" s="255">
        <f>+Reactivos_[[#This Row],[Valor de referencia]]*Reactivos_[[#This Row],[Cantidad LANIP]]</f>
        <v>0</v>
      </c>
      <c r="O572" s="256">
        <v>5</v>
      </c>
      <c r="P572" s="255">
        <f>+Reactivos_[[#This Row],[Cantidad 
LDV]]*Reactivos_[[#This Row],[Valor de referencia]]</f>
        <v>3510500</v>
      </c>
      <c r="Q572" s="257">
        <v>11</v>
      </c>
      <c r="R572" s="255">
        <f>+Reactivos_[[#This Row],[Cantidad LNDV]]*Reactivos_[[#This Row],[Valor de referencia]]</f>
        <v>7723100</v>
      </c>
      <c r="S572" s="148"/>
      <c r="T572" s="255">
        <f>+Reactivos_[[#This Row],[GGCA]]*Reactivos_[[#This Row],[Valor de referencia]]</f>
        <v>0</v>
      </c>
      <c r="U572" s="254"/>
      <c r="V572" s="255">
        <f>+Reactivos_[[#This Row],[Cantidad LDF]]*Reactivos_[[#This Row],[Valor de referencia]]</f>
        <v>0</v>
      </c>
      <c r="W572" s="254"/>
      <c r="X572" s="255">
        <f>+Reactivos_[[#This Row],[Cantidad LDF&amp;MR]]*Reactivos_[[#This Row],[Valor de referencia]]</f>
        <v>0</v>
      </c>
      <c r="Y572" s="254"/>
      <c r="Z572" s="255">
        <f>+Reactivos_[[#This Row],[Cantidad RED LASE]]*Reactivos_[[#This Row],[Valor de referencia]]</f>
        <v>0</v>
      </c>
      <c r="AA572" s="254"/>
      <c r="AB572" s="255">
        <f>+Reactivos_[[#This Row],[Cantidad LANIA]]*Reactivos_[[#This Row],[Valor de referencia]]</f>
        <v>0</v>
      </c>
      <c r="AC572" s="254"/>
      <c r="AD572" s="255">
        <f>+Reactivos_[[#This Row],[Cantidad SPA]]*Reactivos_[[#This Row],[Valor de referencia]]</f>
        <v>0</v>
      </c>
      <c r="AE572" s="148" t="s">
        <v>76</v>
      </c>
      <c r="AF572" s="148" t="s">
        <v>77</v>
      </c>
    </row>
    <row r="573" spans="1:32" ht="22.5" customHeight="1" x14ac:dyDescent="0.25">
      <c r="A573" s="294" t="str">
        <f>IF(B573=Reactivos_[[#This Row],[Cantidad LANIP]],"LANIP",IF(B573=Reactivos_[[#This Row],[Cantidad 
LDV]],"LDV",IF(B573=Reactivos_[[#This Row],[Cantidad LNDV]],"LNDV",IF(B573=Reactivos_[[#This Row],[GGCA]],"GGCA",IF(B573=Reactivos_[[#This Row],[Cantidad LDF]],"LDF",IF(Reactivos_[[#This Row],[Cantidad LDF&amp;MR]],"LDF&amp;MR",IF(B573=Reactivos_[[#This Row],[Cantidad RED LASE]],"LASE",IF(B573=Reactivos_[[#This Row],[Cantidad LANIA]],"LANIA",IF(B573=Reactivos_[[#This Row],[Cantidad SPA]],"SPA"," ")))))))))</f>
        <v>LANIP</v>
      </c>
      <c r="B57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573" s="325">
        <v>571</v>
      </c>
      <c r="D573" s="326">
        <v>845</v>
      </c>
      <c r="E573" s="331" t="s">
        <v>1633</v>
      </c>
      <c r="F573" s="332"/>
      <c r="G573" s="331"/>
      <c r="H573" s="348" t="s">
        <v>1634</v>
      </c>
      <c r="I573" s="334" t="s">
        <v>217</v>
      </c>
      <c r="J57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573" s="160">
        <v>1293060</v>
      </c>
      <c r="L573" s="160">
        <f>+Reactivos_[[#This Row],[Cantidad]]*Reactivos_[[#This Row],[Valor de referencia]]</f>
        <v>6465300</v>
      </c>
      <c r="M573" s="254">
        <v>3</v>
      </c>
      <c r="N573" s="255">
        <f>+Reactivos_[[#This Row],[Valor de referencia]]*Reactivos_[[#This Row],[Cantidad LANIP]]</f>
        <v>3879180</v>
      </c>
      <c r="O573" s="256"/>
      <c r="P573" s="255">
        <f>+Reactivos_[[#This Row],[Cantidad 
LDV]]*Reactivos_[[#This Row],[Valor de referencia]]</f>
        <v>0</v>
      </c>
      <c r="Q573" s="257"/>
      <c r="R573" s="255">
        <f>+Reactivos_[[#This Row],[Cantidad LNDV]]*Reactivos_[[#This Row],[Valor de referencia]]</f>
        <v>0</v>
      </c>
      <c r="S573" s="148"/>
      <c r="T573" s="255">
        <f>+Reactivos_[[#This Row],[GGCA]]*Reactivos_[[#This Row],[Valor de referencia]]</f>
        <v>0</v>
      </c>
      <c r="U573" s="254">
        <v>1</v>
      </c>
      <c r="V573" s="255">
        <f>+Reactivos_[[#This Row],[Cantidad LDF]]*Reactivos_[[#This Row],[Valor de referencia]]</f>
        <v>1293060</v>
      </c>
      <c r="W573" s="254">
        <v>1</v>
      </c>
      <c r="X573" s="255">
        <f>+Reactivos_[[#This Row],[Cantidad LDF&amp;MR]]*Reactivos_[[#This Row],[Valor de referencia]]</f>
        <v>1293060</v>
      </c>
      <c r="Y573" s="254"/>
      <c r="Z573" s="255">
        <f>+Reactivos_[[#This Row],[Cantidad RED LASE]]*Reactivos_[[#This Row],[Valor de referencia]]</f>
        <v>0</v>
      </c>
      <c r="AA573" s="254"/>
      <c r="AB573" s="255">
        <f>+Reactivos_[[#This Row],[Cantidad LANIA]]*Reactivos_[[#This Row],[Valor de referencia]]</f>
        <v>0</v>
      </c>
      <c r="AC573" s="254"/>
      <c r="AD573" s="255">
        <f>+Reactivos_[[#This Row],[Cantidad SPA]]*Reactivos_[[#This Row],[Valor de referencia]]</f>
        <v>0</v>
      </c>
      <c r="AE573" s="148" t="s">
        <v>76</v>
      </c>
      <c r="AF573" s="148" t="s">
        <v>77</v>
      </c>
    </row>
    <row r="574" spans="1:32" ht="22.5" customHeight="1" x14ac:dyDescent="0.25">
      <c r="A574" s="294" t="str">
        <f>IF(B574=Reactivos_[[#This Row],[Cantidad LANIP]],"LANIP",IF(B574=Reactivos_[[#This Row],[Cantidad 
LDV]],"LDV",IF(B574=Reactivos_[[#This Row],[Cantidad LNDV]],"LNDV",IF(B574=Reactivos_[[#This Row],[GGCA]],"GGCA",IF(B574=Reactivos_[[#This Row],[Cantidad LDF]],"LDF",IF(Reactivos_[[#This Row],[Cantidad LDF&amp;MR]],"LDF&amp;MR",IF(B574=Reactivos_[[#This Row],[Cantidad RED LASE]],"LASE",IF(B574=Reactivos_[[#This Row],[Cantidad LANIA]],"LANIA",IF(B574=Reactivos_[[#This Row],[Cantidad SPA]],"SPA"," ")))))))))</f>
        <v>LDV</v>
      </c>
      <c r="B57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574" s="325">
        <v>572</v>
      </c>
      <c r="D574" s="326">
        <v>847</v>
      </c>
      <c r="E574" s="327" t="s">
        <v>1635</v>
      </c>
      <c r="F574" s="350" t="s">
        <v>1636</v>
      </c>
      <c r="G574" s="321" t="s">
        <v>1637</v>
      </c>
      <c r="H574" s="348" t="s">
        <v>1638</v>
      </c>
      <c r="I574" s="329" t="s">
        <v>175</v>
      </c>
      <c r="J57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26</v>
      </c>
      <c r="K574" s="160">
        <v>549898</v>
      </c>
      <c r="L574" s="160">
        <f>+Reactivos_[[#This Row],[Cantidad]]*Reactivos_[[#This Row],[Valor de referencia]]</f>
        <v>14297348</v>
      </c>
      <c r="M574" s="254">
        <v>2</v>
      </c>
      <c r="N574" s="255">
        <f>+Reactivos_[[#This Row],[Valor de referencia]]*Reactivos_[[#This Row],[Cantidad LANIP]]</f>
        <v>1099796</v>
      </c>
      <c r="O574" s="256">
        <v>13</v>
      </c>
      <c r="P574" s="255">
        <f>+Reactivos_[[#This Row],[Cantidad 
LDV]]*Reactivos_[[#This Row],[Valor de referencia]]</f>
        <v>7148674</v>
      </c>
      <c r="Q574" s="257">
        <v>1</v>
      </c>
      <c r="R574" s="255">
        <f>+Reactivos_[[#This Row],[Cantidad LNDV]]*Reactivos_[[#This Row],[Valor de referencia]]</f>
        <v>549898</v>
      </c>
      <c r="S574" s="148"/>
      <c r="T574" s="255">
        <f>+Reactivos_[[#This Row],[GGCA]]*Reactivos_[[#This Row],[Valor de referencia]]</f>
        <v>0</v>
      </c>
      <c r="U574" s="254">
        <v>8</v>
      </c>
      <c r="V574" s="255">
        <f>+Reactivos_[[#This Row],[Cantidad LDF]]*Reactivos_[[#This Row],[Valor de referencia]]</f>
        <v>4399184</v>
      </c>
      <c r="W574" s="254"/>
      <c r="X574" s="255">
        <f>+Reactivos_[[#This Row],[Cantidad LDF&amp;MR]]*Reactivos_[[#This Row],[Valor de referencia]]</f>
        <v>0</v>
      </c>
      <c r="Y574" s="254"/>
      <c r="Z574" s="255">
        <f>+Reactivos_[[#This Row],[Cantidad RED LASE]]*Reactivos_[[#This Row],[Valor de referencia]]</f>
        <v>0</v>
      </c>
      <c r="AA574" s="254">
        <v>2</v>
      </c>
      <c r="AB574" s="255">
        <f>+Reactivos_[[#This Row],[Cantidad LANIA]]*Reactivos_[[#This Row],[Valor de referencia]]</f>
        <v>1099796</v>
      </c>
      <c r="AC574" s="254"/>
      <c r="AD574" s="255">
        <f>+Reactivos_[[#This Row],[Cantidad SPA]]*Reactivos_[[#This Row],[Valor de referencia]]</f>
        <v>0</v>
      </c>
      <c r="AE574" s="148" t="s">
        <v>76</v>
      </c>
      <c r="AF574" s="148" t="s">
        <v>77</v>
      </c>
    </row>
    <row r="575" spans="1:32" ht="22.5" customHeight="1" x14ac:dyDescent="0.25">
      <c r="A575" s="294" t="str">
        <f>IF(B575=Reactivos_[[#This Row],[Cantidad LANIP]],"LANIP",IF(B575=Reactivos_[[#This Row],[Cantidad 
LDV]],"LDV",IF(B575=Reactivos_[[#This Row],[Cantidad LNDV]],"LNDV",IF(B575=Reactivos_[[#This Row],[GGCA]],"GGCA",IF(B575=Reactivos_[[#This Row],[Cantidad LDF]],"LDF",IF(Reactivos_[[#This Row],[Cantidad LDF&amp;MR]],"LDF&amp;MR",IF(B575=Reactivos_[[#This Row],[Cantidad RED LASE]],"LASE",IF(B575=Reactivos_[[#This Row],[Cantidad LANIA]],"LANIA",IF(B575=Reactivos_[[#This Row],[Cantidad SPA]],"SPA"," ")))))))))</f>
        <v>LNDV</v>
      </c>
      <c r="B57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75" s="325">
        <v>573</v>
      </c>
      <c r="D575" s="326">
        <v>848</v>
      </c>
      <c r="E575" s="331" t="s">
        <v>1639</v>
      </c>
      <c r="F575" s="351" t="s">
        <v>1640</v>
      </c>
      <c r="G575" s="320" t="s">
        <v>1641</v>
      </c>
      <c r="H575" s="348" t="s">
        <v>1642</v>
      </c>
      <c r="I575" s="334" t="s">
        <v>201</v>
      </c>
      <c r="J57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75" s="160">
        <v>1077047</v>
      </c>
      <c r="L575" s="160">
        <f>+Reactivos_[[#This Row],[Cantidad]]*Reactivos_[[#This Row],[Valor de referencia]]</f>
        <v>1077047</v>
      </c>
      <c r="M575" s="254">
        <v>0</v>
      </c>
      <c r="N575" s="255">
        <f>+Reactivos_[[#This Row],[Valor de referencia]]*Reactivos_[[#This Row],[Cantidad LANIP]]</f>
        <v>0</v>
      </c>
      <c r="O575" s="256"/>
      <c r="P575" s="255">
        <f>+Reactivos_[[#This Row],[Cantidad 
LDV]]*Reactivos_[[#This Row],[Valor de referencia]]</f>
        <v>0</v>
      </c>
      <c r="Q575" s="257">
        <v>1</v>
      </c>
      <c r="R575" s="255">
        <f>+Reactivos_[[#This Row],[Cantidad LNDV]]*Reactivos_[[#This Row],[Valor de referencia]]</f>
        <v>1077047</v>
      </c>
      <c r="S575" s="148"/>
      <c r="T575" s="255">
        <f>+Reactivos_[[#This Row],[GGCA]]*Reactivos_[[#This Row],[Valor de referencia]]</f>
        <v>0</v>
      </c>
      <c r="U575" s="254"/>
      <c r="V575" s="255">
        <f>+Reactivos_[[#This Row],[Cantidad LDF]]*Reactivos_[[#This Row],[Valor de referencia]]</f>
        <v>0</v>
      </c>
      <c r="W575" s="254"/>
      <c r="X575" s="255">
        <f>+Reactivos_[[#This Row],[Cantidad LDF&amp;MR]]*Reactivos_[[#This Row],[Valor de referencia]]</f>
        <v>0</v>
      </c>
      <c r="Y575" s="254"/>
      <c r="Z575" s="255">
        <f>+Reactivos_[[#This Row],[Cantidad RED LASE]]*Reactivos_[[#This Row],[Valor de referencia]]</f>
        <v>0</v>
      </c>
      <c r="AA575" s="254"/>
      <c r="AB575" s="255">
        <f>+Reactivos_[[#This Row],[Cantidad LANIA]]*Reactivos_[[#This Row],[Valor de referencia]]</f>
        <v>0</v>
      </c>
      <c r="AC575" s="254"/>
      <c r="AD575" s="255">
        <f>+Reactivos_[[#This Row],[Cantidad SPA]]*Reactivos_[[#This Row],[Valor de referencia]]</f>
        <v>0</v>
      </c>
      <c r="AE575" s="148" t="s">
        <v>76</v>
      </c>
      <c r="AF575" s="148" t="s">
        <v>77</v>
      </c>
    </row>
    <row r="576" spans="1:32" ht="22.5" customHeight="1" x14ac:dyDescent="0.25">
      <c r="A576" s="294" t="str">
        <f>IF(B576=Reactivos_[[#This Row],[Cantidad LANIP]],"LANIP",IF(B576=Reactivos_[[#This Row],[Cantidad 
LDV]],"LDV",IF(B576=Reactivos_[[#This Row],[Cantidad LNDV]],"LNDV",IF(B576=Reactivos_[[#This Row],[GGCA]],"GGCA",IF(B576=Reactivos_[[#This Row],[Cantidad LDF]],"LDF",IF(Reactivos_[[#This Row],[Cantidad LDF&amp;MR]],"LDF&amp;MR",IF(B576=Reactivos_[[#This Row],[Cantidad RED LASE]],"LASE",IF(B576=Reactivos_[[#This Row],[Cantidad LANIA]],"LANIA",IF(B576=Reactivos_[[#This Row],[Cantidad SPA]],"SPA"," ")))))))))</f>
        <v>LDF</v>
      </c>
      <c r="B57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76" s="325">
        <v>574</v>
      </c>
      <c r="D576" s="326">
        <v>850</v>
      </c>
      <c r="E576" s="327" t="s">
        <v>1643</v>
      </c>
      <c r="F576" s="244"/>
      <c r="G576" s="327"/>
      <c r="H576" s="333" t="s">
        <v>1644</v>
      </c>
      <c r="I576" s="408" t="s">
        <v>1645</v>
      </c>
      <c r="J57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76" s="160">
        <v>2377621</v>
      </c>
      <c r="L576" s="160">
        <f>+Reactivos_[[#This Row],[Cantidad]]*Reactivos_[[#This Row],[Valor de referencia]]</f>
        <v>2377621</v>
      </c>
      <c r="M576" s="254">
        <v>0</v>
      </c>
      <c r="N576" s="255">
        <f>+Reactivos_[[#This Row],[Valor de referencia]]*Reactivos_[[#This Row],[Cantidad LANIP]]</f>
        <v>0</v>
      </c>
      <c r="O576" s="256"/>
      <c r="P576" s="255">
        <f>+Reactivos_[[#This Row],[Cantidad 
LDV]]*Reactivos_[[#This Row],[Valor de referencia]]</f>
        <v>0</v>
      </c>
      <c r="Q576" s="257"/>
      <c r="R576" s="255">
        <f>+Reactivos_[[#This Row],[Cantidad LNDV]]*Reactivos_[[#This Row],[Valor de referencia]]</f>
        <v>0</v>
      </c>
      <c r="S576" s="148"/>
      <c r="T576" s="255">
        <f>+Reactivos_[[#This Row],[GGCA]]*Reactivos_[[#This Row],[Valor de referencia]]</f>
        <v>0</v>
      </c>
      <c r="U576" s="254">
        <v>1</v>
      </c>
      <c r="V576" s="255">
        <f>+Reactivos_[[#This Row],[Cantidad LDF]]*Reactivos_[[#This Row],[Valor de referencia]]</f>
        <v>2377621</v>
      </c>
      <c r="W576" s="254"/>
      <c r="X576" s="255">
        <f>+Reactivos_[[#This Row],[Cantidad LDF&amp;MR]]*Reactivos_[[#This Row],[Valor de referencia]]</f>
        <v>0</v>
      </c>
      <c r="Y576" s="254"/>
      <c r="Z576" s="255">
        <f>+Reactivos_[[#This Row],[Cantidad RED LASE]]*Reactivos_[[#This Row],[Valor de referencia]]</f>
        <v>0</v>
      </c>
      <c r="AA576" s="254"/>
      <c r="AB576" s="255">
        <f>+Reactivos_[[#This Row],[Cantidad LANIA]]*Reactivos_[[#This Row],[Valor de referencia]]</f>
        <v>0</v>
      </c>
      <c r="AC576" s="254"/>
      <c r="AD576" s="255">
        <f>+Reactivos_[[#This Row],[Cantidad SPA]]*Reactivos_[[#This Row],[Valor de referencia]]</f>
        <v>0</v>
      </c>
      <c r="AE576" s="148" t="s">
        <v>76</v>
      </c>
      <c r="AF576" s="148" t="s">
        <v>77</v>
      </c>
    </row>
    <row r="577" spans="1:32" ht="22.5" customHeight="1" x14ac:dyDescent="0.25">
      <c r="A577" s="294" t="str">
        <f>IF(B577=Reactivos_[[#This Row],[Cantidad LANIP]],"LANIP",IF(B577=Reactivos_[[#This Row],[Cantidad 
LDV]],"LDV",IF(B577=Reactivos_[[#This Row],[Cantidad LNDV]],"LNDV",IF(B577=Reactivos_[[#This Row],[GGCA]],"GGCA",IF(B577=Reactivos_[[#This Row],[Cantidad LDF]],"LDF",IF(Reactivos_[[#This Row],[Cantidad LDF&amp;MR]],"LDF&amp;MR",IF(B577=Reactivos_[[#This Row],[Cantidad RED LASE]],"LASE",IF(B577=Reactivos_[[#This Row],[Cantidad LANIA]],"LANIA",IF(B577=Reactivos_[[#This Row],[Cantidad SPA]],"SPA"," ")))))))))</f>
        <v>LANIP</v>
      </c>
      <c r="B57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77" s="325">
        <v>575</v>
      </c>
      <c r="D577" s="326">
        <v>851</v>
      </c>
      <c r="E577" s="368" t="s">
        <v>1646</v>
      </c>
      <c r="F577" s="351" t="s">
        <v>1647</v>
      </c>
      <c r="G577" s="368"/>
      <c r="H577" s="348" t="s">
        <v>1648</v>
      </c>
      <c r="I577" s="329" t="s">
        <v>120</v>
      </c>
      <c r="J57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577" s="160">
        <v>3753718</v>
      </c>
      <c r="L577" s="160">
        <f>+Reactivos_[[#This Row],[Cantidad]]*Reactivos_[[#This Row],[Valor de referencia]]</f>
        <v>11261154</v>
      </c>
      <c r="M577" s="254">
        <v>2</v>
      </c>
      <c r="N577" s="255">
        <f>+Reactivos_[[#This Row],[Valor de referencia]]*Reactivos_[[#This Row],[Cantidad LANIP]]</f>
        <v>7507436</v>
      </c>
      <c r="O577" s="256"/>
      <c r="P577" s="255">
        <f>+Reactivos_[[#This Row],[Cantidad 
LDV]]*Reactivos_[[#This Row],[Valor de referencia]]</f>
        <v>0</v>
      </c>
      <c r="Q577" s="257">
        <v>1</v>
      </c>
      <c r="R577" s="255">
        <f>+Reactivos_[[#This Row],[Cantidad LNDV]]*Reactivos_[[#This Row],[Valor de referencia]]</f>
        <v>3753718</v>
      </c>
      <c r="S577" s="148"/>
      <c r="T577" s="255">
        <f>+Reactivos_[[#This Row],[GGCA]]*Reactivos_[[#This Row],[Valor de referencia]]</f>
        <v>0</v>
      </c>
      <c r="U577" s="254"/>
      <c r="V577" s="255">
        <f>+Reactivos_[[#This Row],[Cantidad LDF]]*Reactivos_[[#This Row],[Valor de referencia]]</f>
        <v>0</v>
      </c>
      <c r="W577" s="254"/>
      <c r="X577" s="255">
        <f>+Reactivos_[[#This Row],[Cantidad LDF&amp;MR]]*Reactivos_[[#This Row],[Valor de referencia]]</f>
        <v>0</v>
      </c>
      <c r="Y577" s="254"/>
      <c r="Z577" s="255">
        <f>+Reactivos_[[#This Row],[Cantidad RED LASE]]*Reactivos_[[#This Row],[Valor de referencia]]</f>
        <v>0</v>
      </c>
      <c r="AA577" s="254"/>
      <c r="AB577" s="255">
        <f>+Reactivos_[[#This Row],[Cantidad LANIA]]*Reactivos_[[#This Row],[Valor de referencia]]</f>
        <v>0</v>
      </c>
      <c r="AC577" s="254"/>
      <c r="AD577" s="255">
        <f>+Reactivos_[[#This Row],[Cantidad SPA]]*Reactivos_[[#This Row],[Valor de referencia]]</f>
        <v>0</v>
      </c>
      <c r="AE577" s="148" t="s">
        <v>76</v>
      </c>
      <c r="AF577" s="148" t="s">
        <v>77</v>
      </c>
    </row>
    <row r="578" spans="1:32" ht="46.5" customHeight="1" x14ac:dyDescent="0.25">
      <c r="A578" s="294" t="str">
        <f>IF(B578=Reactivos_[[#This Row],[Cantidad LANIP]],"LANIP",IF(B578=Reactivos_[[#This Row],[Cantidad 
LDV]],"LDV",IF(B578=Reactivos_[[#This Row],[Cantidad LNDV]],"LNDV",IF(B578=Reactivos_[[#This Row],[GGCA]],"GGCA",IF(B578=Reactivos_[[#This Row],[Cantidad LDF]],"LDF",IF(Reactivos_[[#This Row],[Cantidad LDF&amp;MR]],"LDF&amp;MR",IF(B578=Reactivos_[[#This Row],[Cantidad RED LASE]],"LASE",IF(B578=Reactivos_[[#This Row],[Cantidad LANIA]],"LANIA",IF(B578=Reactivos_[[#This Row],[Cantidad SPA]],"SPA"," ")))))))))</f>
        <v>LDV</v>
      </c>
      <c r="B57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578" s="325">
        <v>576</v>
      </c>
      <c r="D578" s="326">
        <v>853</v>
      </c>
      <c r="E578" s="327" t="s">
        <v>1649</v>
      </c>
      <c r="F578" s="244"/>
      <c r="G578" s="327"/>
      <c r="H578" s="328" t="s">
        <v>1650</v>
      </c>
      <c r="I578" s="334" t="s">
        <v>1651</v>
      </c>
      <c r="J57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78" s="160">
        <v>7070475</v>
      </c>
      <c r="L578" s="160">
        <f>+Reactivos_[[#This Row],[Cantidad]]*Reactivos_[[#This Row],[Valor de referencia]]</f>
        <v>14140950</v>
      </c>
      <c r="M578" s="254">
        <v>0</v>
      </c>
      <c r="N578" s="255">
        <f>+Reactivos_[[#This Row],[Valor de referencia]]*Reactivos_[[#This Row],[Cantidad LANIP]]</f>
        <v>0</v>
      </c>
      <c r="O578" s="256">
        <v>2</v>
      </c>
      <c r="P578" s="255">
        <f>+Reactivos_[[#This Row],[Cantidad 
LDV]]*Reactivos_[[#This Row],[Valor de referencia]]</f>
        <v>14140950</v>
      </c>
      <c r="Q578" s="257"/>
      <c r="R578" s="255">
        <f>+Reactivos_[[#This Row],[Cantidad LNDV]]*Reactivos_[[#This Row],[Valor de referencia]]</f>
        <v>0</v>
      </c>
      <c r="S578" s="148"/>
      <c r="T578" s="255">
        <f>+Reactivos_[[#This Row],[GGCA]]*Reactivos_[[#This Row],[Valor de referencia]]</f>
        <v>0</v>
      </c>
      <c r="U578" s="254"/>
      <c r="V578" s="255">
        <f>+Reactivos_[[#This Row],[Cantidad LDF]]*Reactivos_[[#This Row],[Valor de referencia]]</f>
        <v>0</v>
      </c>
      <c r="W578" s="254"/>
      <c r="X578" s="255">
        <f>+Reactivos_[[#This Row],[Cantidad LDF&amp;MR]]*Reactivos_[[#This Row],[Valor de referencia]]</f>
        <v>0</v>
      </c>
      <c r="Y578" s="254"/>
      <c r="Z578" s="255">
        <f>+Reactivos_[[#This Row],[Cantidad RED LASE]]*Reactivos_[[#This Row],[Valor de referencia]]</f>
        <v>0</v>
      </c>
      <c r="AA578" s="254"/>
      <c r="AB578" s="255">
        <f>+Reactivos_[[#This Row],[Cantidad LANIA]]*Reactivos_[[#This Row],[Valor de referencia]]</f>
        <v>0</v>
      </c>
      <c r="AC578" s="254"/>
      <c r="AD578" s="255">
        <f>+Reactivos_[[#This Row],[Cantidad SPA]]*Reactivos_[[#This Row],[Valor de referencia]]</f>
        <v>0</v>
      </c>
      <c r="AE578" s="148" t="s">
        <v>76</v>
      </c>
      <c r="AF578" s="148" t="s">
        <v>77</v>
      </c>
    </row>
    <row r="579" spans="1:32" ht="22.5" customHeight="1" x14ac:dyDescent="0.25">
      <c r="A579" s="294" t="str">
        <f>IF(B579=Reactivos_[[#This Row],[Cantidad LANIP]],"LANIP",IF(B579=Reactivos_[[#This Row],[Cantidad 
LDV]],"LDV",IF(B579=Reactivos_[[#This Row],[Cantidad LNDV]],"LNDV",IF(B579=Reactivos_[[#This Row],[GGCA]],"GGCA",IF(B579=Reactivos_[[#This Row],[Cantidad LDF]],"LDF",IF(Reactivos_[[#This Row],[Cantidad LDF&amp;MR]],"LDF&amp;MR",IF(B579=Reactivos_[[#This Row],[Cantidad RED LASE]],"LASE",IF(B579=Reactivos_[[#This Row],[Cantidad LANIA]],"LANIA",IF(B579=Reactivos_[[#This Row],[Cantidad SPA]],"SPA"," ")))))))))</f>
        <v>LANIP</v>
      </c>
      <c r="B57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579" s="325">
        <v>577</v>
      </c>
      <c r="D579" s="326">
        <v>855</v>
      </c>
      <c r="E579" s="327" t="s">
        <v>1652</v>
      </c>
      <c r="F579" s="244"/>
      <c r="G579" s="327"/>
      <c r="H579" s="348" t="s">
        <v>1653</v>
      </c>
      <c r="I579" s="329" t="s">
        <v>120</v>
      </c>
      <c r="J57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579" s="160">
        <v>508882</v>
      </c>
      <c r="L579" s="160">
        <f>+Reactivos_[[#This Row],[Cantidad]]*Reactivos_[[#This Row],[Valor de referencia]]</f>
        <v>2544410</v>
      </c>
      <c r="M579" s="254">
        <v>5</v>
      </c>
      <c r="N579" s="255">
        <f>+Reactivos_[[#This Row],[Valor de referencia]]*Reactivos_[[#This Row],[Cantidad LANIP]]</f>
        <v>2544410</v>
      </c>
      <c r="O579" s="256"/>
      <c r="P579" s="255">
        <f>+Reactivos_[[#This Row],[Cantidad 
LDV]]*Reactivos_[[#This Row],[Valor de referencia]]</f>
        <v>0</v>
      </c>
      <c r="Q579" s="257"/>
      <c r="R579" s="255">
        <f>+Reactivos_[[#This Row],[Cantidad LNDV]]*Reactivos_[[#This Row],[Valor de referencia]]</f>
        <v>0</v>
      </c>
      <c r="S579" s="148"/>
      <c r="T579" s="255">
        <f>+Reactivos_[[#This Row],[GGCA]]*Reactivos_[[#This Row],[Valor de referencia]]</f>
        <v>0</v>
      </c>
      <c r="U579" s="254"/>
      <c r="V579" s="255">
        <f>+Reactivos_[[#This Row],[Cantidad LDF]]*Reactivos_[[#This Row],[Valor de referencia]]</f>
        <v>0</v>
      </c>
      <c r="W579" s="254"/>
      <c r="X579" s="255">
        <f>+Reactivos_[[#This Row],[Cantidad LDF&amp;MR]]*Reactivos_[[#This Row],[Valor de referencia]]</f>
        <v>0</v>
      </c>
      <c r="Y579" s="254"/>
      <c r="Z579" s="255">
        <f>+Reactivos_[[#This Row],[Cantidad RED LASE]]*Reactivos_[[#This Row],[Valor de referencia]]</f>
        <v>0</v>
      </c>
      <c r="AA579" s="254"/>
      <c r="AB579" s="255">
        <f>+Reactivos_[[#This Row],[Cantidad LANIA]]*Reactivos_[[#This Row],[Valor de referencia]]</f>
        <v>0</v>
      </c>
      <c r="AC579" s="254"/>
      <c r="AD579" s="255">
        <f>+Reactivos_[[#This Row],[Cantidad SPA]]*Reactivos_[[#This Row],[Valor de referencia]]</f>
        <v>0</v>
      </c>
      <c r="AE579" s="148" t="s">
        <v>76</v>
      </c>
      <c r="AF579" s="148" t="s">
        <v>77</v>
      </c>
    </row>
    <row r="580" spans="1:32" ht="22.5" customHeight="1" x14ac:dyDescent="0.25">
      <c r="A580" s="294" t="str">
        <f>IF(B580=Reactivos_[[#This Row],[Cantidad LANIP]],"LANIP",IF(B580=Reactivos_[[#This Row],[Cantidad 
LDV]],"LDV",IF(B580=Reactivos_[[#This Row],[Cantidad LNDV]],"LNDV",IF(B580=Reactivos_[[#This Row],[GGCA]],"GGCA",IF(B580=Reactivos_[[#This Row],[Cantidad LDF]],"LDF",IF(Reactivos_[[#This Row],[Cantidad LDF&amp;MR]],"LDF&amp;MR",IF(B580=Reactivos_[[#This Row],[Cantidad RED LASE]],"LASE",IF(B580=Reactivos_[[#This Row],[Cantidad LANIA]],"LANIA",IF(B580=Reactivos_[[#This Row],[Cantidad SPA]],"SPA"," ")))))))))</f>
        <v>LDF</v>
      </c>
      <c r="B58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80" s="325">
        <v>578</v>
      </c>
      <c r="D580" s="326">
        <v>856</v>
      </c>
      <c r="E580" s="327" t="s">
        <v>1654</v>
      </c>
      <c r="F580" s="244"/>
      <c r="G580" s="327"/>
      <c r="H580" s="328" t="s">
        <v>567</v>
      </c>
      <c r="I580" s="410" t="s">
        <v>1655</v>
      </c>
      <c r="J58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80" s="160">
        <v>2457268</v>
      </c>
      <c r="L580" s="160">
        <f>+Reactivos_[[#This Row],[Cantidad]]*Reactivos_[[#This Row],[Valor de referencia]]</f>
        <v>2457268</v>
      </c>
      <c r="M580" s="254">
        <v>0</v>
      </c>
      <c r="N580" s="255">
        <f>+Reactivos_[[#This Row],[Valor de referencia]]*Reactivos_[[#This Row],[Cantidad LANIP]]</f>
        <v>0</v>
      </c>
      <c r="O580" s="256"/>
      <c r="P580" s="255">
        <f>+Reactivos_[[#This Row],[Cantidad 
LDV]]*Reactivos_[[#This Row],[Valor de referencia]]</f>
        <v>0</v>
      </c>
      <c r="Q580" s="257"/>
      <c r="R580" s="255">
        <f>+Reactivos_[[#This Row],[Cantidad LNDV]]*Reactivos_[[#This Row],[Valor de referencia]]</f>
        <v>0</v>
      </c>
      <c r="S580" s="148"/>
      <c r="T580" s="255">
        <f>+Reactivos_[[#This Row],[GGCA]]*Reactivos_[[#This Row],[Valor de referencia]]</f>
        <v>0</v>
      </c>
      <c r="U580" s="254">
        <v>1</v>
      </c>
      <c r="V580" s="255">
        <f>+Reactivos_[[#This Row],[Cantidad LDF]]*Reactivos_[[#This Row],[Valor de referencia]]</f>
        <v>2457268</v>
      </c>
      <c r="W580" s="254"/>
      <c r="X580" s="255">
        <f>+Reactivos_[[#This Row],[Cantidad LDF&amp;MR]]*Reactivos_[[#This Row],[Valor de referencia]]</f>
        <v>0</v>
      </c>
      <c r="Y580" s="254"/>
      <c r="Z580" s="255">
        <f>+Reactivos_[[#This Row],[Cantidad RED LASE]]*Reactivos_[[#This Row],[Valor de referencia]]</f>
        <v>0</v>
      </c>
      <c r="AA580" s="254"/>
      <c r="AB580" s="255">
        <f>+Reactivos_[[#This Row],[Cantidad LANIA]]*Reactivos_[[#This Row],[Valor de referencia]]</f>
        <v>0</v>
      </c>
      <c r="AC580" s="254"/>
      <c r="AD580" s="255">
        <f>+Reactivos_[[#This Row],[Cantidad SPA]]*Reactivos_[[#This Row],[Valor de referencia]]</f>
        <v>0</v>
      </c>
      <c r="AE580" s="148" t="s">
        <v>76</v>
      </c>
      <c r="AF580" s="148" t="s">
        <v>77</v>
      </c>
    </row>
    <row r="581" spans="1:32" ht="22.5" customHeight="1" x14ac:dyDescent="0.25">
      <c r="A581" s="294" t="str">
        <f>IF(B581=Reactivos_[[#This Row],[Cantidad LANIP]],"LANIP",IF(B581=Reactivos_[[#This Row],[Cantidad 
LDV]],"LDV",IF(B581=Reactivos_[[#This Row],[Cantidad LNDV]],"LNDV",IF(B581=Reactivos_[[#This Row],[GGCA]],"GGCA",IF(B581=Reactivos_[[#This Row],[Cantidad LDF]],"LDF",IF(Reactivos_[[#This Row],[Cantidad LDF&amp;MR]],"LDF&amp;MR",IF(B581=Reactivos_[[#This Row],[Cantidad RED LASE]],"LASE",IF(B581=Reactivos_[[#This Row],[Cantidad LANIA]],"LANIA",IF(B581=Reactivos_[[#This Row],[Cantidad SPA]],"SPA"," ")))))))))</f>
        <v>LDF</v>
      </c>
      <c r="B58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81" s="325">
        <v>579</v>
      </c>
      <c r="D581" s="326">
        <v>857</v>
      </c>
      <c r="E581" s="327" t="s">
        <v>1656</v>
      </c>
      <c r="F581" s="244"/>
      <c r="G581" s="327"/>
      <c r="H581" s="348" t="s">
        <v>1657</v>
      </c>
      <c r="I581" s="329" t="s">
        <v>184</v>
      </c>
      <c r="J58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81" s="160">
        <v>395270</v>
      </c>
      <c r="L581" s="160">
        <f>+Reactivos_[[#This Row],[Cantidad]]*Reactivos_[[#This Row],[Valor de referencia]]</f>
        <v>790540</v>
      </c>
      <c r="M581" s="254">
        <v>0</v>
      </c>
      <c r="N581" s="255">
        <f>+Reactivos_[[#This Row],[Valor de referencia]]*Reactivos_[[#This Row],[Cantidad LANIP]]</f>
        <v>0</v>
      </c>
      <c r="O581" s="256"/>
      <c r="P581" s="255">
        <f>+Reactivos_[[#This Row],[Cantidad 
LDV]]*Reactivos_[[#This Row],[Valor de referencia]]</f>
        <v>0</v>
      </c>
      <c r="Q581" s="257"/>
      <c r="R581" s="255">
        <f>+Reactivos_[[#This Row],[Cantidad LNDV]]*Reactivos_[[#This Row],[Valor de referencia]]</f>
        <v>0</v>
      </c>
      <c r="S581" s="148"/>
      <c r="T581" s="255">
        <f>+Reactivos_[[#This Row],[GGCA]]*Reactivos_[[#This Row],[Valor de referencia]]</f>
        <v>0</v>
      </c>
      <c r="U581" s="254">
        <v>1</v>
      </c>
      <c r="V581" s="255">
        <f>+Reactivos_[[#This Row],[Cantidad LDF]]*Reactivos_[[#This Row],[Valor de referencia]]</f>
        <v>395270</v>
      </c>
      <c r="W581" s="254">
        <v>1</v>
      </c>
      <c r="X581" s="255">
        <f>+Reactivos_[[#This Row],[Cantidad LDF&amp;MR]]*Reactivos_[[#This Row],[Valor de referencia]]</f>
        <v>395270</v>
      </c>
      <c r="Y581" s="254"/>
      <c r="Z581" s="255">
        <f>+Reactivos_[[#This Row],[Cantidad RED LASE]]*Reactivos_[[#This Row],[Valor de referencia]]</f>
        <v>0</v>
      </c>
      <c r="AA581" s="254"/>
      <c r="AB581" s="255">
        <f>+Reactivos_[[#This Row],[Cantidad LANIA]]*Reactivos_[[#This Row],[Valor de referencia]]</f>
        <v>0</v>
      </c>
      <c r="AC581" s="254"/>
      <c r="AD581" s="255">
        <f>+Reactivos_[[#This Row],[Cantidad SPA]]*Reactivos_[[#This Row],[Valor de referencia]]</f>
        <v>0</v>
      </c>
      <c r="AE581" s="148" t="s">
        <v>76</v>
      </c>
      <c r="AF581" s="148" t="s">
        <v>77</v>
      </c>
    </row>
    <row r="582" spans="1:32" ht="22.5" customHeight="1" x14ac:dyDescent="0.25">
      <c r="A582" s="294" t="str">
        <f>IF(B582=Reactivos_[[#This Row],[Cantidad LANIP]],"LANIP",IF(B582=Reactivos_[[#This Row],[Cantidad 
LDV]],"LDV",IF(B582=Reactivos_[[#This Row],[Cantidad LNDV]],"LNDV",IF(B582=Reactivos_[[#This Row],[GGCA]],"GGCA",IF(B582=Reactivos_[[#This Row],[Cantidad LDF]],"LDF",IF(Reactivos_[[#This Row],[Cantidad LDF&amp;MR]],"LDF&amp;MR",IF(B582=Reactivos_[[#This Row],[Cantidad RED LASE]],"LASE",IF(B582=Reactivos_[[#This Row],[Cantidad LANIA]],"LANIA",IF(B582=Reactivos_[[#This Row],[Cantidad SPA]],"SPA"," ")))))))))</f>
        <v>LDV</v>
      </c>
      <c r="B58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582" s="325">
        <v>580</v>
      </c>
      <c r="D582" s="326">
        <v>858</v>
      </c>
      <c r="E582" s="422" t="s">
        <v>1658</v>
      </c>
      <c r="F582" s="244"/>
      <c r="G582" s="327"/>
      <c r="H582" s="333" t="s">
        <v>141</v>
      </c>
      <c r="I582" s="418" t="s">
        <v>1659</v>
      </c>
      <c r="J58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582" s="160">
        <v>517316</v>
      </c>
      <c r="L582" s="160">
        <f>+Reactivos_[[#This Row],[Cantidad]]*Reactivos_[[#This Row],[Valor de referencia]]</f>
        <v>3621212</v>
      </c>
      <c r="M582" s="254">
        <v>0</v>
      </c>
      <c r="N582" s="255">
        <f>+Reactivos_[[#This Row],[Valor de referencia]]*Reactivos_[[#This Row],[Cantidad LANIP]]</f>
        <v>0</v>
      </c>
      <c r="O582" s="256">
        <v>6</v>
      </c>
      <c r="P582" s="255">
        <f>+Reactivos_[[#This Row],[Cantidad 
LDV]]*Reactivos_[[#This Row],[Valor de referencia]]</f>
        <v>3103896</v>
      </c>
      <c r="Q582" s="257"/>
      <c r="R582" s="255">
        <f>+Reactivos_[[#This Row],[Cantidad LNDV]]*Reactivos_[[#This Row],[Valor de referencia]]</f>
        <v>0</v>
      </c>
      <c r="S582" s="148"/>
      <c r="T582" s="255">
        <f>+Reactivos_[[#This Row],[GGCA]]*Reactivos_[[#This Row],[Valor de referencia]]</f>
        <v>0</v>
      </c>
      <c r="U582" s="254">
        <v>1</v>
      </c>
      <c r="V582" s="255">
        <f>+Reactivos_[[#This Row],[Cantidad LDF]]*Reactivos_[[#This Row],[Valor de referencia]]</f>
        <v>517316</v>
      </c>
      <c r="W582" s="254"/>
      <c r="X582" s="255">
        <f>+Reactivos_[[#This Row],[Cantidad LDF&amp;MR]]*Reactivos_[[#This Row],[Valor de referencia]]</f>
        <v>0</v>
      </c>
      <c r="Y582" s="254"/>
      <c r="Z582" s="255">
        <f>+Reactivos_[[#This Row],[Cantidad RED LASE]]*Reactivos_[[#This Row],[Valor de referencia]]</f>
        <v>0</v>
      </c>
      <c r="AA582" s="254"/>
      <c r="AB582" s="255">
        <f>+Reactivos_[[#This Row],[Cantidad LANIA]]*Reactivos_[[#This Row],[Valor de referencia]]</f>
        <v>0</v>
      </c>
      <c r="AC582" s="254"/>
      <c r="AD582" s="255">
        <f>+Reactivos_[[#This Row],[Cantidad SPA]]*Reactivos_[[#This Row],[Valor de referencia]]</f>
        <v>0</v>
      </c>
      <c r="AE582" s="148" t="s">
        <v>76</v>
      </c>
      <c r="AF582" s="148" t="s">
        <v>101</v>
      </c>
    </row>
    <row r="583" spans="1:32" ht="22.5" customHeight="1" x14ac:dyDescent="0.25">
      <c r="A583" s="294" t="str">
        <f>IF(B583=Reactivos_[[#This Row],[Cantidad LANIP]],"LANIP",IF(B583=Reactivos_[[#This Row],[Cantidad 
LDV]],"LDV",IF(B583=Reactivos_[[#This Row],[Cantidad LNDV]],"LNDV",IF(B583=Reactivos_[[#This Row],[GGCA]],"GGCA",IF(B583=Reactivos_[[#This Row],[Cantidad LDF]],"LDF",IF(Reactivos_[[#This Row],[Cantidad LDF&amp;MR]],"LDF&amp;MR",IF(B583=Reactivos_[[#This Row],[Cantidad RED LASE]],"LASE",IF(B583=Reactivos_[[#This Row],[Cantidad LANIA]],"LANIA",IF(B583=Reactivos_[[#This Row],[Cantidad SPA]],"SPA"," ")))))))))</f>
        <v>LDF</v>
      </c>
      <c r="B58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583" s="325">
        <v>581</v>
      </c>
      <c r="D583" s="326">
        <v>860</v>
      </c>
      <c r="E583" s="327" t="s">
        <v>1660</v>
      </c>
      <c r="F583" s="339"/>
      <c r="G583" s="245"/>
      <c r="H583" s="328" t="s">
        <v>1661</v>
      </c>
      <c r="I583" s="336" t="s">
        <v>525</v>
      </c>
      <c r="J58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40</v>
      </c>
      <c r="K583" s="160">
        <v>109302</v>
      </c>
      <c r="L583" s="160">
        <f>+Reactivos_[[#This Row],[Cantidad]]*Reactivos_[[#This Row],[Valor de referencia]]</f>
        <v>4372080</v>
      </c>
      <c r="M583" s="254">
        <v>0</v>
      </c>
      <c r="N583" s="255">
        <f>+Reactivos_[[#This Row],[Valor de referencia]]*Reactivos_[[#This Row],[Cantidad LANIP]]</f>
        <v>0</v>
      </c>
      <c r="O583" s="256"/>
      <c r="P583" s="255">
        <f>+Reactivos_[[#This Row],[Cantidad 
LDV]]*Reactivos_[[#This Row],[Valor de referencia]]</f>
        <v>0</v>
      </c>
      <c r="Q583" s="257"/>
      <c r="R583" s="255">
        <f>+Reactivos_[[#This Row],[Cantidad LNDV]]*Reactivos_[[#This Row],[Valor de referencia]]</f>
        <v>0</v>
      </c>
      <c r="S583" s="148"/>
      <c r="T583" s="255">
        <f>+Reactivos_[[#This Row],[GGCA]]*Reactivos_[[#This Row],[Valor de referencia]]</f>
        <v>0</v>
      </c>
      <c r="U583" s="254">
        <v>20</v>
      </c>
      <c r="V583" s="255">
        <f>+Reactivos_[[#This Row],[Cantidad LDF]]*Reactivos_[[#This Row],[Valor de referencia]]</f>
        <v>2186040</v>
      </c>
      <c r="W583" s="254">
        <v>20</v>
      </c>
      <c r="X583" s="255">
        <f>+Reactivos_[[#This Row],[Cantidad LDF&amp;MR]]*Reactivos_[[#This Row],[Valor de referencia]]</f>
        <v>2186040</v>
      </c>
      <c r="Y583" s="254"/>
      <c r="Z583" s="255">
        <f>+Reactivos_[[#This Row],[Cantidad RED LASE]]*Reactivos_[[#This Row],[Valor de referencia]]</f>
        <v>0</v>
      </c>
      <c r="AA583" s="254"/>
      <c r="AB583" s="255">
        <f>+Reactivos_[[#This Row],[Cantidad LANIA]]*Reactivos_[[#This Row],[Valor de referencia]]</f>
        <v>0</v>
      </c>
      <c r="AC583" s="254"/>
      <c r="AD583" s="255">
        <f>+Reactivos_[[#This Row],[Cantidad SPA]]*Reactivos_[[#This Row],[Valor de referencia]]</f>
        <v>0</v>
      </c>
      <c r="AE583" s="148" t="s">
        <v>76</v>
      </c>
      <c r="AF583" s="148" t="s">
        <v>77</v>
      </c>
    </row>
    <row r="584" spans="1:32" ht="39" customHeight="1" x14ac:dyDescent="0.25">
      <c r="A584" s="294" t="str">
        <f>IF(B584=Reactivos_[[#This Row],[Cantidad LANIP]],"LANIP",IF(B584=Reactivos_[[#This Row],[Cantidad 
LDV]],"LDV",IF(B584=Reactivos_[[#This Row],[Cantidad LNDV]],"LNDV",IF(B584=Reactivos_[[#This Row],[GGCA]],"GGCA",IF(B584=Reactivos_[[#This Row],[Cantidad LDF]],"LDF",IF(Reactivos_[[#This Row],[Cantidad LDF&amp;MR]],"LDF&amp;MR",IF(B584=Reactivos_[[#This Row],[Cantidad RED LASE]],"LASE",IF(B584=Reactivos_[[#This Row],[Cantidad LANIA]],"LANIA",IF(B584=Reactivos_[[#This Row],[Cantidad SPA]],"SPA"," ")))))))))</f>
        <v>LDF&amp;MR</v>
      </c>
      <c r="B58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5500</v>
      </c>
      <c r="C584" s="325">
        <v>582</v>
      </c>
      <c r="D584" s="326">
        <v>861</v>
      </c>
      <c r="E584" s="245" t="s">
        <v>1662</v>
      </c>
      <c r="F584" s="244"/>
      <c r="G584" s="245"/>
      <c r="H584" s="346" t="s">
        <v>1663</v>
      </c>
      <c r="I584" s="336" t="s">
        <v>1664</v>
      </c>
      <c r="J58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8300</v>
      </c>
      <c r="K584" s="160">
        <v>5576</v>
      </c>
      <c r="L584" s="160">
        <f>+Reactivos_[[#This Row],[Cantidad]]*Reactivos_[[#This Row],[Valor de referencia]]</f>
        <v>46280800</v>
      </c>
      <c r="M584" s="254">
        <v>0</v>
      </c>
      <c r="N584" s="255">
        <f>+Reactivos_[[#This Row],[Valor de referencia]]*Reactivos_[[#This Row],[Cantidad LANIP]]</f>
        <v>0</v>
      </c>
      <c r="O584" s="256"/>
      <c r="P584" s="255">
        <f>+Reactivos_[[#This Row],[Cantidad 
LDV]]*Reactivos_[[#This Row],[Valor de referencia]]</f>
        <v>0</v>
      </c>
      <c r="Q584" s="257"/>
      <c r="R584" s="255">
        <f>+Reactivos_[[#This Row],[Cantidad LNDV]]*Reactivos_[[#This Row],[Valor de referencia]]</f>
        <v>0</v>
      </c>
      <c r="S584" s="148"/>
      <c r="T584" s="255">
        <f>+Reactivos_[[#This Row],[GGCA]]*Reactivos_[[#This Row],[Valor de referencia]]</f>
        <v>0</v>
      </c>
      <c r="U584" s="254">
        <v>2800</v>
      </c>
      <c r="V584" s="255">
        <f>+Reactivos_[[#This Row],[Cantidad LDF]]*Reactivos_[[#This Row],[Valor de referencia]]</f>
        <v>15612800</v>
      </c>
      <c r="W584" s="254">
        <v>5500</v>
      </c>
      <c r="X584" s="255">
        <f>+Reactivos_[[#This Row],[Cantidad LDF&amp;MR]]*Reactivos_[[#This Row],[Valor de referencia]]</f>
        <v>30668000</v>
      </c>
      <c r="Y584" s="254"/>
      <c r="Z584" s="255">
        <f>+Reactivos_[[#This Row],[Cantidad RED LASE]]*Reactivos_[[#This Row],[Valor de referencia]]</f>
        <v>0</v>
      </c>
      <c r="AA584" s="254"/>
      <c r="AB584" s="255">
        <f>+Reactivos_[[#This Row],[Cantidad LANIA]]*Reactivos_[[#This Row],[Valor de referencia]]</f>
        <v>0</v>
      </c>
      <c r="AC584" s="254"/>
      <c r="AD584" s="255">
        <f>+Reactivos_[[#This Row],[Cantidad SPA]]*Reactivos_[[#This Row],[Valor de referencia]]</f>
        <v>0</v>
      </c>
      <c r="AE584" s="148" t="s">
        <v>76</v>
      </c>
      <c r="AF584" s="148" t="s">
        <v>77</v>
      </c>
    </row>
    <row r="585" spans="1:32" ht="22.5" customHeight="1" x14ac:dyDescent="0.25">
      <c r="A585" s="294" t="str">
        <f>IF(B585=Reactivos_[[#This Row],[Cantidad LANIP]],"LANIP",IF(B585=Reactivos_[[#This Row],[Cantidad 
LDV]],"LDV",IF(B585=Reactivos_[[#This Row],[Cantidad LNDV]],"LNDV",IF(B585=Reactivos_[[#This Row],[GGCA]],"GGCA",IF(B585=Reactivos_[[#This Row],[Cantidad LDF]],"LDF",IF(Reactivos_[[#This Row],[Cantidad LDF&amp;MR]],"LDF&amp;MR",IF(B585=Reactivos_[[#This Row],[Cantidad RED LASE]],"LASE",IF(B585=Reactivos_[[#This Row],[Cantidad LANIA]],"LANIA",IF(B585=Reactivos_[[#This Row],[Cantidad SPA]],"SPA"," ")))))))))</f>
        <v>LDF</v>
      </c>
      <c r="B58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585" s="325">
        <v>583</v>
      </c>
      <c r="D585" s="326">
        <v>864</v>
      </c>
      <c r="E585" s="327" t="s">
        <v>1665</v>
      </c>
      <c r="F585" s="244"/>
      <c r="G585" s="327"/>
      <c r="H585" s="348" t="s">
        <v>1666</v>
      </c>
      <c r="I585" s="329" t="s">
        <v>1667</v>
      </c>
      <c r="J58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585" s="160">
        <v>1303845</v>
      </c>
      <c r="L585" s="160">
        <f>+Reactivos_[[#This Row],[Cantidad]]*Reactivos_[[#This Row],[Valor de referencia]]</f>
        <v>7823070</v>
      </c>
      <c r="M585" s="254">
        <v>0</v>
      </c>
      <c r="N585" s="255">
        <f>+Reactivos_[[#This Row],[Valor de referencia]]*Reactivos_[[#This Row],[Cantidad LANIP]]</f>
        <v>0</v>
      </c>
      <c r="O585" s="256"/>
      <c r="P585" s="255">
        <f>+Reactivos_[[#This Row],[Cantidad 
LDV]]*Reactivos_[[#This Row],[Valor de referencia]]</f>
        <v>0</v>
      </c>
      <c r="Q585" s="257"/>
      <c r="R585" s="255">
        <f>+Reactivos_[[#This Row],[Cantidad LNDV]]*Reactivos_[[#This Row],[Valor de referencia]]</f>
        <v>0</v>
      </c>
      <c r="S585" s="148"/>
      <c r="T585" s="255">
        <f>+Reactivos_[[#This Row],[GGCA]]*Reactivos_[[#This Row],[Valor de referencia]]</f>
        <v>0</v>
      </c>
      <c r="U585" s="254">
        <v>4</v>
      </c>
      <c r="V585" s="255">
        <f>+Reactivos_[[#This Row],[Cantidad LDF]]*Reactivos_[[#This Row],[Valor de referencia]]</f>
        <v>5215380</v>
      </c>
      <c r="W585" s="254">
        <v>2</v>
      </c>
      <c r="X585" s="255">
        <f>+Reactivos_[[#This Row],[Cantidad LDF&amp;MR]]*Reactivos_[[#This Row],[Valor de referencia]]</f>
        <v>2607690</v>
      </c>
      <c r="Y585" s="254"/>
      <c r="Z585" s="255">
        <f>+Reactivos_[[#This Row],[Cantidad RED LASE]]*Reactivos_[[#This Row],[Valor de referencia]]</f>
        <v>0</v>
      </c>
      <c r="AA585" s="254"/>
      <c r="AB585" s="255">
        <f>+Reactivos_[[#This Row],[Cantidad LANIA]]*Reactivos_[[#This Row],[Valor de referencia]]</f>
        <v>0</v>
      </c>
      <c r="AC585" s="254"/>
      <c r="AD585" s="255">
        <f>+Reactivos_[[#This Row],[Cantidad SPA]]*Reactivos_[[#This Row],[Valor de referencia]]</f>
        <v>0</v>
      </c>
      <c r="AE585" s="148" t="s">
        <v>76</v>
      </c>
      <c r="AF585" s="148" t="s">
        <v>77</v>
      </c>
    </row>
    <row r="586" spans="1:32" ht="22.5" customHeight="1" x14ac:dyDescent="0.25">
      <c r="A586" s="294" t="str">
        <f>IF(B586=Reactivos_[[#This Row],[Cantidad LANIP]],"LANIP",IF(B586=Reactivos_[[#This Row],[Cantidad 
LDV]],"LDV",IF(B586=Reactivos_[[#This Row],[Cantidad LNDV]],"LNDV",IF(B586=Reactivos_[[#This Row],[GGCA]],"GGCA",IF(B586=Reactivos_[[#This Row],[Cantidad LDF]],"LDF",IF(Reactivos_[[#This Row],[Cantidad LDF&amp;MR]],"LDF&amp;MR",IF(B586=Reactivos_[[#This Row],[Cantidad RED LASE]],"LASE",IF(B586=Reactivos_[[#This Row],[Cantidad LANIA]],"LANIA",IF(B586=Reactivos_[[#This Row],[Cantidad SPA]],"SPA"," ")))))))))</f>
        <v>LANIA</v>
      </c>
      <c r="B58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86" s="325">
        <v>584</v>
      </c>
      <c r="D586" s="326">
        <v>868</v>
      </c>
      <c r="E586" s="359" t="s">
        <v>1668</v>
      </c>
      <c r="F586" s="244"/>
      <c r="G586" s="245"/>
      <c r="H586" s="346" t="s">
        <v>587</v>
      </c>
      <c r="I586" s="347" t="s">
        <v>596</v>
      </c>
      <c r="J58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86" s="160">
        <v>773500</v>
      </c>
      <c r="L586" s="160">
        <f>+Reactivos_[[#This Row],[Cantidad]]*Reactivos_[[#This Row],[Valor de referencia]]</f>
        <v>773500</v>
      </c>
      <c r="M586" s="254">
        <v>0</v>
      </c>
      <c r="N586" s="255">
        <f>+Reactivos_[[#This Row],[Valor de referencia]]*Reactivos_[[#This Row],[Cantidad LANIP]]</f>
        <v>0</v>
      </c>
      <c r="O586" s="256"/>
      <c r="P586" s="255">
        <f>+Reactivos_[[#This Row],[Cantidad 
LDV]]*Reactivos_[[#This Row],[Valor de referencia]]</f>
        <v>0</v>
      </c>
      <c r="Q586" s="257"/>
      <c r="R586" s="255">
        <f>+Reactivos_[[#This Row],[Cantidad LNDV]]*Reactivos_[[#This Row],[Valor de referencia]]</f>
        <v>0</v>
      </c>
      <c r="S586" s="148"/>
      <c r="T586" s="255">
        <f>+Reactivos_[[#This Row],[GGCA]]*Reactivos_[[#This Row],[Valor de referencia]]</f>
        <v>0</v>
      </c>
      <c r="U586" s="254"/>
      <c r="V586" s="255">
        <f>+Reactivos_[[#This Row],[Cantidad LDF]]*Reactivos_[[#This Row],[Valor de referencia]]</f>
        <v>0</v>
      </c>
      <c r="W586" s="254"/>
      <c r="X586" s="255">
        <f>+Reactivos_[[#This Row],[Cantidad LDF&amp;MR]]*Reactivos_[[#This Row],[Valor de referencia]]</f>
        <v>0</v>
      </c>
      <c r="Y586" s="254"/>
      <c r="Z586" s="255">
        <f>+Reactivos_[[#This Row],[Cantidad RED LASE]]*Reactivos_[[#This Row],[Valor de referencia]]</f>
        <v>0</v>
      </c>
      <c r="AA586" s="254">
        <v>1</v>
      </c>
      <c r="AB586" s="255">
        <f>+Reactivos_[[#This Row],[Cantidad LANIA]]*Reactivos_[[#This Row],[Valor de referencia]]</f>
        <v>773500</v>
      </c>
      <c r="AC586" s="254"/>
      <c r="AD586" s="255">
        <f>+Reactivos_[[#This Row],[Cantidad SPA]]*Reactivos_[[#This Row],[Valor de referencia]]</f>
        <v>0</v>
      </c>
      <c r="AE586" s="148" t="s">
        <v>76</v>
      </c>
      <c r="AF586" s="148" t="s">
        <v>77</v>
      </c>
    </row>
    <row r="587" spans="1:32" ht="22.5" customHeight="1" x14ac:dyDescent="0.25">
      <c r="A587" s="294" t="str">
        <f>IF(B587=Reactivos_[[#This Row],[Cantidad LANIP]],"LANIP",IF(B587=Reactivos_[[#This Row],[Cantidad 
LDV]],"LDV",IF(B587=Reactivos_[[#This Row],[Cantidad LNDV]],"LNDV",IF(B587=Reactivos_[[#This Row],[GGCA]],"GGCA",IF(B587=Reactivos_[[#This Row],[Cantidad LDF]],"LDF",IF(Reactivos_[[#This Row],[Cantidad LDF&amp;MR]],"LDF&amp;MR",IF(B587=Reactivos_[[#This Row],[Cantidad RED LASE]],"LASE",IF(B587=Reactivos_[[#This Row],[Cantidad LANIA]],"LANIA",IF(B587=Reactivos_[[#This Row],[Cantidad SPA]],"SPA"," ")))))))))</f>
        <v>LDF</v>
      </c>
      <c r="B58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87" s="325">
        <v>585</v>
      </c>
      <c r="D587" s="326">
        <v>869</v>
      </c>
      <c r="E587" s="379" t="s">
        <v>1669</v>
      </c>
      <c r="F587" s="380"/>
      <c r="G587" s="381"/>
      <c r="H587" s="372" t="s">
        <v>1670</v>
      </c>
      <c r="I587" s="334" t="s">
        <v>1671</v>
      </c>
      <c r="J58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87" s="160">
        <v>7841605</v>
      </c>
      <c r="L587" s="160">
        <f>+Reactivos_[[#This Row],[Cantidad]]*Reactivos_[[#This Row],[Valor de referencia]]</f>
        <v>7841605</v>
      </c>
      <c r="M587" s="254">
        <v>0</v>
      </c>
      <c r="N587" s="255">
        <f>+Reactivos_[[#This Row],[Valor de referencia]]*Reactivos_[[#This Row],[Cantidad LANIP]]</f>
        <v>0</v>
      </c>
      <c r="O587" s="256"/>
      <c r="P587" s="255">
        <f>+Reactivos_[[#This Row],[Cantidad 
LDV]]*Reactivos_[[#This Row],[Valor de referencia]]</f>
        <v>0</v>
      </c>
      <c r="Q587" s="257"/>
      <c r="R587" s="255">
        <f>+Reactivos_[[#This Row],[Cantidad LNDV]]*Reactivos_[[#This Row],[Valor de referencia]]</f>
        <v>0</v>
      </c>
      <c r="S587" s="148"/>
      <c r="T587" s="255">
        <f>+Reactivos_[[#This Row],[GGCA]]*Reactivos_[[#This Row],[Valor de referencia]]</f>
        <v>0</v>
      </c>
      <c r="U587" s="254">
        <v>1</v>
      </c>
      <c r="V587" s="255">
        <f>+Reactivos_[[#This Row],[Cantidad LDF]]*Reactivos_[[#This Row],[Valor de referencia]]</f>
        <v>7841605</v>
      </c>
      <c r="W587" s="254"/>
      <c r="X587" s="255">
        <f>+Reactivos_[[#This Row],[Cantidad LDF&amp;MR]]*Reactivos_[[#This Row],[Valor de referencia]]</f>
        <v>0</v>
      </c>
      <c r="Y587" s="254"/>
      <c r="Z587" s="255">
        <f>+Reactivos_[[#This Row],[Cantidad RED LASE]]*Reactivos_[[#This Row],[Valor de referencia]]</f>
        <v>0</v>
      </c>
      <c r="AA587" s="254"/>
      <c r="AB587" s="255">
        <f>+Reactivos_[[#This Row],[Cantidad LANIA]]*Reactivos_[[#This Row],[Valor de referencia]]</f>
        <v>0</v>
      </c>
      <c r="AC587" s="254"/>
      <c r="AD587" s="255">
        <f>+Reactivos_[[#This Row],[Cantidad SPA]]*Reactivos_[[#This Row],[Valor de referencia]]</f>
        <v>0</v>
      </c>
      <c r="AE587" s="148" t="s">
        <v>76</v>
      </c>
      <c r="AF587" s="148" t="s">
        <v>77</v>
      </c>
    </row>
    <row r="588" spans="1:32" ht="29.45" customHeight="1" x14ac:dyDescent="0.25">
      <c r="A588" s="294" t="str">
        <f>IF(B588=Reactivos_[[#This Row],[Cantidad LANIP]],"LANIP",IF(B588=Reactivos_[[#This Row],[Cantidad 
LDV]],"LDV",IF(B588=Reactivos_[[#This Row],[Cantidad LNDV]],"LNDV",IF(B588=Reactivos_[[#This Row],[GGCA]],"GGCA",IF(B588=Reactivos_[[#This Row],[Cantidad LDF]],"LDF",IF(Reactivos_[[#This Row],[Cantidad LDF&amp;MR]],"LDF&amp;MR",IF(B588=Reactivos_[[#This Row],[Cantidad RED LASE]],"LASE",IF(B588=Reactivos_[[#This Row],[Cantidad LANIA]],"LANIA",IF(B588=Reactivos_[[#This Row],[Cantidad SPA]],"SPA"," ")))))))))</f>
        <v>LNDV</v>
      </c>
      <c r="B58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30</v>
      </c>
      <c r="C588" s="325">
        <v>586</v>
      </c>
      <c r="D588" s="326">
        <v>871</v>
      </c>
      <c r="E588" s="331" t="s">
        <v>1672</v>
      </c>
      <c r="F588" s="332"/>
      <c r="G588" s="331"/>
      <c r="H588" s="348" t="s">
        <v>1673</v>
      </c>
      <c r="I588" s="329" t="s">
        <v>1674</v>
      </c>
      <c r="J58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40</v>
      </c>
      <c r="K588" s="160">
        <v>2994391</v>
      </c>
      <c r="L588" s="160">
        <f>+Reactivos_[[#This Row],[Cantidad]]*Reactivos_[[#This Row],[Valor de referencia]]</f>
        <v>119775640</v>
      </c>
      <c r="M588" s="254">
        <v>0</v>
      </c>
      <c r="N588" s="255">
        <f>+Reactivos_[[#This Row],[Valor de referencia]]*Reactivos_[[#This Row],[Cantidad LANIP]]</f>
        <v>0</v>
      </c>
      <c r="O588" s="256">
        <v>10</v>
      </c>
      <c r="P588" s="255">
        <f>+Reactivos_[[#This Row],[Cantidad 
LDV]]*Reactivos_[[#This Row],[Valor de referencia]]</f>
        <v>29943910</v>
      </c>
      <c r="Q588" s="257">
        <v>30</v>
      </c>
      <c r="R588" s="255">
        <f>+Reactivos_[[#This Row],[Cantidad LNDV]]*Reactivos_[[#This Row],[Valor de referencia]]</f>
        <v>89831730</v>
      </c>
      <c r="S588" s="148"/>
      <c r="T588" s="255">
        <f>+Reactivos_[[#This Row],[GGCA]]*Reactivos_[[#This Row],[Valor de referencia]]</f>
        <v>0</v>
      </c>
      <c r="U588" s="254"/>
      <c r="V588" s="255">
        <f>+Reactivos_[[#This Row],[Cantidad LDF]]*Reactivos_[[#This Row],[Valor de referencia]]</f>
        <v>0</v>
      </c>
      <c r="W588" s="254"/>
      <c r="X588" s="255">
        <f>+Reactivos_[[#This Row],[Cantidad LDF&amp;MR]]*Reactivos_[[#This Row],[Valor de referencia]]</f>
        <v>0</v>
      </c>
      <c r="Y588" s="254"/>
      <c r="Z588" s="255">
        <f>+Reactivos_[[#This Row],[Cantidad RED LASE]]*Reactivos_[[#This Row],[Valor de referencia]]</f>
        <v>0</v>
      </c>
      <c r="AA588" s="254"/>
      <c r="AB588" s="255">
        <f>+Reactivos_[[#This Row],[Cantidad LANIA]]*Reactivos_[[#This Row],[Valor de referencia]]</f>
        <v>0</v>
      </c>
      <c r="AC588" s="254"/>
      <c r="AD588" s="255">
        <f>+Reactivos_[[#This Row],[Cantidad SPA]]*Reactivos_[[#This Row],[Valor de referencia]]</f>
        <v>0</v>
      </c>
      <c r="AE588" s="148" t="s">
        <v>76</v>
      </c>
      <c r="AF588" s="148" t="s">
        <v>77</v>
      </c>
    </row>
    <row r="589" spans="1:32" ht="29.45" customHeight="1" x14ac:dyDescent="0.25">
      <c r="A589" s="294" t="str">
        <f>IF(B589=Reactivos_[[#This Row],[Cantidad LANIP]],"LANIP",IF(B589=Reactivos_[[#This Row],[Cantidad 
LDV]],"LDV",IF(B589=Reactivos_[[#This Row],[Cantidad LNDV]],"LNDV",IF(B589=Reactivos_[[#This Row],[GGCA]],"GGCA",IF(B589=Reactivos_[[#This Row],[Cantidad LDF]],"LDF",IF(Reactivos_[[#This Row],[Cantidad LDF&amp;MR]],"LDF&amp;MR",IF(B589=Reactivos_[[#This Row],[Cantidad RED LASE]],"LASE",IF(B589=Reactivos_[[#This Row],[Cantidad LANIA]],"LANIA",IF(B589=Reactivos_[[#This Row],[Cantidad SPA]],"SPA"," ")))))))))</f>
        <v>LNDV</v>
      </c>
      <c r="B58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89" s="325">
        <v>587</v>
      </c>
      <c r="D589" s="326">
        <v>876</v>
      </c>
      <c r="E589" s="327" t="s">
        <v>1675</v>
      </c>
      <c r="F589" s="244" t="s">
        <v>1676</v>
      </c>
      <c r="G589" s="327"/>
      <c r="H589" s="342" t="s">
        <v>1677</v>
      </c>
      <c r="I589" s="329" t="s">
        <v>184</v>
      </c>
      <c r="J58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89" s="160">
        <v>1212344</v>
      </c>
      <c r="L589" s="160">
        <f>+Reactivos_[[#This Row],[Cantidad]]*Reactivos_[[#This Row],[Valor de referencia]]</f>
        <v>1212344</v>
      </c>
      <c r="M589" s="254">
        <v>0</v>
      </c>
      <c r="N589" s="255">
        <f>+Reactivos_[[#This Row],[Valor de referencia]]*Reactivos_[[#This Row],[Cantidad LANIP]]</f>
        <v>0</v>
      </c>
      <c r="O589" s="256"/>
      <c r="P589" s="255">
        <f>+Reactivos_[[#This Row],[Cantidad 
LDV]]*Reactivos_[[#This Row],[Valor de referencia]]</f>
        <v>0</v>
      </c>
      <c r="Q589" s="257">
        <v>1</v>
      </c>
      <c r="R589" s="255">
        <f>+Reactivos_[[#This Row],[Cantidad LNDV]]*Reactivos_[[#This Row],[Valor de referencia]]</f>
        <v>1212344</v>
      </c>
      <c r="S589" s="148"/>
      <c r="T589" s="255">
        <f>+Reactivos_[[#This Row],[GGCA]]*Reactivos_[[#This Row],[Valor de referencia]]</f>
        <v>0</v>
      </c>
      <c r="U589" s="254"/>
      <c r="V589" s="255">
        <f>+Reactivos_[[#This Row],[Cantidad LDF]]*Reactivos_[[#This Row],[Valor de referencia]]</f>
        <v>0</v>
      </c>
      <c r="W589" s="254"/>
      <c r="X589" s="255">
        <f>+Reactivos_[[#This Row],[Cantidad LDF&amp;MR]]*Reactivos_[[#This Row],[Valor de referencia]]</f>
        <v>0</v>
      </c>
      <c r="Y589" s="254"/>
      <c r="Z589" s="255">
        <f>+Reactivos_[[#This Row],[Cantidad RED LASE]]*Reactivos_[[#This Row],[Valor de referencia]]</f>
        <v>0</v>
      </c>
      <c r="AA589" s="254"/>
      <c r="AB589" s="255">
        <f>+Reactivos_[[#This Row],[Cantidad LANIA]]*Reactivos_[[#This Row],[Valor de referencia]]</f>
        <v>0</v>
      </c>
      <c r="AC589" s="254"/>
      <c r="AD589" s="255">
        <f>+Reactivos_[[#This Row],[Cantidad SPA]]*Reactivos_[[#This Row],[Valor de referencia]]</f>
        <v>0</v>
      </c>
      <c r="AE589" s="148" t="s">
        <v>76</v>
      </c>
      <c r="AF589" s="148" t="s">
        <v>77</v>
      </c>
    </row>
    <row r="590" spans="1:32" ht="29.45" customHeight="1" x14ac:dyDescent="0.25">
      <c r="A590" s="294" t="str">
        <f>IF(B590=Reactivos_[[#This Row],[Cantidad LANIP]],"LANIP",IF(B590=Reactivos_[[#This Row],[Cantidad 
LDV]],"LDV",IF(B590=Reactivos_[[#This Row],[Cantidad LNDV]],"LNDV",IF(B590=Reactivos_[[#This Row],[GGCA]],"GGCA",IF(B590=Reactivos_[[#This Row],[Cantidad LDF]],"LDF",IF(Reactivos_[[#This Row],[Cantidad LDF&amp;MR]],"LDF&amp;MR",IF(B590=Reactivos_[[#This Row],[Cantidad RED LASE]],"LASE",IF(B590=Reactivos_[[#This Row],[Cantidad LANIA]],"LANIA",IF(B590=Reactivos_[[#This Row],[Cantidad SPA]],"SPA"," ")))))))))</f>
        <v>LDF</v>
      </c>
      <c r="B59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590" s="325">
        <v>588</v>
      </c>
      <c r="D590" s="326">
        <v>877</v>
      </c>
      <c r="E590" s="327" t="s">
        <v>1678</v>
      </c>
      <c r="F590" s="244"/>
      <c r="G590" s="327"/>
      <c r="H590" s="328" t="s">
        <v>1679</v>
      </c>
      <c r="I590" s="363" t="s">
        <v>1680</v>
      </c>
      <c r="J59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590" s="160">
        <v>705648</v>
      </c>
      <c r="L590" s="160">
        <f>+Reactivos_[[#This Row],[Cantidad]]*Reactivos_[[#This Row],[Valor de referencia]]</f>
        <v>3528240</v>
      </c>
      <c r="M590" s="254"/>
      <c r="N590" s="255">
        <f>+Reactivos_[[#This Row],[Valor de referencia]]*Reactivos_[[#This Row],[Cantidad LANIP]]</f>
        <v>0</v>
      </c>
      <c r="O590" s="256"/>
      <c r="P590" s="255">
        <f>+Reactivos_[[#This Row],[Cantidad 
LDV]]*Reactivos_[[#This Row],[Valor de referencia]]</f>
        <v>0</v>
      </c>
      <c r="Q590" s="257"/>
      <c r="R590" s="255">
        <f>+Reactivos_[[#This Row],[Cantidad LNDV]]*Reactivos_[[#This Row],[Valor de referencia]]</f>
        <v>0</v>
      </c>
      <c r="S590" s="148"/>
      <c r="T590" s="255">
        <f>+Reactivos_[[#This Row],[GGCA]]*Reactivos_[[#This Row],[Valor de referencia]]</f>
        <v>0</v>
      </c>
      <c r="U590" s="254">
        <v>5</v>
      </c>
      <c r="V590" s="255">
        <f>+Reactivos_[[#This Row],[Cantidad LDF]]*Reactivos_[[#This Row],[Valor de referencia]]</f>
        <v>3528240</v>
      </c>
      <c r="W590" s="254"/>
      <c r="X590" s="255">
        <f>+Reactivos_[[#This Row],[Cantidad LDF&amp;MR]]*Reactivos_[[#This Row],[Valor de referencia]]</f>
        <v>0</v>
      </c>
      <c r="Y590" s="254"/>
      <c r="Z590" s="255">
        <f>+Reactivos_[[#This Row],[Cantidad RED LASE]]*Reactivos_[[#This Row],[Valor de referencia]]</f>
        <v>0</v>
      </c>
      <c r="AA590" s="254"/>
      <c r="AB590" s="255">
        <f>+Reactivos_[[#This Row],[Cantidad LANIA]]*Reactivos_[[#This Row],[Valor de referencia]]</f>
        <v>0</v>
      </c>
      <c r="AC590" s="254"/>
      <c r="AD590" s="255">
        <f>+Reactivos_[[#This Row],[Cantidad SPA]]*Reactivos_[[#This Row],[Valor de referencia]]</f>
        <v>0</v>
      </c>
      <c r="AE590" s="148" t="s">
        <v>76</v>
      </c>
      <c r="AF590" s="148" t="s">
        <v>77</v>
      </c>
    </row>
    <row r="591" spans="1:32" ht="29.45" customHeight="1" x14ac:dyDescent="0.25">
      <c r="A591" s="294" t="str">
        <f>IF(B591=Reactivos_[[#This Row],[Cantidad LANIP]],"LANIP",IF(B591=Reactivos_[[#This Row],[Cantidad 
LDV]],"LDV",IF(B591=Reactivos_[[#This Row],[Cantidad LNDV]],"LNDV",IF(B591=Reactivos_[[#This Row],[GGCA]],"GGCA",IF(B591=Reactivos_[[#This Row],[Cantidad LDF]],"LDF",IF(Reactivos_[[#This Row],[Cantidad LDF&amp;MR]],"LDF&amp;MR",IF(B591=Reactivos_[[#This Row],[Cantidad RED LASE]],"LASE",IF(B591=Reactivos_[[#This Row],[Cantidad LANIA]],"LANIA",IF(B591=Reactivos_[[#This Row],[Cantidad SPA]],"SPA"," ")))))))))</f>
        <v>LDV</v>
      </c>
      <c r="B59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591" s="325">
        <v>589</v>
      </c>
      <c r="D591" s="326">
        <v>879</v>
      </c>
      <c r="E591" s="331" t="s">
        <v>1681</v>
      </c>
      <c r="F591" s="332"/>
      <c r="G591" s="331"/>
      <c r="H591" s="348" t="s">
        <v>1682</v>
      </c>
      <c r="I591" s="329" t="s">
        <v>104</v>
      </c>
      <c r="J59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19</v>
      </c>
      <c r="K591" s="160">
        <v>233843</v>
      </c>
      <c r="L591" s="160">
        <f>+Reactivos_[[#This Row],[Cantidad]]*Reactivos_[[#This Row],[Valor de referencia]]</f>
        <v>4443017</v>
      </c>
      <c r="M591" s="254">
        <v>0</v>
      </c>
      <c r="N591" s="255">
        <f>+Reactivos_[[#This Row],[Valor de referencia]]*Reactivos_[[#This Row],[Cantidad LANIP]]</f>
        <v>0</v>
      </c>
      <c r="O591" s="256">
        <v>13</v>
      </c>
      <c r="P591" s="255">
        <f>+Reactivos_[[#This Row],[Cantidad 
LDV]]*Reactivos_[[#This Row],[Valor de referencia]]</f>
        <v>3039959</v>
      </c>
      <c r="Q591" s="257">
        <v>2</v>
      </c>
      <c r="R591" s="255">
        <f>+Reactivos_[[#This Row],[Cantidad LNDV]]*Reactivos_[[#This Row],[Valor de referencia]]</f>
        <v>467686</v>
      </c>
      <c r="S591" s="148"/>
      <c r="T591" s="255">
        <f>+Reactivos_[[#This Row],[GGCA]]*Reactivos_[[#This Row],[Valor de referencia]]</f>
        <v>0</v>
      </c>
      <c r="U591" s="254">
        <v>3</v>
      </c>
      <c r="V591" s="255">
        <f>+Reactivos_[[#This Row],[Cantidad LDF]]*Reactivos_[[#This Row],[Valor de referencia]]</f>
        <v>701529</v>
      </c>
      <c r="W591" s="254"/>
      <c r="X591" s="255">
        <f>+Reactivos_[[#This Row],[Cantidad LDF&amp;MR]]*Reactivos_[[#This Row],[Valor de referencia]]</f>
        <v>0</v>
      </c>
      <c r="Y591" s="254"/>
      <c r="Z591" s="255">
        <f>+Reactivos_[[#This Row],[Cantidad RED LASE]]*Reactivos_[[#This Row],[Valor de referencia]]</f>
        <v>0</v>
      </c>
      <c r="AA591" s="254">
        <v>1</v>
      </c>
      <c r="AB591" s="255">
        <f>+Reactivos_[[#This Row],[Cantidad LANIA]]*Reactivos_[[#This Row],[Valor de referencia]]</f>
        <v>233843</v>
      </c>
      <c r="AC591" s="254"/>
      <c r="AD591" s="255">
        <f>+Reactivos_[[#This Row],[Cantidad SPA]]*Reactivos_[[#This Row],[Valor de referencia]]</f>
        <v>0</v>
      </c>
      <c r="AE591" s="148" t="s">
        <v>76</v>
      </c>
      <c r="AF591" s="148" t="s">
        <v>77</v>
      </c>
    </row>
    <row r="592" spans="1:32" ht="29.45" customHeight="1" x14ac:dyDescent="0.25">
      <c r="A592" s="294" t="str">
        <f>IF(B592=Reactivos_[[#This Row],[Cantidad LANIP]],"LANIP",IF(B592=Reactivos_[[#This Row],[Cantidad 
LDV]],"LDV",IF(B592=Reactivos_[[#This Row],[Cantidad LNDV]],"LNDV",IF(B592=Reactivos_[[#This Row],[GGCA]],"GGCA",IF(B592=Reactivos_[[#This Row],[Cantidad LDF]],"LDF",IF(Reactivos_[[#This Row],[Cantidad LDF&amp;MR]],"LDF&amp;MR",IF(B592=Reactivos_[[#This Row],[Cantidad RED LASE]],"LASE",IF(B592=Reactivos_[[#This Row],[Cantidad LANIA]],"LANIA",IF(B592=Reactivos_[[#This Row],[Cantidad SPA]],"SPA"," ")))))))))</f>
        <v>LDV</v>
      </c>
      <c r="B59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592" s="325">
        <v>590</v>
      </c>
      <c r="D592" s="326">
        <v>881</v>
      </c>
      <c r="E592" s="327" t="s">
        <v>1683</v>
      </c>
      <c r="F592" s="244"/>
      <c r="G592" s="327"/>
      <c r="H592" s="348" t="s">
        <v>1684</v>
      </c>
      <c r="I592" s="329" t="s">
        <v>1685</v>
      </c>
      <c r="J59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592" s="160">
        <v>85774</v>
      </c>
      <c r="L592" s="160">
        <f>+Reactivos_[[#This Row],[Cantidad]]*Reactivos_[[#This Row],[Valor de referencia]]</f>
        <v>600418</v>
      </c>
      <c r="M592" s="254">
        <v>0</v>
      </c>
      <c r="N592" s="255">
        <f>+Reactivos_[[#This Row],[Valor de referencia]]*Reactivos_[[#This Row],[Cantidad LANIP]]</f>
        <v>0</v>
      </c>
      <c r="O592" s="256">
        <v>7</v>
      </c>
      <c r="P592" s="255">
        <f>+Reactivos_[[#This Row],[Cantidad 
LDV]]*Reactivos_[[#This Row],[Valor de referencia]]</f>
        <v>600418</v>
      </c>
      <c r="Q592" s="257"/>
      <c r="R592" s="255">
        <f>+Reactivos_[[#This Row],[Cantidad LNDV]]*Reactivos_[[#This Row],[Valor de referencia]]</f>
        <v>0</v>
      </c>
      <c r="S592" s="148"/>
      <c r="T592" s="255">
        <f>+Reactivos_[[#This Row],[GGCA]]*Reactivos_[[#This Row],[Valor de referencia]]</f>
        <v>0</v>
      </c>
      <c r="U592" s="254"/>
      <c r="V592" s="255">
        <f>+Reactivos_[[#This Row],[Cantidad LDF]]*Reactivos_[[#This Row],[Valor de referencia]]</f>
        <v>0</v>
      </c>
      <c r="W592" s="254"/>
      <c r="X592" s="255">
        <f>+Reactivos_[[#This Row],[Cantidad LDF&amp;MR]]*Reactivos_[[#This Row],[Valor de referencia]]</f>
        <v>0</v>
      </c>
      <c r="Y592" s="254"/>
      <c r="Z592" s="255">
        <f>+Reactivos_[[#This Row],[Cantidad RED LASE]]*Reactivos_[[#This Row],[Valor de referencia]]</f>
        <v>0</v>
      </c>
      <c r="AA592" s="254"/>
      <c r="AB592" s="255">
        <f>+Reactivos_[[#This Row],[Cantidad LANIA]]*Reactivos_[[#This Row],[Valor de referencia]]</f>
        <v>0</v>
      </c>
      <c r="AC592" s="254"/>
      <c r="AD592" s="255">
        <f>+Reactivos_[[#This Row],[Cantidad SPA]]*Reactivos_[[#This Row],[Valor de referencia]]</f>
        <v>0</v>
      </c>
      <c r="AE592" s="148" t="s">
        <v>76</v>
      </c>
      <c r="AF592" s="148" t="s">
        <v>77</v>
      </c>
    </row>
    <row r="593" spans="1:32" ht="29.45" customHeight="1" x14ac:dyDescent="0.25">
      <c r="A593" s="294" t="str">
        <f>IF(B593=Reactivos_[[#This Row],[Cantidad LANIP]],"LANIP",IF(B593=Reactivos_[[#This Row],[Cantidad 
LDV]],"LDV",IF(B593=Reactivos_[[#This Row],[Cantidad LNDV]],"LNDV",IF(B593=Reactivos_[[#This Row],[GGCA]],"GGCA",IF(B593=Reactivos_[[#This Row],[Cantidad LDF]],"LDF",IF(Reactivos_[[#This Row],[Cantidad LDF&amp;MR]],"LDF&amp;MR",IF(B593=Reactivos_[[#This Row],[Cantidad RED LASE]],"LASE",IF(B593=Reactivos_[[#This Row],[Cantidad LANIA]],"LANIA",IF(B593=Reactivos_[[#This Row],[Cantidad SPA]],"SPA"," ")))))))))</f>
        <v>LDV</v>
      </c>
      <c r="B59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593" s="325">
        <v>591</v>
      </c>
      <c r="D593" s="326">
        <v>883</v>
      </c>
      <c r="E593" s="331" t="s">
        <v>1686</v>
      </c>
      <c r="F593" s="332"/>
      <c r="G593" s="331"/>
      <c r="H593" s="330" t="s">
        <v>1687</v>
      </c>
      <c r="I593" s="334" t="s">
        <v>732</v>
      </c>
      <c r="J59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593" s="160">
        <v>1736142</v>
      </c>
      <c r="L593" s="160">
        <f>+Reactivos_[[#This Row],[Cantidad]]*Reactivos_[[#This Row],[Valor de referencia]]</f>
        <v>6944568</v>
      </c>
      <c r="M593" s="254">
        <v>0</v>
      </c>
      <c r="N593" s="255">
        <f>+Reactivos_[[#This Row],[Valor de referencia]]*Reactivos_[[#This Row],[Cantidad LANIP]]</f>
        <v>0</v>
      </c>
      <c r="O593" s="256">
        <v>3</v>
      </c>
      <c r="P593" s="255">
        <f>+Reactivos_[[#This Row],[Cantidad 
LDV]]*Reactivos_[[#This Row],[Valor de referencia]]</f>
        <v>5208426</v>
      </c>
      <c r="Q593" s="257">
        <v>1</v>
      </c>
      <c r="R593" s="255">
        <f>+Reactivos_[[#This Row],[Cantidad LNDV]]*Reactivos_[[#This Row],[Valor de referencia]]</f>
        <v>1736142</v>
      </c>
      <c r="S593" s="148"/>
      <c r="T593" s="255">
        <f>+Reactivos_[[#This Row],[GGCA]]*Reactivos_[[#This Row],[Valor de referencia]]</f>
        <v>0</v>
      </c>
      <c r="U593" s="254"/>
      <c r="V593" s="255">
        <f>+Reactivos_[[#This Row],[Cantidad LDF]]*Reactivos_[[#This Row],[Valor de referencia]]</f>
        <v>0</v>
      </c>
      <c r="W593" s="254"/>
      <c r="X593" s="255">
        <f>+Reactivos_[[#This Row],[Cantidad LDF&amp;MR]]*Reactivos_[[#This Row],[Valor de referencia]]</f>
        <v>0</v>
      </c>
      <c r="Y593" s="254"/>
      <c r="Z593" s="255">
        <f>+Reactivos_[[#This Row],[Cantidad RED LASE]]*Reactivos_[[#This Row],[Valor de referencia]]</f>
        <v>0</v>
      </c>
      <c r="AA593" s="254"/>
      <c r="AB593" s="255">
        <f>+Reactivos_[[#This Row],[Cantidad LANIA]]*Reactivos_[[#This Row],[Valor de referencia]]</f>
        <v>0</v>
      </c>
      <c r="AC593" s="254"/>
      <c r="AD593" s="255">
        <f>+Reactivos_[[#This Row],[Cantidad SPA]]*Reactivos_[[#This Row],[Valor de referencia]]</f>
        <v>0</v>
      </c>
      <c r="AE593" s="148" t="s">
        <v>76</v>
      </c>
      <c r="AF593" s="148" t="s">
        <v>77</v>
      </c>
    </row>
    <row r="594" spans="1:32" ht="29.45" customHeight="1" x14ac:dyDescent="0.25">
      <c r="A594" s="294" t="str">
        <f>IF(B594=Reactivos_[[#This Row],[Cantidad LANIP]],"LANIP",IF(B594=Reactivos_[[#This Row],[Cantidad 
LDV]],"LDV",IF(B594=Reactivos_[[#This Row],[Cantidad LNDV]],"LNDV",IF(B594=Reactivos_[[#This Row],[GGCA]],"GGCA",IF(B594=Reactivos_[[#This Row],[Cantidad LDF]],"LDF",IF(Reactivos_[[#This Row],[Cantidad LDF&amp;MR]],"LDF&amp;MR",IF(B594=Reactivos_[[#This Row],[Cantidad RED LASE]],"LASE",IF(B594=Reactivos_[[#This Row],[Cantidad LANIA]],"LANIA",IF(B594=Reactivos_[[#This Row],[Cantidad SPA]],"SPA"," ")))))))))</f>
        <v>LDV</v>
      </c>
      <c r="B59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94" s="325">
        <v>592</v>
      </c>
      <c r="D594" s="326">
        <v>887</v>
      </c>
      <c r="E594" s="327" t="s">
        <v>1688</v>
      </c>
      <c r="F594" s="244"/>
      <c r="G594" s="327"/>
      <c r="H594" s="348" t="s">
        <v>1689</v>
      </c>
      <c r="I594" s="329" t="s">
        <v>1651</v>
      </c>
      <c r="J59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594" s="160">
        <v>2952804</v>
      </c>
      <c r="L594" s="160">
        <f>+Reactivos_[[#This Row],[Cantidad]]*Reactivos_[[#This Row],[Valor de referencia]]</f>
        <v>5905608</v>
      </c>
      <c r="M594" s="254">
        <v>0</v>
      </c>
      <c r="N594" s="255">
        <f>+Reactivos_[[#This Row],[Valor de referencia]]*Reactivos_[[#This Row],[Cantidad LANIP]]</f>
        <v>0</v>
      </c>
      <c r="O594" s="256">
        <v>1</v>
      </c>
      <c r="P594" s="255">
        <f>+Reactivos_[[#This Row],[Cantidad 
LDV]]*Reactivos_[[#This Row],[Valor de referencia]]</f>
        <v>2952804</v>
      </c>
      <c r="Q594" s="257">
        <v>1</v>
      </c>
      <c r="R594" s="255">
        <f>+Reactivos_[[#This Row],[Cantidad LNDV]]*Reactivos_[[#This Row],[Valor de referencia]]</f>
        <v>2952804</v>
      </c>
      <c r="S594" s="148"/>
      <c r="T594" s="255">
        <f>+Reactivos_[[#This Row],[GGCA]]*Reactivos_[[#This Row],[Valor de referencia]]</f>
        <v>0</v>
      </c>
      <c r="U594" s="254"/>
      <c r="V594" s="255">
        <f>+Reactivos_[[#This Row],[Cantidad LDF]]*Reactivos_[[#This Row],[Valor de referencia]]</f>
        <v>0</v>
      </c>
      <c r="W594" s="254"/>
      <c r="X594" s="255">
        <f>+Reactivos_[[#This Row],[Cantidad LDF&amp;MR]]*Reactivos_[[#This Row],[Valor de referencia]]</f>
        <v>0</v>
      </c>
      <c r="Y594" s="254"/>
      <c r="Z594" s="255">
        <f>+Reactivos_[[#This Row],[Cantidad RED LASE]]*Reactivos_[[#This Row],[Valor de referencia]]</f>
        <v>0</v>
      </c>
      <c r="AA594" s="254"/>
      <c r="AB594" s="255">
        <f>+Reactivos_[[#This Row],[Cantidad LANIA]]*Reactivos_[[#This Row],[Valor de referencia]]</f>
        <v>0</v>
      </c>
      <c r="AC594" s="254"/>
      <c r="AD594" s="255">
        <f>+Reactivos_[[#This Row],[Cantidad SPA]]*Reactivos_[[#This Row],[Valor de referencia]]</f>
        <v>0</v>
      </c>
      <c r="AE594" s="148" t="s">
        <v>76</v>
      </c>
      <c r="AF594" s="148" t="s">
        <v>77</v>
      </c>
    </row>
    <row r="595" spans="1:32" ht="29.45" customHeight="1" x14ac:dyDescent="0.25">
      <c r="A595" s="294" t="str">
        <f>IF(B595=Reactivos_[[#This Row],[Cantidad LANIP]],"LANIP",IF(B595=Reactivos_[[#This Row],[Cantidad 
LDV]],"LDV",IF(B595=Reactivos_[[#This Row],[Cantidad LNDV]],"LNDV",IF(B595=Reactivos_[[#This Row],[GGCA]],"GGCA",IF(B595=Reactivos_[[#This Row],[Cantidad LDF]],"LDF",IF(Reactivos_[[#This Row],[Cantidad LDF&amp;MR]],"LDF&amp;MR",IF(B595=Reactivos_[[#This Row],[Cantidad RED LASE]],"LASE",IF(B595=Reactivos_[[#This Row],[Cantidad LANIA]],"LANIA",IF(B595=Reactivos_[[#This Row],[Cantidad SPA]],"SPA"," ")))))))))</f>
        <v>LDV</v>
      </c>
      <c r="B59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595" s="325">
        <v>593</v>
      </c>
      <c r="D595" s="326">
        <v>888</v>
      </c>
      <c r="E595" s="331" t="s">
        <v>1690</v>
      </c>
      <c r="F595" s="332"/>
      <c r="G595" s="331"/>
      <c r="H595" s="348" t="s">
        <v>1691</v>
      </c>
      <c r="I595" s="329" t="s">
        <v>1692</v>
      </c>
      <c r="J59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37</v>
      </c>
      <c r="K595" s="160">
        <v>1184727</v>
      </c>
      <c r="L595" s="160">
        <f>+Reactivos_[[#This Row],[Cantidad]]*Reactivos_[[#This Row],[Valor de referencia]]</f>
        <v>43834899</v>
      </c>
      <c r="M595" s="254">
        <v>0</v>
      </c>
      <c r="N595" s="255">
        <f>+Reactivos_[[#This Row],[Valor de referencia]]*Reactivos_[[#This Row],[Cantidad LANIP]]</f>
        <v>0</v>
      </c>
      <c r="O595" s="256">
        <v>20</v>
      </c>
      <c r="P595" s="255">
        <f>+Reactivos_[[#This Row],[Cantidad 
LDV]]*Reactivos_[[#This Row],[Valor de referencia]]</f>
        <v>23694540</v>
      </c>
      <c r="Q595" s="257">
        <v>5</v>
      </c>
      <c r="R595" s="255">
        <f>+Reactivos_[[#This Row],[Cantidad LNDV]]*Reactivos_[[#This Row],[Valor de referencia]]</f>
        <v>5923635</v>
      </c>
      <c r="S595" s="148"/>
      <c r="T595" s="255">
        <f>+Reactivos_[[#This Row],[GGCA]]*Reactivos_[[#This Row],[Valor de referencia]]</f>
        <v>0</v>
      </c>
      <c r="U595" s="254">
        <v>12</v>
      </c>
      <c r="V595" s="255">
        <f>+Reactivos_[[#This Row],[Cantidad LDF]]*Reactivos_[[#This Row],[Valor de referencia]]</f>
        <v>14216724</v>
      </c>
      <c r="W595" s="254"/>
      <c r="X595" s="255">
        <f>+Reactivos_[[#This Row],[Cantidad LDF&amp;MR]]*Reactivos_[[#This Row],[Valor de referencia]]</f>
        <v>0</v>
      </c>
      <c r="Y595" s="254"/>
      <c r="Z595" s="255">
        <f>+Reactivos_[[#This Row],[Cantidad RED LASE]]*Reactivos_[[#This Row],[Valor de referencia]]</f>
        <v>0</v>
      </c>
      <c r="AA595" s="254"/>
      <c r="AB595" s="255">
        <f>+Reactivos_[[#This Row],[Cantidad LANIA]]*Reactivos_[[#This Row],[Valor de referencia]]</f>
        <v>0</v>
      </c>
      <c r="AC595" s="254"/>
      <c r="AD595" s="255">
        <f>+Reactivos_[[#This Row],[Cantidad SPA]]*Reactivos_[[#This Row],[Valor de referencia]]</f>
        <v>0</v>
      </c>
      <c r="AE595" s="148" t="s">
        <v>76</v>
      </c>
      <c r="AF595" s="148" t="s">
        <v>77</v>
      </c>
    </row>
    <row r="596" spans="1:32" ht="29.45" customHeight="1" x14ac:dyDescent="0.25">
      <c r="A596" s="294" t="str">
        <f>IF(B596=Reactivos_[[#This Row],[Cantidad LANIP]],"LANIP",IF(B596=Reactivos_[[#This Row],[Cantidad 
LDV]],"LDV",IF(B596=Reactivos_[[#This Row],[Cantidad LNDV]],"LNDV",IF(B596=Reactivos_[[#This Row],[GGCA]],"GGCA",IF(B596=Reactivos_[[#This Row],[Cantidad LDF]],"LDF",IF(Reactivos_[[#This Row],[Cantidad LDF&amp;MR]],"LDF&amp;MR",IF(B596=Reactivos_[[#This Row],[Cantidad RED LASE]],"LASE",IF(B596=Reactivos_[[#This Row],[Cantidad LANIA]],"LANIA",IF(B596=Reactivos_[[#This Row],[Cantidad SPA]],"SPA"," ")))))))))</f>
        <v>LDV</v>
      </c>
      <c r="B59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596" s="325">
        <v>594</v>
      </c>
      <c r="D596" s="326">
        <v>889</v>
      </c>
      <c r="E596" s="331" t="s">
        <v>1693</v>
      </c>
      <c r="F596" s="332"/>
      <c r="G596" s="331"/>
      <c r="H596" s="348" t="s">
        <v>1694</v>
      </c>
      <c r="I596" s="329" t="s">
        <v>1695</v>
      </c>
      <c r="J59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596" s="160">
        <v>3791314</v>
      </c>
      <c r="L596" s="160">
        <f>+Reactivos_[[#This Row],[Cantidad]]*Reactivos_[[#This Row],[Valor de referencia]]</f>
        <v>60661024</v>
      </c>
      <c r="M596" s="254">
        <v>0</v>
      </c>
      <c r="N596" s="255">
        <f>+Reactivos_[[#This Row],[Valor de referencia]]*Reactivos_[[#This Row],[Cantidad LANIP]]</f>
        <v>0</v>
      </c>
      <c r="O596" s="256">
        <v>10</v>
      </c>
      <c r="P596" s="255">
        <f>+Reactivos_[[#This Row],[Cantidad 
LDV]]*Reactivos_[[#This Row],[Valor de referencia]]</f>
        <v>37913140</v>
      </c>
      <c r="Q596" s="257">
        <v>1</v>
      </c>
      <c r="R596" s="255">
        <f>+Reactivos_[[#This Row],[Cantidad LNDV]]*Reactivos_[[#This Row],[Valor de referencia]]</f>
        <v>3791314</v>
      </c>
      <c r="S596" s="148"/>
      <c r="T596" s="255">
        <f>+Reactivos_[[#This Row],[GGCA]]*Reactivos_[[#This Row],[Valor de referencia]]</f>
        <v>0</v>
      </c>
      <c r="U596" s="254">
        <v>5</v>
      </c>
      <c r="V596" s="255">
        <f>+Reactivos_[[#This Row],[Cantidad LDF]]*Reactivos_[[#This Row],[Valor de referencia]]</f>
        <v>18956570</v>
      </c>
      <c r="W596" s="254"/>
      <c r="X596" s="255">
        <f>+Reactivos_[[#This Row],[Cantidad LDF&amp;MR]]*Reactivos_[[#This Row],[Valor de referencia]]</f>
        <v>0</v>
      </c>
      <c r="Y596" s="254"/>
      <c r="Z596" s="255">
        <f>+Reactivos_[[#This Row],[Cantidad RED LASE]]*Reactivos_[[#This Row],[Valor de referencia]]</f>
        <v>0</v>
      </c>
      <c r="AA596" s="254"/>
      <c r="AB596" s="255">
        <f>+Reactivos_[[#This Row],[Cantidad LANIA]]*Reactivos_[[#This Row],[Valor de referencia]]</f>
        <v>0</v>
      </c>
      <c r="AC596" s="254"/>
      <c r="AD596" s="255">
        <f>+Reactivos_[[#This Row],[Cantidad SPA]]*Reactivos_[[#This Row],[Valor de referencia]]</f>
        <v>0</v>
      </c>
      <c r="AE596" s="148" t="s">
        <v>76</v>
      </c>
      <c r="AF596" s="148" t="s">
        <v>77</v>
      </c>
    </row>
    <row r="597" spans="1:32" ht="69.75" customHeight="1" x14ac:dyDescent="0.25">
      <c r="A597" s="294" t="str">
        <f>IF(B597=Reactivos_[[#This Row],[Cantidad LANIP]],"LANIP",IF(B597=Reactivos_[[#This Row],[Cantidad 
LDV]],"LDV",IF(B597=Reactivos_[[#This Row],[Cantidad LNDV]],"LNDV",IF(B597=Reactivos_[[#This Row],[GGCA]],"GGCA",IF(B597=Reactivos_[[#This Row],[Cantidad LDF]],"LDF",IF(Reactivos_[[#This Row],[Cantidad LDF&amp;MR]],"LDF&amp;MR",IF(B597=Reactivos_[[#This Row],[Cantidad RED LASE]],"LASE",IF(B597=Reactivos_[[#This Row],[Cantidad LANIA]],"LANIA",IF(B597=Reactivos_[[#This Row],[Cantidad SPA]],"SPA"," ")))))))))</f>
        <v>LDF&amp;MR</v>
      </c>
      <c r="B59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597" s="325">
        <v>595</v>
      </c>
      <c r="D597" s="326">
        <v>890</v>
      </c>
      <c r="E597" s="245" t="s">
        <v>1696</v>
      </c>
      <c r="F597" s="244"/>
      <c r="G597" s="245"/>
      <c r="H597" s="349" t="s">
        <v>1697</v>
      </c>
      <c r="I597" s="336" t="s">
        <v>1698</v>
      </c>
      <c r="J59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9</v>
      </c>
      <c r="K597" s="160">
        <v>1548792</v>
      </c>
      <c r="L597" s="160">
        <f>+Reactivos_[[#This Row],[Cantidad]]*Reactivos_[[#This Row],[Valor de referencia]]</f>
        <v>13939128</v>
      </c>
      <c r="M597" s="254">
        <v>0</v>
      </c>
      <c r="N597" s="255">
        <f>+Reactivos_[[#This Row],[Valor de referencia]]*Reactivos_[[#This Row],[Cantidad LANIP]]</f>
        <v>0</v>
      </c>
      <c r="O597" s="256"/>
      <c r="P597" s="255">
        <f>+Reactivos_[[#This Row],[Cantidad 
LDV]]*Reactivos_[[#This Row],[Valor de referencia]]</f>
        <v>0</v>
      </c>
      <c r="Q597" s="257">
        <v>1</v>
      </c>
      <c r="R597" s="255">
        <f>+Reactivos_[[#This Row],[Cantidad LNDV]]*Reactivos_[[#This Row],[Valor de referencia]]</f>
        <v>1548792</v>
      </c>
      <c r="S597" s="148"/>
      <c r="T597" s="255">
        <f>+Reactivos_[[#This Row],[GGCA]]*Reactivos_[[#This Row],[Valor de referencia]]</f>
        <v>0</v>
      </c>
      <c r="U597" s="254">
        <v>3</v>
      </c>
      <c r="V597" s="255">
        <f>+Reactivos_[[#This Row],[Cantidad LDF]]*Reactivos_[[#This Row],[Valor de referencia]]</f>
        <v>4646376</v>
      </c>
      <c r="W597" s="254">
        <v>5</v>
      </c>
      <c r="X597" s="255">
        <f>+Reactivos_[[#This Row],[Cantidad LDF&amp;MR]]*Reactivos_[[#This Row],[Valor de referencia]]</f>
        <v>7743960</v>
      </c>
      <c r="Y597" s="254"/>
      <c r="Z597" s="255">
        <f>+Reactivos_[[#This Row],[Cantidad RED LASE]]*Reactivos_[[#This Row],[Valor de referencia]]</f>
        <v>0</v>
      </c>
      <c r="AA597" s="254"/>
      <c r="AB597" s="255">
        <f>+Reactivos_[[#This Row],[Cantidad LANIA]]*Reactivos_[[#This Row],[Valor de referencia]]</f>
        <v>0</v>
      </c>
      <c r="AC597" s="254"/>
      <c r="AD597" s="255">
        <f>+Reactivos_[[#This Row],[Cantidad SPA]]*Reactivos_[[#This Row],[Valor de referencia]]</f>
        <v>0</v>
      </c>
      <c r="AE597" s="148" t="s">
        <v>76</v>
      </c>
      <c r="AF597" s="148" t="s">
        <v>77</v>
      </c>
    </row>
    <row r="598" spans="1:32" ht="47.25" customHeight="1" x14ac:dyDescent="0.25">
      <c r="A598" s="294" t="str">
        <f>IF(B598=Reactivos_[[#This Row],[Cantidad LANIP]],"LANIP",IF(B598=Reactivos_[[#This Row],[Cantidad 
LDV]],"LDV",IF(B598=Reactivos_[[#This Row],[Cantidad LNDV]],"LNDV",IF(B598=Reactivos_[[#This Row],[GGCA]],"GGCA",IF(B598=Reactivos_[[#This Row],[Cantidad LDF]],"LDF",IF(Reactivos_[[#This Row],[Cantidad LDF&amp;MR]],"LDF&amp;MR",IF(B598=Reactivos_[[#This Row],[Cantidad RED LASE]],"LASE",IF(B598=Reactivos_[[#This Row],[Cantidad LANIA]],"LANIA",IF(B598=Reactivos_[[#This Row],[Cantidad SPA]],"SPA"," ")))))))))</f>
        <v>LDF&amp;MR</v>
      </c>
      <c r="B59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598" s="325">
        <v>596</v>
      </c>
      <c r="D598" s="326">
        <v>891</v>
      </c>
      <c r="E598" s="245" t="s">
        <v>1699</v>
      </c>
      <c r="F598" s="244"/>
      <c r="G598" s="245"/>
      <c r="H598" s="348" t="s">
        <v>1700</v>
      </c>
      <c r="I598" s="336" t="s">
        <v>1701</v>
      </c>
      <c r="J59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K598" s="160">
        <v>353997</v>
      </c>
      <c r="L598" s="160">
        <f>+Reactivos_[[#This Row],[Cantidad]]*Reactivos_[[#This Row],[Valor de referencia]]</f>
        <v>4247964</v>
      </c>
      <c r="M598" s="254">
        <v>0</v>
      </c>
      <c r="N598" s="255">
        <f>+Reactivos_[[#This Row],[Valor de referencia]]*Reactivos_[[#This Row],[Cantidad LANIP]]</f>
        <v>0</v>
      </c>
      <c r="O598" s="256"/>
      <c r="P598" s="255">
        <f>+Reactivos_[[#This Row],[Cantidad 
LDV]]*Reactivos_[[#This Row],[Valor de referencia]]</f>
        <v>0</v>
      </c>
      <c r="Q598" s="257"/>
      <c r="R598" s="255">
        <f>+Reactivos_[[#This Row],[Cantidad LNDV]]*Reactivos_[[#This Row],[Valor de referencia]]</f>
        <v>0</v>
      </c>
      <c r="S598" s="148"/>
      <c r="T598" s="255">
        <f>+Reactivos_[[#This Row],[GGCA]]*Reactivos_[[#This Row],[Valor de referencia]]</f>
        <v>0</v>
      </c>
      <c r="U598" s="254">
        <v>4</v>
      </c>
      <c r="V598" s="255">
        <f>+Reactivos_[[#This Row],[Cantidad LDF]]*Reactivos_[[#This Row],[Valor de referencia]]</f>
        <v>1415988</v>
      </c>
      <c r="W598" s="254">
        <v>8</v>
      </c>
      <c r="X598" s="255">
        <f>+Reactivos_[[#This Row],[Cantidad LDF&amp;MR]]*Reactivos_[[#This Row],[Valor de referencia]]</f>
        <v>2831976</v>
      </c>
      <c r="Y598" s="254"/>
      <c r="Z598" s="255">
        <f>+Reactivos_[[#This Row],[Cantidad RED LASE]]*Reactivos_[[#This Row],[Valor de referencia]]</f>
        <v>0</v>
      </c>
      <c r="AA598" s="254"/>
      <c r="AB598" s="255">
        <f>+Reactivos_[[#This Row],[Cantidad LANIA]]*Reactivos_[[#This Row],[Valor de referencia]]</f>
        <v>0</v>
      </c>
      <c r="AC598" s="254"/>
      <c r="AD598" s="255">
        <f>+Reactivos_[[#This Row],[Cantidad SPA]]*Reactivos_[[#This Row],[Valor de referencia]]</f>
        <v>0</v>
      </c>
      <c r="AE598" s="148" t="s">
        <v>76</v>
      </c>
      <c r="AF598" s="148" t="s">
        <v>77</v>
      </c>
    </row>
    <row r="599" spans="1:32" ht="29.45" customHeight="1" x14ac:dyDescent="0.25">
      <c r="A599" s="294" t="str">
        <f>IF(B599=Reactivos_[[#This Row],[Cantidad LANIP]],"LANIP",IF(B599=Reactivos_[[#This Row],[Cantidad 
LDV]],"LDV",IF(B599=Reactivos_[[#This Row],[Cantidad LNDV]],"LNDV",IF(B599=Reactivos_[[#This Row],[GGCA]],"GGCA",IF(B599=Reactivos_[[#This Row],[Cantidad LDF]],"LDF",IF(Reactivos_[[#This Row],[Cantidad LDF&amp;MR]],"LDF&amp;MR",IF(B599=Reactivos_[[#This Row],[Cantidad RED LASE]],"LASE",IF(B599=Reactivos_[[#This Row],[Cantidad LANIA]],"LANIA",IF(B599=Reactivos_[[#This Row],[Cantidad SPA]],"SPA"," ")))))))))</f>
        <v>LANIP</v>
      </c>
      <c r="B59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599" s="325">
        <v>597</v>
      </c>
      <c r="D599" s="326">
        <v>892</v>
      </c>
      <c r="E599" s="245" t="s">
        <v>1702</v>
      </c>
      <c r="F599" s="244" t="s">
        <v>1703</v>
      </c>
      <c r="G599" s="245" t="s">
        <v>1704</v>
      </c>
      <c r="H599" s="335"/>
      <c r="I599" s="336" t="s">
        <v>1705</v>
      </c>
      <c r="J59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599" s="160">
        <v>875245</v>
      </c>
      <c r="L599" s="160">
        <f>+Reactivos_[[#This Row],[Cantidad]]*Reactivos_[[#This Row],[Valor de referencia]]</f>
        <v>875245</v>
      </c>
      <c r="M599" s="254">
        <v>1</v>
      </c>
      <c r="N599" s="255">
        <f>+Reactivos_[[#This Row],[Valor de referencia]]*Reactivos_[[#This Row],[Cantidad LANIP]]</f>
        <v>875245</v>
      </c>
      <c r="O599" s="256"/>
      <c r="P599" s="255">
        <f>+Reactivos_[[#This Row],[Cantidad 
LDV]]*Reactivos_[[#This Row],[Valor de referencia]]</f>
        <v>0</v>
      </c>
      <c r="Q599" s="257"/>
      <c r="R599" s="255">
        <f>+Reactivos_[[#This Row],[Cantidad LNDV]]*Reactivos_[[#This Row],[Valor de referencia]]</f>
        <v>0</v>
      </c>
      <c r="S599" s="148"/>
      <c r="T599" s="255">
        <f>+Reactivos_[[#This Row],[GGCA]]*Reactivos_[[#This Row],[Valor de referencia]]</f>
        <v>0</v>
      </c>
      <c r="U599" s="254"/>
      <c r="V599" s="255">
        <f>+Reactivos_[[#This Row],[Cantidad LDF]]*Reactivos_[[#This Row],[Valor de referencia]]</f>
        <v>0</v>
      </c>
      <c r="W599" s="254"/>
      <c r="X599" s="255">
        <f>+Reactivos_[[#This Row],[Cantidad LDF&amp;MR]]*Reactivos_[[#This Row],[Valor de referencia]]</f>
        <v>0</v>
      </c>
      <c r="Y599" s="254"/>
      <c r="Z599" s="255">
        <f>+Reactivos_[[#This Row],[Cantidad RED LASE]]*Reactivos_[[#This Row],[Valor de referencia]]</f>
        <v>0</v>
      </c>
      <c r="AA599" s="254"/>
      <c r="AB599" s="255">
        <f>+Reactivos_[[#This Row],[Cantidad LANIA]]*Reactivos_[[#This Row],[Valor de referencia]]</f>
        <v>0</v>
      </c>
      <c r="AC599" s="254"/>
      <c r="AD599" s="255">
        <f>+Reactivos_[[#This Row],[Cantidad SPA]]*Reactivos_[[#This Row],[Valor de referencia]]</f>
        <v>0</v>
      </c>
      <c r="AE599" s="148" t="s">
        <v>76</v>
      </c>
      <c r="AF599" s="148" t="s">
        <v>77</v>
      </c>
    </row>
    <row r="600" spans="1:32" ht="29.45" customHeight="1" x14ac:dyDescent="0.25">
      <c r="A600" s="294" t="str">
        <f>IF(B600=Reactivos_[[#This Row],[Cantidad LANIP]],"LANIP",IF(B600=Reactivos_[[#This Row],[Cantidad 
LDV]],"LDV",IF(B600=Reactivos_[[#This Row],[Cantidad LNDV]],"LNDV",IF(B600=Reactivos_[[#This Row],[GGCA]],"GGCA",IF(B600=Reactivos_[[#This Row],[Cantidad LDF]],"LDF",IF(Reactivos_[[#This Row],[Cantidad LDF&amp;MR]],"LDF&amp;MR",IF(B600=Reactivos_[[#This Row],[Cantidad RED LASE]],"LASE",IF(B600=Reactivos_[[#This Row],[Cantidad LANIA]],"LANIA",IF(B600=Reactivos_[[#This Row],[Cantidad SPA]],"SPA"," ")))))))))</f>
        <v>LNDV</v>
      </c>
      <c r="B60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00" s="325">
        <v>598</v>
      </c>
      <c r="D600" s="326">
        <v>893</v>
      </c>
      <c r="E600" s="245" t="s">
        <v>1706</v>
      </c>
      <c r="F600" s="244" t="s">
        <v>1707</v>
      </c>
      <c r="G600" s="245"/>
      <c r="H600" s="346" t="s">
        <v>1708</v>
      </c>
      <c r="I600" s="336" t="s">
        <v>1709</v>
      </c>
      <c r="J60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00" s="160">
        <v>460292</v>
      </c>
      <c r="L600" s="160">
        <f>+Reactivos_[[#This Row],[Cantidad]]*Reactivos_[[#This Row],[Valor de referencia]]</f>
        <v>460292</v>
      </c>
      <c r="M600" s="254">
        <v>0</v>
      </c>
      <c r="N600" s="255">
        <f>+Reactivos_[[#This Row],[Valor de referencia]]*Reactivos_[[#This Row],[Cantidad LANIP]]</f>
        <v>0</v>
      </c>
      <c r="O600" s="256"/>
      <c r="P600" s="255">
        <f>+Reactivos_[[#This Row],[Cantidad 
LDV]]*Reactivos_[[#This Row],[Valor de referencia]]</f>
        <v>0</v>
      </c>
      <c r="Q600" s="257">
        <v>1</v>
      </c>
      <c r="R600" s="255">
        <f>+Reactivos_[[#This Row],[Cantidad LNDV]]*Reactivos_[[#This Row],[Valor de referencia]]</f>
        <v>460292</v>
      </c>
      <c r="S600" s="148"/>
      <c r="T600" s="255">
        <f>+Reactivos_[[#This Row],[GGCA]]*Reactivos_[[#This Row],[Valor de referencia]]</f>
        <v>0</v>
      </c>
      <c r="U600" s="254"/>
      <c r="V600" s="255">
        <f>+Reactivos_[[#This Row],[Cantidad LDF]]*Reactivos_[[#This Row],[Valor de referencia]]</f>
        <v>0</v>
      </c>
      <c r="W600" s="254"/>
      <c r="X600" s="255">
        <f>+Reactivos_[[#This Row],[Cantidad LDF&amp;MR]]*Reactivos_[[#This Row],[Valor de referencia]]</f>
        <v>0</v>
      </c>
      <c r="Y600" s="254"/>
      <c r="Z600" s="255">
        <f>+Reactivos_[[#This Row],[Cantidad RED LASE]]*Reactivos_[[#This Row],[Valor de referencia]]</f>
        <v>0</v>
      </c>
      <c r="AA600" s="254"/>
      <c r="AB600" s="255">
        <f>+Reactivos_[[#This Row],[Cantidad LANIA]]*Reactivos_[[#This Row],[Valor de referencia]]</f>
        <v>0</v>
      </c>
      <c r="AC600" s="254"/>
      <c r="AD600" s="255">
        <f>+Reactivos_[[#This Row],[Cantidad SPA]]*Reactivos_[[#This Row],[Valor de referencia]]</f>
        <v>0</v>
      </c>
      <c r="AE600" s="148" t="s">
        <v>76</v>
      </c>
      <c r="AF600" s="148" t="s">
        <v>77</v>
      </c>
    </row>
    <row r="601" spans="1:32" ht="29.45" customHeight="1" x14ac:dyDescent="0.25">
      <c r="A601" s="294" t="str">
        <f>IF(B601=Reactivos_[[#This Row],[Cantidad LANIP]],"LANIP",IF(B601=Reactivos_[[#This Row],[Cantidad 
LDV]],"LDV",IF(B601=Reactivos_[[#This Row],[Cantidad LNDV]],"LNDV",IF(B601=Reactivos_[[#This Row],[GGCA]],"GGCA",IF(B601=Reactivos_[[#This Row],[Cantidad LDF]],"LDF",IF(Reactivos_[[#This Row],[Cantidad LDF&amp;MR]],"LDF&amp;MR",IF(B601=Reactivos_[[#This Row],[Cantidad RED LASE]],"LASE",IF(B601=Reactivos_[[#This Row],[Cantidad LANIA]],"LANIA",IF(B601=Reactivos_[[#This Row],[Cantidad SPA]],"SPA"," ")))))))))</f>
        <v>LANIP</v>
      </c>
      <c r="B60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601" s="325">
        <v>599</v>
      </c>
      <c r="D601" s="326">
        <v>894</v>
      </c>
      <c r="E601" s="331" t="s">
        <v>1710</v>
      </c>
      <c r="F601" s="332" t="s">
        <v>1711</v>
      </c>
      <c r="G601" s="331" t="s">
        <v>1712</v>
      </c>
      <c r="H601" s="348" t="s">
        <v>1713</v>
      </c>
      <c r="I601" s="329" t="s">
        <v>201</v>
      </c>
      <c r="J60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601" s="160">
        <v>939815</v>
      </c>
      <c r="L601" s="160">
        <f>+Reactivos_[[#This Row],[Cantidad]]*Reactivos_[[#This Row],[Valor de referencia]]</f>
        <v>5638890</v>
      </c>
      <c r="M601" s="254">
        <v>3</v>
      </c>
      <c r="N601" s="255">
        <f>+Reactivos_[[#This Row],[Valor de referencia]]*Reactivos_[[#This Row],[Cantidad LANIP]]</f>
        <v>2819445</v>
      </c>
      <c r="O601" s="256">
        <v>2</v>
      </c>
      <c r="P601" s="255">
        <f>+Reactivos_[[#This Row],[Cantidad 
LDV]]*Reactivos_[[#This Row],[Valor de referencia]]</f>
        <v>1879630</v>
      </c>
      <c r="Q601" s="257">
        <v>1</v>
      </c>
      <c r="R601" s="255">
        <f>+Reactivos_[[#This Row],[Cantidad LNDV]]*Reactivos_[[#This Row],[Valor de referencia]]</f>
        <v>939815</v>
      </c>
      <c r="S601" s="148"/>
      <c r="T601" s="255">
        <f>+Reactivos_[[#This Row],[GGCA]]*Reactivos_[[#This Row],[Valor de referencia]]</f>
        <v>0</v>
      </c>
      <c r="U601" s="254"/>
      <c r="V601" s="255">
        <f>+Reactivos_[[#This Row],[Cantidad LDF]]*Reactivos_[[#This Row],[Valor de referencia]]</f>
        <v>0</v>
      </c>
      <c r="W601" s="254"/>
      <c r="X601" s="255">
        <f>+Reactivos_[[#This Row],[Cantidad LDF&amp;MR]]*Reactivos_[[#This Row],[Valor de referencia]]</f>
        <v>0</v>
      </c>
      <c r="Y601" s="254"/>
      <c r="Z601" s="255">
        <f>+Reactivos_[[#This Row],[Cantidad RED LASE]]*Reactivos_[[#This Row],[Valor de referencia]]</f>
        <v>0</v>
      </c>
      <c r="AA601" s="254"/>
      <c r="AB601" s="255">
        <f>+Reactivos_[[#This Row],[Cantidad LANIA]]*Reactivos_[[#This Row],[Valor de referencia]]</f>
        <v>0</v>
      </c>
      <c r="AC601" s="254"/>
      <c r="AD601" s="255">
        <f>+Reactivos_[[#This Row],[Cantidad SPA]]*Reactivos_[[#This Row],[Valor de referencia]]</f>
        <v>0</v>
      </c>
      <c r="AE601" s="148" t="s">
        <v>76</v>
      </c>
      <c r="AF601" s="148" t="s">
        <v>77</v>
      </c>
    </row>
    <row r="602" spans="1:32" ht="29.45" customHeight="1" x14ac:dyDescent="0.25">
      <c r="A602" s="294" t="str">
        <f>IF(B602=Reactivos_[[#This Row],[Cantidad LANIP]],"LANIP",IF(B602=Reactivos_[[#This Row],[Cantidad 
LDV]],"LDV",IF(B602=Reactivos_[[#This Row],[Cantidad LNDV]],"LNDV",IF(B602=Reactivos_[[#This Row],[GGCA]],"GGCA",IF(B602=Reactivos_[[#This Row],[Cantidad LDF]],"LDF",IF(Reactivos_[[#This Row],[Cantidad LDF&amp;MR]],"LDF&amp;MR",IF(B602=Reactivos_[[#This Row],[Cantidad RED LASE]],"LASE",IF(B602=Reactivos_[[#This Row],[Cantidad LANIA]],"LANIA",IF(B602=Reactivos_[[#This Row],[Cantidad SPA]],"SPA"," ")))))))))</f>
        <v>LDV</v>
      </c>
      <c r="B60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602" s="325">
        <v>600</v>
      </c>
      <c r="D602" s="326">
        <v>897</v>
      </c>
      <c r="E602" s="331" t="s">
        <v>1714</v>
      </c>
      <c r="F602" s="332"/>
      <c r="G602" s="331"/>
      <c r="H602" s="348" t="s">
        <v>1715</v>
      </c>
      <c r="I602" s="329" t="s">
        <v>201</v>
      </c>
      <c r="J60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602" s="160">
        <v>942603</v>
      </c>
      <c r="L602" s="160">
        <f>+Reactivos_[[#This Row],[Cantidad]]*Reactivos_[[#This Row],[Valor de referencia]]</f>
        <v>3770412</v>
      </c>
      <c r="M602" s="254">
        <v>0</v>
      </c>
      <c r="N602" s="255">
        <f>+Reactivos_[[#This Row],[Valor de referencia]]*Reactivos_[[#This Row],[Cantidad LANIP]]</f>
        <v>0</v>
      </c>
      <c r="O602" s="256">
        <v>4</v>
      </c>
      <c r="P602" s="255">
        <f>+Reactivos_[[#This Row],[Cantidad 
LDV]]*Reactivos_[[#This Row],[Valor de referencia]]</f>
        <v>3770412</v>
      </c>
      <c r="Q602" s="257"/>
      <c r="R602" s="255">
        <f>+Reactivos_[[#This Row],[Cantidad LNDV]]*Reactivos_[[#This Row],[Valor de referencia]]</f>
        <v>0</v>
      </c>
      <c r="S602" s="148"/>
      <c r="T602" s="255">
        <f>+Reactivos_[[#This Row],[GGCA]]*Reactivos_[[#This Row],[Valor de referencia]]</f>
        <v>0</v>
      </c>
      <c r="U602" s="254"/>
      <c r="V602" s="255">
        <f>+Reactivos_[[#This Row],[Cantidad LDF]]*Reactivos_[[#This Row],[Valor de referencia]]</f>
        <v>0</v>
      </c>
      <c r="W602" s="254"/>
      <c r="X602" s="255">
        <f>+Reactivos_[[#This Row],[Cantidad LDF&amp;MR]]*Reactivos_[[#This Row],[Valor de referencia]]</f>
        <v>0</v>
      </c>
      <c r="Y602" s="254"/>
      <c r="Z602" s="255">
        <f>+Reactivos_[[#This Row],[Cantidad RED LASE]]*Reactivos_[[#This Row],[Valor de referencia]]</f>
        <v>0</v>
      </c>
      <c r="AA602" s="254"/>
      <c r="AB602" s="255">
        <f>+Reactivos_[[#This Row],[Cantidad LANIA]]*Reactivos_[[#This Row],[Valor de referencia]]</f>
        <v>0</v>
      </c>
      <c r="AC602" s="254"/>
      <c r="AD602" s="255">
        <f>+Reactivos_[[#This Row],[Cantidad SPA]]*Reactivos_[[#This Row],[Valor de referencia]]</f>
        <v>0</v>
      </c>
      <c r="AE602" s="148" t="s">
        <v>76</v>
      </c>
      <c r="AF602" s="148" t="s">
        <v>77</v>
      </c>
    </row>
    <row r="603" spans="1:32" ht="50.25" customHeight="1" x14ac:dyDescent="0.25">
      <c r="A603" s="294" t="s">
        <v>733</v>
      </c>
      <c r="B60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03" s="325">
        <v>601</v>
      </c>
      <c r="D603" s="326">
        <v>899</v>
      </c>
      <c r="E603" s="331" t="s">
        <v>1716</v>
      </c>
      <c r="F603" s="332"/>
      <c r="G603" s="331"/>
      <c r="H603" s="342" t="s">
        <v>1717</v>
      </c>
      <c r="I603" s="329" t="s">
        <v>596</v>
      </c>
      <c r="J60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603" s="160">
        <v>919145</v>
      </c>
      <c r="L603" s="160">
        <f>+Reactivos_[[#This Row],[Cantidad]]*Reactivos_[[#This Row],[Valor de referencia]]</f>
        <v>3676580</v>
      </c>
      <c r="M603" s="254">
        <v>2</v>
      </c>
      <c r="N603" s="255">
        <f>+Reactivos_[[#This Row],[Valor de referencia]]*Reactivos_[[#This Row],[Cantidad LANIP]]</f>
        <v>1838290</v>
      </c>
      <c r="O603" s="256"/>
      <c r="P603" s="255">
        <f>+Reactivos_[[#This Row],[Cantidad 
LDV]]*Reactivos_[[#This Row],[Valor de referencia]]</f>
        <v>0</v>
      </c>
      <c r="Q603" s="257">
        <v>1</v>
      </c>
      <c r="R603" s="255">
        <f>+Reactivos_[[#This Row],[Cantidad LNDV]]*Reactivos_[[#This Row],[Valor de referencia]]</f>
        <v>919145</v>
      </c>
      <c r="S603" s="148"/>
      <c r="T603" s="255">
        <f>+Reactivos_[[#This Row],[GGCA]]*Reactivos_[[#This Row],[Valor de referencia]]</f>
        <v>0</v>
      </c>
      <c r="U603" s="254"/>
      <c r="V603" s="255">
        <f>+Reactivos_[[#This Row],[Cantidad LDF]]*Reactivos_[[#This Row],[Valor de referencia]]</f>
        <v>0</v>
      </c>
      <c r="W603" s="254"/>
      <c r="X603" s="255">
        <f>+Reactivos_[[#This Row],[Cantidad LDF&amp;MR]]*Reactivos_[[#This Row],[Valor de referencia]]</f>
        <v>0</v>
      </c>
      <c r="Y603" s="254"/>
      <c r="Z603" s="255">
        <f>+Reactivos_[[#This Row],[Cantidad RED LASE]]*Reactivos_[[#This Row],[Valor de referencia]]</f>
        <v>0</v>
      </c>
      <c r="AA603" s="254">
        <v>1</v>
      </c>
      <c r="AB603" s="255">
        <f>+Reactivos_[[#This Row],[Cantidad LANIA]]*Reactivos_[[#This Row],[Valor de referencia]]</f>
        <v>919145</v>
      </c>
      <c r="AC603" s="254"/>
      <c r="AD603" s="255">
        <f>+Reactivos_[[#This Row],[Cantidad SPA]]*Reactivos_[[#This Row],[Valor de referencia]]</f>
        <v>0</v>
      </c>
      <c r="AE603" s="148" t="s">
        <v>76</v>
      </c>
      <c r="AF603" s="148" t="s">
        <v>77</v>
      </c>
    </row>
    <row r="604" spans="1:32" ht="29.45" customHeight="1" x14ac:dyDescent="0.25">
      <c r="A604" s="294" t="str">
        <f>IF(B604=Reactivos_[[#This Row],[Cantidad LANIP]],"LANIP",IF(B604=Reactivos_[[#This Row],[Cantidad 
LDV]],"LDV",IF(B604=Reactivos_[[#This Row],[Cantidad LNDV]],"LNDV",IF(B604=Reactivos_[[#This Row],[GGCA]],"GGCA",IF(B604=Reactivos_[[#This Row],[Cantidad LDF]],"LDF",IF(Reactivos_[[#This Row],[Cantidad LDF&amp;MR]],"LDF&amp;MR",IF(B604=Reactivos_[[#This Row],[Cantidad RED LASE]],"LASE",IF(B604=Reactivos_[[#This Row],[Cantidad LANIA]],"LANIA",IF(B604=Reactivos_[[#This Row],[Cantidad SPA]],"SPA"," ")))))))))</f>
        <v>LNDV</v>
      </c>
      <c r="B60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04" s="325">
        <v>602</v>
      </c>
      <c r="D604" s="326">
        <v>900</v>
      </c>
      <c r="E604" s="331" t="s">
        <v>1718</v>
      </c>
      <c r="F604" s="332"/>
      <c r="G604" s="331"/>
      <c r="H604" s="348" t="s">
        <v>1719</v>
      </c>
      <c r="I604" s="329" t="s">
        <v>596</v>
      </c>
      <c r="J60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04" s="160">
        <v>607041</v>
      </c>
      <c r="L604" s="160">
        <f>+Reactivos_[[#This Row],[Cantidad]]*Reactivos_[[#This Row],[Valor de referencia]]</f>
        <v>607041</v>
      </c>
      <c r="M604" s="254">
        <v>0</v>
      </c>
      <c r="N604" s="255">
        <f>+Reactivos_[[#This Row],[Valor de referencia]]*Reactivos_[[#This Row],[Cantidad LANIP]]</f>
        <v>0</v>
      </c>
      <c r="O604" s="256"/>
      <c r="P604" s="255">
        <f>+Reactivos_[[#This Row],[Cantidad 
LDV]]*Reactivos_[[#This Row],[Valor de referencia]]</f>
        <v>0</v>
      </c>
      <c r="Q604" s="257">
        <v>1</v>
      </c>
      <c r="R604" s="255">
        <f>+Reactivos_[[#This Row],[Cantidad LNDV]]*Reactivos_[[#This Row],[Valor de referencia]]</f>
        <v>607041</v>
      </c>
      <c r="S604" s="148"/>
      <c r="T604" s="255">
        <f>+Reactivos_[[#This Row],[GGCA]]*Reactivos_[[#This Row],[Valor de referencia]]</f>
        <v>0</v>
      </c>
      <c r="U604" s="254"/>
      <c r="V604" s="255">
        <f>+Reactivos_[[#This Row],[Cantidad LDF]]*Reactivos_[[#This Row],[Valor de referencia]]</f>
        <v>0</v>
      </c>
      <c r="W604" s="254"/>
      <c r="X604" s="255">
        <f>+Reactivos_[[#This Row],[Cantidad LDF&amp;MR]]*Reactivos_[[#This Row],[Valor de referencia]]</f>
        <v>0</v>
      </c>
      <c r="Y604" s="254"/>
      <c r="Z604" s="255">
        <f>+Reactivos_[[#This Row],[Cantidad RED LASE]]*Reactivos_[[#This Row],[Valor de referencia]]</f>
        <v>0</v>
      </c>
      <c r="AA604" s="254"/>
      <c r="AB604" s="255">
        <f>+Reactivos_[[#This Row],[Cantidad LANIA]]*Reactivos_[[#This Row],[Valor de referencia]]</f>
        <v>0</v>
      </c>
      <c r="AC604" s="254"/>
      <c r="AD604" s="255">
        <f>+Reactivos_[[#This Row],[Cantidad SPA]]*Reactivos_[[#This Row],[Valor de referencia]]</f>
        <v>0</v>
      </c>
      <c r="AE604" s="148" t="s">
        <v>76</v>
      </c>
      <c r="AF604" s="148" t="s">
        <v>77</v>
      </c>
    </row>
    <row r="605" spans="1:32" ht="29.45" customHeight="1" x14ac:dyDescent="0.25">
      <c r="A605" s="294" t="str">
        <f>IF(B605=Reactivos_[[#This Row],[Cantidad LANIP]],"LANIP",IF(B605=Reactivos_[[#This Row],[Cantidad 
LDV]],"LDV",IF(B605=Reactivos_[[#This Row],[Cantidad LNDV]],"LNDV",IF(B605=Reactivos_[[#This Row],[GGCA]],"GGCA",IF(B605=Reactivos_[[#This Row],[Cantidad LDF]],"LDF",IF(Reactivos_[[#This Row],[Cantidad LDF&amp;MR]],"LDF&amp;MR",IF(B605=Reactivos_[[#This Row],[Cantidad RED LASE]],"LASE",IF(B605=Reactivos_[[#This Row],[Cantidad LANIA]],"LANIA",IF(B605=Reactivos_[[#This Row],[Cantidad SPA]],"SPA"," ")))))))))</f>
        <v>LNDV</v>
      </c>
      <c r="B60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05" s="325">
        <v>603</v>
      </c>
      <c r="D605" s="326">
        <v>902</v>
      </c>
      <c r="E605" s="331" t="s">
        <v>1720</v>
      </c>
      <c r="F605" s="332"/>
      <c r="G605" s="331"/>
      <c r="H605" s="348" t="s">
        <v>1721</v>
      </c>
      <c r="I605" s="329" t="s">
        <v>596</v>
      </c>
      <c r="J60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05" s="160">
        <v>795883</v>
      </c>
      <c r="L605" s="160">
        <f>+Reactivos_[[#This Row],[Cantidad]]*Reactivos_[[#This Row],[Valor de referencia]]</f>
        <v>795883</v>
      </c>
      <c r="M605" s="254">
        <v>0</v>
      </c>
      <c r="N605" s="255">
        <f>+Reactivos_[[#This Row],[Valor de referencia]]*Reactivos_[[#This Row],[Cantidad LANIP]]</f>
        <v>0</v>
      </c>
      <c r="O605" s="256"/>
      <c r="P605" s="255">
        <f>+Reactivos_[[#This Row],[Cantidad 
LDV]]*Reactivos_[[#This Row],[Valor de referencia]]</f>
        <v>0</v>
      </c>
      <c r="Q605" s="257">
        <v>1</v>
      </c>
      <c r="R605" s="255">
        <f>+Reactivos_[[#This Row],[Cantidad LNDV]]*Reactivos_[[#This Row],[Valor de referencia]]</f>
        <v>795883</v>
      </c>
      <c r="S605" s="148"/>
      <c r="T605" s="255">
        <f>+Reactivos_[[#This Row],[GGCA]]*Reactivos_[[#This Row],[Valor de referencia]]</f>
        <v>0</v>
      </c>
      <c r="U605" s="254"/>
      <c r="V605" s="255">
        <f>+Reactivos_[[#This Row],[Cantidad LDF]]*Reactivos_[[#This Row],[Valor de referencia]]</f>
        <v>0</v>
      </c>
      <c r="W605" s="254"/>
      <c r="X605" s="255">
        <f>+Reactivos_[[#This Row],[Cantidad LDF&amp;MR]]*Reactivos_[[#This Row],[Valor de referencia]]</f>
        <v>0</v>
      </c>
      <c r="Y605" s="254"/>
      <c r="Z605" s="255">
        <f>+Reactivos_[[#This Row],[Cantidad RED LASE]]*Reactivos_[[#This Row],[Valor de referencia]]</f>
        <v>0</v>
      </c>
      <c r="AA605" s="254"/>
      <c r="AB605" s="255">
        <f>+Reactivos_[[#This Row],[Cantidad LANIA]]*Reactivos_[[#This Row],[Valor de referencia]]</f>
        <v>0</v>
      </c>
      <c r="AC605" s="254"/>
      <c r="AD605" s="255">
        <f>+Reactivos_[[#This Row],[Cantidad SPA]]*Reactivos_[[#This Row],[Valor de referencia]]</f>
        <v>0</v>
      </c>
      <c r="AE605" s="148" t="s">
        <v>76</v>
      </c>
      <c r="AF605" s="148" t="s">
        <v>77</v>
      </c>
    </row>
    <row r="606" spans="1:32" ht="29.45" customHeight="1" x14ac:dyDescent="0.25">
      <c r="A606" s="294" t="str">
        <f>IF(B606=Reactivos_[[#This Row],[Cantidad LANIP]],"LANIP",IF(B606=Reactivos_[[#This Row],[Cantidad 
LDV]],"LDV",IF(B606=Reactivos_[[#This Row],[Cantidad LNDV]],"LNDV",IF(B606=Reactivos_[[#This Row],[GGCA]],"GGCA",IF(B606=Reactivos_[[#This Row],[Cantidad LDF]],"LDF",IF(Reactivos_[[#This Row],[Cantidad LDF&amp;MR]],"LDF&amp;MR",IF(B606=Reactivos_[[#This Row],[Cantidad RED LASE]],"LASE",IF(B606=Reactivos_[[#This Row],[Cantidad LANIA]],"LANIA",IF(B606=Reactivos_[[#This Row],[Cantidad SPA]],"SPA"," ")))))))))</f>
        <v>LDF</v>
      </c>
      <c r="B60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06" s="325">
        <v>604</v>
      </c>
      <c r="D606" s="326">
        <v>905</v>
      </c>
      <c r="E606" s="327" t="s">
        <v>1722</v>
      </c>
      <c r="F606" s="244"/>
      <c r="G606" s="327"/>
      <c r="H606" s="348" t="s">
        <v>1723</v>
      </c>
      <c r="I606" s="329" t="s">
        <v>217</v>
      </c>
      <c r="J60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06" s="160">
        <v>506143</v>
      </c>
      <c r="L606" s="160">
        <f>+Reactivos_[[#This Row],[Cantidad]]*Reactivos_[[#This Row],[Valor de referencia]]</f>
        <v>506143</v>
      </c>
      <c r="M606" s="254">
        <v>0</v>
      </c>
      <c r="N606" s="255">
        <f>+Reactivos_[[#This Row],[Valor de referencia]]*Reactivos_[[#This Row],[Cantidad LANIP]]</f>
        <v>0</v>
      </c>
      <c r="O606" s="256"/>
      <c r="P606" s="255">
        <f>+Reactivos_[[#This Row],[Cantidad 
LDV]]*Reactivos_[[#This Row],[Valor de referencia]]</f>
        <v>0</v>
      </c>
      <c r="Q606" s="257"/>
      <c r="R606" s="255">
        <f>+Reactivos_[[#This Row],[Cantidad LNDV]]*Reactivos_[[#This Row],[Valor de referencia]]</f>
        <v>0</v>
      </c>
      <c r="S606" s="148"/>
      <c r="T606" s="255">
        <f>+Reactivos_[[#This Row],[GGCA]]*Reactivos_[[#This Row],[Valor de referencia]]</f>
        <v>0</v>
      </c>
      <c r="U606" s="254">
        <v>1</v>
      </c>
      <c r="V606" s="255">
        <f>+Reactivos_[[#This Row],[Cantidad LDF]]*Reactivos_[[#This Row],[Valor de referencia]]</f>
        <v>506143</v>
      </c>
      <c r="W606" s="254"/>
      <c r="X606" s="255">
        <f>+Reactivos_[[#This Row],[Cantidad LDF&amp;MR]]*Reactivos_[[#This Row],[Valor de referencia]]</f>
        <v>0</v>
      </c>
      <c r="Y606" s="254"/>
      <c r="Z606" s="255">
        <f>+Reactivos_[[#This Row],[Cantidad RED LASE]]*Reactivos_[[#This Row],[Valor de referencia]]</f>
        <v>0</v>
      </c>
      <c r="AA606" s="254"/>
      <c r="AB606" s="255">
        <f>+Reactivos_[[#This Row],[Cantidad LANIA]]*Reactivos_[[#This Row],[Valor de referencia]]</f>
        <v>0</v>
      </c>
      <c r="AC606" s="254"/>
      <c r="AD606" s="255">
        <f>+Reactivos_[[#This Row],[Cantidad SPA]]*Reactivos_[[#This Row],[Valor de referencia]]</f>
        <v>0</v>
      </c>
      <c r="AE606" s="148" t="s">
        <v>76</v>
      </c>
      <c r="AF606" s="148" t="s">
        <v>77</v>
      </c>
    </row>
    <row r="607" spans="1:32" ht="29.45" customHeight="1" x14ac:dyDescent="0.25">
      <c r="A607" s="294" t="str">
        <f>IF(B607=Reactivos_[[#This Row],[Cantidad LANIP]],"LANIP",IF(B607=Reactivos_[[#This Row],[Cantidad 
LDV]],"LDV",IF(B607=Reactivos_[[#This Row],[Cantidad LNDV]],"LNDV",IF(B607=Reactivos_[[#This Row],[GGCA]],"GGCA",IF(B607=Reactivos_[[#This Row],[Cantidad LDF]],"LDF",IF(Reactivos_[[#This Row],[Cantidad LDF&amp;MR]],"LDF&amp;MR",IF(B607=Reactivos_[[#This Row],[Cantidad RED LASE]],"LASE",IF(B607=Reactivos_[[#This Row],[Cantidad LANIA]],"LANIA",IF(B607=Reactivos_[[#This Row],[Cantidad SPA]],"SPA"," ")))))))))</f>
        <v>LANIP</v>
      </c>
      <c r="B60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07" s="325">
        <v>605</v>
      </c>
      <c r="D607" s="326">
        <v>906</v>
      </c>
      <c r="E607" s="382" t="s">
        <v>1724</v>
      </c>
      <c r="F607" s="244"/>
      <c r="G607" s="245"/>
      <c r="H607" s="335" t="s">
        <v>1725</v>
      </c>
      <c r="I607" s="336" t="s">
        <v>1726</v>
      </c>
      <c r="J60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07" s="160">
        <v>1306620</v>
      </c>
      <c r="L607" s="160">
        <f>+Reactivos_[[#This Row],[Cantidad]]*Reactivos_[[#This Row],[Valor de referencia]]</f>
        <v>1306620</v>
      </c>
      <c r="M607" s="254">
        <v>1</v>
      </c>
      <c r="N607" s="255">
        <f>+Reactivos_[[#This Row],[Valor de referencia]]*Reactivos_[[#This Row],[Cantidad LANIP]]</f>
        <v>1306620</v>
      </c>
      <c r="O607" s="256"/>
      <c r="P607" s="255">
        <f>+Reactivos_[[#This Row],[Cantidad 
LDV]]*Reactivos_[[#This Row],[Valor de referencia]]</f>
        <v>0</v>
      </c>
      <c r="Q607" s="257"/>
      <c r="R607" s="255">
        <f>+Reactivos_[[#This Row],[Cantidad LNDV]]*Reactivos_[[#This Row],[Valor de referencia]]</f>
        <v>0</v>
      </c>
      <c r="S607" s="148"/>
      <c r="T607" s="255">
        <f>+Reactivos_[[#This Row],[GGCA]]*Reactivos_[[#This Row],[Valor de referencia]]</f>
        <v>0</v>
      </c>
      <c r="U607" s="254"/>
      <c r="V607" s="255">
        <f>+Reactivos_[[#This Row],[Cantidad LDF]]*Reactivos_[[#This Row],[Valor de referencia]]</f>
        <v>0</v>
      </c>
      <c r="W607" s="254"/>
      <c r="X607" s="255">
        <f>+Reactivos_[[#This Row],[Cantidad LDF&amp;MR]]*Reactivos_[[#This Row],[Valor de referencia]]</f>
        <v>0</v>
      </c>
      <c r="Y607" s="254"/>
      <c r="Z607" s="255">
        <f>+Reactivos_[[#This Row],[Cantidad RED LASE]]*Reactivos_[[#This Row],[Valor de referencia]]</f>
        <v>0</v>
      </c>
      <c r="AA607" s="254"/>
      <c r="AB607" s="255">
        <f>+Reactivos_[[#This Row],[Cantidad LANIA]]*Reactivos_[[#This Row],[Valor de referencia]]</f>
        <v>0</v>
      </c>
      <c r="AC607" s="254"/>
      <c r="AD607" s="255">
        <f>+Reactivos_[[#This Row],[Cantidad SPA]]*Reactivos_[[#This Row],[Valor de referencia]]</f>
        <v>0</v>
      </c>
      <c r="AE607" s="148" t="s">
        <v>76</v>
      </c>
      <c r="AF607" s="148" t="s">
        <v>77</v>
      </c>
    </row>
    <row r="608" spans="1:32" ht="29.45" customHeight="1" x14ac:dyDescent="0.25">
      <c r="A608" s="294" t="str">
        <f>IF(B608=Reactivos_[[#This Row],[Cantidad LANIP]],"LANIP",IF(B608=Reactivos_[[#This Row],[Cantidad 
LDV]],"LDV",IF(B608=Reactivos_[[#This Row],[Cantidad LNDV]],"LNDV",IF(B608=Reactivos_[[#This Row],[GGCA]],"GGCA",IF(B608=Reactivos_[[#This Row],[Cantidad LDF]],"LDF",IF(Reactivos_[[#This Row],[Cantidad LDF&amp;MR]],"LDF&amp;MR",IF(B608=Reactivos_[[#This Row],[Cantidad RED LASE]],"LASE",IF(B608=Reactivos_[[#This Row],[Cantidad LANIA]],"LANIA",IF(B608=Reactivos_[[#This Row],[Cantidad SPA]],"SPA"," ")))))))))</f>
        <v>LDV</v>
      </c>
      <c r="B60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08" s="325">
        <v>606</v>
      </c>
      <c r="D608" s="326">
        <v>907</v>
      </c>
      <c r="E608" s="327" t="s">
        <v>1727</v>
      </c>
      <c r="F608" s="244"/>
      <c r="G608" s="327"/>
      <c r="H608" s="328" t="s">
        <v>1728</v>
      </c>
      <c r="I608" s="329" t="s">
        <v>1729</v>
      </c>
      <c r="J60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08" s="160">
        <v>115080</v>
      </c>
      <c r="L608" s="160">
        <f>+Reactivos_[[#This Row],[Cantidad]]*Reactivos_[[#This Row],[Valor de referencia]]</f>
        <v>230160</v>
      </c>
      <c r="M608" s="254">
        <v>0</v>
      </c>
      <c r="N608" s="255">
        <f>+Reactivos_[[#This Row],[Valor de referencia]]*Reactivos_[[#This Row],[Cantidad LANIP]]</f>
        <v>0</v>
      </c>
      <c r="O608" s="256">
        <v>2</v>
      </c>
      <c r="P608" s="255">
        <f>+Reactivos_[[#This Row],[Cantidad 
LDV]]*Reactivos_[[#This Row],[Valor de referencia]]</f>
        <v>230160</v>
      </c>
      <c r="Q608" s="257"/>
      <c r="R608" s="255">
        <f>+Reactivos_[[#This Row],[Cantidad LNDV]]*Reactivos_[[#This Row],[Valor de referencia]]</f>
        <v>0</v>
      </c>
      <c r="S608" s="148"/>
      <c r="T608" s="255">
        <f>+Reactivos_[[#This Row],[GGCA]]*Reactivos_[[#This Row],[Valor de referencia]]</f>
        <v>0</v>
      </c>
      <c r="U608" s="254"/>
      <c r="V608" s="255">
        <f>+Reactivos_[[#This Row],[Cantidad LDF]]*Reactivos_[[#This Row],[Valor de referencia]]</f>
        <v>0</v>
      </c>
      <c r="W608" s="254"/>
      <c r="X608" s="255">
        <f>+Reactivos_[[#This Row],[Cantidad LDF&amp;MR]]*Reactivos_[[#This Row],[Valor de referencia]]</f>
        <v>0</v>
      </c>
      <c r="Y608" s="254"/>
      <c r="Z608" s="255">
        <f>+Reactivos_[[#This Row],[Cantidad RED LASE]]*Reactivos_[[#This Row],[Valor de referencia]]</f>
        <v>0</v>
      </c>
      <c r="AA608" s="254"/>
      <c r="AB608" s="255">
        <f>+Reactivos_[[#This Row],[Cantidad LANIA]]*Reactivos_[[#This Row],[Valor de referencia]]</f>
        <v>0</v>
      </c>
      <c r="AC608" s="254"/>
      <c r="AD608" s="255">
        <f>+Reactivos_[[#This Row],[Cantidad SPA]]*Reactivos_[[#This Row],[Valor de referencia]]</f>
        <v>0</v>
      </c>
      <c r="AE608" s="148" t="s">
        <v>76</v>
      </c>
      <c r="AF608" s="148" t="s">
        <v>77</v>
      </c>
    </row>
    <row r="609" spans="1:32" ht="29.45" customHeight="1" x14ac:dyDescent="0.25">
      <c r="A609" s="294" t="str">
        <f>IF(B609=Reactivos_[[#This Row],[Cantidad LANIP]],"LANIP",IF(B609=Reactivos_[[#This Row],[Cantidad 
LDV]],"LDV",IF(B609=Reactivos_[[#This Row],[Cantidad LNDV]],"LNDV",IF(B609=Reactivos_[[#This Row],[GGCA]],"GGCA",IF(B609=Reactivos_[[#This Row],[Cantidad LDF]],"LDF",IF(Reactivos_[[#This Row],[Cantidad LDF&amp;MR]],"LDF&amp;MR",IF(B609=Reactivos_[[#This Row],[Cantidad RED LASE]],"LASE",IF(B609=Reactivos_[[#This Row],[Cantidad LANIA]],"LANIA",IF(B609=Reactivos_[[#This Row],[Cantidad SPA]],"SPA"," ")))))))))</f>
        <v>LDV</v>
      </c>
      <c r="B60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09" s="325">
        <v>607</v>
      </c>
      <c r="D609" s="326">
        <v>908</v>
      </c>
      <c r="E609" s="327" t="s">
        <v>1730</v>
      </c>
      <c r="F609" s="244"/>
      <c r="G609" s="327"/>
      <c r="H609" s="328" t="s">
        <v>1728</v>
      </c>
      <c r="I609" s="329" t="s">
        <v>1729</v>
      </c>
      <c r="J60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09" s="160">
        <v>115080</v>
      </c>
      <c r="L609" s="160">
        <f>+Reactivos_[[#This Row],[Cantidad]]*Reactivos_[[#This Row],[Valor de referencia]]</f>
        <v>230160</v>
      </c>
      <c r="M609" s="254">
        <v>0</v>
      </c>
      <c r="N609" s="255">
        <f>+Reactivos_[[#This Row],[Valor de referencia]]*Reactivos_[[#This Row],[Cantidad LANIP]]</f>
        <v>0</v>
      </c>
      <c r="O609" s="256">
        <v>2</v>
      </c>
      <c r="P609" s="255">
        <f>+Reactivos_[[#This Row],[Cantidad 
LDV]]*Reactivos_[[#This Row],[Valor de referencia]]</f>
        <v>230160</v>
      </c>
      <c r="Q609" s="257"/>
      <c r="R609" s="255">
        <f>+Reactivos_[[#This Row],[Cantidad LNDV]]*Reactivos_[[#This Row],[Valor de referencia]]</f>
        <v>0</v>
      </c>
      <c r="S609" s="148"/>
      <c r="T609" s="255">
        <f>+Reactivos_[[#This Row],[GGCA]]*Reactivos_[[#This Row],[Valor de referencia]]</f>
        <v>0</v>
      </c>
      <c r="U609" s="254"/>
      <c r="V609" s="255">
        <f>+Reactivos_[[#This Row],[Cantidad LDF]]*Reactivos_[[#This Row],[Valor de referencia]]</f>
        <v>0</v>
      </c>
      <c r="W609" s="254"/>
      <c r="X609" s="255">
        <f>+Reactivos_[[#This Row],[Cantidad LDF&amp;MR]]*Reactivos_[[#This Row],[Valor de referencia]]</f>
        <v>0</v>
      </c>
      <c r="Y609" s="254"/>
      <c r="Z609" s="255">
        <f>+Reactivos_[[#This Row],[Cantidad RED LASE]]*Reactivos_[[#This Row],[Valor de referencia]]</f>
        <v>0</v>
      </c>
      <c r="AA609" s="254"/>
      <c r="AB609" s="255">
        <f>+Reactivos_[[#This Row],[Cantidad LANIA]]*Reactivos_[[#This Row],[Valor de referencia]]</f>
        <v>0</v>
      </c>
      <c r="AC609" s="254"/>
      <c r="AD609" s="255">
        <f>+Reactivos_[[#This Row],[Cantidad SPA]]*Reactivos_[[#This Row],[Valor de referencia]]</f>
        <v>0</v>
      </c>
      <c r="AE609" s="148" t="s">
        <v>76</v>
      </c>
      <c r="AF609" s="148" t="s">
        <v>77</v>
      </c>
    </row>
    <row r="610" spans="1:32" ht="29.45" customHeight="1" x14ac:dyDescent="0.25">
      <c r="A610" s="294" t="str">
        <f>IF(B610=Reactivos_[[#This Row],[Cantidad LANIP]],"LANIP",IF(B610=Reactivos_[[#This Row],[Cantidad 
LDV]],"LDV",IF(B610=Reactivos_[[#This Row],[Cantidad LNDV]],"LNDV",IF(B610=Reactivos_[[#This Row],[GGCA]],"GGCA",IF(B610=Reactivos_[[#This Row],[Cantidad LDF]],"LDF",IF(Reactivos_[[#This Row],[Cantidad LDF&amp;MR]],"LDF&amp;MR",IF(B610=Reactivos_[[#This Row],[Cantidad RED LASE]],"LASE",IF(B610=Reactivos_[[#This Row],[Cantidad LANIA]],"LANIA",IF(B610=Reactivos_[[#This Row],[Cantidad SPA]],"SPA"," ")))))))))</f>
        <v>LDV</v>
      </c>
      <c r="B61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10" s="325">
        <v>608</v>
      </c>
      <c r="D610" s="326">
        <v>909</v>
      </c>
      <c r="E610" s="327" t="s">
        <v>1731</v>
      </c>
      <c r="F610" s="244"/>
      <c r="G610" s="327"/>
      <c r="H610" s="328" t="s">
        <v>1728</v>
      </c>
      <c r="I610" s="329" t="s">
        <v>1729</v>
      </c>
      <c r="J61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10" s="160">
        <v>115080</v>
      </c>
      <c r="L610" s="160">
        <f>+Reactivos_[[#This Row],[Cantidad]]*Reactivos_[[#This Row],[Valor de referencia]]</f>
        <v>230160</v>
      </c>
      <c r="M610" s="254">
        <v>0</v>
      </c>
      <c r="N610" s="255">
        <f>+Reactivos_[[#This Row],[Valor de referencia]]*Reactivos_[[#This Row],[Cantidad LANIP]]</f>
        <v>0</v>
      </c>
      <c r="O610" s="256">
        <v>2</v>
      </c>
      <c r="P610" s="255">
        <f>+Reactivos_[[#This Row],[Cantidad 
LDV]]*Reactivos_[[#This Row],[Valor de referencia]]</f>
        <v>230160</v>
      </c>
      <c r="Q610" s="257"/>
      <c r="R610" s="255">
        <f>+Reactivos_[[#This Row],[Cantidad LNDV]]*Reactivos_[[#This Row],[Valor de referencia]]</f>
        <v>0</v>
      </c>
      <c r="S610" s="148"/>
      <c r="T610" s="255">
        <f>+Reactivos_[[#This Row],[GGCA]]*Reactivos_[[#This Row],[Valor de referencia]]</f>
        <v>0</v>
      </c>
      <c r="U610" s="254"/>
      <c r="V610" s="255">
        <f>+Reactivos_[[#This Row],[Cantidad LDF]]*Reactivos_[[#This Row],[Valor de referencia]]</f>
        <v>0</v>
      </c>
      <c r="W610" s="254"/>
      <c r="X610" s="255">
        <f>+Reactivos_[[#This Row],[Cantidad LDF&amp;MR]]*Reactivos_[[#This Row],[Valor de referencia]]</f>
        <v>0</v>
      </c>
      <c r="Y610" s="254"/>
      <c r="Z610" s="255">
        <f>+Reactivos_[[#This Row],[Cantidad RED LASE]]*Reactivos_[[#This Row],[Valor de referencia]]</f>
        <v>0</v>
      </c>
      <c r="AA610" s="254"/>
      <c r="AB610" s="255">
        <f>+Reactivos_[[#This Row],[Cantidad LANIA]]*Reactivos_[[#This Row],[Valor de referencia]]</f>
        <v>0</v>
      </c>
      <c r="AC610" s="254"/>
      <c r="AD610" s="255">
        <f>+Reactivos_[[#This Row],[Cantidad SPA]]*Reactivos_[[#This Row],[Valor de referencia]]</f>
        <v>0</v>
      </c>
      <c r="AE610" s="148" t="s">
        <v>76</v>
      </c>
      <c r="AF610" s="148" t="s">
        <v>77</v>
      </c>
    </row>
    <row r="611" spans="1:32" ht="29.45" customHeight="1" x14ac:dyDescent="0.25">
      <c r="A611" s="294" t="str">
        <f>IF(B611=Reactivos_[[#This Row],[Cantidad LANIP]],"LANIP",IF(B611=Reactivos_[[#This Row],[Cantidad 
LDV]],"LDV",IF(B611=Reactivos_[[#This Row],[Cantidad LNDV]],"LNDV",IF(B611=Reactivos_[[#This Row],[GGCA]],"GGCA",IF(B611=Reactivos_[[#This Row],[Cantidad LDF]],"LDF",IF(Reactivos_[[#This Row],[Cantidad LDF&amp;MR]],"LDF&amp;MR",IF(B611=Reactivos_[[#This Row],[Cantidad RED LASE]],"LASE",IF(B611=Reactivos_[[#This Row],[Cantidad LANIA]],"LANIA",IF(B611=Reactivos_[[#This Row],[Cantidad SPA]],"SPA"," ")))))))))</f>
        <v>LDV</v>
      </c>
      <c r="B61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11" s="325">
        <v>609</v>
      </c>
      <c r="D611" s="326">
        <v>910</v>
      </c>
      <c r="E611" s="327" t="s">
        <v>1732</v>
      </c>
      <c r="F611" s="244"/>
      <c r="G611" s="327"/>
      <c r="H611" s="328" t="s">
        <v>1728</v>
      </c>
      <c r="I611" s="347" t="s">
        <v>1729</v>
      </c>
      <c r="J61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11" s="160">
        <v>844791</v>
      </c>
      <c r="L611" s="160">
        <f>+Reactivos_[[#This Row],[Cantidad]]*Reactivos_[[#This Row],[Valor de referencia]]</f>
        <v>1689582</v>
      </c>
      <c r="M611" s="254">
        <v>0</v>
      </c>
      <c r="N611" s="255">
        <f>+Reactivos_[[#This Row],[Valor de referencia]]*Reactivos_[[#This Row],[Cantidad LANIP]]</f>
        <v>0</v>
      </c>
      <c r="O611" s="256">
        <v>2</v>
      </c>
      <c r="P611" s="255">
        <f>+Reactivos_[[#This Row],[Cantidad 
LDV]]*Reactivos_[[#This Row],[Valor de referencia]]</f>
        <v>1689582</v>
      </c>
      <c r="Q611" s="257"/>
      <c r="R611" s="255">
        <f>+Reactivos_[[#This Row],[Cantidad LNDV]]*Reactivos_[[#This Row],[Valor de referencia]]</f>
        <v>0</v>
      </c>
      <c r="S611" s="148"/>
      <c r="T611" s="255">
        <f>+Reactivos_[[#This Row],[GGCA]]*Reactivos_[[#This Row],[Valor de referencia]]</f>
        <v>0</v>
      </c>
      <c r="U611" s="254"/>
      <c r="V611" s="255">
        <f>+Reactivos_[[#This Row],[Cantidad LDF]]*Reactivos_[[#This Row],[Valor de referencia]]</f>
        <v>0</v>
      </c>
      <c r="W611" s="254"/>
      <c r="X611" s="255">
        <f>+Reactivos_[[#This Row],[Cantidad LDF&amp;MR]]*Reactivos_[[#This Row],[Valor de referencia]]</f>
        <v>0</v>
      </c>
      <c r="Y611" s="254"/>
      <c r="Z611" s="255">
        <f>+Reactivos_[[#This Row],[Cantidad RED LASE]]*Reactivos_[[#This Row],[Valor de referencia]]</f>
        <v>0</v>
      </c>
      <c r="AA611" s="254"/>
      <c r="AB611" s="255">
        <f>+Reactivos_[[#This Row],[Cantidad LANIA]]*Reactivos_[[#This Row],[Valor de referencia]]</f>
        <v>0</v>
      </c>
      <c r="AC611" s="254"/>
      <c r="AD611" s="255">
        <f>+Reactivos_[[#This Row],[Cantidad SPA]]*Reactivos_[[#This Row],[Valor de referencia]]</f>
        <v>0</v>
      </c>
      <c r="AE611" s="148" t="s">
        <v>76</v>
      </c>
      <c r="AF611" s="148" t="s">
        <v>77</v>
      </c>
    </row>
    <row r="612" spans="1:32" ht="29.45" customHeight="1" x14ac:dyDescent="0.25">
      <c r="A612" s="294" t="str">
        <f>IF(B612=Reactivos_[[#This Row],[Cantidad LANIP]],"LANIP",IF(B612=Reactivos_[[#This Row],[Cantidad 
LDV]],"LDV",IF(B612=Reactivos_[[#This Row],[Cantidad LNDV]],"LNDV",IF(B612=Reactivos_[[#This Row],[GGCA]],"GGCA",IF(B612=Reactivos_[[#This Row],[Cantidad LDF]],"LDF",IF(Reactivos_[[#This Row],[Cantidad LDF&amp;MR]],"LDF&amp;MR",IF(B612=Reactivos_[[#This Row],[Cantidad RED LASE]],"LASE",IF(B612=Reactivos_[[#This Row],[Cantidad LANIA]],"LANIA",IF(B612=Reactivos_[[#This Row],[Cantidad SPA]],"SPA"," ")))))))))</f>
        <v>LDV</v>
      </c>
      <c r="B61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12" s="325">
        <v>610</v>
      </c>
      <c r="D612" s="326">
        <v>911</v>
      </c>
      <c r="E612" s="327" t="s">
        <v>1733</v>
      </c>
      <c r="F612" s="244"/>
      <c r="G612" s="327"/>
      <c r="H612" s="328" t="s">
        <v>1728</v>
      </c>
      <c r="I612" s="347" t="s">
        <v>1729</v>
      </c>
      <c r="J61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12" s="160">
        <v>844791</v>
      </c>
      <c r="L612" s="160">
        <f>+Reactivos_[[#This Row],[Cantidad]]*Reactivos_[[#This Row],[Valor de referencia]]</f>
        <v>1689582</v>
      </c>
      <c r="M612" s="254">
        <v>0</v>
      </c>
      <c r="N612" s="255">
        <f>+Reactivos_[[#This Row],[Valor de referencia]]*Reactivos_[[#This Row],[Cantidad LANIP]]</f>
        <v>0</v>
      </c>
      <c r="O612" s="256">
        <v>2</v>
      </c>
      <c r="P612" s="255">
        <f>+Reactivos_[[#This Row],[Cantidad 
LDV]]*Reactivos_[[#This Row],[Valor de referencia]]</f>
        <v>1689582</v>
      </c>
      <c r="Q612" s="257"/>
      <c r="R612" s="255">
        <f>+Reactivos_[[#This Row],[Cantidad LNDV]]*Reactivos_[[#This Row],[Valor de referencia]]</f>
        <v>0</v>
      </c>
      <c r="S612" s="148"/>
      <c r="T612" s="255">
        <f>+Reactivos_[[#This Row],[GGCA]]*Reactivos_[[#This Row],[Valor de referencia]]</f>
        <v>0</v>
      </c>
      <c r="U612" s="254"/>
      <c r="V612" s="255">
        <f>+Reactivos_[[#This Row],[Cantidad LDF]]*Reactivos_[[#This Row],[Valor de referencia]]</f>
        <v>0</v>
      </c>
      <c r="W612" s="254"/>
      <c r="X612" s="255">
        <f>+Reactivos_[[#This Row],[Cantidad LDF&amp;MR]]*Reactivos_[[#This Row],[Valor de referencia]]</f>
        <v>0</v>
      </c>
      <c r="Y612" s="254"/>
      <c r="Z612" s="255">
        <f>+Reactivos_[[#This Row],[Cantidad RED LASE]]*Reactivos_[[#This Row],[Valor de referencia]]</f>
        <v>0</v>
      </c>
      <c r="AA612" s="254"/>
      <c r="AB612" s="255">
        <f>+Reactivos_[[#This Row],[Cantidad LANIA]]*Reactivos_[[#This Row],[Valor de referencia]]</f>
        <v>0</v>
      </c>
      <c r="AC612" s="254"/>
      <c r="AD612" s="255">
        <f>+Reactivos_[[#This Row],[Cantidad SPA]]*Reactivos_[[#This Row],[Valor de referencia]]</f>
        <v>0</v>
      </c>
      <c r="AE612" s="148" t="s">
        <v>76</v>
      </c>
      <c r="AF612" s="148" t="s">
        <v>77</v>
      </c>
    </row>
    <row r="613" spans="1:32" ht="29.45" customHeight="1" x14ac:dyDescent="0.25">
      <c r="A613" s="294" t="str">
        <f>IF(B613=Reactivos_[[#This Row],[Cantidad LANIP]],"LANIP",IF(B613=Reactivos_[[#This Row],[Cantidad 
LDV]],"LDV",IF(B613=Reactivos_[[#This Row],[Cantidad LNDV]],"LNDV",IF(B613=Reactivos_[[#This Row],[GGCA]],"GGCA",IF(B613=Reactivos_[[#This Row],[Cantidad LDF]],"LDF",IF(Reactivos_[[#This Row],[Cantidad LDF&amp;MR]],"LDF&amp;MR",IF(B613=Reactivos_[[#This Row],[Cantidad RED LASE]],"LASE",IF(B613=Reactivos_[[#This Row],[Cantidad LANIA]],"LANIA",IF(B613=Reactivos_[[#This Row],[Cantidad SPA]],"SPA"," ")))))))))</f>
        <v>LANIP</v>
      </c>
      <c r="B61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C613" s="325">
        <v>611</v>
      </c>
      <c r="D613" s="326">
        <v>913</v>
      </c>
      <c r="E613" s="245" t="s">
        <v>1734</v>
      </c>
      <c r="F613" s="244"/>
      <c r="G613" s="245"/>
      <c r="H613" s="335" t="s">
        <v>1735</v>
      </c>
      <c r="I613" s="336" t="s">
        <v>1736</v>
      </c>
      <c r="J61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K613" s="160">
        <v>2710820</v>
      </c>
      <c r="L613" s="160">
        <f>+Reactivos_[[#This Row],[Cantidad]]*Reactivos_[[#This Row],[Valor de referencia]]</f>
        <v>40662300</v>
      </c>
      <c r="M613" s="254">
        <v>15</v>
      </c>
      <c r="N613" s="255">
        <f>+Reactivos_[[#This Row],[Valor de referencia]]*Reactivos_[[#This Row],[Cantidad LANIP]]</f>
        <v>40662300</v>
      </c>
      <c r="O613" s="256"/>
      <c r="P613" s="255">
        <f>+Reactivos_[[#This Row],[Cantidad 
LDV]]*Reactivos_[[#This Row],[Valor de referencia]]</f>
        <v>0</v>
      </c>
      <c r="Q613" s="257"/>
      <c r="R613" s="255">
        <f>+Reactivos_[[#This Row],[Cantidad LNDV]]*Reactivos_[[#This Row],[Valor de referencia]]</f>
        <v>0</v>
      </c>
      <c r="S613" s="148"/>
      <c r="T613" s="255">
        <f>+Reactivos_[[#This Row],[GGCA]]*Reactivos_[[#This Row],[Valor de referencia]]</f>
        <v>0</v>
      </c>
      <c r="U613" s="254"/>
      <c r="V613" s="255">
        <f>+Reactivos_[[#This Row],[Cantidad LDF]]*Reactivos_[[#This Row],[Valor de referencia]]</f>
        <v>0</v>
      </c>
      <c r="W613" s="254"/>
      <c r="X613" s="255">
        <f>+Reactivos_[[#This Row],[Cantidad LDF&amp;MR]]*Reactivos_[[#This Row],[Valor de referencia]]</f>
        <v>0</v>
      </c>
      <c r="Y613" s="254"/>
      <c r="Z613" s="255">
        <f>+Reactivos_[[#This Row],[Cantidad RED LASE]]*Reactivos_[[#This Row],[Valor de referencia]]</f>
        <v>0</v>
      </c>
      <c r="AA613" s="254"/>
      <c r="AB613" s="255">
        <f>+Reactivos_[[#This Row],[Cantidad LANIA]]*Reactivos_[[#This Row],[Valor de referencia]]</f>
        <v>0</v>
      </c>
      <c r="AC613" s="254"/>
      <c r="AD613" s="255">
        <f>+Reactivos_[[#This Row],[Cantidad SPA]]*Reactivos_[[#This Row],[Valor de referencia]]</f>
        <v>0</v>
      </c>
      <c r="AE613" s="148" t="s">
        <v>76</v>
      </c>
      <c r="AF613" s="148" t="s">
        <v>77</v>
      </c>
    </row>
    <row r="614" spans="1:32" ht="29.45" customHeight="1" x14ac:dyDescent="0.25">
      <c r="A614" s="294" t="str">
        <f>IF(B614=Reactivos_[[#This Row],[Cantidad LANIP]],"LANIP",IF(B614=Reactivos_[[#This Row],[Cantidad 
LDV]],"LDV",IF(B614=Reactivos_[[#This Row],[Cantidad LNDV]],"LNDV",IF(B614=Reactivos_[[#This Row],[GGCA]],"GGCA",IF(B614=Reactivos_[[#This Row],[Cantidad LDF]],"LDF",IF(Reactivos_[[#This Row],[Cantidad LDF&amp;MR]],"LDF&amp;MR",IF(B614=Reactivos_[[#This Row],[Cantidad RED LASE]],"LASE",IF(B614=Reactivos_[[#This Row],[Cantidad LANIA]],"LANIA",IF(B614=Reactivos_[[#This Row],[Cantidad SPA]],"SPA"," ")))))))))</f>
        <v>LANIP</v>
      </c>
      <c r="B61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14" s="325">
        <v>612</v>
      </c>
      <c r="D614" s="326">
        <v>914</v>
      </c>
      <c r="E614" s="327" t="s">
        <v>1737</v>
      </c>
      <c r="F614" s="244"/>
      <c r="G614" s="327"/>
      <c r="H614" s="348" t="s">
        <v>1738</v>
      </c>
      <c r="I614" s="329" t="s">
        <v>1739</v>
      </c>
      <c r="J61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614" s="160">
        <v>1737685</v>
      </c>
      <c r="L614" s="160">
        <f>+Reactivos_[[#This Row],[Cantidad]]*Reactivos_[[#This Row],[Valor de referencia]]</f>
        <v>17376850</v>
      </c>
      <c r="M614" s="254">
        <v>10</v>
      </c>
      <c r="N614" s="255">
        <f>+Reactivos_[[#This Row],[Valor de referencia]]*Reactivos_[[#This Row],[Cantidad LANIP]]</f>
        <v>17376850</v>
      </c>
      <c r="O614" s="256"/>
      <c r="P614" s="255">
        <f>+Reactivos_[[#This Row],[Cantidad 
LDV]]*Reactivos_[[#This Row],[Valor de referencia]]</f>
        <v>0</v>
      </c>
      <c r="Q614" s="257"/>
      <c r="R614" s="255">
        <f>+Reactivos_[[#This Row],[Cantidad LNDV]]*Reactivos_[[#This Row],[Valor de referencia]]</f>
        <v>0</v>
      </c>
      <c r="S614" s="148"/>
      <c r="T614" s="255">
        <f>+Reactivos_[[#This Row],[GGCA]]*Reactivos_[[#This Row],[Valor de referencia]]</f>
        <v>0</v>
      </c>
      <c r="U614" s="254"/>
      <c r="V614" s="255">
        <f>+Reactivos_[[#This Row],[Cantidad LDF]]*Reactivos_[[#This Row],[Valor de referencia]]</f>
        <v>0</v>
      </c>
      <c r="W614" s="254"/>
      <c r="X614" s="255">
        <f>+Reactivos_[[#This Row],[Cantidad LDF&amp;MR]]*Reactivos_[[#This Row],[Valor de referencia]]</f>
        <v>0</v>
      </c>
      <c r="Y614" s="254"/>
      <c r="Z614" s="255">
        <f>+Reactivos_[[#This Row],[Cantidad RED LASE]]*Reactivos_[[#This Row],[Valor de referencia]]</f>
        <v>0</v>
      </c>
      <c r="AA614" s="254"/>
      <c r="AB614" s="255">
        <f>+Reactivos_[[#This Row],[Cantidad LANIA]]*Reactivos_[[#This Row],[Valor de referencia]]</f>
        <v>0</v>
      </c>
      <c r="AC614" s="254"/>
      <c r="AD614" s="255">
        <f>+Reactivos_[[#This Row],[Cantidad SPA]]*Reactivos_[[#This Row],[Valor de referencia]]</f>
        <v>0</v>
      </c>
      <c r="AE614" s="148" t="s">
        <v>76</v>
      </c>
      <c r="AF614" s="148" t="s">
        <v>77</v>
      </c>
    </row>
    <row r="615" spans="1:32" ht="29.45" customHeight="1" x14ac:dyDescent="0.25">
      <c r="A615" s="294" t="str">
        <f>IF(B615=Reactivos_[[#This Row],[Cantidad LANIP]],"LANIP",IF(B615=Reactivos_[[#This Row],[Cantidad 
LDV]],"LDV",IF(B615=Reactivos_[[#This Row],[Cantidad LNDV]],"LNDV",IF(B615=Reactivos_[[#This Row],[GGCA]],"GGCA",IF(B615=Reactivos_[[#This Row],[Cantidad LDF]],"LDF",IF(Reactivos_[[#This Row],[Cantidad LDF&amp;MR]],"LDF&amp;MR",IF(B615=Reactivos_[[#This Row],[Cantidad RED LASE]],"LASE",IF(B615=Reactivos_[[#This Row],[Cantidad LANIA]],"LANIA",IF(B615=Reactivos_[[#This Row],[Cantidad SPA]],"SPA"," ")))))))))</f>
        <v>LANIP</v>
      </c>
      <c r="B61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615" s="325">
        <v>613</v>
      </c>
      <c r="D615" s="326">
        <v>915</v>
      </c>
      <c r="E615" s="245" t="s">
        <v>1740</v>
      </c>
      <c r="F615" s="244"/>
      <c r="G615" s="245"/>
      <c r="H615" s="348" t="s">
        <v>1741</v>
      </c>
      <c r="I615" s="336" t="s">
        <v>217</v>
      </c>
      <c r="J61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615" s="160">
        <v>1016260</v>
      </c>
      <c r="L615" s="160">
        <f>+Reactivos_[[#This Row],[Cantidad]]*Reactivos_[[#This Row],[Valor de referencia]]</f>
        <v>5081300</v>
      </c>
      <c r="M615" s="254">
        <v>5</v>
      </c>
      <c r="N615" s="255">
        <f>+Reactivos_[[#This Row],[Valor de referencia]]*Reactivos_[[#This Row],[Cantidad LANIP]]</f>
        <v>5081300</v>
      </c>
      <c r="O615" s="256"/>
      <c r="P615" s="255">
        <f>+Reactivos_[[#This Row],[Cantidad 
LDV]]*Reactivos_[[#This Row],[Valor de referencia]]</f>
        <v>0</v>
      </c>
      <c r="Q615" s="257"/>
      <c r="R615" s="255">
        <f>+Reactivos_[[#This Row],[Cantidad LNDV]]*Reactivos_[[#This Row],[Valor de referencia]]</f>
        <v>0</v>
      </c>
      <c r="S615" s="148"/>
      <c r="T615" s="255">
        <f>+Reactivos_[[#This Row],[GGCA]]*Reactivos_[[#This Row],[Valor de referencia]]</f>
        <v>0</v>
      </c>
      <c r="U615" s="254"/>
      <c r="V615" s="255">
        <f>+Reactivos_[[#This Row],[Cantidad LDF]]*Reactivos_[[#This Row],[Valor de referencia]]</f>
        <v>0</v>
      </c>
      <c r="W615" s="254"/>
      <c r="X615" s="255">
        <f>+Reactivos_[[#This Row],[Cantidad LDF&amp;MR]]*Reactivos_[[#This Row],[Valor de referencia]]</f>
        <v>0</v>
      </c>
      <c r="Y615" s="254"/>
      <c r="Z615" s="255">
        <f>+Reactivos_[[#This Row],[Cantidad RED LASE]]*Reactivos_[[#This Row],[Valor de referencia]]</f>
        <v>0</v>
      </c>
      <c r="AA615" s="254"/>
      <c r="AB615" s="255">
        <f>+Reactivos_[[#This Row],[Cantidad LANIA]]*Reactivos_[[#This Row],[Valor de referencia]]</f>
        <v>0</v>
      </c>
      <c r="AC615" s="254"/>
      <c r="AD615" s="255">
        <f>+Reactivos_[[#This Row],[Cantidad SPA]]*Reactivos_[[#This Row],[Valor de referencia]]</f>
        <v>0</v>
      </c>
      <c r="AE615" s="148" t="s">
        <v>76</v>
      </c>
      <c r="AF615" s="148" t="s">
        <v>77</v>
      </c>
    </row>
    <row r="616" spans="1:32" ht="29.45" customHeight="1" x14ac:dyDescent="0.25">
      <c r="A616" s="294" t="str">
        <f>IF(B616=Reactivos_[[#This Row],[Cantidad LANIP]],"LANIP",IF(B616=Reactivos_[[#This Row],[Cantidad 
LDV]],"LDV",IF(B616=Reactivos_[[#This Row],[Cantidad LNDV]],"LNDV",IF(B616=Reactivos_[[#This Row],[GGCA]],"GGCA",IF(B616=Reactivos_[[#This Row],[Cantidad LDF]],"LDF",IF(Reactivos_[[#This Row],[Cantidad LDF&amp;MR]],"LDF&amp;MR",IF(B616=Reactivos_[[#This Row],[Cantidad RED LASE]],"LASE",IF(B616=Reactivos_[[#This Row],[Cantidad LANIA]],"LANIA",IF(B616=Reactivos_[[#This Row],[Cantidad SPA]],"SPA"," ")))))))))</f>
        <v>LDV</v>
      </c>
      <c r="B61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16" s="325">
        <v>614</v>
      </c>
      <c r="D616" s="326">
        <v>916</v>
      </c>
      <c r="E616" s="245" t="s">
        <v>1742</v>
      </c>
      <c r="F616" s="244" t="s">
        <v>1743</v>
      </c>
      <c r="G616" s="245" t="s">
        <v>1744</v>
      </c>
      <c r="H616" s="346" t="s">
        <v>149</v>
      </c>
      <c r="I616" s="336" t="s">
        <v>120</v>
      </c>
      <c r="J61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16" s="160">
        <v>429769</v>
      </c>
      <c r="L616" s="160">
        <f>+Reactivos_[[#This Row],[Cantidad]]*Reactivos_[[#This Row],[Valor de referencia]]</f>
        <v>859538</v>
      </c>
      <c r="M616" s="254">
        <v>0</v>
      </c>
      <c r="N616" s="255">
        <f>+Reactivos_[[#This Row],[Valor de referencia]]*Reactivos_[[#This Row],[Cantidad LANIP]]</f>
        <v>0</v>
      </c>
      <c r="O616" s="256">
        <v>1</v>
      </c>
      <c r="P616" s="255">
        <f>+Reactivos_[[#This Row],[Cantidad 
LDV]]*Reactivos_[[#This Row],[Valor de referencia]]</f>
        <v>429769</v>
      </c>
      <c r="Q616" s="257">
        <v>1</v>
      </c>
      <c r="R616" s="255">
        <f>+Reactivos_[[#This Row],[Cantidad LNDV]]*Reactivos_[[#This Row],[Valor de referencia]]</f>
        <v>429769</v>
      </c>
      <c r="S616" s="148"/>
      <c r="T616" s="255">
        <f>+Reactivos_[[#This Row],[GGCA]]*Reactivos_[[#This Row],[Valor de referencia]]</f>
        <v>0</v>
      </c>
      <c r="U616" s="254"/>
      <c r="V616" s="255">
        <f>+Reactivos_[[#This Row],[Cantidad LDF]]*Reactivos_[[#This Row],[Valor de referencia]]</f>
        <v>0</v>
      </c>
      <c r="W616" s="254"/>
      <c r="X616" s="255">
        <f>+Reactivos_[[#This Row],[Cantidad LDF&amp;MR]]*Reactivos_[[#This Row],[Valor de referencia]]</f>
        <v>0</v>
      </c>
      <c r="Y616" s="254"/>
      <c r="Z616" s="255">
        <f>+Reactivos_[[#This Row],[Cantidad RED LASE]]*Reactivos_[[#This Row],[Valor de referencia]]</f>
        <v>0</v>
      </c>
      <c r="AA616" s="254"/>
      <c r="AB616" s="255">
        <f>+Reactivos_[[#This Row],[Cantidad LANIA]]*Reactivos_[[#This Row],[Valor de referencia]]</f>
        <v>0</v>
      </c>
      <c r="AC616" s="254"/>
      <c r="AD616" s="255">
        <f>+Reactivos_[[#This Row],[Cantidad SPA]]*Reactivos_[[#This Row],[Valor de referencia]]</f>
        <v>0</v>
      </c>
      <c r="AE616" s="148" t="s">
        <v>76</v>
      </c>
      <c r="AF616" s="148" t="s">
        <v>77</v>
      </c>
    </row>
    <row r="617" spans="1:32" ht="29.45" customHeight="1" x14ac:dyDescent="0.25">
      <c r="A617" s="294" t="str">
        <f>IF(B617=Reactivos_[[#This Row],[Cantidad LANIP]],"LANIP",IF(B617=Reactivos_[[#This Row],[Cantidad 
LDV]],"LDV",IF(B617=Reactivos_[[#This Row],[Cantidad LNDV]],"LNDV",IF(B617=Reactivos_[[#This Row],[GGCA]],"GGCA",IF(B617=Reactivos_[[#This Row],[Cantidad LDF]],"LDF",IF(Reactivos_[[#This Row],[Cantidad LDF&amp;MR]],"LDF&amp;MR",IF(B617=Reactivos_[[#This Row],[Cantidad RED LASE]],"LASE",IF(B617=Reactivos_[[#This Row],[Cantidad LANIA]],"LANIA",IF(B617=Reactivos_[[#This Row],[Cantidad SPA]],"SPA"," ")))))))))</f>
        <v>LANIP</v>
      </c>
      <c r="B61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617" s="325">
        <v>615</v>
      </c>
      <c r="D617" s="326">
        <v>917</v>
      </c>
      <c r="E617" s="327" t="s">
        <v>1745</v>
      </c>
      <c r="F617" s="350" t="s">
        <v>766</v>
      </c>
      <c r="G617" s="317" t="s">
        <v>1746</v>
      </c>
      <c r="H617" s="348" t="s">
        <v>1747</v>
      </c>
      <c r="I617" s="329" t="s">
        <v>1256</v>
      </c>
      <c r="J61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617" s="160">
        <v>402354</v>
      </c>
      <c r="L617" s="160">
        <f>+Reactivos_[[#This Row],[Cantidad]]*Reactivos_[[#This Row],[Valor de referencia]]</f>
        <v>4023540</v>
      </c>
      <c r="M617" s="254">
        <v>8</v>
      </c>
      <c r="N617" s="255">
        <f>+Reactivos_[[#This Row],[Valor de referencia]]*Reactivos_[[#This Row],[Cantidad LANIP]]</f>
        <v>3218832</v>
      </c>
      <c r="O617" s="256">
        <v>1</v>
      </c>
      <c r="P617" s="255">
        <f>+Reactivos_[[#This Row],[Cantidad 
LDV]]*Reactivos_[[#This Row],[Valor de referencia]]</f>
        <v>402354</v>
      </c>
      <c r="Q617" s="257">
        <v>1</v>
      </c>
      <c r="R617" s="255">
        <f>+Reactivos_[[#This Row],[Cantidad LNDV]]*Reactivos_[[#This Row],[Valor de referencia]]</f>
        <v>402354</v>
      </c>
      <c r="S617" s="148"/>
      <c r="T617" s="255">
        <f>+Reactivos_[[#This Row],[GGCA]]*Reactivos_[[#This Row],[Valor de referencia]]</f>
        <v>0</v>
      </c>
      <c r="U617" s="254"/>
      <c r="V617" s="255">
        <f>+Reactivos_[[#This Row],[Cantidad LDF]]*Reactivos_[[#This Row],[Valor de referencia]]</f>
        <v>0</v>
      </c>
      <c r="W617" s="254"/>
      <c r="X617" s="255">
        <f>+Reactivos_[[#This Row],[Cantidad LDF&amp;MR]]*Reactivos_[[#This Row],[Valor de referencia]]</f>
        <v>0</v>
      </c>
      <c r="Y617" s="254"/>
      <c r="Z617" s="255">
        <f>+Reactivos_[[#This Row],[Cantidad RED LASE]]*Reactivos_[[#This Row],[Valor de referencia]]</f>
        <v>0</v>
      </c>
      <c r="AA617" s="254"/>
      <c r="AB617" s="255">
        <f>+Reactivos_[[#This Row],[Cantidad LANIA]]*Reactivos_[[#This Row],[Valor de referencia]]</f>
        <v>0</v>
      </c>
      <c r="AC617" s="254"/>
      <c r="AD617" s="255">
        <f>+Reactivos_[[#This Row],[Cantidad SPA]]*Reactivos_[[#This Row],[Valor de referencia]]</f>
        <v>0</v>
      </c>
      <c r="AE617" s="148" t="s">
        <v>76</v>
      </c>
      <c r="AF617" s="148" t="s">
        <v>77</v>
      </c>
    </row>
    <row r="618" spans="1:32" ht="29.45" customHeight="1" x14ac:dyDescent="0.25">
      <c r="A618" s="294" t="str">
        <f>IF(B618=Reactivos_[[#This Row],[Cantidad LANIP]],"LANIP",IF(B618=Reactivos_[[#This Row],[Cantidad 
LDV]],"LDV",IF(B618=Reactivos_[[#This Row],[Cantidad LNDV]],"LNDV",IF(B618=Reactivos_[[#This Row],[GGCA]],"GGCA",IF(B618=Reactivos_[[#This Row],[Cantidad LDF]],"LDF",IF(Reactivos_[[#This Row],[Cantidad LDF&amp;MR]],"LDF&amp;MR",IF(B618=Reactivos_[[#This Row],[Cantidad RED LASE]],"LASE",IF(B618=Reactivos_[[#This Row],[Cantidad LANIA]],"LANIA",IF(B618=Reactivos_[[#This Row],[Cantidad SPA]],"SPA"," ")))))))))</f>
        <v>LANIA</v>
      </c>
      <c r="B61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18" s="325">
        <v>616</v>
      </c>
      <c r="D618" s="326">
        <v>918</v>
      </c>
      <c r="E618" s="245" t="s">
        <v>1748</v>
      </c>
      <c r="F618" s="244" t="s">
        <v>1749</v>
      </c>
      <c r="G618" s="245"/>
      <c r="H618" s="346" t="s">
        <v>1750</v>
      </c>
      <c r="I618" s="408" t="s">
        <v>1751</v>
      </c>
      <c r="J61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18" s="160">
        <v>679728</v>
      </c>
      <c r="L618" s="160">
        <f>+Reactivos_[[#This Row],[Cantidad]]*Reactivos_[[#This Row],[Valor de referencia]]</f>
        <v>1359456</v>
      </c>
      <c r="M618" s="254">
        <v>0</v>
      </c>
      <c r="N618" s="255">
        <f>+Reactivos_[[#This Row],[Valor de referencia]]*Reactivos_[[#This Row],[Cantidad LANIP]]</f>
        <v>0</v>
      </c>
      <c r="O618" s="256"/>
      <c r="P618" s="255">
        <f>+Reactivos_[[#This Row],[Cantidad 
LDV]]*Reactivos_[[#This Row],[Valor de referencia]]</f>
        <v>0</v>
      </c>
      <c r="Q618" s="257"/>
      <c r="R618" s="255">
        <f>+Reactivos_[[#This Row],[Cantidad LNDV]]*Reactivos_[[#This Row],[Valor de referencia]]</f>
        <v>0</v>
      </c>
      <c r="S618" s="148"/>
      <c r="T618" s="255">
        <f>+Reactivos_[[#This Row],[GGCA]]*Reactivos_[[#This Row],[Valor de referencia]]</f>
        <v>0</v>
      </c>
      <c r="U618" s="254"/>
      <c r="V618" s="255">
        <f>+Reactivos_[[#This Row],[Cantidad LDF]]*Reactivos_[[#This Row],[Valor de referencia]]</f>
        <v>0</v>
      </c>
      <c r="W618" s="254"/>
      <c r="X618" s="255">
        <f>+Reactivos_[[#This Row],[Cantidad LDF&amp;MR]]*Reactivos_[[#This Row],[Valor de referencia]]</f>
        <v>0</v>
      </c>
      <c r="Y618" s="254"/>
      <c r="Z618" s="255">
        <f>+Reactivos_[[#This Row],[Cantidad RED LASE]]*Reactivos_[[#This Row],[Valor de referencia]]</f>
        <v>0</v>
      </c>
      <c r="AA618" s="254">
        <v>2</v>
      </c>
      <c r="AB618" s="255">
        <f>+Reactivos_[[#This Row],[Cantidad LANIA]]*Reactivos_[[#This Row],[Valor de referencia]]</f>
        <v>1359456</v>
      </c>
      <c r="AC618" s="254"/>
      <c r="AD618" s="255">
        <f>+Reactivos_[[#This Row],[Cantidad SPA]]*Reactivos_[[#This Row],[Valor de referencia]]</f>
        <v>0</v>
      </c>
      <c r="AE618" s="148" t="s">
        <v>76</v>
      </c>
      <c r="AF618" s="148" t="s">
        <v>77</v>
      </c>
    </row>
    <row r="619" spans="1:32" ht="29.45" customHeight="1" x14ac:dyDescent="0.25">
      <c r="A619" s="294" t="str">
        <f>IF(B619=Reactivos_[[#This Row],[Cantidad LANIP]],"LANIP",IF(B619=Reactivos_[[#This Row],[Cantidad 
LDV]],"LDV",IF(B619=Reactivos_[[#This Row],[Cantidad LNDV]],"LNDV",IF(B619=Reactivos_[[#This Row],[GGCA]],"GGCA",IF(B619=Reactivos_[[#This Row],[Cantidad LDF]],"LDF",IF(Reactivos_[[#This Row],[Cantidad LDF&amp;MR]],"LDF&amp;MR",IF(B619=Reactivos_[[#This Row],[Cantidad RED LASE]],"LASE",IF(B619=Reactivos_[[#This Row],[Cantidad LANIA]],"LANIA",IF(B619=Reactivos_[[#This Row],[Cantidad SPA]],"SPA"," ")))))))))</f>
        <v>LANIP</v>
      </c>
      <c r="B61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19" s="325">
        <v>617</v>
      </c>
      <c r="D619" s="326">
        <v>919</v>
      </c>
      <c r="E619" s="331" t="s">
        <v>1752</v>
      </c>
      <c r="F619" s="332" t="s">
        <v>1753</v>
      </c>
      <c r="G619" s="331"/>
      <c r="H619" s="348" t="s">
        <v>1750</v>
      </c>
      <c r="I619" s="329" t="s">
        <v>107</v>
      </c>
      <c r="J61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19" s="160">
        <v>746963</v>
      </c>
      <c r="L619" s="160">
        <f>+Reactivos_[[#This Row],[Cantidad]]*Reactivos_[[#This Row],[Valor de referencia]]</f>
        <v>1493926</v>
      </c>
      <c r="M619" s="254">
        <v>1</v>
      </c>
      <c r="N619" s="255">
        <f>+Reactivos_[[#This Row],[Valor de referencia]]*Reactivos_[[#This Row],[Cantidad LANIP]]</f>
        <v>746963</v>
      </c>
      <c r="O619" s="256"/>
      <c r="P619" s="255">
        <f>+Reactivos_[[#This Row],[Cantidad 
LDV]]*Reactivos_[[#This Row],[Valor de referencia]]</f>
        <v>0</v>
      </c>
      <c r="Q619" s="257"/>
      <c r="R619" s="255">
        <f>+Reactivos_[[#This Row],[Cantidad LNDV]]*Reactivos_[[#This Row],[Valor de referencia]]</f>
        <v>0</v>
      </c>
      <c r="S619" s="148"/>
      <c r="T619" s="255">
        <f>+Reactivos_[[#This Row],[GGCA]]*Reactivos_[[#This Row],[Valor de referencia]]</f>
        <v>0</v>
      </c>
      <c r="U619" s="254"/>
      <c r="V619" s="255">
        <f>+Reactivos_[[#This Row],[Cantidad LDF]]*Reactivos_[[#This Row],[Valor de referencia]]</f>
        <v>0</v>
      </c>
      <c r="W619" s="254"/>
      <c r="X619" s="255">
        <f>+Reactivos_[[#This Row],[Cantidad LDF&amp;MR]]*Reactivos_[[#This Row],[Valor de referencia]]</f>
        <v>0</v>
      </c>
      <c r="Y619" s="254"/>
      <c r="Z619" s="255">
        <f>+Reactivos_[[#This Row],[Cantidad RED LASE]]*Reactivos_[[#This Row],[Valor de referencia]]</f>
        <v>0</v>
      </c>
      <c r="AA619" s="254">
        <v>1</v>
      </c>
      <c r="AB619" s="255">
        <f>+Reactivos_[[#This Row],[Cantidad LANIA]]*Reactivos_[[#This Row],[Valor de referencia]]</f>
        <v>746963</v>
      </c>
      <c r="AC619" s="254"/>
      <c r="AD619" s="255">
        <f>+Reactivos_[[#This Row],[Cantidad SPA]]*Reactivos_[[#This Row],[Valor de referencia]]</f>
        <v>0</v>
      </c>
      <c r="AE619" s="148" t="s">
        <v>76</v>
      </c>
      <c r="AF619" s="148" t="s">
        <v>77</v>
      </c>
    </row>
    <row r="620" spans="1:32" ht="29.45" customHeight="1" x14ac:dyDescent="0.25">
      <c r="A620" s="294" t="str">
        <f>IF(B620=Reactivos_[[#This Row],[Cantidad LANIP]],"LANIP",IF(B620=Reactivos_[[#This Row],[Cantidad 
LDV]],"LDV",IF(B620=Reactivos_[[#This Row],[Cantidad LNDV]],"LNDV",IF(B620=Reactivos_[[#This Row],[GGCA]],"GGCA",IF(B620=Reactivos_[[#This Row],[Cantidad LDF]],"LDF",IF(Reactivos_[[#This Row],[Cantidad LDF&amp;MR]],"LDF&amp;MR",IF(B620=Reactivos_[[#This Row],[Cantidad RED LASE]],"LASE",IF(B620=Reactivos_[[#This Row],[Cantidad LANIA]],"LANIA",IF(B620=Reactivos_[[#This Row],[Cantidad SPA]],"SPA"," ")))))))))</f>
        <v>LANIA</v>
      </c>
      <c r="B62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20" s="325">
        <v>618</v>
      </c>
      <c r="D620" s="326">
        <v>920</v>
      </c>
      <c r="E620" s="327" t="s">
        <v>1754</v>
      </c>
      <c r="F620" s="244" t="s">
        <v>1755</v>
      </c>
      <c r="G620" s="327"/>
      <c r="H620" s="328" t="s">
        <v>1756</v>
      </c>
      <c r="I620" s="408" t="s">
        <v>1751</v>
      </c>
      <c r="J62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620" s="160">
        <v>416500</v>
      </c>
      <c r="L620" s="160">
        <f>+Reactivos_[[#This Row],[Cantidad]]*Reactivos_[[#This Row],[Valor de referencia]]</f>
        <v>1249500</v>
      </c>
      <c r="M620" s="254">
        <v>1</v>
      </c>
      <c r="N620" s="255">
        <f>+Reactivos_[[#This Row],[Valor de referencia]]*Reactivos_[[#This Row],[Cantidad LANIP]]</f>
        <v>416500</v>
      </c>
      <c r="O620" s="256"/>
      <c r="P620" s="255">
        <f>+Reactivos_[[#This Row],[Cantidad 
LDV]]*Reactivos_[[#This Row],[Valor de referencia]]</f>
        <v>0</v>
      </c>
      <c r="Q620" s="257"/>
      <c r="R620" s="255">
        <f>+Reactivos_[[#This Row],[Cantidad LNDV]]*Reactivos_[[#This Row],[Valor de referencia]]</f>
        <v>0</v>
      </c>
      <c r="S620" s="148"/>
      <c r="T620" s="255">
        <f>+Reactivos_[[#This Row],[GGCA]]*Reactivos_[[#This Row],[Valor de referencia]]</f>
        <v>0</v>
      </c>
      <c r="U620" s="254"/>
      <c r="V620" s="255">
        <f>+Reactivos_[[#This Row],[Cantidad LDF]]*Reactivos_[[#This Row],[Valor de referencia]]</f>
        <v>0</v>
      </c>
      <c r="W620" s="254"/>
      <c r="X620" s="255">
        <f>+Reactivos_[[#This Row],[Cantidad LDF&amp;MR]]*Reactivos_[[#This Row],[Valor de referencia]]</f>
        <v>0</v>
      </c>
      <c r="Y620" s="254"/>
      <c r="Z620" s="255">
        <f>+Reactivos_[[#This Row],[Cantidad RED LASE]]*Reactivos_[[#This Row],[Valor de referencia]]</f>
        <v>0</v>
      </c>
      <c r="AA620" s="254">
        <v>2</v>
      </c>
      <c r="AB620" s="255">
        <f>+Reactivos_[[#This Row],[Cantidad LANIA]]*Reactivos_[[#This Row],[Valor de referencia]]</f>
        <v>833000</v>
      </c>
      <c r="AC620" s="254"/>
      <c r="AD620" s="255">
        <f>+Reactivos_[[#This Row],[Cantidad SPA]]*Reactivos_[[#This Row],[Valor de referencia]]</f>
        <v>0</v>
      </c>
      <c r="AE620" s="148" t="s">
        <v>76</v>
      </c>
      <c r="AF620" s="148" t="s">
        <v>77</v>
      </c>
    </row>
    <row r="621" spans="1:32" ht="29.45" customHeight="1" x14ac:dyDescent="0.25">
      <c r="A621" s="294" t="str">
        <f>IF(B621=Reactivos_[[#This Row],[Cantidad LANIP]],"LANIP",IF(B621=Reactivos_[[#This Row],[Cantidad 
LDV]],"LDV",IF(B621=Reactivos_[[#This Row],[Cantidad LNDV]],"LNDV",IF(B621=Reactivos_[[#This Row],[GGCA]],"GGCA",IF(B621=Reactivos_[[#This Row],[Cantidad LDF]],"LDF",IF(Reactivos_[[#This Row],[Cantidad LDF&amp;MR]],"LDF&amp;MR",IF(B621=Reactivos_[[#This Row],[Cantidad RED LASE]],"LASE",IF(B621=Reactivos_[[#This Row],[Cantidad LANIA]],"LANIA",IF(B621=Reactivos_[[#This Row],[Cantidad SPA]],"SPA"," ")))))))))</f>
        <v>LANIP</v>
      </c>
      <c r="B62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21" s="325">
        <v>619</v>
      </c>
      <c r="D621" s="326">
        <v>921</v>
      </c>
      <c r="E621" s="245" t="s">
        <v>1757</v>
      </c>
      <c r="F621" s="244" t="s">
        <v>1758</v>
      </c>
      <c r="G621" s="245"/>
      <c r="H621" s="346" t="s">
        <v>1759</v>
      </c>
      <c r="I621" s="329" t="s">
        <v>107</v>
      </c>
      <c r="J62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21" s="160">
        <v>746963</v>
      </c>
      <c r="L621" s="160">
        <f>+Reactivos_[[#This Row],[Cantidad]]*Reactivos_[[#This Row],[Valor de referencia]]</f>
        <v>1493926</v>
      </c>
      <c r="M621" s="254">
        <v>1</v>
      </c>
      <c r="N621" s="255">
        <f>+Reactivos_[[#This Row],[Valor de referencia]]*Reactivos_[[#This Row],[Cantidad LANIP]]</f>
        <v>746963</v>
      </c>
      <c r="O621" s="256"/>
      <c r="P621" s="255">
        <f>+Reactivos_[[#This Row],[Cantidad 
LDV]]*Reactivos_[[#This Row],[Valor de referencia]]</f>
        <v>0</v>
      </c>
      <c r="Q621" s="257"/>
      <c r="R621" s="255">
        <f>+Reactivos_[[#This Row],[Cantidad LNDV]]*Reactivos_[[#This Row],[Valor de referencia]]</f>
        <v>0</v>
      </c>
      <c r="S621" s="148"/>
      <c r="T621" s="255">
        <f>+Reactivos_[[#This Row],[GGCA]]*Reactivos_[[#This Row],[Valor de referencia]]</f>
        <v>0</v>
      </c>
      <c r="U621" s="254"/>
      <c r="V621" s="255">
        <f>+Reactivos_[[#This Row],[Cantidad LDF]]*Reactivos_[[#This Row],[Valor de referencia]]</f>
        <v>0</v>
      </c>
      <c r="W621" s="254"/>
      <c r="X621" s="255">
        <f>+Reactivos_[[#This Row],[Cantidad LDF&amp;MR]]*Reactivos_[[#This Row],[Valor de referencia]]</f>
        <v>0</v>
      </c>
      <c r="Y621" s="254"/>
      <c r="Z621" s="255">
        <f>+Reactivos_[[#This Row],[Cantidad RED LASE]]*Reactivos_[[#This Row],[Valor de referencia]]</f>
        <v>0</v>
      </c>
      <c r="AA621" s="254">
        <v>1</v>
      </c>
      <c r="AB621" s="255">
        <f>+Reactivos_[[#This Row],[Cantidad LANIA]]*Reactivos_[[#This Row],[Valor de referencia]]</f>
        <v>746963</v>
      </c>
      <c r="AC621" s="254"/>
      <c r="AD621" s="255">
        <f>+Reactivos_[[#This Row],[Cantidad SPA]]*Reactivos_[[#This Row],[Valor de referencia]]</f>
        <v>0</v>
      </c>
      <c r="AE621" s="148" t="s">
        <v>76</v>
      </c>
      <c r="AF621" s="148" t="s">
        <v>77</v>
      </c>
    </row>
    <row r="622" spans="1:32" ht="29.45" customHeight="1" x14ac:dyDescent="0.25">
      <c r="A622" s="294" t="str">
        <f>IF(B622=Reactivos_[[#This Row],[Cantidad LANIP]],"LANIP",IF(B622=Reactivos_[[#This Row],[Cantidad 
LDV]],"LDV",IF(B622=Reactivos_[[#This Row],[Cantidad LNDV]],"LNDV",IF(B622=Reactivos_[[#This Row],[GGCA]],"GGCA",IF(B622=Reactivos_[[#This Row],[Cantidad LDF]],"LDF",IF(Reactivos_[[#This Row],[Cantidad LDF&amp;MR]],"LDF&amp;MR",IF(B622=Reactivos_[[#This Row],[Cantidad RED LASE]],"LASE",IF(B622=Reactivos_[[#This Row],[Cantidad LANIA]],"LANIA",IF(B622=Reactivos_[[#This Row],[Cantidad SPA]],"SPA"," ")))))))))</f>
        <v>LNDV</v>
      </c>
      <c r="B62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22" s="325">
        <v>620</v>
      </c>
      <c r="D622" s="326">
        <v>922</v>
      </c>
      <c r="E622" s="327" t="s">
        <v>1760</v>
      </c>
      <c r="F622" s="244"/>
      <c r="G622" s="327"/>
      <c r="H622" s="330" t="s">
        <v>1761</v>
      </c>
      <c r="I622" s="347" t="s">
        <v>301</v>
      </c>
      <c r="J62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22" s="160">
        <v>234622</v>
      </c>
      <c r="L622" s="160">
        <f>+Reactivos_[[#This Row],[Cantidad]]*Reactivos_[[#This Row],[Valor de referencia]]</f>
        <v>234622</v>
      </c>
      <c r="M622" s="254">
        <v>0</v>
      </c>
      <c r="N622" s="255">
        <f>+Reactivos_[[#This Row],[Valor de referencia]]*Reactivos_[[#This Row],[Cantidad LANIP]]</f>
        <v>0</v>
      </c>
      <c r="O622" s="256"/>
      <c r="P622" s="255">
        <f>+Reactivos_[[#This Row],[Cantidad 
LDV]]*Reactivos_[[#This Row],[Valor de referencia]]</f>
        <v>0</v>
      </c>
      <c r="Q622" s="257">
        <v>1</v>
      </c>
      <c r="R622" s="255">
        <f>+Reactivos_[[#This Row],[Cantidad LNDV]]*Reactivos_[[#This Row],[Valor de referencia]]</f>
        <v>234622</v>
      </c>
      <c r="S622" s="148"/>
      <c r="T622" s="255">
        <f>+Reactivos_[[#This Row],[GGCA]]*Reactivos_[[#This Row],[Valor de referencia]]</f>
        <v>0</v>
      </c>
      <c r="U622" s="254"/>
      <c r="V622" s="255">
        <f>+Reactivos_[[#This Row],[Cantidad LDF]]*Reactivos_[[#This Row],[Valor de referencia]]</f>
        <v>0</v>
      </c>
      <c r="W622" s="254"/>
      <c r="X622" s="255">
        <f>+Reactivos_[[#This Row],[Cantidad LDF&amp;MR]]*Reactivos_[[#This Row],[Valor de referencia]]</f>
        <v>0</v>
      </c>
      <c r="Y622" s="254"/>
      <c r="Z622" s="255">
        <f>+Reactivos_[[#This Row],[Cantidad RED LASE]]*Reactivos_[[#This Row],[Valor de referencia]]</f>
        <v>0</v>
      </c>
      <c r="AA622" s="254"/>
      <c r="AB622" s="255">
        <f>+Reactivos_[[#This Row],[Cantidad LANIA]]*Reactivos_[[#This Row],[Valor de referencia]]</f>
        <v>0</v>
      </c>
      <c r="AC622" s="254"/>
      <c r="AD622" s="255">
        <f>+Reactivos_[[#This Row],[Cantidad SPA]]*Reactivos_[[#This Row],[Valor de referencia]]</f>
        <v>0</v>
      </c>
      <c r="AE622" s="148" t="s">
        <v>76</v>
      </c>
      <c r="AF622" s="148" t="s">
        <v>77</v>
      </c>
    </row>
    <row r="623" spans="1:32" ht="75.75" customHeight="1" x14ac:dyDescent="0.25">
      <c r="A623" s="294" t="str">
        <f>IF(B623=Reactivos_[[#This Row],[Cantidad LANIP]],"LANIP",IF(B623=Reactivos_[[#This Row],[Cantidad 
LDV]],"LDV",IF(B623=Reactivos_[[#This Row],[Cantidad LNDV]],"LNDV",IF(B623=Reactivos_[[#This Row],[GGCA]],"GGCA",IF(B623=Reactivos_[[#This Row],[Cantidad LDF]],"LDF",IF(Reactivos_[[#This Row],[Cantidad LDF&amp;MR]],"LDF&amp;MR",IF(B623=Reactivos_[[#This Row],[Cantidad RED LASE]],"LASE",IF(B623=Reactivos_[[#This Row],[Cantidad LANIA]],"LANIA",IF(B623=Reactivos_[[#This Row],[Cantidad SPA]],"SPA"," ")))))))))</f>
        <v>LANIP</v>
      </c>
      <c r="B62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23" s="325">
        <v>621</v>
      </c>
      <c r="D623" s="326">
        <v>923</v>
      </c>
      <c r="E623" s="331" t="s">
        <v>1762</v>
      </c>
      <c r="F623" s="332" t="s">
        <v>1763</v>
      </c>
      <c r="G623" s="331"/>
      <c r="H623" s="349" t="s">
        <v>289</v>
      </c>
      <c r="I623" s="329" t="s">
        <v>107</v>
      </c>
      <c r="J62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23" s="160">
        <v>679728</v>
      </c>
      <c r="L623" s="160">
        <f>+Reactivos_[[#This Row],[Cantidad]]*Reactivos_[[#This Row],[Valor de referencia]]</f>
        <v>1359456</v>
      </c>
      <c r="M623" s="254">
        <v>1</v>
      </c>
      <c r="N623" s="255">
        <f>+Reactivos_[[#This Row],[Valor de referencia]]*Reactivos_[[#This Row],[Cantidad LANIP]]</f>
        <v>679728</v>
      </c>
      <c r="O623" s="256"/>
      <c r="P623" s="255">
        <f>+Reactivos_[[#This Row],[Cantidad 
LDV]]*Reactivos_[[#This Row],[Valor de referencia]]</f>
        <v>0</v>
      </c>
      <c r="Q623" s="257"/>
      <c r="R623" s="255">
        <f>+Reactivos_[[#This Row],[Cantidad LNDV]]*Reactivos_[[#This Row],[Valor de referencia]]</f>
        <v>0</v>
      </c>
      <c r="S623" s="148"/>
      <c r="T623" s="255">
        <f>+Reactivos_[[#This Row],[GGCA]]*Reactivos_[[#This Row],[Valor de referencia]]</f>
        <v>0</v>
      </c>
      <c r="U623" s="254"/>
      <c r="V623" s="255">
        <f>+Reactivos_[[#This Row],[Cantidad LDF]]*Reactivos_[[#This Row],[Valor de referencia]]</f>
        <v>0</v>
      </c>
      <c r="W623" s="254"/>
      <c r="X623" s="255">
        <f>+Reactivos_[[#This Row],[Cantidad LDF&amp;MR]]*Reactivos_[[#This Row],[Valor de referencia]]</f>
        <v>0</v>
      </c>
      <c r="Y623" s="254"/>
      <c r="Z623" s="255">
        <f>+Reactivos_[[#This Row],[Cantidad RED LASE]]*Reactivos_[[#This Row],[Valor de referencia]]</f>
        <v>0</v>
      </c>
      <c r="AA623" s="254">
        <v>1</v>
      </c>
      <c r="AB623" s="255">
        <f>+Reactivos_[[#This Row],[Cantidad LANIA]]*Reactivos_[[#This Row],[Valor de referencia]]</f>
        <v>679728</v>
      </c>
      <c r="AC623" s="254"/>
      <c r="AD623" s="255">
        <f>+Reactivos_[[#This Row],[Cantidad SPA]]*Reactivos_[[#This Row],[Valor de referencia]]</f>
        <v>0</v>
      </c>
      <c r="AE623" s="148" t="s">
        <v>76</v>
      </c>
      <c r="AF623" s="148" t="s">
        <v>77</v>
      </c>
    </row>
    <row r="624" spans="1:32" ht="29.45" customHeight="1" x14ac:dyDescent="0.25">
      <c r="A624" s="294" t="str">
        <f>IF(B624=Reactivos_[[#This Row],[Cantidad LANIP]],"LANIP",IF(B624=Reactivos_[[#This Row],[Cantidad 
LDV]],"LDV",IF(B624=Reactivos_[[#This Row],[Cantidad LNDV]],"LNDV",IF(B624=Reactivos_[[#This Row],[GGCA]],"GGCA",IF(B624=Reactivos_[[#This Row],[Cantidad LDF]],"LDF",IF(Reactivos_[[#This Row],[Cantidad LDF&amp;MR]],"LDF&amp;MR",IF(B624=Reactivos_[[#This Row],[Cantidad RED LASE]],"LASE",IF(B624=Reactivos_[[#This Row],[Cantidad LANIA]],"LANIA",IF(B624=Reactivos_[[#This Row],[Cantidad SPA]],"SPA"," ")))))))))</f>
        <v>LANIP</v>
      </c>
      <c r="B62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24" s="325">
        <v>622</v>
      </c>
      <c r="D624" s="326">
        <v>927</v>
      </c>
      <c r="E624" s="331" t="s">
        <v>1764</v>
      </c>
      <c r="F624" s="332" t="s">
        <v>1765</v>
      </c>
      <c r="G624" s="331"/>
      <c r="H624" s="348" t="s">
        <v>1759</v>
      </c>
      <c r="I624" s="329" t="s">
        <v>1766</v>
      </c>
      <c r="J62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24" s="160">
        <v>509635</v>
      </c>
      <c r="L624" s="160">
        <f>+Reactivos_[[#This Row],[Cantidad]]*Reactivos_[[#This Row],[Valor de referencia]]</f>
        <v>1019270</v>
      </c>
      <c r="M624" s="254">
        <v>1</v>
      </c>
      <c r="N624" s="255">
        <f>+Reactivos_[[#This Row],[Valor de referencia]]*Reactivos_[[#This Row],[Cantidad LANIP]]</f>
        <v>509635</v>
      </c>
      <c r="O624" s="256"/>
      <c r="P624" s="255">
        <f>+Reactivos_[[#This Row],[Cantidad 
LDV]]*Reactivos_[[#This Row],[Valor de referencia]]</f>
        <v>0</v>
      </c>
      <c r="Q624" s="257"/>
      <c r="R624" s="255">
        <f>+Reactivos_[[#This Row],[Cantidad LNDV]]*Reactivos_[[#This Row],[Valor de referencia]]</f>
        <v>0</v>
      </c>
      <c r="S624" s="148"/>
      <c r="T624" s="255">
        <f>+Reactivos_[[#This Row],[GGCA]]*Reactivos_[[#This Row],[Valor de referencia]]</f>
        <v>0</v>
      </c>
      <c r="U624" s="254"/>
      <c r="V624" s="255">
        <f>+Reactivos_[[#This Row],[Cantidad LDF]]*Reactivos_[[#This Row],[Valor de referencia]]</f>
        <v>0</v>
      </c>
      <c r="W624" s="254"/>
      <c r="X624" s="255">
        <f>+Reactivos_[[#This Row],[Cantidad LDF&amp;MR]]*Reactivos_[[#This Row],[Valor de referencia]]</f>
        <v>0</v>
      </c>
      <c r="Y624" s="254"/>
      <c r="Z624" s="255">
        <f>+Reactivos_[[#This Row],[Cantidad RED LASE]]*Reactivos_[[#This Row],[Valor de referencia]]</f>
        <v>0</v>
      </c>
      <c r="AA624" s="254">
        <v>1</v>
      </c>
      <c r="AB624" s="255">
        <f>+Reactivos_[[#This Row],[Cantidad LANIA]]*Reactivos_[[#This Row],[Valor de referencia]]</f>
        <v>509635</v>
      </c>
      <c r="AC624" s="254"/>
      <c r="AD624" s="255">
        <f>+Reactivos_[[#This Row],[Cantidad SPA]]*Reactivos_[[#This Row],[Valor de referencia]]</f>
        <v>0</v>
      </c>
      <c r="AE624" s="148" t="s">
        <v>76</v>
      </c>
      <c r="AF624" s="148" t="s">
        <v>77</v>
      </c>
    </row>
    <row r="625" spans="1:32" ht="29.45" customHeight="1" x14ac:dyDescent="0.25">
      <c r="A625" s="294" t="str">
        <f>IF(B625=Reactivos_[[#This Row],[Cantidad LANIP]],"LANIP",IF(B625=Reactivos_[[#This Row],[Cantidad 
LDV]],"LDV",IF(B625=Reactivos_[[#This Row],[Cantidad LNDV]],"LNDV",IF(B625=Reactivos_[[#This Row],[GGCA]],"GGCA",IF(B625=Reactivos_[[#This Row],[Cantidad LDF]],"LDF",IF(Reactivos_[[#This Row],[Cantidad LDF&amp;MR]],"LDF&amp;MR",IF(B625=Reactivos_[[#This Row],[Cantidad RED LASE]],"LASE",IF(B625=Reactivos_[[#This Row],[Cantidad LANIA]],"LANIA",IF(B625=Reactivos_[[#This Row],[Cantidad SPA]],"SPA"," ")))))))))</f>
        <v>LANIA</v>
      </c>
      <c r="B62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25" s="325">
        <v>623</v>
      </c>
      <c r="D625" s="326">
        <v>928</v>
      </c>
      <c r="E625" s="245" t="s">
        <v>1767</v>
      </c>
      <c r="F625" s="244" t="s">
        <v>1768</v>
      </c>
      <c r="G625" s="245"/>
      <c r="H625" s="349" t="s">
        <v>1769</v>
      </c>
      <c r="I625" s="408" t="s">
        <v>1751</v>
      </c>
      <c r="J62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625" s="160">
        <v>525176</v>
      </c>
      <c r="L625" s="160">
        <f>+Reactivos_[[#This Row],[Cantidad]]*Reactivos_[[#This Row],[Valor de referencia]]</f>
        <v>1575528</v>
      </c>
      <c r="M625" s="254">
        <v>1</v>
      </c>
      <c r="N625" s="255">
        <f>+Reactivos_[[#This Row],[Valor de referencia]]*Reactivos_[[#This Row],[Cantidad LANIP]]</f>
        <v>525176</v>
      </c>
      <c r="O625" s="256"/>
      <c r="P625" s="255">
        <f>+Reactivos_[[#This Row],[Cantidad 
LDV]]*Reactivos_[[#This Row],[Valor de referencia]]</f>
        <v>0</v>
      </c>
      <c r="Q625" s="257"/>
      <c r="R625" s="255">
        <f>+Reactivos_[[#This Row],[Cantidad LNDV]]*Reactivos_[[#This Row],[Valor de referencia]]</f>
        <v>0</v>
      </c>
      <c r="S625" s="148"/>
      <c r="T625" s="255">
        <f>+Reactivos_[[#This Row],[GGCA]]*Reactivos_[[#This Row],[Valor de referencia]]</f>
        <v>0</v>
      </c>
      <c r="U625" s="254"/>
      <c r="V625" s="255">
        <f>+Reactivos_[[#This Row],[Cantidad LDF]]*Reactivos_[[#This Row],[Valor de referencia]]</f>
        <v>0</v>
      </c>
      <c r="W625" s="254"/>
      <c r="X625" s="255">
        <f>+Reactivos_[[#This Row],[Cantidad LDF&amp;MR]]*Reactivos_[[#This Row],[Valor de referencia]]</f>
        <v>0</v>
      </c>
      <c r="Y625" s="254"/>
      <c r="Z625" s="255">
        <f>+Reactivos_[[#This Row],[Cantidad RED LASE]]*Reactivos_[[#This Row],[Valor de referencia]]</f>
        <v>0</v>
      </c>
      <c r="AA625" s="254">
        <v>2</v>
      </c>
      <c r="AB625" s="255">
        <f>+Reactivos_[[#This Row],[Cantidad LANIA]]*Reactivos_[[#This Row],[Valor de referencia]]</f>
        <v>1050352</v>
      </c>
      <c r="AC625" s="254"/>
      <c r="AD625" s="255">
        <f>+Reactivos_[[#This Row],[Cantidad SPA]]*Reactivos_[[#This Row],[Valor de referencia]]</f>
        <v>0</v>
      </c>
      <c r="AE625" s="148" t="s">
        <v>76</v>
      </c>
      <c r="AF625" s="148" t="s">
        <v>77</v>
      </c>
    </row>
    <row r="626" spans="1:32" ht="45" customHeight="1" x14ac:dyDescent="0.25">
      <c r="A626" s="294" t="str">
        <f>IF(B626=Reactivos_[[#This Row],[Cantidad LANIP]],"LANIP",IF(B626=Reactivos_[[#This Row],[Cantidad 
LDV]],"LDV",IF(B626=Reactivos_[[#This Row],[Cantidad LNDV]],"LNDV",IF(B626=Reactivos_[[#This Row],[GGCA]],"GGCA",IF(B626=Reactivos_[[#This Row],[Cantidad LDF]],"LDF",IF(Reactivos_[[#This Row],[Cantidad LDF&amp;MR]],"LDF&amp;MR",IF(B626=Reactivos_[[#This Row],[Cantidad RED LASE]],"LASE",IF(B626=Reactivos_[[#This Row],[Cantidad LANIA]],"LANIA",IF(B626=Reactivos_[[#This Row],[Cantidad SPA]],"SPA"," ")))))))))</f>
        <v>LANIA</v>
      </c>
      <c r="B62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26" s="325">
        <v>624</v>
      </c>
      <c r="D626" s="326">
        <v>929</v>
      </c>
      <c r="E626" s="414" t="s">
        <v>1770</v>
      </c>
      <c r="F626" s="244" t="s">
        <v>1771</v>
      </c>
      <c r="G626" s="245"/>
      <c r="H626" s="349" t="s">
        <v>1769</v>
      </c>
      <c r="I626" s="408" t="s">
        <v>1751</v>
      </c>
      <c r="J62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26" s="160">
        <v>393176</v>
      </c>
      <c r="L626" s="160">
        <f>+Reactivos_[[#This Row],[Cantidad]]*Reactivos_[[#This Row],[Valor de referencia]]</f>
        <v>786352</v>
      </c>
      <c r="M626" s="254">
        <v>0</v>
      </c>
      <c r="N626" s="255">
        <f>+Reactivos_[[#This Row],[Valor de referencia]]*Reactivos_[[#This Row],[Cantidad LANIP]]</f>
        <v>0</v>
      </c>
      <c r="O626" s="256"/>
      <c r="P626" s="255">
        <f>+Reactivos_[[#This Row],[Cantidad 
LDV]]*Reactivos_[[#This Row],[Valor de referencia]]</f>
        <v>0</v>
      </c>
      <c r="Q626" s="257"/>
      <c r="R626" s="255">
        <f>+Reactivos_[[#This Row],[Cantidad LNDV]]*Reactivos_[[#This Row],[Valor de referencia]]</f>
        <v>0</v>
      </c>
      <c r="S626" s="148"/>
      <c r="T626" s="255">
        <f>+Reactivos_[[#This Row],[GGCA]]*Reactivos_[[#This Row],[Valor de referencia]]</f>
        <v>0</v>
      </c>
      <c r="U626" s="254"/>
      <c r="V626" s="255">
        <f>+Reactivos_[[#This Row],[Cantidad LDF]]*Reactivos_[[#This Row],[Valor de referencia]]</f>
        <v>0</v>
      </c>
      <c r="W626" s="254"/>
      <c r="X626" s="255">
        <f>+Reactivos_[[#This Row],[Cantidad LDF&amp;MR]]*Reactivos_[[#This Row],[Valor de referencia]]</f>
        <v>0</v>
      </c>
      <c r="Y626" s="254"/>
      <c r="Z626" s="255">
        <f>+Reactivos_[[#This Row],[Cantidad RED LASE]]*Reactivos_[[#This Row],[Valor de referencia]]</f>
        <v>0</v>
      </c>
      <c r="AA626" s="254">
        <v>2</v>
      </c>
      <c r="AB626" s="255">
        <f>+Reactivos_[[#This Row],[Cantidad LANIA]]*Reactivos_[[#This Row],[Valor de referencia]]</f>
        <v>786352</v>
      </c>
      <c r="AC626" s="254"/>
      <c r="AD626" s="255">
        <f>+Reactivos_[[#This Row],[Cantidad SPA]]*Reactivos_[[#This Row],[Valor de referencia]]</f>
        <v>0</v>
      </c>
      <c r="AE626" s="148" t="s">
        <v>76</v>
      </c>
      <c r="AF626" s="148" t="s">
        <v>77</v>
      </c>
    </row>
    <row r="627" spans="1:32" ht="63.75" customHeight="1" x14ac:dyDescent="0.25">
      <c r="A627" s="294" t="str">
        <f>IF(B627=Reactivos_[[#This Row],[Cantidad LANIP]],"LANIP",IF(B627=Reactivos_[[#This Row],[Cantidad 
LDV]],"LDV",IF(B627=Reactivos_[[#This Row],[Cantidad LNDV]],"LNDV",IF(B627=Reactivos_[[#This Row],[GGCA]],"GGCA",IF(B627=Reactivos_[[#This Row],[Cantidad LDF]],"LDF",IF(Reactivos_[[#This Row],[Cantidad LDF&amp;MR]],"LDF&amp;MR",IF(B627=Reactivos_[[#This Row],[Cantidad RED LASE]],"LASE",IF(B627=Reactivos_[[#This Row],[Cantidad LANIA]],"LANIA",IF(B627=Reactivos_[[#This Row],[Cantidad SPA]],"SPA"," ")))))))))</f>
        <v>LANIA</v>
      </c>
      <c r="B62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27" s="325">
        <v>625</v>
      </c>
      <c r="D627" s="326">
        <v>932</v>
      </c>
      <c r="E627" s="414" t="s">
        <v>1772</v>
      </c>
      <c r="F627" s="244" t="s">
        <v>1773</v>
      </c>
      <c r="G627" s="245"/>
      <c r="H627" s="346" t="s">
        <v>682</v>
      </c>
      <c r="I627" s="408" t="s">
        <v>1751</v>
      </c>
      <c r="J62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27" s="160">
        <v>505403</v>
      </c>
      <c r="L627" s="160">
        <f>+Reactivos_[[#This Row],[Cantidad]]*Reactivos_[[#This Row],[Valor de referencia]]</f>
        <v>1010806</v>
      </c>
      <c r="M627" s="254">
        <v>0</v>
      </c>
      <c r="N627" s="255">
        <f>+Reactivos_[[#This Row],[Valor de referencia]]*Reactivos_[[#This Row],[Cantidad LANIP]]</f>
        <v>0</v>
      </c>
      <c r="O627" s="256"/>
      <c r="P627" s="255">
        <f>+Reactivos_[[#This Row],[Cantidad 
LDV]]*Reactivos_[[#This Row],[Valor de referencia]]</f>
        <v>0</v>
      </c>
      <c r="Q627" s="257"/>
      <c r="R627" s="255">
        <f>+Reactivos_[[#This Row],[Cantidad LNDV]]*Reactivos_[[#This Row],[Valor de referencia]]</f>
        <v>0</v>
      </c>
      <c r="S627" s="148"/>
      <c r="T627" s="255">
        <f>+Reactivos_[[#This Row],[GGCA]]*Reactivos_[[#This Row],[Valor de referencia]]</f>
        <v>0</v>
      </c>
      <c r="U627" s="254"/>
      <c r="V627" s="255">
        <f>+Reactivos_[[#This Row],[Cantidad LDF]]*Reactivos_[[#This Row],[Valor de referencia]]</f>
        <v>0</v>
      </c>
      <c r="W627" s="254"/>
      <c r="X627" s="255">
        <f>+Reactivos_[[#This Row],[Cantidad LDF&amp;MR]]*Reactivos_[[#This Row],[Valor de referencia]]</f>
        <v>0</v>
      </c>
      <c r="Y627" s="254"/>
      <c r="Z627" s="255">
        <f>+Reactivos_[[#This Row],[Cantidad RED LASE]]*Reactivos_[[#This Row],[Valor de referencia]]</f>
        <v>0</v>
      </c>
      <c r="AA627" s="254">
        <v>2</v>
      </c>
      <c r="AB627" s="255">
        <f>+Reactivos_[[#This Row],[Cantidad LANIA]]*Reactivos_[[#This Row],[Valor de referencia]]</f>
        <v>1010806</v>
      </c>
      <c r="AC627" s="254"/>
      <c r="AD627" s="255">
        <f>+Reactivos_[[#This Row],[Cantidad SPA]]*Reactivos_[[#This Row],[Valor de referencia]]</f>
        <v>0</v>
      </c>
      <c r="AE627" s="148" t="s">
        <v>76</v>
      </c>
      <c r="AF627" s="148" t="s">
        <v>77</v>
      </c>
    </row>
    <row r="628" spans="1:32" ht="38.25" x14ac:dyDescent="0.25">
      <c r="A628" s="294" t="str">
        <f>IF(B628=Reactivos_[[#This Row],[Cantidad LANIP]],"LANIP",IF(B628=Reactivos_[[#This Row],[Cantidad 
LDV]],"LDV",IF(B628=Reactivos_[[#This Row],[Cantidad LNDV]],"LNDV",IF(B628=Reactivos_[[#This Row],[GGCA]],"GGCA",IF(B628=Reactivos_[[#This Row],[Cantidad LDF]],"LDF",IF(Reactivos_[[#This Row],[Cantidad LDF&amp;MR]],"LDF&amp;MR",IF(B628=Reactivos_[[#This Row],[Cantidad RED LASE]],"LASE",IF(B628=Reactivos_[[#This Row],[Cantidad LANIA]],"LANIA",IF(B628=Reactivos_[[#This Row],[Cantidad SPA]],"SPA"," ")))))))))</f>
        <v>LANIA</v>
      </c>
      <c r="B62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28" s="325">
        <v>626</v>
      </c>
      <c r="D628" s="326">
        <v>934</v>
      </c>
      <c r="E628" s="331" t="s">
        <v>1774</v>
      </c>
      <c r="F628" s="332" t="s">
        <v>1775</v>
      </c>
      <c r="G628" s="331"/>
      <c r="H628" s="349" t="s">
        <v>1769</v>
      </c>
      <c r="I628" s="408" t="s">
        <v>1751</v>
      </c>
      <c r="J62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628" s="160">
        <v>746963</v>
      </c>
      <c r="L628" s="160">
        <f>+Reactivos_[[#This Row],[Cantidad]]*Reactivos_[[#This Row],[Valor de referencia]]</f>
        <v>2240889</v>
      </c>
      <c r="M628" s="254">
        <v>1</v>
      </c>
      <c r="N628" s="255">
        <f>+Reactivos_[[#This Row],[Valor de referencia]]*Reactivos_[[#This Row],[Cantidad LANIP]]</f>
        <v>746963</v>
      </c>
      <c r="O628" s="256"/>
      <c r="P628" s="255">
        <f>+Reactivos_[[#This Row],[Cantidad 
LDV]]*Reactivos_[[#This Row],[Valor de referencia]]</f>
        <v>0</v>
      </c>
      <c r="Q628" s="257"/>
      <c r="R628" s="255">
        <f>+Reactivos_[[#This Row],[Cantidad LNDV]]*Reactivos_[[#This Row],[Valor de referencia]]</f>
        <v>0</v>
      </c>
      <c r="S628" s="148"/>
      <c r="T628" s="255">
        <f>+Reactivos_[[#This Row],[GGCA]]*Reactivos_[[#This Row],[Valor de referencia]]</f>
        <v>0</v>
      </c>
      <c r="U628" s="254"/>
      <c r="V628" s="255">
        <f>+Reactivos_[[#This Row],[Cantidad LDF]]*Reactivos_[[#This Row],[Valor de referencia]]</f>
        <v>0</v>
      </c>
      <c r="W628" s="254"/>
      <c r="X628" s="255">
        <f>+Reactivos_[[#This Row],[Cantidad LDF&amp;MR]]*Reactivos_[[#This Row],[Valor de referencia]]</f>
        <v>0</v>
      </c>
      <c r="Y628" s="254"/>
      <c r="Z628" s="255">
        <f>+Reactivos_[[#This Row],[Cantidad RED LASE]]*Reactivos_[[#This Row],[Valor de referencia]]</f>
        <v>0</v>
      </c>
      <c r="AA628" s="254">
        <v>2</v>
      </c>
      <c r="AB628" s="255">
        <f>+Reactivos_[[#This Row],[Cantidad LANIA]]*Reactivos_[[#This Row],[Valor de referencia]]</f>
        <v>1493926</v>
      </c>
      <c r="AC628" s="254"/>
      <c r="AD628" s="255">
        <f>+Reactivos_[[#This Row],[Cantidad SPA]]*Reactivos_[[#This Row],[Valor de referencia]]</f>
        <v>0</v>
      </c>
      <c r="AE628" s="148" t="s">
        <v>76</v>
      </c>
      <c r="AF628" s="148" t="s">
        <v>77</v>
      </c>
    </row>
    <row r="629" spans="1:32" ht="38.25" x14ac:dyDescent="0.25">
      <c r="A629" s="294" t="str">
        <f>IF(B629=Reactivos_[[#This Row],[Cantidad LANIP]],"LANIP",IF(B629=Reactivos_[[#This Row],[Cantidad 
LDV]],"LDV",IF(B629=Reactivos_[[#This Row],[Cantidad LNDV]],"LNDV",IF(B629=Reactivos_[[#This Row],[GGCA]],"GGCA",IF(B629=Reactivos_[[#This Row],[Cantidad LDF]],"LDF",IF(Reactivos_[[#This Row],[Cantidad LDF&amp;MR]],"LDF&amp;MR",IF(B629=Reactivos_[[#This Row],[Cantidad RED LASE]],"LASE",IF(B629=Reactivos_[[#This Row],[Cantidad LANIA]],"LANIA",IF(B629=Reactivos_[[#This Row],[Cantidad SPA]],"SPA"," ")))))))))</f>
        <v>LANIA</v>
      </c>
      <c r="B62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29" s="325">
        <v>627</v>
      </c>
      <c r="D629" s="326">
        <v>935</v>
      </c>
      <c r="E629" s="327" t="s">
        <v>1776</v>
      </c>
      <c r="F629" s="244" t="s">
        <v>1777</v>
      </c>
      <c r="G629" s="327"/>
      <c r="H629" s="328" t="s">
        <v>1778</v>
      </c>
      <c r="I629" s="408" t="s">
        <v>1751</v>
      </c>
      <c r="J62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629" s="160">
        <v>456722</v>
      </c>
      <c r="L629" s="160">
        <f>+Reactivos_[[#This Row],[Cantidad]]*Reactivos_[[#This Row],[Valor de referencia]]</f>
        <v>1370166</v>
      </c>
      <c r="M629" s="254">
        <v>1</v>
      </c>
      <c r="N629" s="255">
        <f>+Reactivos_[[#This Row],[Valor de referencia]]*Reactivos_[[#This Row],[Cantidad LANIP]]</f>
        <v>456722</v>
      </c>
      <c r="O629" s="256"/>
      <c r="P629" s="255">
        <f>+Reactivos_[[#This Row],[Cantidad 
LDV]]*Reactivos_[[#This Row],[Valor de referencia]]</f>
        <v>0</v>
      </c>
      <c r="Q629" s="257"/>
      <c r="R629" s="255">
        <f>+Reactivos_[[#This Row],[Cantidad LNDV]]*Reactivos_[[#This Row],[Valor de referencia]]</f>
        <v>0</v>
      </c>
      <c r="S629" s="148"/>
      <c r="T629" s="255">
        <f>+Reactivos_[[#This Row],[GGCA]]*Reactivos_[[#This Row],[Valor de referencia]]</f>
        <v>0</v>
      </c>
      <c r="U629" s="254"/>
      <c r="V629" s="255">
        <f>+Reactivos_[[#This Row],[Cantidad LDF]]*Reactivos_[[#This Row],[Valor de referencia]]</f>
        <v>0</v>
      </c>
      <c r="W629" s="254"/>
      <c r="X629" s="255">
        <f>+Reactivos_[[#This Row],[Cantidad LDF&amp;MR]]*Reactivos_[[#This Row],[Valor de referencia]]</f>
        <v>0</v>
      </c>
      <c r="Y629" s="254"/>
      <c r="Z629" s="255">
        <f>+Reactivos_[[#This Row],[Cantidad RED LASE]]*Reactivos_[[#This Row],[Valor de referencia]]</f>
        <v>0</v>
      </c>
      <c r="AA629" s="254">
        <v>2</v>
      </c>
      <c r="AB629" s="255">
        <f>+Reactivos_[[#This Row],[Cantidad LANIA]]*Reactivos_[[#This Row],[Valor de referencia]]</f>
        <v>913444</v>
      </c>
      <c r="AC629" s="254"/>
      <c r="AD629" s="255">
        <f>+Reactivos_[[#This Row],[Cantidad SPA]]*Reactivos_[[#This Row],[Valor de referencia]]</f>
        <v>0</v>
      </c>
      <c r="AE629" s="148" t="s">
        <v>76</v>
      </c>
      <c r="AF629" s="148" t="s">
        <v>77</v>
      </c>
    </row>
    <row r="630" spans="1:32" ht="102" customHeight="1" x14ac:dyDescent="0.25">
      <c r="A630" s="294" t="s">
        <v>733</v>
      </c>
      <c r="B63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30" s="325">
        <v>628</v>
      </c>
      <c r="D630" s="326">
        <v>936</v>
      </c>
      <c r="E630" s="327" t="s">
        <v>1779</v>
      </c>
      <c r="F630" s="244"/>
      <c r="G630" s="327"/>
      <c r="H630" s="328" t="s">
        <v>1780</v>
      </c>
      <c r="I630" s="329" t="s">
        <v>1651</v>
      </c>
      <c r="J63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K630" s="160">
        <v>5747002</v>
      </c>
      <c r="L630" s="160">
        <f>+Reactivos_[[#This Row],[Cantidad]]*Reactivos_[[#This Row],[Valor de referencia]]</f>
        <v>114940040</v>
      </c>
      <c r="M630" s="254">
        <v>0</v>
      </c>
      <c r="N630" s="255">
        <f>+Reactivos_[[#This Row],[Valor de referencia]]*Reactivos_[[#This Row],[Cantidad LANIP]]</f>
        <v>0</v>
      </c>
      <c r="O630" s="256">
        <v>10</v>
      </c>
      <c r="P630" s="255">
        <f>+Reactivos_[[#This Row],[Cantidad 
LDV]]*Reactivos_[[#This Row],[Valor de referencia]]</f>
        <v>57470020</v>
      </c>
      <c r="Q630" s="257">
        <v>10</v>
      </c>
      <c r="R630" s="255">
        <f>+Reactivos_[[#This Row],[Cantidad LNDV]]*Reactivos_[[#This Row],[Valor de referencia]]</f>
        <v>57470020</v>
      </c>
      <c r="S630" s="148"/>
      <c r="T630" s="255">
        <f>+Reactivos_[[#This Row],[GGCA]]*Reactivos_[[#This Row],[Valor de referencia]]</f>
        <v>0</v>
      </c>
      <c r="U630" s="254"/>
      <c r="V630" s="255">
        <f>+Reactivos_[[#This Row],[Cantidad LDF]]*Reactivos_[[#This Row],[Valor de referencia]]</f>
        <v>0</v>
      </c>
      <c r="W630" s="254"/>
      <c r="X630" s="255">
        <f>+Reactivos_[[#This Row],[Cantidad LDF&amp;MR]]*Reactivos_[[#This Row],[Valor de referencia]]</f>
        <v>0</v>
      </c>
      <c r="Y630" s="254"/>
      <c r="Z630" s="255">
        <f>+Reactivos_[[#This Row],[Cantidad RED LASE]]*Reactivos_[[#This Row],[Valor de referencia]]</f>
        <v>0</v>
      </c>
      <c r="AA630" s="254"/>
      <c r="AB630" s="255">
        <f>+Reactivos_[[#This Row],[Cantidad LANIA]]*Reactivos_[[#This Row],[Valor de referencia]]</f>
        <v>0</v>
      </c>
      <c r="AC630" s="254"/>
      <c r="AD630" s="255">
        <f>+Reactivos_[[#This Row],[Cantidad SPA]]*Reactivos_[[#This Row],[Valor de referencia]]</f>
        <v>0</v>
      </c>
      <c r="AE630" s="148" t="s">
        <v>76</v>
      </c>
      <c r="AF630" s="148" t="s">
        <v>77</v>
      </c>
    </row>
    <row r="631" spans="1:32" ht="56.25" customHeight="1" x14ac:dyDescent="0.25">
      <c r="A631" s="294" t="str">
        <f>IF(B631=Reactivos_[[#This Row],[Cantidad LANIP]],"LANIP",IF(B631=Reactivos_[[#This Row],[Cantidad 
LDV]],"LDV",IF(B631=Reactivos_[[#This Row],[Cantidad LNDV]],"LNDV",IF(B631=Reactivos_[[#This Row],[GGCA]],"GGCA",IF(B631=Reactivos_[[#This Row],[Cantidad LDF]],"LDF",IF(Reactivos_[[#This Row],[Cantidad LDF&amp;MR]],"LDF&amp;MR",IF(B631=Reactivos_[[#This Row],[Cantidad RED LASE]],"LASE",IF(B631=Reactivos_[[#This Row],[Cantidad LANIA]],"LANIA",IF(B631=Reactivos_[[#This Row],[Cantidad SPA]],"SPA"," ")))))))))</f>
        <v>LDF&amp;MR</v>
      </c>
      <c r="B63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631" s="325">
        <v>629</v>
      </c>
      <c r="D631" s="326">
        <v>938</v>
      </c>
      <c r="E631" s="331" t="s">
        <v>1781</v>
      </c>
      <c r="F631" s="332"/>
      <c r="G631" s="331"/>
      <c r="H631" s="328" t="s">
        <v>1782</v>
      </c>
      <c r="I631" s="334" t="s">
        <v>525</v>
      </c>
      <c r="J63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631" s="160">
        <v>5781435</v>
      </c>
      <c r="L631" s="160">
        <f>+Reactivos_[[#This Row],[Cantidad]]*Reactivos_[[#This Row],[Valor de referencia]]</f>
        <v>57814350</v>
      </c>
      <c r="M631" s="254">
        <v>0</v>
      </c>
      <c r="N631" s="255">
        <f>+Reactivos_[[#This Row],[Valor de referencia]]*Reactivos_[[#This Row],[Cantidad LANIP]]</f>
        <v>0</v>
      </c>
      <c r="O631" s="256"/>
      <c r="P631" s="255">
        <f>+Reactivos_[[#This Row],[Cantidad 
LDV]]*Reactivos_[[#This Row],[Valor de referencia]]</f>
        <v>0</v>
      </c>
      <c r="Q631" s="257"/>
      <c r="R631" s="255">
        <f>+Reactivos_[[#This Row],[Cantidad LNDV]]*Reactivos_[[#This Row],[Valor de referencia]]</f>
        <v>0</v>
      </c>
      <c r="S631" s="148"/>
      <c r="T631" s="255">
        <f>+Reactivos_[[#This Row],[GGCA]]*Reactivos_[[#This Row],[Valor de referencia]]</f>
        <v>0</v>
      </c>
      <c r="U631" s="254">
        <v>4</v>
      </c>
      <c r="V631" s="255">
        <f>+Reactivos_[[#This Row],[Cantidad LDF]]*Reactivos_[[#This Row],[Valor de referencia]]</f>
        <v>23125740</v>
      </c>
      <c r="W631" s="254">
        <v>6</v>
      </c>
      <c r="X631" s="255">
        <f>+Reactivos_[[#This Row],[Cantidad LDF&amp;MR]]*Reactivos_[[#This Row],[Valor de referencia]]</f>
        <v>34688610</v>
      </c>
      <c r="Y631" s="254"/>
      <c r="Z631" s="255">
        <f>+Reactivos_[[#This Row],[Cantidad RED LASE]]*Reactivos_[[#This Row],[Valor de referencia]]</f>
        <v>0</v>
      </c>
      <c r="AA631" s="254"/>
      <c r="AB631" s="255">
        <f>+Reactivos_[[#This Row],[Cantidad LANIA]]*Reactivos_[[#This Row],[Valor de referencia]]</f>
        <v>0</v>
      </c>
      <c r="AC631" s="254"/>
      <c r="AD631" s="255">
        <f>+Reactivos_[[#This Row],[Cantidad SPA]]*Reactivos_[[#This Row],[Valor de referencia]]</f>
        <v>0</v>
      </c>
      <c r="AE631" s="148" t="s">
        <v>76</v>
      </c>
      <c r="AF631" s="148" t="s">
        <v>77</v>
      </c>
    </row>
    <row r="632" spans="1:32" ht="54" customHeight="1" x14ac:dyDescent="0.25">
      <c r="A632" s="294" t="str">
        <f>IF(B632=Reactivos_[[#This Row],[Cantidad LANIP]],"LANIP",IF(B632=Reactivos_[[#This Row],[Cantidad 
LDV]],"LDV",IF(B632=Reactivos_[[#This Row],[Cantidad LNDV]],"LNDV",IF(B632=Reactivos_[[#This Row],[GGCA]],"GGCA",IF(B632=Reactivos_[[#This Row],[Cantidad LDF]],"LDF",IF(Reactivos_[[#This Row],[Cantidad LDF&amp;MR]],"LDF&amp;MR",IF(B632=Reactivos_[[#This Row],[Cantidad RED LASE]],"LASE",IF(B632=Reactivos_[[#This Row],[Cantidad LANIA]],"LANIA",IF(B632=Reactivos_[[#This Row],[Cantidad SPA]],"SPA"," ")))))))))</f>
        <v>LNDV</v>
      </c>
      <c r="B63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32" s="325">
        <v>630</v>
      </c>
      <c r="D632" s="326">
        <v>939</v>
      </c>
      <c r="E632" s="245" t="s">
        <v>1783</v>
      </c>
      <c r="F632" s="244"/>
      <c r="G632" s="245"/>
      <c r="H632" s="346" t="s">
        <v>1784</v>
      </c>
      <c r="I632" s="336" t="s">
        <v>525</v>
      </c>
      <c r="J63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632" s="160">
        <v>6624767</v>
      </c>
      <c r="L632" s="160">
        <f>+Reactivos_[[#This Row],[Cantidad]]*Reactivos_[[#This Row],[Valor de referencia]]</f>
        <v>66247670</v>
      </c>
      <c r="M632" s="254">
        <v>0</v>
      </c>
      <c r="N632" s="255">
        <f>+Reactivos_[[#This Row],[Valor de referencia]]*Reactivos_[[#This Row],[Cantidad LANIP]]</f>
        <v>0</v>
      </c>
      <c r="O632" s="256"/>
      <c r="P632" s="255">
        <f>+Reactivos_[[#This Row],[Cantidad 
LDV]]*Reactivos_[[#This Row],[Valor de referencia]]</f>
        <v>0</v>
      </c>
      <c r="Q632" s="257">
        <v>10</v>
      </c>
      <c r="R632" s="255">
        <f>+Reactivos_[[#This Row],[Cantidad LNDV]]*Reactivos_[[#This Row],[Valor de referencia]]</f>
        <v>66247670</v>
      </c>
      <c r="S632" s="148"/>
      <c r="T632" s="255">
        <f>+Reactivos_[[#This Row],[GGCA]]*Reactivos_[[#This Row],[Valor de referencia]]</f>
        <v>0</v>
      </c>
      <c r="U632" s="254"/>
      <c r="V632" s="255">
        <f>+Reactivos_[[#This Row],[Cantidad LDF]]*Reactivos_[[#This Row],[Valor de referencia]]</f>
        <v>0</v>
      </c>
      <c r="W632" s="254"/>
      <c r="X632" s="255">
        <f>+Reactivos_[[#This Row],[Cantidad LDF&amp;MR]]*Reactivos_[[#This Row],[Valor de referencia]]</f>
        <v>0</v>
      </c>
      <c r="Y632" s="254"/>
      <c r="Z632" s="255">
        <f>+Reactivos_[[#This Row],[Cantidad RED LASE]]*Reactivos_[[#This Row],[Valor de referencia]]</f>
        <v>0</v>
      </c>
      <c r="AA632" s="254"/>
      <c r="AB632" s="255">
        <f>+Reactivos_[[#This Row],[Cantidad LANIA]]*Reactivos_[[#This Row],[Valor de referencia]]</f>
        <v>0</v>
      </c>
      <c r="AC632" s="254"/>
      <c r="AD632" s="255">
        <f>+Reactivos_[[#This Row],[Cantidad SPA]]*Reactivos_[[#This Row],[Valor de referencia]]</f>
        <v>0</v>
      </c>
      <c r="AE632" s="148" t="s">
        <v>76</v>
      </c>
      <c r="AF632" s="148" t="s">
        <v>77</v>
      </c>
    </row>
    <row r="633" spans="1:32" ht="107.25" customHeight="1" x14ac:dyDescent="0.25">
      <c r="A633" s="294" t="str">
        <f>IF(B633=Reactivos_[[#This Row],[Cantidad LANIP]],"LANIP",IF(B633=Reactivos_[[#This Row],[Cantidad 
LDV]],"LDV",IF(B633=Reactivos_[[#This Row],[Cantidad LNDV]],"LNDV",IF(B633=Reactivos_[[#This Row],[GGCA]],"GGCA",IF(B633=Reactivos_[[#This Row],[Cantidad LDF]],"LDF",IF(Reactivos_[[#This Row],[Cantidad LDF&amp;MR]],"LDF&amp;MR",IF(B633=Reactivos_[[#This Row],[Cantidad RED LASE]],"LASE",IF(B633=Reactivos_[[#This Row],[Cantidad LANIA]],"LANIA",IF(B633=Reactivos_[[#This Row],[Cantidad SPA]],"SPA"," ")))))))))</f>
        <v>LNDV</v>
      </c>
      <c r="B63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33" s="325">
        <v>631</v>
      </c>
      <c r="D633" s="326">
        <v>940</v>
      </c>
      <c r="E633" s="327" t="s">
        <v>1785</v>
      </c>
      <c r="F633" s="244"/>
      <c r="G633" s="327"/>
      <c r="H633" s="348" t="s">
        <v>1786</v>
      </c>
      <c r="I633" s="363" t="s">
        <v>525</v>
      </c>
      <c r="J63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17</v>
      </c>
      <c r="K633" s="160">
        <v>5155311</v>
      </c>
      <c r="L633" s="160">
        <f>+Reactivos_[[#This Row],[Cantidad]]*Reactivos_[[#This Row],[Valor de referencia]]</f>
        <v>87640287</v>
      </c>
      <c r="M633" s="254">
        <v>0</v>
      </c>
      <c r="N633" s="255">
        <f>+Reactivos_[[#This Row],[Valor de referencia]]*Reactivos_[[#This Row],[Cantidad LANIP]]</f>
        <v>0</v>
      </c>
      <c r="O633" s="256"/>
      <c r="P633" s="255">
        <f>+Reactivos_[[#This Row],[Cantidad 
LDV]]*Reactivos_[[#This Row],[Valor de referencia]]</f>
        <v>0</v>
      </c>
      <c r="Q633" s="257">
        <v>10</v>
      </c>
      <c r="R633" s="255">
        <f>+Reactivos_[[#This Row],[Cantidad LNDV]]*Reactivos_[[#This Row],[Valor de referencia]]</f>
        <v>51553110</v>
      </c>
      <c r="S633" s="148"/>
      <c r="T633" s="255">
        <f>+Reactivos_[[#This Row],[GGCA]]*Reactivos_[[#This Row],[Valor de referencia]]</f>
        <v>0</v>
      </c>
      <c r="U633" s="254">
        <v>3</v>
      </c>
      <c r="V633" s="255">
        <f>+Reactivos_[[#This Row],[Cantidad LDF]]*Reactivos_[[#This Row],[Valor de referencia]]</f>
        <v>15465933</v>
      </c>
      <c r="W633" s="254">
        <v>4</v>
      </c>
      <c r="X633" s="255">
        <f>+Reactivos_[[#This Row],[Cantidad LDF&amp;MR]]*Reactivos_[[#This Row],[Valor de referencia]]</f>
        <v>20621244</v>
      </c>
      <c r="Y633" s="254"/>
      <c r="Z633" s="255">
        <f>+Reactivos_[[#This Row],[Cantidad RED LASE]]*Reactivos_[[#This Row],[Valor de referencia]]</f>
        <v>0</v>
      </c>
      <c r="AA633" s="254"/>
      <c r="AB633" s="255">
        <f>+Reactivos_[[#This Row],[Cantidad LANIA]]*Reactivos_[[#This Row],[Valor de referencia]]</f>
        <v>0</v>
      </c>
      <c r="AC633" s="254"/>
      <c r="AD633" s="255">
        <f>+Reactivos_[[#This Row],[Cantidad SPA]]*Reactivos_[[#This Row],[Valor de referencia]]</f>
        <v>0</v>
      </c>
      <c r="AE633" s="148" t="s">
        <v>76</v>
      </c>
      <c r="AF633" s="148" t="s">
        <v>77</v>
      </c>
    </row>
    <row r="634" spans="1:32" ht="29.45" customHeight="1" x14ac:dyDescent="0.25">
      <c r="A634" s="294" t="str">
        <f>IF(B634=Reactivos_[[#This Row],[Cantidad LANIP]],"LANIP",IF(B634=Reactivos_[[#This Row],[Cantidad 
LDV]],"LDV",IF(B634=Reactivos_[[#This Row],[Cantidad LNDV]],"LNDV",IF(B634=Reactivos_[[#This Row],[GGCA]],"GGCA",IF(B634=Reactivos_[[#This Row],[Cantidad LDF]],"LDF",IF(Reactivos_[[#This Row],[Cantidad LDF&amp;MR]],"LDF&amp;MR",IF(B634=Reactivos_[[#This Row],[Cantidad RED LASE]],"LASE",IF(B634=Reactivos_[[#This Row],[Cantidad LANIA]],"LANIA",IF(B634=Reactivos_[[#This Row],[Cantidad SPA]],"SPA"," ")))))))))</f>
        <v>LDF</v>
      </c>
      <c r="B63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634" s="325">
        <v>632</v>
      </c>
      <c r="D634" s="326">
        <v>941</v>
      </c>
      <c r="E634" s="327" t="s">
        <v>1787</v>
      </c>
      <c r="F634" s="339"/>
      <c r="G634" s="245"/>
      <c r="H634" s="328" t="s">
        <v>1788</v>
      </c>
      <c r="I634" s="336" t="s">
        <v>525</v>
      </c>
      <c r="J63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K634" s="160">
        <v>2344181</v>
      </c>
      <c r="L634" s="160">
        <f>+Reactivos_[[#This Row],[Cantidad]]*Reactivos_[[#This Row],[Valor de referencia]]</f>
        <v>18753448</v>
      </c>
      <c r="M634" s="254">
        <v>0</v>
      </c>
      <c r="N634" s="255">
        <f>+Reactivos_[[#This Row],[Valor de referencia]]*Reactivos_[[#This Row],[Cantidad LANIP]]</f>
        <v>0</v>
      </c>
      <c r="O634" s="256"/>
      <c r="P634" s="255">
        <f>+Reactivos_[[#This Row],[Cantidad 
LDV]]*Reactivos_[[#This Row],[Valor de referencia]]</f>
        <v>0</v>
      </c>
      <c r="Q634" s="257"/>
      <c r="R634" s="255">
        <f>+Reactivos_[[#This Row],[Cantidad LNDV]]*Reactivos_[[#This Row],[Valor de referencia]]</f>
        <v>0</v>
      </c>
      <c r="S634" s="148"/>
      <c r="T634" s="255">
        <f>+Reactivos_[[#This Row],[GGCA]]*Reactivos_[[#This Row],[Valor de referencia]]</f>
        <v>0</v>
      </c>
      <c r="U634" s="254">
        <v>8</v>
      </c>
      <c r="V634" s="255">
        <f>+Reactivos_[[#This Row],[Cantidad LDF]]*Reactivos_[[#This Row],[Valor de referencia]]</f>
        <v>18753448</v>
      </c>
      <c r="W634" s="254"/>
      <c r="X634" s="255">
        <f>+Reactivos_[[#This Row],[Cantidad LDF&amp;MR]]*Reactivos_[[#This Row],[Valor de referencia]]</f>
        <v>0</v>
      </c>
      <c r="Y634" s="254"/>
      <c r="Z634" s="255">
        <f>+Reactivos_[[#This Row],[Cantidad RED LASE]]*Reactivos_[[#This Row],[Valor de referencia]]</f>
        <v>0</v>
      </c>
      <c r="AA634" s="254"/>
      <c r="AB634" s="255">
        <f>+Reactivos_[[#This Row],[Cantidad LANIA]]*Reactivos_[[#This Row],[Valor de referencia]]</f>
        <v>0</v>
      </c>
      <c r="AC634" s="254"/>
      <c r="AD634" s="255">
        <f>+Reactivos_[[#This Row],[Cantidad SPA]]*Reactivos_[[#This Row],[Valor de referencia]]</f>
        <v>0</v>
      </c>
      <c r="AE634" s="148" t="s">
        <v>76</v>
      </c>
      <c r="AF634" s="148" t="s">
        <v>77</v>
      </c>
    </row>
    <row r="635" spans="1:32" ht="29.45" customHeight="1" x14ac:dyDescent="0.25">
      <c r="A635" s="294" t="str">
        <f>IF(B635=Reactivos_[[#This Row],[Cantidad LANIP]],"LANIP",IF(B635=Reactivos_[[#This Row],[Cantidad 
LDV]],"LDV",IF(B635=Reactivos_[[#This Row],[Cantidad LNDV]],"LNDV",IF(B635=Reactivos_[[#This Row],[GGCA]],"GGCA",IF(B635=Reactivos_[[#This Row],[Cantidad LDF]],"LDF",IF(Reactivos_[[#This Row],[Cantidad LDF&amp;MR]],"LDF&amp;MR",IF(B635=Reactivos_[[#This Row],[Cantidad RED LASE]],"LASE",IF(B635=Reactivos_[[#This Row],[Cantidad LANIA]],"LANIA",IF(B635=Reactivos_[[#This Row],[Cantidad SPA]],"SPA"," ")))))))))</f>
        <v>LANIA</v>
      </c>
      <c r="B63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35" s="325">
        <v>633</v>
      </c>
      <c r="D635" s="326">
        <v>943</v>
      </c>
      <c r="E635" s="368" t="s">
        <v>1789</v>
      </c>
      <c r="F635" s="369"/>
      <c r="G635" s="368"/>
      <c r="H635" s="344" t="s">
        <v>1790</v>
      </c>
      <c r="I635" s="362" t="s">
        <v>618</v>
      </c>
      <c r="J63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35" s="160">
        <v>597351</v>
      </c>
      <c r="L635" s="160">
        <f>+Reactivos_[[#This Row],[Cantidad]]*Reactivos_[[#This Row],[Valor de referencia]]</f>
        <v>597351</v>
      </c>
      <c r="M635" s="254">
        <v>0</v>
      </c>
      <c r="N635" s="255">
        <f>+Reactivos_[[#This Row],[Valor de referencia]]*Reactivos_[[#This Row],[Cantidad LANIP]]</f>
        <v>0</v>
      </c>
      <c r="O635" s="256"/>
      <c r="P635" s="255">
        <f>+Reactivos_[[#This Row],[Cantidad 
LDV]]*Reactivos_[[#This Row],[Valor de referencia]]</f>
        <v>0</v>
      </c>
      <c r="Q635" s="257"/>
      <c r="R635" s="255">
        <f>+Reactivos_[[#This Row],[Cantidad LNDV]]*Reactivos_[[#This Row],[Valor de referencia]]</f>
        <v>0</v>
      </c>
      <c r="S635" s="148"/>
      <c r="T635" s="255">
        <f>+Reactivos_[[#This Row],[GGCA]]*Reactivos_[[#This Row],[Valor de referencia]]</f>
        <v>0</v>
      </c>
      <c r="U635" s="254"/>
      <c r="V635" s="255">
        <f>+Reactivos_[[#This Row],[Cantidad LDF]]*Reactivos_[[#This Row],[Valor de referencia]]</f>
        <v>0</v>
      </c>
      <c r="W635" s="254"/>
      <c r="X635" s="255">
        <f>+Reactivos_[[#This Row],[Cantidad LDF&amp;MR]]*Reactivos_[[#This Row],[Valor de referencia]]</f>
        <v>0</v>
      </c>
      <c r="Y635" s="254"/>
      <c r="Z635" s="255">
        <f>+Reactivos_[[#This Row],[Cantidad RED LASE]]*Reactivos_[[#This Row],[Valor de referencia]]</f>
        <v>0</v>
      </c>
      <c r="AA635" s="254">
        <v>1</v>
      </c>
      <c r="AB635" s="255">
        <f>+Reactivos_[[#This Row],[Cantidad LANIA]]*Reactivos_[[#This Row],[Valor de referencia]]</f>
        <v>597351</v>
      </c>
      <c r="AC635" s="254"/>
      <c r="AD635" s="255">
        <f>+Reactivos_[[#This Row],[Cantidad SPA]]*Reactivos_[[#This Row],[Valor de referencia]]</f>
        <v>0</v>
      </c>
      <c r="AE635" s="148" t="s">
        <v>76</v>
      </c>
      <c r="AF635" s="148" t="s">
        <v>77</v>
      </c>
    </row>
    <row r="636" spans="1:32" ht="29.45" customHeight="1" x14ac:dyDescent="0.25">
      <c r="A636" s="294" t="str">
        <f>IF(B636=Reactivos_[[#This Row],[Cantidad LANIP]],"LANIP",IF(B636=Reactivos_[[#This Row],[Cantidad 
LDV]],"LDV",IF(B636=Reactivos_[[#This Row],[Cantidad LNDV]],"LNDV",IF(B636=Reactivos_[[#This Row],[GGCA]],"GGCA",IF(B636=Reactivos_[[#This Row],[Cantidad LDF]],"LDF",IF(Reactivos_[[#This Row],[Cantidad LDF&amp;MR]],"LDF&amp;MR",IF(B636=Reactivos_[[#This Row],[Cantidad RED LASE]],"LASE",IF(B636=Reactivos_[[#This Row],[Cantidad LANIA]],"LANIA",IF(B636=Reactivos_[[#This Row],[Cantidad SPA]],"SPA"," ")))))))))</f>
        <v>LANIA</v>
      </c>
      <c r="B63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36" s="325">
        <v>634</v>
      </c>
      <c r="D636" s="326">
        <v>944</v>
      </c>
      <c r="E636" s="358" t="s">
        <v>1791</v>
      </c>
      <c r="F636" s="357"/>
      <c r="G636" s="358"/>
      <c r="H636" s="342" t="s">
        <v>1792</v>
      </c>
      <c r="I636" s="341" t="s">
        <v>618</v>
      </c>
      <c r="J63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36" s="160">
        <v>1144185</v>
      </c>
      <c r="L636" s="160">
        <f>+Reactivos_[[#This Row],[Cantidad]]*Reactivos_[[#This Row],[Valor de referencia]]</f>
        <v>1144185</v>
      </c>
      <c r="M636" s="254">
        <v>0</v>
      </c>
      <c r="N636" s="255">
        <f>+Reactivos_[[#This Row],[Valor de referencia]]*Reactivos_[[#This Row],[Cantidad LANIP]]</f>
        <v>0</v>
      </c>
      <c r="O636" s="256"/>
      <c r="P636" s="255">
        <f>+Reactivos_[[#This Row],[Cantidad 
LDV]]*Reactivos_[[#This Row],[Valor de referencia]]</f>
        <v>0</v>
      </c>
      <c r="Q636" s="257"/>
      <c r="R636" s="255">
        <f>+Reactivos_[[#This Row],[Cantidad LNDV]]*Reactivos_[[#This Row],[Valor de referencia]]</f>
        <v>0</v>
      </c>
      <c r="S636" s="148"/>
      <c r="T636" s="255">
        <f>+Reactivos_[[#This Row],[GGCA]]*Reactivos_[[#This Row],[Valor de referencia]]</f>
        <v>0</v>
      </c>
      <c r="U636" s="254"/>
      <c r="V636" s="255">
        <f>+Reactivos_[[#This Row],[Cantidad LDF]]*Reactivos_[[#This Row],[Valor de referencia]]</f>
        <v>0</v>
      </c>
      <c r="W636" s="254"/>
      <c r="X636" s="255">
        <f>+Reactivos_[[#This Row],[Cantidad LDF&amp;MR]]*Reactivos_[[#This Row],[Valor de referencia]]</f>
        <v>0</v>
      </c>
      <c r="Y636" s="254"/>
      <c r="Z636" s="255">
        <f>+Reactivos_[[#This Row],[Cantidad RED LASE]]*Reactivos_[[#This Row],[Valor de referencia]]</f>
        <v>0</v>
      </c>
      <c r="AA636" s="254">
        <v>1</v>
      </c>
      <c r="AB636" s="255">
        <f>+Reactivos_[[#This Row],[Cantidad LANIA]]*Reactivos_[[#This Row],[Valor de referencia]]</f>
        <v>1144185</v>
      </c>
      <c r="AC636" s="254"/>
      <c r="AD636" s="255">
        <f>+Reactivos_[[#This Row],[Cantidad SPA]]*Reactivos_[[#This Row],[Valor de referencia]]</f>
        <v>0</v>
      </c>
      <c r="AE636" s="148" t="s">
        <v>76</v>
      </c>
      <c r="AF636" s="148" t="s">
        <v>77</v>
      </c>
    </row>
    <row r="637" spans="1:32" ht="29.45" customHeight="1" x14ac:dyDescent="0.25">
      <c r="A637" s="294" t="str">
        <f>IF(B637=Reactivos_[[#This Row],[Cantidad LANIP]],"LANIP",IF(B637=Reactivos_[[#This Row],[Cantidad 
LDV]],"LDV",IF(B637=Reactivos_[[#This Row],[Cantidad LNDV]],"LNDV",IF(B637=Reactivos_[[#This Row],[GGCA]],"GGCA",IF(B637=Reactivos_[[#This Row],[Cantidad LDF]],"LDF",IF(Reactivos_[[#This Row],[Cantidad LDF&amp;MR]],"LDF&amp;MR",IF(B637=Reactivos_[[#This Row],[Cantidad RED LASE]],"LASE",IF(B637=Reactivos_[[#This Row],[Cantidad LANIA]],"LANIA",IF(B637=Reactivos_[[#This Row],[Cantidad SPA]],"SPA"," ")))))))))</f>
        <v>LDV</v>
      </c>
      <c r="B63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37" s="325">
        <v>635</v>
      </c>
      <c r="D637" s="326">
        <v>950</v>
      </c>
      <c r="E637" s="331" t="s">
        <v>1793</v>
      </c>
      <c r="F637" s="332"/>
      <c r="G637" s="331"/>
      <c r="H637" s="346" t="s">
        <v>141</v>
      </c>
      <c r="I637" s="334" t="s">
        <v>1794</v>
      </c>
      <c r="J63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37" s="160">
        <v>1864338</v>
      </c>
      <c r="L637" s="160">
        <f>+Reactivos_[[#This Row],[Cantidad]]*Reactivos_[[#This Row],[Valor de referencia]]</f>
        <v>1864338</v>
      </c>
      <c r="M637" s="254">
        <v>0</v>
      </c>
      <c r="N637" s="255">
        <f>+Reactivos_[[#This Row],[Valor de referencia]]*Reactivos_[[#This Row],[Cantidad LANIP]]</f>
        <v>0</v>
      </c>
      <c r="O637" s="256">
        <v>1</v>
      </c>
      <c r="P637" s="255">
        <f>+Reactivos_[[#This Row],[Cantidad 
LDV]]*Reactivos_[[#This Row],[Valor de referencia]]</f>
        <v>1864338</v>
      </c>
      <c r="Q637" s="257"/>
      <c r="R637" s="255">
        <f>+Reactivos_[[#This Row],[Cantidad LNDV]]*Reactivos_[[#This Row],[Valor de referencia]]</f>
        <v>0</v>
      </c>
      <c r="S637" s="148"/>
      <c r="T637" s="255">
        <f>+Reactivos_[[#This Row],[GGCA]]*Reactivos_[[#This Row],[Valor de referencia]]</f>
        <v>0</v>
      </c>
      <c r="U637" s="254"/>
      <c r="V637" s="255">
        <f>+Reactivos_[[#This Row],[Cantidad LDF]]*Reactivos_[[#This Row],[Valor de referencia]]</f>
        <v>0</v>
      </c>
      <c r="W637" s="254"/>
      <c r="X637" s="255">
        <f>+Reactivos_[[#This Row],[Cantidad LDF&amp;MR]]*Reactivos_[[#This Row],[Valor de referencia]]</f>
        <v>0</v>
      </c>
      <c r="Y637" s="254"/>
      <c r="Z637" s="255">
        <f>+Reactivos_[[#This Row],[Cantidad RED LASE]]*Reactivos_[[#This Row],[Valor de referencia]]</f>
        <v>0</v>
      </c>
      <c r="AA637" s="254"/>
      <c r="AB637" s="255">
        <f>+Reactivos_[[#This Row],[Cantidad LANIA]]*Reactivos_[[#This Row],[Valor de referencia]]</f>
        <v>0</v>
      </c>
      <c r="AC637" s="254"/>
      <c r="AD637" s="255">
        <f>+Reactivos_[[#This Row],[Cantidad SPA]]*Reactivos_[[#This Row],[Valor de referencia]]</f>
        <v>0</v>
      </c>
      <c r="AE637" s="148" t="s">
        <v>76</v>
      </c>
      <c r="AF637" s="148" t="s">
        <v>101</v>
      </c>
    </row>
    <row r="638" spans="1:32" ht="29.45" customHeight="1" x14ac:dyDescent="0.25">
      <c r="A638" s="294" t="str">
        <f>IF(B638=Reactivos_[[#This Row],[Cantidad LANIP]],"LANIP",IF(B638=Reactivos_[[#This Row],[Cantidad 
LDV]],"LDV",IF(B638=Reactivos_[[#This Row],[Cantidad LNDV]],"LNDV",IF(B638=Reactivos_[[#This Row],[GGCA]],"GGCA",IF(B638=Reactivos_[[#This Row],[Cantidad LDF]],"LDF",IF(Reactivos_[[#This Row],[Cantidad LDF&amp;MR]],"LDF&amp;MR",IF(B638=Reactivos_[[#This Row],[Cantidad RED LASE]],"LASE",IF(B638=Reactivos_[[#This Row],[Cantidad LANIA]],"LANIA",IF(B638=Reactivos_[[#This Row],[Cantidad SPA]],"SPA"," ")))))))))</f>
        <v>LNDV</v>
      </c>
      <c r="B63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38" s="325">
        <v>636</v>
      </c>
      <c r="D638" s="326">
        <v>951</v>
      </c>
      <c r="E638" s="327" t="s">
        <v>1795</v>
      </c>
      <c r="F638" s="244"/>
      <c r="G638" s="327"/>
      <c r="H638" s="328" t="s">
        <v>1796</v>
      </c>
      <c r="I638" s="329" t="s">
        <v>700</v>
      </c>
      <c r="J63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38" s="160">
        <v>1224975</v>
      </c>
      <c r="L638" s="160">
        <f>+Reactivos_[[#This Row],[Cantidad]]*Reactivos_[[#This Row],[Valor de referencia]]</f>
        <v>1224975</v>
      </c>
      <c r="M638" s="254">
        <v>0</v>
      </c>
      <c r="N638" s="255">
        <f>+Reactivos_[[#This Row],[Valor de referencia]]*Reactivos_[[#This Row],[Cantidad LANIP]]</f>
        <v>0</v>
      </c>
      <c r="O638" s="256"/>
      <c r="P638" s="255">
        <f>+Reactivos_[[#This Row],[Cantidad 
LDV]]*Reactivos_[[#This Row],[Valor de referencia]]</f>
        <v>0</v>
      </c>
      <c r="Q638" s="257">
        <v>1</v>
      </c>
      <c r="R638" s="255">
        <f>+Reactivos_[[#This Row],[Cantidad LNDV]]*Reactivos_[[#This Row],[Valor de referencia]]</f>
        <v>1224975</v>
      </c>
      <c r="S638" s="148"/>
      <c r="T638" s="255">
        <f>+Reactivos_[[#This Row],[GGCA]]*Reactivos_[[#This Row],[Valor de referencia]]</f>
        <v>0</v>
      </c>
      <c r="U638" s="254"/>
      <c r="V638" s="255">
        <f>+Reactivos_[[#This Row],[Cantidad LDF]]*Reactivos_[[#This Row],[Valor de referencia]]</f>
        <v>0</v>
      </c>
      <c r="W638" s="254"/>
      <c r="X638" s="255">
        <f>+Reactivos_[[#This Row],[Cantidad LDF&amp;MR]]*Reactivos_[[#This Row],[Valor de referencia]]</f>
        <v>0</v>
      </c>
      <c r="Y638" s="254"/>
      <c r="Z638" s="255">
        <f>+Reactivos_[[#This Row],[Cantidad RED LASE]]*Reactivos_[[#This Row],[Valor de referencia]]</f>
        <v>0</v>
      </c>
      <c r="AA638" s="254"/>
      <c r="AB638" s="255">
        <f>+Reactivos_[[#This Row],[Cantidad LANIA]]*Reactivos_[[#This Row],[Valor de referencia]]</f>
        <v>0</v>
      </c>
      <c r="AC638" s="254"/>
      <c r="AD638" s="255">
        <f>+Reactivos_[[#This Row],[Cantidad SPA]]*Reactivos_[[#This Row],[Valor de referencia]]</f>
        <v>0</v>
      </c>
      <c r="AE638" s="148" t="s">
        <v>76</v>
      </c>
      <c r="AF638" s="148" t="s">
        <v>101</v>
      </c>
    </row>
    <row r="639" spans="1:32" ht="29.45" customHeight="1" x14ac:dyDescent="0.25">
      <c r="A639" s="294" t="str">
        <f>IF(B639=Reactivos_[[#This Row],[Cantidad LANIP]],"LANIP",IF(B639=Reactivos_[[#This Row],[Cantidad 
LDV]],"LDV",IF(B639=Reactivos_[[#This Row],[Cantidad LNDV]],"LNDV",IF(B639=Reactivos_[[#This Row],[GGCA]],"GGCA",IF(B639=Reactivos_[[#This Row],[Cantidad LDF]],"LDF",IF(Reactivos_[[#This Row],[Cantidad LDF&amp;MR]],"LDF&amp;MR",IF(B639=Reactivos_[[#This Row],[Cantidad RED LASE]],"LASE",IF(B639=Reactivos_[[#This Row],[Cantidad LANIA]],"LANIA",IF(B639=Reactivos_[[#This Row],[Cantidad SPA]],"SPA"," ")))))))))</f>
        <v>LNDV</v>
      </c>
      <c r="B63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C639" s="325">
        <v>637</v>
      </c>
      <c r="D639" s="326">
        <v>952</v>
      </c>
      <c r="E639" s="331" t="s">
        <v>1797</v>
      </c>
      <c r="F639" s="332"/>
      <c r="G639" s="331"/>
      <c r="H639" s="348" t="s">
        <v>1798</v>
      </c>
      <c r="I639" s="329" t="s">
        <v>1233</v>
      </c>
      <c r="J63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K639" s="160">
        <v>1052365</v>
      </c>
      <c r="L639" s="160">
        <f>+Reactivos_[[#This Row],[Cantidad]]*Reactivos_[[#This Row],[Valor de referencia]]</f>
        <v>8418920</v>
      </c>
      <c r="M639" s="254">
        <v>0</v>
      </c>
      <c r="N639" s="255">
        <f>+Reactivos_[[#This Row],[Valor de referencia]]*Reactivos_[[#This Row],[Cantidad LANIP]]</f>
        <v>0</v>
      </c>
      <c r="O639" s="256"/>
      <c r="P639" s="255">
        <f>+Reactivos_[[#This Row],[Cantidad 
LDV]]*Reactivos_[[#This Row],[Valor de referencia]]</f>
        <v>0</v>
      </c>
      <c r="Q639" s="257">
        <v>8</v>
      </c>
      <c r="R639" s="255">
        <f>+Reactivos_[[#This Row],[Cantidad LNDV]]*Reactivos_[[#This Row],[Valor de referencia]]</f>
        <v>8418920</v>
      </c>
      <c r="S639" s="148"/>
      <c r="T639" s="255">
        <f>+Reactivos_[[#This Row],[GGCA]]*Reactivos_[[#This Row],[Valor de referencia]]</f>
        <v>0</v>
      </c>
      <c r="U639" s="254"/>
      <c r="V639" s="255">
        <f>+Reactivos_[[#This Row],[Cantidad LDF]]*Reactivos_[[#This Row],[Valor de referencia]]</f>
        <v>0</v>
      </c>
      <c r="W639" s="254"/>
      <c r="X639" s="255">
        <f>+Reactivos_[[#This Row],[Cantidad LDF&amp;MR]]*Reactivos_[[#This Row],[Valor de referencia]]</f>
        <v>0</v>
      </c>
      <c r="Y639" s="254"/>
      <c r="Z639" s="255">
        <f>+Reactivos_[[#This Row],[Cantidad RED LASE]]*Reactivos_[[#This Row],[Valor de referencia]]</f>
        <v>0</v>
      </c>
      <c r="AA639" s="254"/>
      <c r="AB639" s="255">
        <f>+Reactivos_[[#This Row],[Cantidad LANIA]]*Reactivos_[[#This Row],[Valor de referencia]]</f>
        <v>0</v>
      </c>
      <c r="AC639" s="254"/>
      <c r="AD639" s="255">
        <f>+Reactivos_[[#This Row],[Cantidad SPA]]*Reactivos_[[#This Row],[Valor de referencia]]</f>
        <v>0</v>
      </c>
      <c r="AE639" s="148" t="s">
        <v>76</v>
      </c>
      <c r="AF639" s="148" t="s">
        <v>77</v>
      </c>
    </row>
    <row r="640" spans="1:32" ht="29.45" customHeight="1" x14ac:dyDescent="0.25">
      <c r="A640" s="294" t="str">
        <f>IF(B640=Reactivos_[[#This Row],[Cantidad LANIP]],"LANIP",IF(B640=Reactivos_[[#This Row],[Cantidad 
LDV]],"LDV",IF(B640=Reactivos_[[#This Row],[Cantidad LNDV]],"LNDV",IF(B640=Reactivos_[[#This Row],[GGCA]],"GGCA",IF(B640=Reactivos_[[#This Row],[Cantidad LDF]],"LDF",IF(Reactivos_[[#This Row],[Cantidad LDF&amp;MR]],"LDF&amp;MR",IF(B640=Reactivos_[[#This Row],[Cantidad RED LASE]],"LASE",IF(B640=Reactivos_[[#This Row],[Cantidad LANIA]],"LANIA",IF(B640=Reactivos_[[#This Row],[Cantidad SPA]],"SPA"," ")))))))))</f>
        <v>LDV</v>
      </c>
      <c r="B64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40" s="325">
        <v>638</v>
      </c>
      <c r="D640" s="326">
        <v>954</v>
      </c>
      <c r="E640" s="331" t="s">
        <v>1799</v>
      </c>
      <c r="F640" s="332"/>
      <c r="G640" s="331"/>
      <c r="H640" s="348" t="s">
        <v>1800</v>
      </c>
      <c r="I640" s="334" t="s">
        <v>1801</v>
      </c>
      <c r="J64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40" s="160">
        <v>799680</v>
      </c>
      <c r="L640" s="160">
        <f>+Reactivos_[[#This Row],[Cantidad]]*Reactivos_[[#This Row],[Valor de referencia]]</f>
        <v>799680</v>
      </c>
      <c r="M640" s="254">
        <v>0</v>
      </c>
      <c r="N640" s="255">
        <f>+Reactivos_[[#This Row],[Valor de referencia]]*Reactivos_[[#This Row],[Cantidad LANIP]]</f>
        <v>0</v>
      </c>
      <c r="O640" s="256">
        <v>1</v>
      </c>
      <c r="P640" s="255">
        <f>+Reactivos_[[#This Row],[Cantidad 
LDV]]*Reactivos_[[#This Row],[Valor de referencia]]</f>
        <v>799680</v>
      </c>
      <c r="Q640" s="257"/>
      <c r="R640" s="255">
        <f>+Reactivos_[[#This Row],[Cantidad LNDV]]*Reactivos_[[#This Row],[Valor de referencia]]</f>
        <v>0</v>
      </c>
      <c r="S640" s="148"/>
      <c r="T640" s="255">
        <f>+Reactivos_[[#This Row],[GGCA]]*Reactivos_[[#This Row],[Valor de referencia]]</f>
        <v>0</v>
      </c>
      <c r="U640" s="254"/>
      <c r="V640" s="255">
        <f>+Reactivos_[[#This Row],[Cantidad LDF]]*Reactivos_[[#This Row],[Valor de referencia]]</f>
        <v>0</v>
      </c>
      <c r="W640" s="254"/>
      <c r="X640" s="255">
        <f>+Reactivos_[[#This Row],[Cantidad LDF&amp;MR]]*Reactivos_[[#This Row],[Valor de referencia]]</f>
        <v>0</v>
      </c>
      <c r="Y640" s="254"/>
      <c r="Z640" s="255">
        <f>+Reactivos_[[#This Row],[Cantidad RED LASE]]*Reactivos_[[#This Row],[Valor de referencia]]</f>
        <v>0</v>
      </c>
      <c r="AA640" s="254"/>
      <c r="AB640" s="255">
        <f>+Reactivos_[[#This Row],[Cantidad LANIA]]*Reactivos_[[#This Row],[Valor de referencia]]</f>
        <v>0</v>
      </c>
      <c r="AC640" s="254"/>
      <c r="AD640" s="255">
        <f>+Reactivos_[[#This Row],[Cantidad SPA]]*Reactivos_[[#This Row],[Valor de referencia]]</f>
        <v>0</v>
      </c>
      <c r="AE640" s="148" t="s">
        <v>76</v>
      </c>
      <c r="AF640" s="148" t="s">
        <v>101</v>
      </c>
    </row>
    <row r="641" spans="1:32" ht="29.45" customHeight="1" x14ac:dyDescent="0.25">
      <c r="A641" s="294" t="str">
        <f>IF(B641=Reactivos_[[#This Row],[Cantidad LANIP]],"LANIP",IF(B641=Reactivos_[[#This Row],[Cantidad 
LDV]],"LDV",IF(B641=Reactivos_[[#This Row],[Cantidad LNDV]],"LNDV",IF(B641=Reactivos_[[#This Row],[GGCA]],"GGCA",IF(B641=Reactivos_[[#This Row],[Cantidad LDF]],"LDF",IF(Reactivos_[[#This Row],[Cantidad LDF&amp;MR]],"LDF&amp;MR",IF(B641=Reactivos_[[#This Row],[Cantidad RED LASE]],"LASE",IF(B641=Reactivos_[[#This Row],[Cantidad LANIA]],"LANIA",IF(B641=Reactivos_[[#This Row],[Cantidad SPA]],"SPA"," ")))))))))</f>
        <v>LNDV</v>
      </c>
      <c r="B64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41" s="325">
        <v>639</v>
      </c>
      <c r="D641" s="326">
        <v>957</v>
      </c>
      <c r="E641" s="327" t="s">
        <v>1802</v>
      </c>
      <c r="F641" s="244"/>
      <c r="G641" s="327"/>
      <c r="H641" s="348" t="s">
        <v>1803</v>
      </c>
      <c r="I641" s="329" t="s">
        <v>1804</v>
      </c>
      <c r="J64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41" s="160">
        <v>1399850</v>
      </c>
      <c r="L641" s="160">
        <f>+Reactivos_[[#This Row],[Cantidad]]*Reactivos_[[#This Row],[Valor de referencia]]</f>
        <v>2799700</v>
      </c>
      <c r="M641" s="254">
        <v>0</v>
      </c>
      <c r="N641" s="255">
        <f>+Reactivos_[[#This Row],[Valor de referencia]]*Reactivos_[[#This Row],[Cantidad LANIP]]</f>
        <v>0</v>
      </c>
      <c r="O641" s="256"/>
      <c r="P641" s="255">
        <f>+Reactivos_[[#This Row],[Cantidad 
LDV]]*Reactivos_[[#This Row],[Valor de referencia]]</f>
        <v>0</v>
      </c>
      <c r="Q641" s="257">
        <v>2</v>
      </c>
      <c r="R641" s="255">
        <f>+Reactivos_[[#This Row],[Cantidad LNDV]]*Reactivos_[[#This Row],[Valor de referencia]]</f>
        <v>2799700</v>
      </c>
      <c r="S641" s="148"/>
      <c r="T641" s="255">
        <f>+Reactivos_[[#This Row],[GGCA]]*Reactivos_[[#This Row],[Valor de referencia]]</f>
        <v>0</v>
      </c>
      <c r="U641" s="254"/>
      <c r="V641" s="255">
        <f>+Reactivos_[[#This Row],[Cantidad LDF]]*Reactivos_[[#This Row],[Valor de referencia]]</f>
        <v>0</v>
      </c>
      <c r="W641" s="254"/>
      <c r="X641" s="255">
        <f>+Reactivos_[[#This Row],[Cantidad LDF&amp;MR]]*Reactivos_[[#This Row],[Valor de referencia]]</f>
        <v>0</v>
      </c>
      <c r="Y641" s="254"/>
      <c r="Z641" s="255">
        <f>+Reactivos_[[#This Row],[Cantidad RED LASE]]*Reactivos_[[#This Row],[Valor de referencia]]</f>
        <v>0</v>
      </c>
      <c r="AA641" s="254"/>
      <c r="AB641" s="255">
        <f>+Reactivos_[[#This Row],[Cantidad LANIA]]*Reactivos_[[#This Row],[Valor de referencia]]</f>
        <v>0</v>
      </c>
      <c r="AC641" s="254"/>
      <c r="AD641" s="255">
        <f>+Reactivos_[[#This Row],[Cantidad SPA]]*Reactivos_[[#This Row],[Valor de referencia]]</f>
        <v>0</v>
      </c>
      <c r="AE641" s="148" t="s">
        <v>76</v>
      </c>
      <c r="AF641" s="148" t="s">
        <v>77</v>
      </c>
    </row>
    <row r="642" spans="1:32" ht="29.45" customHeight="1" x14ac:dyDescent="0.25">
      <c r="A642" s="294" t="str">
        <f>IF(B642=Reactivos_[[#This Row],[Cantidad LANIP]],"LANIP",IF(B642=Reactivos_[[#This Row],[Cantidad 
LDV]],"LDV",IF(B642=Reactivos_[[#This Row],[Cantidad LNDV]],"LNDV",IF(B642=Reactivos_[[#This Row],[GGCA]],"GGCA",IF(B642=Reactivos_[[#This Row],[Cantidad LDF]],"LDF",IF(Reactivos_[[#This Row],[Cantidad LDF&amp;MR]],"LDF&amp;MR",IF(B642=Reactivos_[[#This Row],[Cantidad RED LASE]],"LASE",IF(B642=Reactivos_[[#This Row],[Cantidad LANIA]],"LANIA",IF(B642=Reactivos_[[#This Row],[Cantidad SPA]],"SPA"," ")))))))))</f>
        <v>LDV</v>
      </c>
      <c r="B64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42" s="325">
        <v>640</v>
      </c>
      <c r="D642" s="326">
        <v>961</v>
      </c>
      <c r="E642" s="327" t="s">
        <v>1805</v>
      </c>
      <c r="F642" s="244"/>
      <c r="G642" s="327"/>
      <c r="H642" s="333" t="s">
        <v>1806</v>
      </c>
      <c r="I642" s="334" t="s">
        <v>1807</v>
      </c>
      <c r="J64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K642" s="160">
        <v>186504</v>
      </c>
      <c r="L642" s="160">
        <f>+Reactivos_[[#This Row],[Cantidad]]*Reactivos_[[#This Row],[Valor de referencia]]</f>
        <v>2051544</v>
      </c>
      <c r="M642" s="254">
        <v>0</v>
      </c>
      <c r="N642" s="255">
        <f>+Reactivos_[[#This Row],[Valor de referencia]]*Reactivos_[[#This Row],[Cantidad LANIP]]</f>
        <v>0</v>
      </c>
      <c r="O642" s="256">
        <v>10</v>
      </c>
      <c r="P642" s="255">
        <f>+Reactivos_[[#This Row],[Cantidad 
LDV]]*Reactivos_[[#This Row],[Valor de referencia]]</f>
        <v>1865040</v>
      </c>
      <c r="Q642" s="257">
        <v>1</v>
      </c>
      <c r="R642" s="255">
        <f>+Reactivos_[[#This Row],[Cantidad LNDV]]*Reactivos_[[#This Row],[Valor de referencia]]</f>
        <v>186504</v>
      </c>
      <c r="S642" s="148"/>
      <c r="T642" s="255">
        <f>+Reactivos_[[#This Row],[GGCA]]*Reactivos_[[#This Row],[Valor de referencia]]</f>
        <v>0</v>
      </c>
      <c r="U642" s="254"/>
      <c r="V642" s="255">
        <f>+Reactivos_[[#This Row],[Cantidad LDF]]*Reactivos_[[#This Row],[Valor de referencia]]</f>
        <v>0</v>
      </c>
      <c r="W642" s="254"/>
      <c r="X642" s="255">
        <f>+Reactivos_[[#This Row],[Cantidad LDF&amp;MR]]*Reactivos_[[#This Row],[Valor de referencia]]</f>
        <v>0</v>
      </c>
      <c r="Y642" s="254"/>
      <c r="Z642" s="255">
        <f>+Reactivos_[[#This Row],[Cantidad RED LASE]]*Reactivos_[[#This Row],[Valor de referencia]]</f>
        <v>0</v>
      </c>
      <c r="AA642" s="254"/>
      <c r="AB642" s="255">
        <f>+Reactivos_[[#This Row],[Cantidad LANIA]]*Reactivos_[[#This Row],[Valor de referencia]]</f>
        <v>0</v>
      </c>
      <c r="AC642" s="254"/>
      <c r="AD642" s="255">
        <f>+Reactivos_[[#This Row],[Cantidad SPA]]*Reactivos_[[#This Row],[Valor de referencia]]</f>
        <v>0</v>
      </c>
      <c r="AE642" s="148" t="s">
        <v>76</v>
      </c>
      <c r="AF642" s="148" t="s">
        <v>101</v>
      </c>
    </row>
    <row r="643" spans="1:32" ht="29.45" customHeight="1" x14ac:dyDescent="0.25">
      <c r="A643" s="294" t="str">
        <f>IF(B643=Reactivos_[[#This Row],[Cantidad LANIP]],"LANIP",IF(B643=Reactivos_[[#This Row],[Cantidad 
LDV]],"LDV",IF(B643=Reactivos_[[#This Row],[Cantidad LNDV]],"LNDV",IF(B643=Reactivos_[[#This Row],[GGCA]],"GGCA",IF(B643=Reactivos_[[#This Row],[Cantidad LDF]],"LDF",IF(Reactivos_[[#This Row],[Cantidad LDF&amp;MR]],"LDF&amp;MR",IF(B643=Reactivos_[[#This Row],[Cantidad RED LASE]],"LASE",IF(B643=Reactivos_[[#This Row],[Cantidad LANIA]],"LANIA",IF(B643=Reactivos_[[#This Row],[Cantidad SPA]],"SPA"," ")))))))))</f>
        <v>LNDV</v>
      </c>
      <c r="B64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43" s="325">
        <v>641</v>
      </c>
      <c r="D643" s="326">
        <v>967</v>
      </c>
      <c r="E643" s="327" t="s">
        <v>1808</v>
      </c>
      <c r="F643" s="244"/>
      <c r="G643" s="327"/>
      <c r="H643" s="328" t="s">
        <v>1796</v>
      </c>
      <c r="I643" s="329" t="s">
        <v>402</v>
      </c>
      <c r="J64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43" s="160">
        <v>1278866</v>
      </c>
      <c r="L643" s="160">
        <f>+Reactivos_[[#This Row],[Cantidad]]*Reactivos_[[#This Row],[Valor de referencia]]</f>
        <v>1278866</v>
      </c>
      <c r="M643" s="254">
        <v>0</v>
      </c>
      <c r="N643" s="255">
        <f>+Reactivos_[[#This Row],[Valor de referencia]]*Reactivos_[[#This Row],[Cantidad LANIP]]</f>
        <v>0</v>
      </c>
      <c r="O643" s="256"/>
      <c r="P643" s="255">
        <f>+Reactivos_[[#This Row],[Cantidad 
LDV]]*Reactivos_[[#This Row],[Valor de referencia]]</f>
        <v>0</v>
      </c>
      <c r="Q643" s="257">
        <v>1</v>
      </c>
      <c r="R643" s="255">
        <f>+Reactivos_[[#This Row],[Cantidad LNDV]]*Reactivos_[[#This Row],[Valor de referencia]]</f>
        <v>1278866</v>
      </c>
      <c r="S643" s="148"/>
      <c r="T643" s="255">
        <f>+Reactivos_[[#This Row],[GGCA]]*Reactivos_[[#This Row],[Valor de referencia]]</f>
        <v>0</v>
      </c>
      <c r="U643" s="254"/>
      <c r="V643" s="255">
        <f>+Reactivos_[[#This Row],[Cantidad LDF]]*Reactivos_[[#This Row],[Valor de referencia]]</f>
        <v>0</v>
      </c>
      <c r="W643" s="254"/>
      <c r="X643" s="255">
        <f>+Reactivos_[[#This Row],[Cantidad LDF&amp;MR]]*Reactivos_[[#This Row],[Valor de referencia]]</f>
        <v>0</v>
      </c>
      <c r="Y643" s="254"/>
      <c r="Z643" s="255">
        <f>+Reactivos_[[#This Row],[Cantidad RED LASE]]*Reactivos_[[#This Row],[Valor de referencia]]</f>
        <v>0</v>
      </c>
      <c r="AA643" s="254"/>
      <c r="AB643" s="255">
        <f>+Reactivos_[[#This Row],[Cantidad LANIA]]*Reactivos_[[#This Row],[Valor de referencia]]</f>
        <v>0</v>
      </c>
      <c r="AC643" s="254"/>
      <c r="AD643" s="255">
        <f>+Reactivos_[[#This Row],[Cantidad SPA]]*Reactivos_[[#This Row],[Valor de referencia]]</f>
        <v>0</v>
      </c>
      <c r="AE643" s="148" t="s">
        <v>76</v>
      </c>
      <c r="AF643" s="148" t="s">
        <v>101</v>
      </c>
    </row>
    <row r="644" spans="1:32" ht="29.45" customHeight="1" x14ac:dyDescent="0.25">
      <c r="A644" s="294" t="str">
        <f>IF(B644=Reactivos_[[#This Row],[Cantidad LANIP]],"LANIP",IF(B644=Reactivos_[[#This Row],[Cantidad 
LDV]],"LDV",IF(B644=Reactivos_[[#This Row],[Cantidad LNDV]],"LNDV",IF(B644=Reactivos_[[#This Row],[GGCA]],"GGCA",IF(B644=Reactivos_[[#This Row],[Cantidad LDF]],"LDF",IF(Reactivos_[[#This Row],[Cantidad LDF&amp;MR]],"LDF&amp;MR",IF(B644=Reactivos_[[#This Row],[Cantidad RED LASE]],"LASE",IF(B644=Reactivos_[[#This Row],[Cantidad LANIA]],"LANIA",IF(B644=Reactivos_[[#This Row],[Cantidad SPA]],"SPA"," ")))))))))</f>
        <v>LDV</v>
      </c>
      <c r="B64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44" s="325">
        <v>642</v>
      </c>
      <c r="D644" s="326">
        <v>969</v>
      </c>
      <c r="E644" s="327" t="s">
        <v>1809</v>
      </c>
      <c r="F644" s="244"/>
      <c r="G644" s="327"/>
      <c r="H644" s="333" t="s">
        <v>1810</v>
      </c>
      <c r="I644" s="334" t="s">
        <v>1807</v>
      </c>
      <c r="J64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K644" s="160">
        <v>175611</v>
      </c>
      <c r="L644" s="160">
        <f>+Reactivos_[[#This Row],[Cantidad]]*Reactivos_[[#This Row],[Valor de referencia]]</f>
        <v>2107332</v>
      </c>
      <c r="M644" s="254">
        <v>0</v>
      </c>
      <c r="N644" s="255">
        <f>+Reactivos_[[#This Row],[Valor de referencia]]*Reactivos_[[#This Row],[Cantidad LANIP]]</f>
        <v>0</v>
      </c>
      <c r="O644" s="256">
        <v>10</v>
      </c>
      <c r="P644" s="255">
        <f>+Reactivos_[[#This Row],[Cantidad 
LDV]]*Reactivos_[[#This Row],[Valor de referencia]]</f>
        <v>1756110</v>
      </c>
      <c r="Q644" s="257">
        <v>2</v>
      </c>
      <c r="R644" s="255">
        <f>+Reactivos_[[#This Row],[Cantidad LNDV]]*Reactivos_[[#This Row],[Valor de referencia]]</f>
        <v>351222</v>
      </c>
      <c r="S644" s="148"/>
      <c r="T644" s="255">
        <f>+Reactivos_[[#This Row],[GGCA]]*Reactivos_[[#This Row],[Valor de referencia]]</f>
        <v>0</v>
      </c>
      <c r="U644" s="254"/>
      <c r="V644" s="255">
        <f>+Reactivos_[[#This Row],[Cantidad LDF]]*Reactivos_[[#This Row],[Valor de referencia]]</f>
        <v>0</v>
      </c>
      <c r="W644" s="254"/>
      <c r="X644" s="255">
        <f>+Reactivos_[[#This Row],[Cantidad LDF&amp;MR]]*Reactivos_[[#This Row],[Valor de referencia]]</f>
        <v>0</v>
      </c>
      <c r="Y644" s="254"/>
      <c r="Z644" s="255">
        <f>+Reactivos_[[#This Row],[Cantidad RED LASE]]*Reactivos_[[#This Row],[Valor de referencia]]</f>
        <v>0</v>
      </c>
      <c r="AA644" s="254"/>
      <c r="AB644" s="255">
        <f>+Reactivos_[[#This Row],[Cantidad LANIA]]*Reactivos_[[#This Row],[Valor de referencia]]</f>
        <v>0</v>
      </c>
      <c r="AC644" s="254"/>
      <c r="AD644" s="255">
        <f>+Reactivos_[[#This Row],[Cantidad SPA]]*Reactivos_[[#This Row],[Valor de referencia]]</f>
        <v>0</v>
      </c>
      <c r="AE644" s="148" t="s">
        <v>76</v>
      </c>
      <c r="AF644" s="148" t="s">
        <v>101</v>
      </c>
    </row>
    <row r="645" spans="1:32" ht="29.45" customHeight="1" x14ac:dyDescent="0.25">
      <c r="A645" s="294" t="str">
        <f>IF(B645=Reactivos_[[#This Row],[Cantidad LANIP]],"LANIP",IF(B645=Reactivos_[[#This Row],[Cantidad 
LDV]],"LDV",IF(B645=Reactivos_[[#This Row],[Cantidad LNDV]],"LNDV",IF(B645=Reactivos_[[#This Row],[GGCA]],"GGCA",IF(B645=Reactivos_[[#This Row],[Cantidad LDF]],"LDF",IF(Reactivos_[[#This Row],[Cantidad LDF&amp;MR]],"LDF&amp;MR",IF(B645=Reactivos_[[#This Row],[Cantidad RED LASE]],"LASE",IF(B645=Reactivos_[[#This Row],[Cantidad LANIA]],"LANIA",IF(B645=Reactivos_[[#This Row],[Cantidad SPA]],"SPA"," ")))))))))</f>
        <v>LDV</v>
      </c>
      <c r="B64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45" s="325">
        <v>643</v>
      </c>
      <c r="D645" s="326">
        <v>970</v>
      </c>
      <c r="E645" s="327" t="s">
        <v>1811</v>
      </c>
      <c r="F645" s="244"/>
      <c r="G645" s="327"/>
      <c r="H645" s="333" t="s">
        <v>1812</v>
      </c>
      <c r="I645" s="334" t="s">
        <v>1813</v>
      </c>
      <c r="J64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K645" s="160">
        <v>175611</v>
      </c>
      <c r="L645" s="160">
        <f>+Reactivos_[[#This Row],[Cantidad]]*Reactivos_[[#This Row],[Valor de referencia]]</f>
        <v>2107332</v>
      </c>
      <c r="M645" s="254">
        <v>0</v>
      </c>
      <c r="N645" s="255">
        <f>+Reactivos_[[#This Row],[Valor de referencia]]*Reactivos_[[#This Row],[Cantidad LANIP]]</f>
        <v>0</v>
      </c>
      <c r="O645" s="256">
        <v>10</v>
      </c>
      <c r="P645" s="255">
        <f>+Reactivos_[[#This Row],[Cantidad 
LDV]]*Reactivos_[[#This Row],[Valor de referencia]]</f>
        <v>1756110</v>
      </c>
      <c r="Q645" s="257">
        <v>2</v>
      </c>
      <c r="R645" s="255">
        <f>+Reactivos_[[#This Row],[Cantidad LNDV]]*Reactivos_[[#This Row],[Valor de referencia]]</f>
        <v>351222</v>
      </c>
      <c r="S645" s="148"/>
      <c r="T645" s="255">
        <f>+Reactivos_[[#This Row],[GGCA]]*Reactivos_[[#This Row],[Valor de referencia]]</f>
        <v>0</v>
      </c>
      <c r="U645" s="254"/>
      <c r="V645" s="255">
        <f>+Reactivos_[[#This Row],[Cantidad LDF]]*Reactivos_[[#This Row],[Valor de referencia]]</f>
        <v>0</v>
      </c>
      <c r="W645" s="254"/>
      <c r="X645" s="255">
        <f>+Reactivos_[[#This Row],[Cantidad LDF&amp;MR]]*Reactivos_[[#This Row],[Valor de referencia]]</f>
        <v>0</v>
      </c>
      <c r="Y645" s="254"/>
      <c r="Z645" s="255">
        <f>+Reactivos_[[#This Row],[Cantidad RED LASE]]*Reactivos_[[#This Row],[Valor de referencia]]</f>
        <v>0</v>
      </c>
      <c r="AA645" s="254"/>
      <c r="AB645" s="255">
        <f>+Reactivos_[[#This Row],[Cantidad LANIA]]*Reactivos_[[#This Row],[Valor de referencia]]</f>
        <v>0</v>
      </c>
      <c r="AC645" s="254"/>
      <c r="AD645" s="255">
        <f>+Reactivos_[[#This Row],[Cantidad SPA]]*Reactivos_[[#This Row],[Valor de referencia]]</f>
        <v>0</v>
      </c>
      <c r="AE645" s="148" t="s">
        <v>76</v>
      </c>
      <c r="AF645" s="148" t="s">
        <v>101</v>
      </c>
    </row>
    <row r="646" spans="1:32" ht="58.5" customHeight="1" x14ac:dyDescent="0.25">
      <c r="A646" s="294" t="str">
        <f>IF(B646=Reactivos_[[#This Row],[Cantidad LANIP]],"LANIP",IF(B646=Reactivos_[[#This Row],[Cantidad 
LDV]],"LDV",IF(B646=Reactivos_[[#This Row],[Cantidad LNDV]],"LNDV",IF(B646=Reactivos_[[#This Row],[GGCA]],"GGCA",IF(B646=Reactivos_[[#This Row],[Cantidad LDF]],"LDF",IF(Reactivos_[[#This Row],[Cantidad LDF&amp;MR]],"LDF&amp;MR",IF(B646=Reactivos_[[#This Row],[Cantidad RED LASE]],"LASE",IF(B646=Reactivos_[[#This Row],[Cantidad LANIA]],"LANIA",IF(B646=Reactivos_[[#This Row],[Cantidad SPA]],"SPA"," ")))))))))</f>
        <v>LNDV</v>
      </c>
      <c r="B64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46" s="325">
        <v>644</v>
      </c>
      <c r="D646" s="326">
        <v>976</v>
      </c>
      <c r="E646" s="327" t="s">
        <v>1814</v>
      </c>
      <c r="F646" s="244"/>
      <c r="G646" s="327"/>
      <c r="H646" s="348" t="s">
        <v>1815</v>
      </c>
      <c r="I646" s="329" t="s">
        <v>402</v>
      </c>
      <c r="J64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46" s="160">
        <v>902138</v>
      </c>
      <c r="L646" s="160">
        <f>+Reactivos_[[#This Row],[Cantidad]]*Reactivos_[[#This Row],[Valor de referencia]]</f>
        <v>902138</v>
      </c>
      <c r="M646" s="254">
        <v>0</v>
      </c>
      <c r="N646" s="255">
        <f>+Reactivos_[[#This Row],[Valor de referencia]]*Reactivos_[[#This Row],[Cantidad LANIP]]</f>
        <v>0</v>
      </c>
      <c r="O646" s="256"/>
      <c r="P646" s="255">
        <f>+Reactivos_[[#This Row],[Cantidad 
LDV]]*Reactivos_[[#This Row],[Valor de referencia]]</f>
        <v>0</v>
      </c>
      <c r="Q646" s="254">
        <v>1</v>
      </c>
      <c r="R646" s="255">
        <f>+Reactivos_[[#This Row],[Cantidad LNDV]]*Reactivos_[[#This Row],[Valor de referencia]]</f>
        <v>902138</v>
      </c>
      <c r="S646" s="148"/>
      <c r="T646" s="255">
        <f>+Reactivos_[[#This Row],[GGCA]]*Reactivos_[[#This Row],[Valor de referencia]]</f>
        <v>0</v>
      </c>
      <c r="U646" s="254"/>
      <c r="V646" s="255">
        <f>+Reactivos_[[#This Row],[Cantidad LDF]]*Reactivos_[[#This Row],[Valor de referencia]]</f>
        <v>0</v>
      </c>
      <c r="W646" s="254"/>
      <c r="X646" s="255">
        <f>+Reactivos_[[#This Row],[Cantidad LDF&amp;MR]]*Reactivos_[[#This Row],[Valor de referencia]]</f>
        <v>0</v>
      </c>
      <c r="Y646" s="254"/>
      <c r="Z646" s="255">
        <f>+Reactivos_[[#This Row],[Cantidad RED LASE]]*Reactivos_[[#This Row],[Valor de referencia]]</f>
        <v>0</v>
      </c>
      <c r="AA646" s="254"/>
      <c r="AB646" s="255">
        <f>+Reactivos_[[#This Row],[Cantidad LANIA]]*Reactivos_[[#This Row],[Valor de referencia]]</f>
        <v>0</v>
      </c>
      <c r="AC646" s="254"/>
      <c r="AD646" s="255">
        <f>+Reactivos_[[#This Row],[Cantidad SPA]]*Reactivos_[[#This Row],[Valor de referencia]]</f>
        <v>0</v>
      </c>
      <c r="AE646" s="148" t="s">
        <v>76</v>
      </c>
      <c r="AF646" s="148" t="s">
        <v>101</v>
      </c>
    </row>
    <row r="647" spans="1:32" ht="29.45" customHeight="1" x14ac:dyDescent="0.25">
      <c r="A647" s="294" t="str">
        <f>IF(B647=Reactivos_[[#This Row],[Cantidad LANIP]],"LANIP",IF(B647=Reactivos_[[#This Row],[Cantidad 
LDV]],"LDV",IF(B647=Reactivos_[[#This Row],[Cantidad LNDV]],"LNDV",IF(B647=Reactivos_[[#This Row],[GGCA]],"GGCA",IF(B647=Reactivos_[[#This Row],[Cantidad LDF]],"LDF",IF(Reactivos_[[#This Row],[Cantidad LDF&amp;MR]],"LDF&amp;MR",IF(B647=Reactivos_[[#This Row],[Cantidad RED LASE]],"LASE",IF(B647=Reactivos_[[#This Row],[Cantidad LANIA]],"LANIA",IF(B647=Reactivos_[[#This Row],[Cantidad SPA]],"SPA"," ")))))))))</f>
        <v>LNDV</v>
      </c>
      <c r="B64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47" s="325">
        <v>645</v>
      </c>
      <c r="D647" s="326">
        <v>979</v>
      </c>
      <c r="E647" s="327" t="s">
        <v>1816</v>
      </c>
      <c r="F647" s="244"/>
      <c r="G647" s="327"/>
      <c r="H647" s="328" t="s">
        <v>1796</v>
      </c>
      <c r="I647" s="329" t="s">
        <v>700</v>
      </c>
      <c r="J64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47" s="160">
        <v>2587652</v>
      </c>
      <c r="L647" s="160">
        <f>+Reactivos_[[#This Row],[Cantidad]]*Reactivos_[[#This Row],[Valor de referencia]]</f>
        <v>2587652</v>
      </c>
      <c r="M647" s="254">
        <v>0</v>
      </c>
      <c r="N647" s="255">
        <f>+Reactivos_[[#This Row],[Valor de referencia]]*Reactivos_[[#This Row],[Cantidad LANIP]]</f>
        <v>0</v>
      </c>
      <c r="O647" s="256"/>
      <c r="P647" s="255">
        <f>+Reactivos_[[#This Row],[Cantidad 
LDV]]*Reactivos_[[#This Row],[Valor de referencia]]</f>
        <v>0</v>
      </c>
      <c r="Q647" s="257">
        <v>1</v>
      </c>
      <c r="R647" s="255">
        <f>+Reactivos_[[#This Row],[Cantidad LNDV]]*Reactivos_[[#This Row],[Valor de referencia]]</f>
        <v>2587652</v>
      </c>
      <c r="S647" s="148"/>
      <c r="T647" s="255">
        <f>+Reactivos_[[#This Row],[GGCA]]*Reactivos_[[#This Row],[Valor de referencia]]</f>
        <v>0</v>
      </c>
      <c r="U647" s="254"/>
      <c r="V647" s="255">
        <f>+Reactivos_[[#This Row],[Cantidad LDF]]*Reactivos_[[#This Row],[Valor de referencia]]</f>
        <v>0</v>
      </c>
      <c r="W647" s="254"/>
      <c r="X647" s="255">
        <f>+Reactivos_[[#This Row],[Cantidad LDF&amp;MR]]*Reactivos_[[#This Row],[Valor de referencia]]</f>
        <v>0</v>
      </c>
      <c r="Y647" s="254"/>
      <c r="Z647" s="255">
        <f>+Reactivos_[[#This Row],[Cantidad RED LASE]]*Reactivos_[[#This Row],[Valor de referencia]]</f>
        <v>0</v>
      </c>
      <c r="AA647" s="254"/>
      <c r="AB647" s="255">
        <f>+Reactivos_[[#This Row],[Cantidad LANIA]]*Reactivos_[[#This Row],[Valor de referencia]]</f>
        <v>0</v>
      </c>
      <c r="AC647" s="254"/>
      <c r="AD647" s="255">
        <f>+Reactivos_[[#This Row],[Cantidad SPA]]*Reactivos_[[#This Row],[Valor de referencia]]</f>
        <v>0</v>
      </c>
      <c r="AE647" s="148" t="s">
        <v>76</v>
      </c>
      <c r="AF647" s="148" t="s">
        <v>101</v>
      </c>
    </row>
    <row r="648" spans="1:32" ht="29.45" customHeight="1" x14ac:dyDescent="0.25">
      <c r="A648" s="294" t="str">
        <f>IF(B648=Reactivos_[[#This Row],[Cantidad LANIP]],"LANIP",IF(B648=Reactivos_[[#This Row],[Cantidad 
LDV]],"LDV",IF(B648=Reactivos_[[#This Row],[Cantidad LNDV]],"LNDV",IF(B648=Reactivos_[[#This Row],[GGCA]],"GGCA",IF(B648=Reactivos_[[#This Row],[Cantidad LDF]],"LDF",IF(Reactivos_[[#This Row],[Cantidad LDF&amp;MR]],"LDF&amp;MR",IF(B648=Reactivos_[[#This Row],[Cantidad RED LASE]],"LASE",IF(B648=Reactivos_[[#This Row],[Cantidad LANIA]],"LANIA",IF(B648=Reactivos_[[#This Row],[Cantidad SPA]],"SPA"," ")))))))))</f>
        <v>LNDV</v>
      </c>
      <c r="B64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48" s="325">
        <v>646</v>
      </c>
      <c r="D648" s="326">
        <v>984</v>
      </c>
      <c r="E648" s="345" t="s">
        <v>1817</v>
      </c>
      <c r="F648" s="244"/>
      <c r="G648" s="327"/>
      <c r="H648" s="328" t="s">
        <v>1796</v>
      </c>
      <c r="I648" s="329" t="s">
        <v>402</v>
      </c>
      <c r="J64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48" s="160">
        <v>1411973</v>
      </c>
      <c r="L648" s="160">
        <f>+Reactivos_[[#This Row],[Cantidad]]*Reactivos_[[#This Row],[Valor de referencia]]</f>
        <v>1411973</v>
      </c>
      <c r="M648" s="254">
        <v>0</v>
      </c>
      <c r="N648" s="255">
        <f>+Reactivos_[[#This Row],[Valor de referencia]]*Reactivos_[[#This Row],[Cantidad LANIP]]</f>
        <v>0</v>
      </c>
      <c r="O648" s="256"/>
      <c r="P648" s="255">
        <f>+Reactivos_[[#This Row],[Cantidad 
LDV]]*Reactivos_[[#This Row],[Valor de referencia]]</f>
        <v>0</v>
      </c>
      <c r="Q648" s="257">
        <v>1</v>
      </c>
      <c r="R648" s="255">
        <f>+Reactivos_[[#This Row],[Cantidad LNDV]]*Reactivos_[[#This Row],[Valor de referencia]]</f>
        <v>1411973</v>
      </c>
      <c r="S648" s="148"/>
      <c r="T648" s="255">
        <f>+Reactivos_[[#This Row],[GGCA]]*Reactivos_[[#This Row],[Valor de referencia]]</f>
        <v>0</v>
      </c>
      <c r="U648" s="254"/>
      <c r="V648" s="255">
        <f>+Reactivos_[[#This Row],[Cantidad LDF]]*Reactivos_[[#This Row],[Valor de referencia]]</f>
        <v>0</v>
      </c>
      <c r="W648" s="254"/>
      <c r="X648" s="255">
        <f>+Reactivos_[[#This Row],[Cantidad LDF&amp;MR]]*Reactivos_[[#This Row],[Valor de referencia]]</f>
        <v>0</v>
      </c>
      <c r="Y648" s="254"/>
      <c r="Z648" s="255">
        <f>+Reactivos_[[#This Row],[Cantidad RED LASE]]*Reactivos_[[#This Row],[Valor de referencia]]</f>
        <v>0</v>
      </c>
      <c r="AA648" s="254"/>
      <c r="AB648" s="255">
        <f>+Reactivos_[[#This Row],[Cantidad LANIA]]*Reactivos_[[#This Row],[Valor de referencia]]</f>
        <v>0</v>
      </c>
      <c r="AC648" s="254"/>
      <c r="AD648" s="255">
        <f>+Reactivos_[[#This Row],[Cantidad SPA]]*Reactivos_[[#This Row],[Valor de referencia]]</f>
        <v>0</v>
      </c>
      <c r="AE648" s="148" t="s">
        <v>76</v>
      </c>
      <c r="AF648" s="148" t="s">
        <v>101</v>
      </c>
    </row>
    <row r="649" spans="1:32" ht="29.45" customHeight="1" x14ac:dyDescent="0.25">
      <c r="A649" s="294" t="str">
        <f>IF(B649=Reactivos_[[#This Row],[Cantidad LANIP]],"LANIP",IF(B649=Reactivos_[[#This Row],[Cantidad 
LDV]],"LDV",IF(B649=Reactivos_[[#This Row],[Cantidad LNDV]],"LNDV",IF(B649=Reactivos_[[#This Row],[GGCA]],"GGCA",IF(B649=Reactivos_[[#This Row],[Cantidad LDF]],"LDF",IF(Reactivos_[[#This Row],[Cantidad LDF&amp;MR]],"LDF&amp;MR",IF(B649=Reactivos_[[#This Row],[Cantidad RED LASE]],"LASE",IF(B649=Reactivos_[[#This Row],[Cantidad LANIA]],"LANIA",IF(B649=Reactivos_[[#This Row],[Cantidad SPA]],"SPA"," ")))))))))</f>
        <v>LNDV</v>
      </c>
      <c r="B64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49" s="325">
        <v>647</v>
      </c>
      <c r="D649" s="326">
        <v>988</v>
      </c>
      <c r="E649" s="327" t="s">
        <v>1818</v>
      </c>
      <c r="F649" s="244"/>
      <c r="G649" s="327"/>
      <c r="H649" s="348" t="s">
        <v>1819</v>
      </c>
      <c r="I649" s="329" t="s">
        <v>402</v>
      </c>
      <c r="J64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49" s="160">
        <v>515216</v>
      </c>
      <c r="L649" s="160">
        <f>+Reactivos_[[#This Row],[Cantidad]]*Reactivos_[[#This Row],[Valor de referencia]]</f>
        <v>1030432</v>
      </c>
      <c r="M649" s="254">
        <v>0</v>
      </c>
      <c r="N649" s="255">
        <f>+Reactivos_[[#This Row],[Valor de referencia]]*Reactivos_[[#This Row],[Cantidad LANIP]]</f>
        <v>0</v>
      </c>
      <c r="O649" s="256"/>
      <c r="P649" s="255">
        <f>+Reactivos_[[#This Row],[Cantidad 
LDV]]*Reactivos_[[#This Row],[Valor de referencia]]</f>
        <v>0</v>
      </c>
      <c r="Q649" s="257">
        <v>2</v>
      </c>
      <c r="R649" s="255">
        <f>+Reactivos_[[#This Row],[Cantidad LNDV]]*Reactivos_[[#This Row],[Valor de referencia]]</f>
        <v>1030432</v>
      </c>
      <c r="S649" s="148"/>
      <c r="T649" s="255">
        <f>+Reactivos_[[#This Row],[GGCA]]*Reactivos_[[#This Row],[Valor de referencia]]</f>
        <v>0</v>
      </c>
      <c r="U649" s="254"/>
      <c r="V649" s="255">
        <f>+Reactivos_[[#This Row],[Cantidad LDF]]*Reactivos_[[#This Row],[Valor de referencia]]</f>
        <v>0</v>
      </c>
      <c r="W649" s="254"/>
      <c r="X649" s="255">
        <f>+Reactivos_[[#This Row],[Cantidad LDF&amp;MR]]*Reactivos_[[#This Row],[Valor de referencia]]</f>
        <v>0</v>
      </c>
      <c r="Y649" s="254"/>
      <c r="Z649" s="255">
        <f>+Reactivos_[[#This Row],[Cantidad RED LASE]]*Reactivos_[[#This Row],[Valor de referencia]]</f>
        <v>0</v>
      </c>
      <c r="AA649" s="254"/>
      <c r="AB649" s="255">
        <f>+Reactivos_[[#This Row],[Cantidad LANIA]]*Reactivos_[[#This Row],[Valor de referencia]]</f>
        <v>0</v>
      </c>
      <c r="AC649" s="254"/>
      <c r="AD649" s="255">
        <f>+Reactivos_[[#This Row],[Cantidad SPA]]*Reactivos_[[#This Row],[Valor de referencia]]</f>
        <v>0</v>
      </c>
      <c r="AE649" s="148" t="s">
        <v>76</v>
      </c>
      <c r="AF649" s="148" t="s">
        <v>101</v>
      </c>
    </row>
    <row r="650" spans="1:32" ht="29.45" customHeight="1" x14ac:dyDescent="0.25">
      <c r="A650" s="294" t="str">
        <f>IF(B650=Reactivos_[[#This Row],[Cantidad LANIP]],"LANIP",IF(B650=Reactivos_[[#This Row],[Cantidad 
LDV]],"LDV",IF(B650=Reactivos_[[#This Row],[Cantidad LNDV]],"LNDV",IF(B650=Reactivos_[[#This Row],[GGCA]],"GGCA",IF(B650=Reactivos_[[#This Row],[Cantidad LDF]],"LDF",IF(Reactivos_[[#This Row],[Cantidad LDF&amp;MR]],"LDF&amp;MR",IF(B650=Reactivos_[[#This Row],[Cantidad RED LASE]],"LASE",IF(B650=Reactivos_[[#This Row],[Cantidad LANIA]],"LANIA",IF(B650=Reactivos_[[#This Row],[Cantidad SPA]],"SPA"," ")))))))))</f>
        <v>LNDV</v>
      </c>
      <c r="B65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50" s="325">
        <v>648</v>
      </c>
      <c r="D650" s="326">
        <v>989</v>
      </c>
      <c r="E650" s="331" t="s">
        <v>1820</v>
      </c>
      <c r="F650" s="332"/>
      <c r="G650" s="331"/>
      <c r="H650" s="342" t="s">
        <v>1821</v>
      </c>
      <c r="I650" s="334" t="s">
        <v>1233</v>
      </c>
      <c r="J65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50" s="160">
        <v>654005</v>
      </c>
      <c r="L650" s="160">
        <f>+Reactivos_[[#This Row],[Cantidad]]*Reactivos_[[#This Row],[Valor de referencia]]</f>
        <v>654005</v>
      </c>
      <c r="M650" s="254">
        <v>0</v>
      </c>
      <c r="N650" s="255">
        <f>+Reactivos_[[#This Row],[Valor de referencia]]*Reactivos_[[#This Row],[Cantidad LANIP]]</f>
        <v>0</v>
      </c>
      <c r="O650" s="256"/>
      <c r="P650" s="255">
        <f>+Reactivos_[[#This Row],[Cantidad 
LDV]]*Reactivos_[[#This Row],[Valor de referencia]]</f>
        <v>0</v>
      </c>
      <c r="Q650" s="257">
        <v>1</v>
      </c>
      <c r="R650" s="255">
        <f>+Reactivos_[[#This Row],[Cantidad LNDV]]*Reactivos_[[#This Row],[Valor de referencia]]</f>
        <v>654005</v>
      </c>
      <c r="S650" s="148"/>
      <c r="T650" s="255">
        <f>+Reactivos_[[#This Row],[GGCA]]*Reactivos_[[#This Row],[Valor de referencia]]</f>
        <v>0</v>
      </c>
      <c r="U650" s="254"/>
      <c r="V650" s="255">
        <f>+Reactivos_[[#This Row],[Cantidad LDF]]*Reactivos_[[#This Row],[Valor de referencia]]</f>
        <v>0</v>
      </c>
      <c r="W650" s="254"/>
      <c r="X650" s="255">
        <f>+Reactivos_[[#This Row],[Cantidad LDF&amp;MR]]*Reactivos_[[#This Row],[Valor de referencia]]</f>
        <v>0</v>
      </c>
      <c r="Y650" s="254"/>
      <c r="Z650" s="255">
        <f>+Reactivos_[[#This Row],[Cantidad RED LASE]]*Reactivos_[[#This Row],[Valor de referencia]]</f>
        <v>0</v>
      </c>
      <c r="AA650" s="254"/>
      <c r="AB650" s="255">
        <f>+Reactivos_[[#This Row],[Cantidad LANIA]]*Reactivos_[[#This Row],[Valor de referencia]]</f>
        <v>0</v>
      </c>
      <c r="AC650" s="254"/>
      <c r="AD650" s="255">
        <f>+Reactivos_[[#This Row],[Cantidad SPA]]*Reactivos_[[#This Row],[Valor de referencia]]</f>
        <v>0</v>
      </c>
      <c r="AE650" s="148" t="s">
        <v>76</v>
      </c>
      <c r="AF650" s="148" t="s">
        <v>77</v>
      </c>
    </row>
    <row r="651" spans="1:32" ht="29.45" customHeight="1" x14ac:dyDescent="0.25">
      <c r="A651" s="294" t="str">
        <f>IF(B651=Reactivos_[[#This Row],[Cantidad LANIP]],"LANIP",IF(B651=Reactivos_[[#This Row],[Cantidad 
LDV]],"LDV",IF(B651=Reactivos_[[#This Row],[Cantidad LNDV]],"LNDV",IF(B651=Reactivos_[[#This Row],[GGCA]],"GGCA",IF(B651=Reactivos_[[#This Row],[Cantidad LDF]],"LDF",IF(Reactivos_[[#This Row],[Cantidad LDF&amp;MR]],"LDF&amp;MR",IF(B651=Reactivos_[[#This Row],[Cantidad RED LASE]],"LASE",IF(B651=Reactivos_[[#This Row],[Cantidad LANIA]],"LANIA",IF(B651=Reactivos_[[#This Row],[Cantidad SPA]],"SPA"," ")))))))))</f>
        <v>LNDV</v>
      </c>
      <c r="B65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51" s="325">
        <v>649</v>
      </c>
      <c r="D651" s="326">
        <v>990</v>
      </c>
      <c r="E651" s="331" t="s">
        <v>1822</v>
      </c>
      <c r="F651" s="332"/>
      <c r="G651" s="331"/>
      <c r="H651" s="348" t="s">
        <v>1823</v>
      </c>
      <c r="I651" s="334" t="s">
        <v>1233</v>
      </c>
      <c r="J65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651" s="160">
        <v>8379623</v>
      </c>
      <c r="L651" s="160">
        <f>+Reactivos_[[#This Row],[Cantidad]]*Reactivos_[[#This Row],[Valor de referencia]]</f>
        <v>83796230</v>
      </c>
      <c r="M651" s="254">
        <v>0</v>
      </c>
      <c r="N651" s="255">
        <f>+Reactivos_[[#This Row],[Valor de referencia]]*Reactivos_[[#This Row],[Cantidad LANIP]]</f>
        <v>0</v>
      </c>
      <c r="O651" s="256"/>
      <c r="P651" s="255">
        <f>+Reactivos_[[#This Row],[Cantidad 
LDV]]*Reactivos_[[#This Row],[Valor de referencia]]</f>
        <v>0</v>
      </c>
      <c r="Q651" s="257">
        <v>10</v>
      </c>
      <c r="R651" s="255">
        <f>+Reactivos_[[#This Row],[Cantidad LNDV]]*Reactivos_[[#This Row],[Valor de referencia]]</f>
        <v>83796230</v>
      </c>
      <c r="S651" s="148"/>
      <c r="T651" s="255">
        <f>+Reactivos_[[#This Row],[GGCA]]*Reactivos_[[#This Row],[Valor de referencia]]</f>
        <v>0</v>
      </c>
      <c r="U651" s="254"/>
      <c r="V651" s="255">
        <f>+Reactivos_[[#This Row],[Cantidad LDF]]*Reactivos_[[#This Row],[Valor de referencia]]</f>
        <v>0</v>
      </c>
      <c r="W651" s="254"/>
      <c r="X651" s="255">
        <f>+Reactivos_[[#This Row],[Cantidad LDF&amp;MR]]*Reactivos_[[#This Row],[Valor de referencia]]</f>
        <v>0</v>
      </c>
      <c r="Y651" s="254"/>
      <c r="Z651" s="255">
        <f>+Reactivos_[[#This Row],[Cantidad RED LASE]]*Reactivos_[[#This Row],[Valor de referencia]]</f>
        <v>0</v>
      </c>
      <c r="AA651" s="254"/>
      <c r="AB651" s="255">
        <f>+Reactivos_[[#This Row],[Cantidad LANIA]]*Reactivos_[[#This Row],[Valor de referencia]]</f>
        <v>0</v>
      </c>
      <c r="AC651" s="254"/>
      <c r="AD651" s="255">
        <f>+Reactivos_[[#This Row],[Cantidad SPA]]*Reactivos_[[#This Row],[Valor de referencia]]</f>
        <v>0</v>
      </c>
      <c r="AE651" s="148" t="s">
        <v>76</v>
      </c>
      <c r="AF651" s="148" t="s">
        <v>77</v>
      </c>
    </row>
    <row r="652" spans="1:32" ht="29.45" customHeight="1" x14ac:dyDescent="0.25">
      <c r="A652" s="294" t="str">
        <f>IF(B652=Reactivos_[[#This Row],[Cantidad LANIP]],"LANIP",IF(B652=Reactivos_[[#This Row],[Cantidad 
LDV]],"LDV",IF(B652=Reactivos_[[#This Row],[Cantidad LNDV]],"LNDV",IF(B652=Reactivos_[[#This Row],[GGCA]],"GGCA",IF(B652=Reactivos_[[#This Row],[Cantidad LDF]],"LDF",IF(Reactivos_[[#This Row],[Cantidad LDF&amp;MR]],"LDF&amp;MR",IF(B652=Reactivos_[[#This Row],[Cantidad RED LASE]],"LASE",IF(B652=Reactivos_[[#This Row],[Cantidad LANIA]],"LANIA",IF(B652=Reactivos_[[#This Row],[Cantidad SPA]],"SPA"," ")))))))))</f>
        <v>LNDV</v>
      </c>
      <c r="B65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52" s="325">
        <v>650</v>
      </c>
      <c r="D652" s="326">
        <v>991</v>
      </c>
      <c r="E652" s="327" t="s">
        <v>1824</v>
      </c>
      <c r="F652" s="244"/>
      <c r="G652" s="327"/>
      <c r="H652" s="348" t="s">
        <v>1825</v>
      </c>
      <c r="I652" s="329" t="s">
        <v>1826</v>
      </c>
      <c r="J65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52" s="160">
        <v>1544799</v>
      </c>
      <c r="L652" s="160">
        <f>+Reactivos_[[#This Row],[Cantidad]]*Reactivos_[[#This Row],[Valor de referencia]]</f>
        <v>1544799</v>
      </c>
      <c r="M652" s="254">
        <v>0</v>
      </c>
      <c r="N652" s="255">
        <f>+Reactivos_[[#This Row],[Valor de referencia]]*Reactivos_[[#This Row],[Cantidad LANIP]]</f>
        <v>0</v>
      </c>
      <c r="O652" s="256"/>
      <c r="P652" s="255">
        <f>+Reactivos_[[#This Row],[Cantidad 
LDV]]*Reactivos_[[#This Row],[Valor de referencia]]</f>
        <v>0</v>
      </c>
      <c r="Q652" s="257">
        <v>1</v>
      </c>
      <c r="R652" s="255">
        <f>+Reactivos_[[#This Row],[Cantidad LNDV]]*Reactivos_[[#This Row],[Valor de referencia]]</f>
        <v>1544799</v>
      </c>
      <c r="S652" s="148"/>
      <c r="T652" s="255">
        <f>+Reactivos_[[#This Row],[GGCA]]*Reactivos_[[#This Row],[Valor de referencia]]</f>
        <v>0</v>
      </c>
      <c r="U652" s="254"/>
      <c r="V652" s="255">
        <f>+Reactivos_[[#This Row],[Cantidad LDF]]*Reactivos_[[#This Row],[Valor de referencia]]</f>
        <v>0</v>
      </c>
      <c r="W652" s="254"/>
      <c r="X652" s="255">
        <f>+Reactivos_[[#This Row],[Cantidad LDF&amp;MR]]*Reactivos_[[#This Row],[Valor de referencia]]</f>
        <v>0</v>
      </c>
      <c r="Y652" s="254"/>
      <c r="Z652" s="255">
        <f>+Reactivos_[[#This Row],[Cantidad RED LASE]]*Reactivos_[[#This Row],[Valor de referencia]]</f>
        <v>0</v>
      </c>
      <c r="AA652" s="254"/>
      <c r="AB652" s="255">
        <f>+Reactivos_[[#This Row],[Cantidad LANIA]]*Reactivos_[[#This Row],[Valor de referencia]]</f>
        <v>0</v>
      </c>
      <c r="AC652" s="254"/>
      <c r="AD652" s="255">
        <f>+Reactivos_[[#This Row],[Cantidad SPA]]*Reactivos_[[#This Row],[Valor de referencia]]</f>
        <v>0</v>
      </c>
      <c r="AE652" s="148" t="s">
        <v>76</v>
      </c>
      <c r="AF652" s="148" t="s">
        <v>101</v>
      </c>
    </row>
    <row r="653" spans="1:32" ht="29.45" customHeight="1" x14ac:dyDescent="0.25">
      <c r="A653" s="294" t="str">
        <f>IF(B653=Reactivos_[[#This Row],[Cantidad LANIP]],"LANIP",IF(B653=Reactivos_[[#This Row],[Cantidad 
LDV]],"LDV",IF(B653=Reactivos_[[#This Row],[Cantidad LNDV]],"LNDV",IF(B653=Reactivos_[[#This Row],[GGCA]],"GGCA",IF(B653=Reactivos_[[#This Row],[Cantidad LDF]],"LDF",IF(Reactivos_[[#This Row],[Cantidad LDF&amp;MR]],"LDF&amp;MR",IF(B653=Reactivos_[[#This Row],[Cantidad RED LASE]],"LASE",IF(B653=Reactivos_[[#This Row],[Cantidad LANIA]],"LANIA",IF(B653=Reactivos_[[#This Row],[Cantidad SPA]],"SPA"," ")))))))))</f>
        <v>LNDV</v>
      </c>
      <c r="B65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53" s="325">
        <v>651</v>
      </c>
      <c r="D653" s="326">
        <v>992</v>
      </c>
      <c r="E653" s="327" t="s">
        <v>1827</v>
      </c>
      <c r="F653" s="244"/>
      <c r="G653" s="327"/>
      <c r="H653" s="342" t="s">
        <v>1828</v>
      </c>
      <c r="I653" s="334" t="s">
        <v>1233</v>
      </c>
      <c r="J65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53" s="160">
        <v>804310</v>
      </c>
      <c r="L653" s="160">
        <f>+Reactivos_[[#This Row],[Cantidad]]*Reactivos_[[#This Row],[Valor de referencia]]</f>
        <v>1608620</v>
      </c>
      <c r="M653" s="254">
        <v>0</v>
      </c>
      <c r="N653" s="255">
        <f>+Reactivos_[[#This Row],[Valor de referencia]]*Reactivos_[[#This Row],[Cantidad LANIP]]</f>
        <v>0</v>
      </c>
      <c r="O653" s="256"/>
      <c r="P653" s="255">
        <f>+Reactivos_[[#This Row],[Cantidad 
LDV]]*Reactivos_[[#This Row],[Valor de referencia]]</f>
        <v>0</v>
      </c>
      <c r="Q653" s="257">
        <v>2</v>
      </c>
      <c r="R653" s="255">
        <f>+Reactivos_[[#This Row],[Cantidad LNDV]]*Reactivos_[[#This Row],[Valor de referencia]]</f>
        <v>1608620</v>
      </c>
      <c r="S653" s="148"/>
      <c r="T653" s="255">
        <f>+Reactivos_[[#This Row],[GGCA]]*Reactivos_[[#This Row],[Valor de referencia]]</f>
        <v>0</v>
      </c>
      <c r="U653" s="254"/>
      <c r="V653" s="255">
        <f>+Reactivos_[[#This Row],[Cantidad LDF]]*Reactivos_[[#This Row],[Valor de referencia]]</f>
        <v>0</v>
      </c>
      <c r="W653" s="254"/>
      <c r="X653" s="255">
        <f>+Reactivos_[[#This Row],[Cantidad LDF&amp;MR]]*Reactivos_[[#This Row],[Valor de referencia]]</f>
        <v>0</v>
      </c>
      <c r="Y653" s="254"/>
      <c r="Z653" s="255">
        <f>+Reactivos_[[#This Row],[Cantidad RED LASE]]*Reactivos_[[#This Row],[Valor de referencia]]</f>
        <v>0</v>
      </c>
      <c r="AA653" s="254"/>
      <c r="AB653" s="255">
        <f>+Reactivos_[[#This Row],[Cantidad LANIA]]*Reactivos_[[#This Row],[Valor de referencia]]</f>
        <v>0</v>
      </c>
      <c r="AC653" s="254"/>
      <c r="AD653" s="255">
        <f>+Reactivos_[[#This Row],[Cantidad SPA]]*Reactivos_[[#This Row],[Valor de referencia]]</f>
        <v>0</v>
      </c>
      <c r="AE653" s="148" t="s">
        <v>76</v>
      </c>
      <c r="AF653" s="148" t="s">
        <v>77</v>
      </c>
    </row>
    <row r="654" spans="1:32" ht="29.45" customHeight="1" x14ac:dyDescent="0.25">
      <c r="A654" s="294" t="str">
        <f>IF(B654=Reactivos_[[#This Row],[Cantidad LANIP]],"LANIP",IF(B654=Reactivos_[[#This Row],[Cantidad 
LDV]],"LDV",IF(B654=Reactivos_[[#This Row],[Cantidad LNDV]],"LNDV",IF(B654=Reactivos_[[#This Row],[GGCA]],"GGCA",IF(B654=Reactivos_[[#This Row],[Cantidad LDF]],"LDF",IF(Reactivos_[[#This Row],[Cantidad LDF&amp;MR]],"LDF&amp;MR",IF(B654=Reactivos_[[#This Row],[Cantidad RED LASE]],"LASE",IF(B654=Reactivos_[[#This Row],[Cantidad LANIA]],"LANIA",IF(B654=Reactivos_[[#This Row],[Cantidad SPA]],"SPA"," ")))))))))</f>
        <v>LNDV</v>
      </c>
      <c r="B65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54" s="325">
        <v>652</v>
      </c>
      <c r="D654" s="326">
        <v>993</v>
      </c>
      <c r="E654" s="327" t="s">
        <v>1829</v>
      </c>
      <c r="F654" s="244"/>
      <c r="G654" s="245"/>
      <c r="H654" s="330" t="s">
        <v>567</v>
      </c>
      <c r="I654" s="406" t="s">
        <v>1830</v>
      </c>
      <c r="J65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54" s="160">
        <v>887850</v>
      </c>
      <c r="L654" s="160">
        <f>+Reactivos_[[#This Row],[Cantidad]]*Reactivos_[[#This Row],[Valor de referencia]]</f>
        <v>887850</v>
      </c>
      <c r="M654" s="254">
        <v>0</v>
      </c>
      <c r="N654" s="255">
        <f>+Reactivos_[[#This Row],[Valor de referencia]]*Reactivos_[[#This Row],[Cantidad LANIP]]</f>
        <v>0</v>
      </c>
      <c r="O654" s="256"/>
      <c r="P654" s="255">
        <f>+Reactivos_[[#This Row],[Cantidad 
LDV]]*Reactivos_[[#This Row],[Valor de referencia]]</f>
        <v>0</v>
      </c>
      <c r="Q654" s="257">
        <v>1</v>
      </c>
      <c r="R654" s="255">
        <f>+Reactivos_[[#This Row],[Cantidad LNDV]]*Reactivos_[[#This Row],[Valor de referencia]]</f>
        <v>887850</v>
      </c>
      <c r="S654" s="148"/>
      <c r="T654" s="255">
        <f>+Reactivos_[[#This Row],[GGCA]]*Reactivos_[[#This Row],[Valor de referencia]]</f>
        <v>0</v>
      </c>
      <c r="U654" s="254"/>
      <c r="V654" s="255">
        <f>+Reactivos_[[#This Row],[Cantidad LDF]]*Reactivos_[[#This Row],[Valor de referencia]]</f>
        <v>0</v>
      </c>
      <c r="W654" s="254"/>
      <c r="X654" s="255">
        <f>+Reactivos_[[#This Row],[Cantidad LDF&amp;MR]]*Reactivos_[[#This Row],[Valor de referencia]]</f>
        <v>0</v>
      </c>
      <c r="Y654" s="254"/>
      <c r="Z654" s="255">
        <f>+Reactivos_[[#This Row],[Cantidad RED LASE]]*Reactivos_[[#This Row],[Valor de referencia]]</f>
        <v>0</v>
      </c>
      <c r="AA654" s="254"/>
      <c r="AB654" s="255">
        <f>+Reactivos_[[#This Row],[Cantidad LANIA]]*Reactivos_[[#This Row],[Valor de referencia]]</f>
        <v>0</v>
      </c>
      <c r="AC654" s="254"/>
      <c r="AD654" s="255">
        <f>+Reactivos_[[#This Row],[Cantidad SPA]]*Reactivos_[[#This Row],[Valor de referencia]]</f>
        <v>0</v>
      </c>
      <c r="AE654" s="148" t="s">
        <v>76</v>
      </c>
      <c r="AF654" s="148" t="s">
        <v>77</v>
      </c>
    </row>
    <row r="655" spans="1:32" ht="29.45" customHeight="1" x14ac:dyDescent="0.25">
      <c r="A655" s="294" t="str">
        <f>IF(B655=Reactivos_[[#This Row],[Cantidad LANIP]],"LANIP",IF(B655=Reactivos_[[#This Row],[Cantidad 
LDV]],"LDV",IF(B655=Reactivos_[[#This Row],[Cantidad LNDV]],"LNDV",IF(B655=Reactivos_[[#This Row],[GGCA]],"GGCA",IF(B655=Reactivos_[[#This Row],[Cantidad LDF]],"LDF",IF(Reactivos_[[#This Row],[Cantidad LDF&amp;MR]],"LDF&amp;MR",IF(B655=Reactivos_[[#This Row],[Cantidad RED LASE]],"LASE",IF(B655=Reactivos_[[#This Row],[Cantidad LANIA]],"LANIA",IF(B655=Reactivos_[[#This Row],[Cantidad SPA]],"SPA"," ")))))))))</f>
        <v>LANIP</v>
      </c>
      <c r="B65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55" s="325">
        <v>653</v>
      </c>
      <c r="D655" s="326">
        <v>995</v>
      </c>
      <c r="E655" s="331" t="s">
        <v>1831</v>
      </c>
      <c r="F655" s="332"/>
      <c r="G655" s="331"/>
      <c r="H655" s="342" t="s">
        <v>1832</v>
      </c>
      <c r="I655" s="334" t="s">
        <v>217</v>
      </c>
      <c r="J65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55" s="160">
        <v>342371</v>
      </c>
      <c r="L655" s="160">
        <f>+Reactivos_[[#This Row],[Cantidad]]*Reactivos_[[#This Row],[Valor de referencia]]</f>
        <v>342371</v>
      </c>
      <c r="M655" s="254">
        <v>1</v>
      </c>
      <c r="N655" s="255">
        <f>+Reactivos_[[#This Row],[Valor de referencia]]*Reactivos_[[#This Row],[Cantidad LANIP]]</f>
        <v>342371</v>
      </c>
      <c r="O655" s="256"/>
      <c r="P655" s="255">
        <f>+Reactivos_[[#This Row],[Cantidad 
LDV]]*Reactivos_[[#This Row],[Valor de referencia]]</f>
        <v>0</v>
      </c>
      <c r="Q655" s="257"/>
      <c r="R655" s="255">
        <f>+Reactivos_[[#This Row],[Cantidad LNDV]]*Reactivos_[[#This Row],[Valor de referencia]]</f>
        <v>0</v>
      </c>
      <c r="S655" s="148"/>
      <c r="T655" s="255">
        <f>+Reactivos_[[#This Row],[GGCA]]*Reactivos_[[#This Row],[Valor de referencia]]</f>
        <v>0</v>
      </c>
      <c r="U655" s="254"/>
      <c r="V655" s="255">
        <f>+Reactivos_[[#This Row],[Cantidad LDF]]*Reactivos_[[#This Row],[Valor de referencia]]</f>
        <v>0</v>
      </c>
      <c r="W655" s="254"/>
      <c r="X655" s="255">
        <f>+Reactivos_[[#This Row],[Cantidad LDF&amp;MR]]*Reactivos_[[#This Row],[Valor de referencia]]</f>
        <v>0</v>
      </c>
      <c r="Y655" s="254"/>
      <c r="Z655" s="255">
        <f>+Reactivos_[[#This Row],[Cantidad RED LASE]]*Reactivos_[[#This Row],[Valor de referencia]]</f>
        <v>0</v>
      </c>
      <c r="AA655" s="254"/>
      <c r="AB655" s="255">
        <f>+Reactivos_[[#This Row],[Cantidad LANIA]]*Reactivos_[[#This Row],[Valor de referencia]]</f>
        <v>0</v>
      </c>
      <c r="AC655" s="254"/>
      <c r="AD655" s="255">
        <f>+Reactivos_[[#This Row],[Cantidad SPA]]*Reactivos_[[#This Row],[Valor de referencia]]</f>
        <v>0</v>
      </c>
      <c r="AE655" s="148" t="s">
        <v>76</v>
      </c>
      <c r="AF655" s="148" t="s">
        <v>77</v>
      </c>
    </row>
    <row r="656" spans="1:32" ht="29.45" customHeight="1" x14ac:dyDescent="0.25">
      <c r="A656" s="294" t="str">
        <f>IF(B656=Reactivos_[[#This Row],[Cantidad LANIP]],"LANIP",IF(B656=Reactivos_[[#This Row],[Cantidad 
LDV]],"LDV",IF(B656=Reactivos_[[#This Row],[Cantidad LNDV]],"LNDV",IF(B656=Reactivos_[[#This Row],[GGCA]],"GGCA",IF(B656=Reactivos_[[#This Row],[Cantidad LDF]],"LDF",IF(Reactivos_[[#This Row],[Cantidad LDF&amp;MR]],"LDF&amp;MR",IF(B656=Reactivos_[[#This Row],[Cantidad RED LASE]],"LASE",IF(B656=Reactivos_[[#This Row],[Cantidad LANIA]],"LANIA",IF(B656=Reactivos_[[#This Row],[Cantidad SPA]],"SPA"," ")))))))))</f>
        <v>LANIA</v>
      </c>
      <c r="B65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40</v>
      </c>
      <c r="C656" s="325">
        <v>654</v>
      </c>
      <c r="D656" s="326">
        <v>998</v>
      </c>
      <c r="E656" s="245" t="s">
        <v>1833</v>
      </c>
      <c r="F656" s="244"/>
      <c r="G656" s="245"/>
      <c r="H656" s="349" t="s">
        <v>1834</v>
      </c>
      <c r="I656" s="410" t="s">
        <v>1835</v>
      </c>
      <c r="J65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41</v>
      </c>
      <c r="K656" s="160">
        <v>593257</v>
      </c>
      <c r="L656" s="160">
        <f>+Reactivos_[[#This Row],[Cantidad]]*Reactivos_[[#This Row],[Valor de referencia]]</f>
        <v>24323537</v>
      </c>
      <c r="M656" s="254">
        <v>1</v>
      </c>
      <c r="N656" s="255">
        <f>+Reactivos_[[#This Row],[Valor de referencia]]*Reactivos_[[#This Row],[Cantidad LANIP]]</f>
        <v>593257</v>
      </c>
      <c r="O656" s="256"/>
      <c r="P656" s="255">
        <f>+Reactivos_[[#This Row],[Cantidad 
LDV]]*Reactivos_[[#This Row],[Valor de referencia]]</f>
        <v>0</v>
      </c>
      <c r="Q656" s="257"/>
      <c r="R656" s="255">
        <f>+Reactivos_[[#This Row],[Cantidad LNDV]]*Reactivos_[[#This Row],[Valor de referencia]]</f>
        <v>0</v>
      </c>
      <c r="S656" s="148"/>
      <c r="T656" s="255">
        <f>+Reactivos_[[#This Row],[GGCA]]*Reactivos_[[#This Row],[Valor de referencia]]</f>
        <v>0</v>
      </c>
      <c r="U656" s="254"/>
      <c r="V656" s="255">
        <f>+Reactivos_[[#This Row],[Cantidad LDF]]*Reactivos_[[#This Row],[Valor de referencia]]</f>
        <v>0</v>
      </c>
      <c r="W656" s="254"/>
      <c r="X656" s="255">
        <f>+Reactivos_[[#This Row],[Cantidad LDF&amp;MR]]*Reactivos_[[#This Row],[Valor de referencia]]</f>
        <v>0</v>
      </c>
      <c r="Y656" s="254"/>
      <c r="Z656" s="255">
        <f>+Reactivos_[[#This Row],[Cantidad RED LASE]]*Reactivos_[[#This Row],[Valor de referencia]]</f>
        <v>0</v>
      </c>
      <c r="AA656" s="254">
        <v>40</v>
      </c>
      <c r="AB656" s="255">
        <f>+Reactivos_[[#This Row],[Cantidad LANIA]]*Reactivos_[[#This Row],[Valor de referencia]]</f>
        <v>23730280</v>
      </c>
      <c r="AC656" s="254"/>
      <c r="AD656" s="255">
        <f>+Reactivos_[[#This Row],[Cantidad SPA]]*Reactivos_[[#This Row],[Valor de referencia]]</f>
        <v>0</v>
      </c>
      <c r="AE656" s="148" t="s">
        <v>76</v>
      </c>
      <c r="AF656" s="148" t="s">
        <v>77</v>
      </c>
    </row>
    <row r="657" spans="1:32" ht="54.75" customHeight="1" x14ac:dyDescent="0.25">
      <c r="A657" s="294" t="str">
        <f>IF(B657=Reactivos_[[#This Row],[Cantidad LANIP]],"LANIP",IF(B657=Reactivos_[[#This Row],[Cantidad 
LDV]],"LDV",IF(B657=Reactivos_[[#This Row],[Cantidad LNDV]],"LNDV",IF(B657=Reactivos_[[#This Row],[GGCA]],"GGCA",IF(B657=Reactivos_[[#This Row],[Cantidad LDF]],"LDF",IF(Reactivos_[[#This Row],[Cantidad LDF&amp;MR]],"LDF&amp;MR",IF(B657=Reactivos_[[#This Row],[Cantidad RED LASE]],"LASE",IF(B657=Reactivos_[[#This Row],[Cantidad LANIA]],"LANIA",IF(B657=Reactivos_[[#This Row],[Cantidad SPA]],"SPA"," ")))))))))</f>
        <v>LANIP</v>
      </c>
      <c r="B65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57" s="325">
        <v>655</v>
      </c>
      <c r="D657" s="326">
        <v>999</v>
      </c>
      <c r="E657" s="327" t="s">
        <v>1836</v>
      </c>
      <c r="F657" s="244"/>
      <c r="G657" s="327"/>
      <c r="H657" s="342" t="s">
        <v>1837</v>
      </c>
      <c r="I657" s="329" t="s">
        <v>217</v>
      </c>
      <c r="J65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57" s="160">
        <v>460647</v>
      </c>
      <c r="L657" s="160">
        <f>+Reactivos_[[#This Row],[Cantidad]]*Reactivos_[[#This Row],[Valor de referencia]]</f>
        <v>460647</v>
      </c>
      <c r="M657" s="254">
        <v>1</v>
      </c>
      <c r="N657" s="255">
        <f>+Reactivos_[[#This Row],[Valor de referencia]]*Reactivos_[[#This Row],[Cantidad LANIP]]</f>
        <v>460647</v>
      </c>
      <c r="O657" s="256"/>
      <c r="P657" s="255">
        <f>+Reactivos_[[#This Row],[Cantidad 
LDV]]*Reactivos_[[#This Row],[Valor de referencia]]</f>
        <v>0</v>
      </c>
      <c r="Q657" s="257"/>
      <c r="R657" s="255">
        <f>+Reactivos_[[#This Row],[Cantidad LNDV]]*Reactivos_[[#This Row],[Valor de referencia]]</f>
        <v>0</v>
      </c>
      <c r="S657" s="148"/>
      <c r="T657" s="255">
        <f>+Reactivos_[[#This Row],[GGCA]]*Reactivos_[[#This Row],[Valor de referencia]]</f>
        <v>0</v>
      </c>
      <c r="U657" s="254"/>
      <c r="V657" s="255">
        <f>+Reactivos_[[#This Row],[Cantidad LDF]]*Reactivos_[[#This Row],[Valor de referencia]]</f>
        <v>0</v>
      </c>
      <c r="W657" s="254"/>
      <c r="X657" s="255">
        <f>+Reactivos_[[#This Row],[Cantidad LDF&amp;MR]]*Reactivos_[[#This Row],[Valor de referencia]]</f>
        <v>0</v>
      </c>
      <c r="Y657" s="254"/>
      <c r="Z657" s="255">
        <f>+Reactivos_[[#This Row],[Cantidad RED LASE]]*Reactivos_[[#This Row],[Valor de referencia]]</f>
        <v>0</v>
      </c>
      <c r="AA657" s="254"/>
      <c r="AB657" s="255">
        <f>+Reactivos_[[#This Row],[Cantidad LANIA]]*Reactivos_[[#This Row],[Valor de referencia]]</f>
        <v>0</v>
      </c>
      <c r="AC657" s="254"/>
      <c r="AD657" s="255">
        <f>+Reactivos_[[#This Row],[Cantidad SPA]]*Reactivos_[[#This Row],[Valor de referencia]]</f>
        <v>0</v>
      </c>
      <c r="AE657" s="148" t="s">
        <v>76</v>
      </c>
      <c r="AF657" s="148" t="s">
        <v>77</v>
      </c>
    </row>
    <row r="658" spans="1:32" ht="29.45" customHeight="1" x14ac:dyDescent="0.25">
      <c r="A658" s="294" t="str">
        <f>IF(B658=Reactivos_[[#This Row],[Cantidad LANIP]],"LANIP",IF(B658=Reactivos_[[#This Row],[Cantidad 
LDV]],"LDV",IF(B658=Reactivos_[[#This Row],[Cantidad LNDV]],"LNDV",IF(B658=Reactivos_[[#This Row],[GGCA]],"GGCA",IF(B658=Reactivos_[[#This Row],[Cantidad LDF]],"LDF",IF(Reactivos_[[#This Row],[Cantidad LDF&amp;MR]],"LDF&amp;MR",IF(B658=Reactivos_[[#This Row],[Cantidad RED LASE]],"LASE",IF(B658=Reactivos_[[#This Row],[Cantidad LANIA]],"LANIA",IF(B658=Reactivos_[[#This Row],[Cantidad SPA]],"SPA"," ")))))))))</f>
        <v>LANIP</v>
      </c>
      <c r="B65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658" s="325">
        <v>656</v>
      </c>
      <c r="D658" s="326">
        <v>1001</v>
      </c>
      <c r="E658" s="331" t="s">
        <v>1838</v>
      </c>
      <c r="F658" s="332" t="s">
        <v>1839</v>
      </c>
      <c r="G658" s="331"/>
      <c r="H658" s="348" t="s">
        <v>815</v>
      </c>
      <c r="I658" s="410" t="s">
        <v>1840</v>
      </c>
      <c r="J65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658" s="160">
        <v>650774</v>
      </c>
      <c r="L658" s="160">
        <f>+Reactivos_[[#This Row],[Cantidad]]*Reactivos_[[#This Row],[Valor de referencia]]</f>
        <v>3904644</v>
      </c>
      <c r="M658" s="254">
        <v>6</v>
      </c>
      <c r="N658" s="255">
        <f>+Reactivos_[[#This Row],[Valor de referencia]]*Reactivos_[[#This Row],[Cantidad LANIP]]</f>
        <v>3904644</v>
      </c>
      <c r="O658" s="256"/>
      <c r="P658" s="255">
        <f>+Reactivos_[[#This Row],[Cantidad 
LDV]]*Reactivos_[[#This Row],[Valor de referencia]]</f>
        <v>0</v>
      </c>
      <c r="Q658" s="257"/>
      <c r="R658" s="255">
        <f>+Reactivos_[[#This Row],[Cantidad LNDV]]*Reactivos_[[#This Row],[Valor de referencia]]</f>
        <v>0</v>
      </c>
      <c r="S658" s="148"/>
      <c r="T658" s="255">
        <f>+Reactivos_[[#This Row],[GGCA]]*Reactivos_[[#This Row],[Valor de referencia]]</f>
        <v>0</v>
      </c>
      <c r="U658" s="254"/>
      <c r="V658" s="255">
        <f>+Reactivos_[[#This Row],[Cantidad LDF]]*Reactivos_[[#This Row],[Valor de referencia]]</f>
        <v>0</v>
      </c>
      <c r="W658" s="254"/>
      <c r="X658" s="255">
        <f>+Reactivos_[[#This Row],[Cantidad LDF&amp;MR]]*Reactivos_[[#This Row],[Valor de referencia]]</f>
        <v>0</v>
      </c>
      <c r="Y658" s="254"/>
      <c r="Z658" s="255">
        <f>+Reactivos_[[#This Row],[Cantidad RED LASE]]*Reactivos_[[#This Row],[Valor de referencia]]</f>
        <v>0</v>
      </c>
      <c r="AA658" s="254"/>
      <c r="AB658" s="255">
        <f>+Reactivos_[[#This Row],[Cantidad LANIA]]*Reactivos_[[#This Row],[Valor de referencia]]</f>
        <v>0</v>
      </c>
      <c r="AC658" s="254"/>
      <c r="AD658" s="255">
        <f>+Reactivos_[[#This Row],[Cantidad SPA]]*Reactivos_[[#This Row],[Valor de referencia]]</f>
        <v>0</v>
      </c>
      <c r="AE658" s="148" t="s">
        <v>76</v>
      </c>
      <c r="AF658" s="148" t="s">
        <v>77</v>
      </c>
    </row>
    <row r="659" spans="1:32" ht="72" customHeight="1" x14ac:dyDescent="0.25">
      <c r="A659" s="294" t="str">
        <f>IF(B659=Reactivos_[[#This Row],[Cantidad LANIP]],"LANIP",IF(B659=Reactivos_[[#This Row],[Cantidad 
LDV]],"LDV",IF(B659=Reactivos_[[#This Row],[Cantidad LNDV]],"LNDV",IF(B659=Reactivos_[[#This Row],[GGCA]],"GGCA",IF(B659=Reactivos_[[#This Row],[Cantidad LDF]],"LDF",IF(Reactivos_[[#This Row],[Cantidad LDF&amp;MR]],"LDF&amp;MR",IF(B659=Reactivos_[[#This Row],[Cantidad RED LASE]],"LASE",IF(B659=Reactivos_[[#This Row],[Cantidad LANIA]],"LANIA",IF(B659=Reactivos_[[#This Row],[Cantidad SPA]],"SPA"," ")))))))))</f>
        <v>LANIP</v>
      </c>
      <c r="B65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59" s="325">
        <v>657</v>
      </c>
      <c r="D659" s="326">
        <v>1003</v>
      </c>
      <c r="E659" s="331" t="s">
        <v>1841</v>
      </c>
      <c r="F659" s="332" t="s">
        <v>1842</v>
      </c>
      <c r="G659" s="331"/>
      <c r="H659" s="348" t="s">
        <v>1843</v>
      </c>
      <c r="I659" s="329" t="s">
        <v>546</v>
      </c>
      <c r="J65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59" s="160">
        <v>183473</v>
      </c>
      <c r="L659" s="160">
        <f>+Reactivos_[[#This Row],[Cantidad]]*Reactivos_[[#This Row],[Valor de referencia]]</f>
        <v>366946</v>
      </c>
      <c r="M659" s="254">
        <v>1</v>
      </c>
      <c r="N659" s="255">
        <f>+Reactivos_[[#This Row],[Valor de referencia]]*Reactivos_[[#This Row],[Cantidad LANIP]]</f>
        <v>183473</v>
      </c>
      <c r="O659" s="256">
        <v>1</v>
      </c>
      <c r="P659" s="255">
        <f>+Reactivos_[[#This Row],[Cantidad 
LDV]]*Reactivos_[[#This Row],[Valor de referencia]]</f>
        <v>183473</v>
      </c>
      <c r="Q659" s="257"/>
      <c r="R659" s="255">
        <f>+Reactivos_[[#This Row],[Cantidad LNDV]]*Reactivos_[[#This Row],[Valor de referencia]]</f>
        <v>0</v>
      </c>
      <c r="S659" s="148"/>
      <c r="T659" s="255">
        <f>+Reactivos_[[#This Row],[GGCA]]*Reactivos_[[#This Row],[Valor de referencia]]</f>
        <v>0</v>
      </c>
      <c r="U659" s="254"/>
      <c r="V659" s="255">
        <f>+Reactivos_[[#This Row],[Cantidad LDF]]*Reactivos_[[#This Row],[Valor de referencia]]</f>
        <v>0</v>
      </c>
      <c r="W659" s="254"/>
      <c r="X659" s="255">
        <f>+Reactivos_[[#This Row],[Cantidad LDF&amp;MR]]*Reactivos_[[#This Row],[Valor de referencia]]</f>
        <v>0</v>
      </c>
      <c r="Y659" s="254"/>
      <c r="Z659" s="255">
        <f>+Reactivos_[[#This Row],[Cantidad RED LASE]]*Reactivos_[[#This Row],[Valor de referencia]]</f>
        <v>0</v>
      </c>
      <c r="AA659" s="254"/>
      <c r="AB659" s="255">
        <f>+Reactivos_[[#This Row],[Cantidad LANIA]]*Reactivos_[[#This Row],[Valor de referencia]]</f>
        <v>0</v>
      </c>
      <c r="AC659" s="254"/>
      <c r="AD659" s="255">
        <f>+Reactivos_[[#This Row],[Cantidad SPA]]*Reactivos_[[#This Row],[Valor de referencia]]</f>
        <v>0</v>
      </c>
      <c r="AE659" s="148" t="s">
        <v>76</v>
      </c>
      <c r="AF659" s="148" t="s">
        <v>77</v>
      </c>
    </row>
    <row r="660" spans="1:32" ht="29.45" customHeight="1" x14ac:dyDescent="0.2">
      <c r="A660" s="294" t="str">
        <f>IF(B660=Reactivos_[[#This Row],[Cantidad LANIP]],"LANIP",IF(B660=Reactivos_[[#This Row],[Cantidad 
LDV]],"LDV",IF(B660=Reactivos_[[#This Row],[Cantidad LNDV]],"LNDV",IF(B660=Reactivos_[[#This Row],[GGCA]],"GGCA",IF(B660=Reactivos_[[#This Row],[Cantidad LDF]],"LDF",IF(Reactivos_[[#This Row],[Cantidad LDF&amp;MR]],"LDF&amp;MR",IF(B660=Reactivos_[[#This Row],[Cantidad RED LASE]],"LASE",IF(B660=Reactivos_[[#This Row],[Cantidad LANIA]],"LANIA",IF(B660=Reactivos_[[#This Row],[Cantidad SPA]],"SPA"," ")))))))))</f>
        <v>LANIA</v>
      </c>
      <c r="B66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60" s="325">
        <v>658</v>
      </c>
      <c r="D660" s="326">
        <v>1004</v>
      </c>
      <c r="E660" s="327" t="s">
        <v>1844</v>
      </c>
      <c r="F660" s="338"/>
      <c r="G660" s="339"/>
      <c r="H660" s="383" t="s">
        <v>141</v>
      </c>
      <c r="I660" s="340" t="s">
        <v>1845</v>
      </c>
      <c r="J66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60" s="160">
        <v>345457</v>
      </c>
      <c r="L660" s="160">
        <f>+Reactivos_[[#This Row],[Cantidad]]*Reactivos_[[#This Row],[Valor de referencia]]</f>
        <v>690914</v>
      </c>
      <c r="M660" s="254">
        <v>0</v>
      </c>
      <c r="N660" s="255">
        <f>+Reactivos_[[#This Row],[Valor de referencia]]*Reactivos_[[#This Row],[Cantidad LANIP]]</f>
        <v>0</v>
      </c>
      <c r="O660" s="256"/>
      <c r="P660" s="255">
        <f>+Reactivos_[[#This Row],[Cantidad 
LDV]]*Reactivos_[[#This Row],[Valor de referencia]]</f>
        <v>0</v>
      </c>
      <c r="Q660" s="257"/>
      <c r="R660" s="255">
        <f>+Reactivos_[[#This Row],[Cantidad LNDV]]*Reactivos_[[#This Row],[Valor de referencia]]</f>
        <v>0</v>
      </c>
      <c r="S660" s="148"/>
      <c r="T660" s="255">
        <f>+Reactivos_[[#This Row],[GGCA]]*Reactivos_[[#This Row],[Valor de referencia]]</f>
        <v>0</v>
      </c>
      <c r="U660" s="254"/>
      <c r="V660" s="255">
        <f>+Reactivos_[[#This Row],[Cantidad LDF]]*Reactivos_[[#This Row],[Valor de referencia]]</f>
        <v>0</v>
      </c>
      <c r="W660" s="254"/>
      <c r="X660" s="255">
        <f>+Reactivos_[[#This Row],[Cantidad LDF&amp;MR]]*Reactivos_[[#This Row],[Valor de referencia]]</f>
        <v>0</v>
      </c>
      <c r="Y660" s="254"/>
      <c r="Z660" s="255">
        <f>+Reactivos_[[#This Row],[Cantidad RED LASE]]*Reactivos_[[#This Row],[Valor de referencia]]</f>
        <v>0</v>
      </c>
      <c r="AA660" s="254">
        <v>2</v>
      </c>
      <c r="AB660" s="255">
        <f>+Reactivos_[[#This Row],[Cantidad LANIA]]*Reactivos_[[#This Row],[Valor de referencia]]</f>
        <v>690914</v>
      </c>
      <c r="AC660" s="254"/>
      <c r="AD660" s="255">
        <f>+Reactivos_[[#This Row],[Cantidad SPA]]*Reactivos_[[#This Row],[Valor de referencia]]</f>
        <v>0</v>
      </c>
      <c r="AE660" s="148" t="s">
        <v>76</v>
      </c>
      <c r="AF660" s="148" t="s">
        <v>77</v>
      </c>
    </row>
    <row r="661" spans="1:32" s="154" customFormat="1" ht="108.75" customHeight="1" x14ac:dyDescent="0.25">
      <c r="A661" s="294" t="str">
        <f>IF(B661=Reactivos_[[#This Row],[Cantidad LANIP]],"LANIP",IF(B661=Reactivos_[[#This Row],[Cantidad 
LDV]],"LDV",IF(B661=Reactivos_[[#This Row],[Cantidad LNDV]],"LNDV",IF(B661=Reactivos_[[#This Row],[GGCA]],"GGCA",IF(B661=Reactivos_[[#This Row],[Cantidad LDF]],"LDF",IF(Reactivos_[[#This Row],[Cantidad LDF&amp;MR]],"LDF&amp;MR",IF(B661=Reactivos_[[#This Row],[Cantidad RED LASE]],"LASE",IF(B661=Reactivos_[[#This Row],[Cantidad LANIA]],"LANIA",IF(B661=Reactivos_[[#This Row],[Cantidad SPA]],"SPA"," ")))))))))</f>
        <v>LNDV</v>
      </c>
      <c r="B66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61" s="325">
        <v>659</v>
      </c>
      <c r="D661" s="326">
        <v>1007</v>
      </c>
      <c r="E661" s="327" t="s">
        <v>1846</v>
      </c>
      <c r="F661" s="244"/>
      <c r="G661" s="327"/>
      <c r="H661" s="328" t="s">
        <v>1847</v>
      </c>
      <c r="I661" s="334" t="s">
        <v>1848</v>
      </c>
      <c r="J66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61" s="160">
        <v>10621582</v>
      </c>
      <c r="L661" s="160">
        <f>+Reactivos_[[#This Row],[Cantidad]]*Reactivos_[[#This Row],[Valor de referencia]]</f>
        <v>10621582</v>
      </c>
      <c r="M661" s="254">
        <v>0</v>
      </c>
      <c r="N661" s="255">
        <f>+Reactivos_[[#This Row],[Valor de referencia]]*Reactivos_[[#This Row],[Cantidad LANIP]]</f>
        <v>0</v>
      </c>
      <c r="O661" s="256"/>
      <c r="P661" s="255">
        <f>+Reactivos_[[#This Row],[Cantidad 
LDV]]*Reactivos_[[#This Row],[Valor de referencia]]</f>
        <v>0</v>
      </c>
      <c r="Q661" s="257">
        <v>1</v>
      </c>
      <c r="R661" s="255">
        <f>+Reactivos_[[#This Row],[Cantidad LNDV]]*Reactivos_[[#This Row],[Valor de referencia]]</f>
        <v>10621582</v>
      </c>
      <c r="S661" s="148"/>
      <c r="T661" s="255">
        <f>+Reactivos_[[#This Row],[GGCA]]*Reactivos_[[#This Row],[Valor de referencia]]</f>
        <v>0</v>
      </c>
      <c r="U661" s="254"/>
      <c r="V661" s="255">
        <f>+Reactivos_[[#This Row],[Cantidad LDF]]*Reactivos_[[#This Row],[Valor de referencia]]</f>
        <v>0</v>
      </c>
      <c r="W661" s="254"/>
      <c r="X661" s="255">
        <f>+Reactivos_[[#This Row],[Cantidad LDF&amp;MR]]*Reactivos_[[#This Row],[Valor de referencia]]</f>
        <v>0</v>
      </c>
      <c r="Y661" s="254"/>
      <c r="Z661" s="255">
        <f>+Reactivos_[[#This Row],[Cantidad RED LASE]]*Reactivos_[[#This Row],[Valor de referencia]]</f>
        <v>0</v>
      </c>
      <c r="AA661" s="254"/>
      <c r="AB661" s="255">
        <f>+Reactivos_[[#This Row],[Cantidad LANIA]]*Reactivos_[[#This Row],[Valor de referencia]]</f>
        <v>0</v>
      </c>
      <c r="AC661" s="254"/>
      <c r="AD661" s="255">
        <f>+Reactivos_[[#This Row],[Cantidad SPA]]*Reactivos_[[#This Row],[Valor de referencia]]</f>
        <v>0</v>
      </c>
      <c r="AE661" s="148" t="s">
        <v>76</v>
      </c>
      <c r="AF661" s="148" t="s">
        <v>77</v>
      </c>
    </row>
    <row r="662" spans="1:32" s="154" customFormat="1" ht="108.75" customHeight="1" x14ac:dyDescent="0.25">
      <c r="A662" s="294" t="str">
        <f>IF(B662=Reactivos_[[#This Row],[Cantidad LANIP]],"LANIP",IF(B662=Reactivos_[[#This Row],[Cantidad 
LDV]],"LDV",IF(B662=Reactivos_[[#This Row],[Cantidad LNDV]],"LNDV",IF(B662=Reactivos_[[#This Row],[GGCA]],"GGCA",IF(B662=Reactivos_[[#This Row],[Cantidad LDF]],"LDF",IF(Reactivos_[[#This Row],[Cantidad LDF&amp;MR]],"LDF&amp;MR",IF(B662=Reactivos_[[#This Row],[Cantidad RED LASE]],"LASE",IF(B662=Reactivos_[[#This Row],[Cantidad LANIA]],"LANIA",IF(B662=Reactivos_[[#This Row],[Cantidad SPA]],"SPA"," ")))))))))</f>
        <v>LDV</v>
      </c>
      <c r="B66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662" s="325">
        <v>660</v>
      </c>
      <c r="D662" s="326">
        <v>1008</v>
      </c>
      <c r="E662" s="327" t="s">
        <v>1849</v>
      </c>
      <c r="F662" s="244"/>
      <c r="G662" s="327"/>
      <c r="H662" s="328" t="s">
        <v>1850</v>
      </c>
      <c r="I662" s="334" t="s">
        <v>1651</v>
      </c>
      <c r="J66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v>
      </c>
      <c r="K662" s="160">
        <v>6850442</v>
      </c>
      <c r="L662" s="160">
        <f>+Reactivos_[[#This Row],[Cantidad]]*Reactivos_[[#This Row],[Valor de referencia]]</f>
        <v>54803536</v>
      </c>
      <c r="M662" s="254">
        <v>0</v>
      </c>
      <c r="N662" s="255">
        <f>+Reactivos_[[#This Row],[Valor de referencia]]*Reactivos_[[#This Row],[Cantidad LANIP]]</f>
        <v>0</v>
      </c>
      <c r="O662" s="256">
        <v>4</v>
      </c>
      <c r="P662" s="255">
        <f>+Reactivos_[[#This Row],[Cantidad 
LDV]]*Reactivos_[[#This Row],[Valor de referencia]]</f>
        <v>27401768</v>
      </c>
      <c r="Q662" s="257">
        <v>4</v>
      </c>
      <c r="R662" s="255">
        <f>+Reactivos_[[#This Row],[Cantidad LNDV]]*Reactivos_[[#This Row],[Valor de referencia]]</f>
        <v>27401768</v>
      </c>
      <c r="S662" s="148"/>
      <c r="T662" s="255">
        <f>+Reactivos_[[#This Row],[GGCA]]*Reactivos_[[#This Row],[Valor de referencia]]</f>
        <v>0</v>
      </c>
      <c r="U662" s="254"/>
      <c r="V662" s="255">
        <f>+Reactivos_[[#This Row],[Cantidad LDF]]*Reactivos_[[#This Row],[Valor de referencia]]</f>
        <v>0</v>
      </c>
      <c r="W662" s="254"/>
      <c r="X662" s="255">
        <f>+Reactivos_[[#This Row],[Cantidad LDF&amp;MR]]*Reactivos_[[#This Row],[Valor de referencia]]</f>
        <v>0</v>
      </c>
      <c r="Y662" s="254"/>
      <c r="Z662" s="255">
        <f>+Reactivos_[[#This Row],[Cantidad RED LASE]]*Reactivos_[[#This Row],[Valor de referencia]]</f>
        <v>0</v>
      </c>
      <c r="AA662" s="254"/>
      <c r="AB662" s="255">
        <f>+Reactivos_[[#This Row],[Cantidad LANIA]]*Reactivos_[[#This Row],[Valor de referencia]]</f>
        <v>0</v>
      </c>
      <c r="AC662" s="254"/>
      <c r="AD662" s="255">
        <f>+Reactivos_[[#This Row],[Cantidad SPA]]*Reactivos_[[#This Row],[Valor de referencia]]</f>
        <v>0</v>
      </c>
      <c r="AE662" s="148" t="s">
        <v>76</v>
      </c>
      <c r="AF662" s="148" t="s">
        <v>77</v>
      </c>
    </row>
    <row r="663" spans="1:32" s="154" customFormat="1" ht="29.45" customHeight="1" x14ac:dyDescent="0.25">
      <c r="A663" s="294" t="str">
        <f>IF(B663=Reactivos_[[#This Row],[Cantidad LANIP]],"LANIP",IF(B663=Reactivos_[[#This Row],[Cantidad 
LDV]],"LDV",IF(B663=Reactivos_[[#This Row],[Cantidad LNDV]],"LNDV",IF(B663=Reactivos_[[#This Row],[GGCA]],"GGCA",IF(B663=Reactivos_[[#This Row],[Cantidad LDF]],"LDF",IF(Reactivos_[[#This Row],[Cantidad LDF&amp;MR]],"LDF&amp;MR",IF(B663=Reactivos_[[#This Row],[Cantidad RED LASE]],"LASE",IF(B663=Reactivos_[[#This Row],[Cantidad LANIA]],"LANIA",IF(B663=Reactivos_[[#This Row],[Cantidad SPA]],"SPA"," ")))))))))</f>
        <v>LDV</v>
      </c>
      <c r="B66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63" s="325">
        <v>661</v>
      </c>
      <c r="D663" s="326">
        <v>1010</v>
      </c>
      <c r="E663" s="327" t="s">
        <v>1851</v>
      </c>
      <c r="F663" s="244"/>
      <c r="G663" s="327"/>
      <c r="H663" s="328" t="s">
        <v>1852</v>
      </c>
      <c r="I663" s="334" t="s">
        <v>1651</v>
      </c>
      <c r="J66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663" s="160">
        <v>3897204</v>
      </c>
      <c r="L663" s="160">
        <f>+Reactivos_[[#This Row],[Cantidad]]*Reactivos_[[#This Row],[Valor de referencia]]</f>
        <v>15588816</v>
      </c>
      <c r="M663" s="254">
        <v>0</v>
      </c>
      <c r="N663" s="255">
        <f>+Reactivos_[[#This Row],[Valor de referencia]]*Reactivos_[[#This Row],[Cantidad LANIP]]</f>
        <v>0</v>
      </c>
      <c r="O663" s="256">
        <v>2</v>
      </c>
      <c r="P663" s="255">
        <f>+Reactivos_[[#This Row],[Cantidad 
LDV]]*Reactivos_[[#This Row],[Valor de referencia]]</f>
        <v>7794408</v>
      </c>
      <c r="Q663" s="257">
        <v>2</v>
      </c>
      <c r="R663" s="255">
        <f>+Reactivos_[[#This Row],[Cantidad LNDV]]*Reactivos_[[#This Row],[Valor de referencia]]</f>
        <v>7794408</v>
      </c>
      <c r="S663" s="148"/>
      <c r="T663" s="255">
        <f>+Reactivos_[[#This Row],[GGCA]]*Reactivos_[[#This Row],[Valor de referencia]]</f>
        <v>0</v>
      </c>
      <c r="U663" s="254"/>
      <c r="V663" s="255">
        <f>+Reactivos_[[#This Row],[Cantidad LDF]]*Reactivos_[[#This Row],[Valor de referencia]]</f>
        <v>0</v>
      </c>
      <c r="W663" s="254"/>
      <c r="X663" s="255">
        <f>+Reactivos_[[#This Row],[Cantidad LDF&amp;MR]]*Reactivos_[[#This Row],[Valor de referencia]]</f>
        <v>0</v>
      </c>
      <c r="Y663" s="254"/>
      <c r="Z663" s="255">
        <f>+Reactivos_[[#This Row],[Cantidad RED LASE]]*Reactivos_[[#This Row],[Valor de referencia]]</f>
        <v>0</v>
      </c>
      <c r="AA663" s="254"/>
      <c r="AB663" s="255">
        <f>+Reactivos_[[#This Row],[Cantidad LANIA]]*Reactivos_[[#This Row],[Valor de referencia]]</f>
        <v>0</v>
      </c>
      <c r="AC663" s="254"/>
      <c r="AD663" s="255">
        <f>+Reactivos_[[#This Row],[Cantidad SPA]]*Reactivos_[[#This Row],[Valor de referencia]]</f>
        <v>0</v>
      </c>
      <c r="AE663" s="148" t="s">
        <v>76</v>
      </c>
      <c r="AF663" s="148" t="s">
        <v>77</v>
      </c>
    </row>
    <row r="664" spans="1:32" ht="29.45" customHeight="1" x14ac:dyDescent="0.25">
      <c r="A664" s="294" t="str">
        <f>IF(B664=Reactivos_[[#This Row],[Cantidad LANIP]],"LANIP",IF(B664=Reactivos_[[#This Row],[Cantidad 
LDV]],"LDV",IF(B664=Reactivos_[[#This Row],[Cantidad LNDV]],"LNDV",IF(B664=Reactivos_[[#This Row],[GGCA]],"GGCA",IF(B664=Reactivos_[[#This Row],[Cantidad LDF]],"LDF",IF(Reactivos_[[#This Row],[Cantidad LDF&amp;MR]],"LDF&amp;MR",IF(B664=Reactivos_[[#This Row],[Cantidad RED LASE]],"LASE",IF(B664=Reactivos_[[#This Row],[Cantidad LANIA]],"LANIA",IF(B664=Reactivos_[[#This Row],[Cantidad SPA]],"SPA"," ")))))))))</f>
        <v>LANIP</v>
      </c>
      <c r="B66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664" s="325">
        <v>662</v>
      </c>
      <c r="D664" s="326">
        <v>1011</v>
      </c>
      <c r="E664" s="245" t="s">
        <v>1853</v>
      </c>
      <c r="F664" s="244"/>
      <c r="G664" s="245"/>
      <c r="H664" s="342" t="s">
        <v>1854</v>
      </c>
      <c r="I664" s="336" t="s">
        <v>1855</v>
      </c>
      <c r="J66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664" s="160">
        <v>883159</v>
      </c>
      <c r="L664" s="160">
        <f>+Reactivos_[[#This Row],[Cantidad]]*Reactivos_[[#This Row],[Valor de referencia]]</f>
        <v>3532636</v>
      </c>
      <c r="M664" s="254">
        <v>4</v>
      </c>
      <c r="N664" s="255">
        <f>+Reactivos_[[#This Row],[Valor de referencia]]*Reactivos_[[#This Row],[Cantidad LANIP]]</f>
        <v>3532636</v>
      </c>
      <c r="O664" s="256"/>
      <c r="P664" s="255">
        <f>+Reactivos_[[#This Row],[Cantidad 
LDV]]*Reactivos_[[#This Row],[Valor de referencia]]</f>
        <v>0</v>
      </c>
      <c r="Q664" s="257"/>
      <c r="R664" s="255">
        <f>+Reactivos_[[#This Row],[Cantidad LNDV]]*Reactivos_[[#This Row],[Valor de referencia]]</f>
        <v>0</v>
      </c>
      <c r="S664" s="148"/>
      <c r="T664" s="255">
        <f>+Reactivos_[[#This Row],[GGCA]]*Reactivos_[[#This Row],[Valor de referencia]]</f>
        <v>0</v>
      </c>
      <c r="U664" s="254"/>
      <c r="V664" s="255">
        <f>+Reactivos_[[#This Row],[Cantidad LDF]]*Reactivos_[[#This Row],[Valor de referencia]]</f>
        <v>0</v>
      </c>
      <c r="W664" s="254"/>
      <c r="X664" s="255">
        <f>+Reactivos_[[#This Row],[Cantidad LDF&amp;MR]]*Reactivos_[[#This Row],[Valor de referencia]]</f>
        <v>0</v>
      </c>
      <c r="Y664" s="254"/>
      <c r="Z664" s="255">
        <f>+Reactivos_[[#This Row],[Cantidad RED LASE]]*Reactivos_[[#This Row],[Valor de referencia]]</f>
        <v>0</v>
      </c>
      <c r="AA664" s="254"/>
      <c r="AB664" s="255">
        <f>+Reactivos_[[#This Row],[Cantidad LANIA]]*Reactivos_[[#This Row],[Valor de referencia]]</f>
        <v>0</v>
      </c>
      <c r="AC664" s="254"/>
      <c r="AD664" s="255">
        <f>+Reactivos_[[#This Row],[Cantidad SPA]]*Reactivos_[[#This Row],[Valor de referencia]]</f>
        <v>0</v>
      </c>
      <c r="AE664" s="148" t="s">
        <v>76</v>
      </c>
      <c r="AF664" s="148" t="s">
        <v>77</v>
      </c>
    </row>
    <row r="665" spans="1:32" ht="29.45" customHeight="1" x14ac:dyDescent="0.25">
      <c r="A665" s="294" t="str">
        <f>IF(B665=Reactivos_[[#This Row],[Cantidad LANIP]],"LANIP",IF(B665=Reactivos_[[#This Row],[Cantidad 
LDV]],"LDV",IF(B665=Reactivos_[[#This Row],[Cantidad LNDV]],"LNDV",IF(B665=Reactivos_[[#This Row],[GGCA]],"GGCA",IF(B665=Reactivos_[[#This Row],[Cantidad LDF]],"LDF",IF(Reactivos_[[#This Row],[Cantidad LDF&amp;MR]],"LDF&amp;MR",IF(B665=Reactivos_[[#This Row],[Cantidad RED LASE]],"LASE",IF(B665=Reactivos_[[#This Row],[Cantidad LANIA]],"LANIA",IF(B665=Reactivos_[[#This Row],[Cantidad SPA]],"SPA"," ")))))))))</f>
        <v>LNDV</v>
      </c>
      <c r="B66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C665" s="325">
        <v>663</v>
      </c>
      <c r="D665" s="326">
        <v>1012</v>
      </c>
      <c r="E665" s="245" t="s">
        <v>1856</v>
      </c>
      <c r="F665" s="244"/>
      <c r="G665" s="245"/>
      <c r="H665" s="346" t="s">
        <v>1857</v>
      </c>
      <c r="I665" s="336" t="s">
        <v>1858</v>
      </c>
      <c r="J66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665" s="160">
        <v>620752</v>
      </c>
      <c r="L665" s="160">
        <f>+Reactivos_[[#This Row],[Cantidad]]*Reactivos_[[#This Row],[Valor de referencia]]</f>
        <v>4345264</v>
      </c>
      <c r="M665" s="254">
        <v>0</v>
      </c>
      <c r="N665" s="255">
        <f>+Reactivos_[[#This Row],[Valor de referencia]]*Reactivos_[[#This Row],[Cantidad LANIP]]</f>
        <v>0</v>
      </c>
      <c r="O665" s="256"/>
      <c r="P665" s="255">
        <f>+Reactivos_[[#This Row],[Cantidad 
LDV]]*Reactivos_[[#This Row],[Valor de referencia]]</f>
        <v>0</v>
      </c>
      <c r="Q665" s="257">
        <v>7</v>
      </c>
      <c r="R665" s="255">
        <f>+Reactivos_[[#This Row],[Cantidad LNDV]]*Reactivos_[[#This Row],[Valor de referencia]]</f>
        <v>4345264</v>
      </c>
      <c r="S665" s="148"/>
      <c r="T665" s="255">
        <f>+Reactivos_[[#This Row],[GGCA]]*Reactivos_[[#This Row],[Valor de referencia]]</f>
        <v>0</v>
      </c>
      <c r="U665" s="254"/>
      <c r="V665" s="255">
        <f>+Reactivos_[[#This Row],[Cantidad LDF]]*Reactivos_[[#This Row],[Valor de referencia]]</f>
        <v>0</v>
      </c>
      <c r="W665" s="254"/>
      <c r="X665" s="255">
        <f>+Reactivos_[[#This Row],[Cantidad LDF&amp;MR]]*Reactivos_[[#This Row],[Valor de referencia]]</f>
        <v>0</v>
      </c>
      <c r="Y665" s="254"/>
      <c r="Z665" s="255">
        <f>+Reactivos_[[#This Row],[Cantidad RED LASE]]*Reactivos_[[#This Row],[Valor de referencia]]</f>
        <v>0</v>
      </c>
      <c r="AA665" s="254"/>
      <c r="AB665" s="255">
        <f>+Reactivos_[[#This Row],[Cantidad LANIA]]*Reactivos_[[#This Row],[Valor de referencia]]</f>
        <v>0</v>
      </c>
      <c r="AC665" s="254"/>
      <c r="AD665" s="255">
        <f>+Reactivos_[[#This Row],[Cantidad SPA]]*Reactivos_[[#This Row],[Valor de referencia]]</f>
        <v>0</v>
      </c>
      <c r="AE665" s="148" t="s">
        <v>76</v>
      </c>
      <c r="AF665" s="148" t="s">
        <v>77</v>
      </c>
    </row>
    <row r="666" spans="1:32" ht="29.45" customHeight="1" x14ac:dyDescent="0.25">
      <c r="A666" s="294" t="str">
        <f>IF(B666=Reactivos_[[#This Row],[Cantidad LANIP]],"LANIP",IF(B666=Reactivos_[[#This Row],[Cantidad 
LDV]],"LDV",IF(B666=Reactivos_[[#This Row],[Cantidad LNDV]],"LNDV",IF(B666=Reactivos_[[#This Row],[GGCA]],"GGCA",IF(B666=Reactivos_[[#This Row],[Cantidad LDF]],"LDF",IF(Reactivos_[[#This Row],[Cantidad LDF&amp;MR]],"LDF&amp;MR",IF(B666=Reactivos_[[#This Row],[Cantidad RED LASE]],"LASE",IF(B666=Reactivos_[[#This Row],[Cantidad LANIA]],"LANIA",IF(B666=Reactivos_[[#This Row],[Cantidad SPA]],"SPA"," ")))))))))</f>
        <v>LANIP</v>
      </c>
      <c r="B66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66" s="325">
        <v>664</v>
      </c>
      <c r="D666" s="326">
        <v>1014</v>
      </c>
      <c r="E666" s="245" t="s">
        <v>1859</v>
      </c>
      <c r="F666" s="244"/>
      <c r="G666" s="245"/>
      <c r="H666" s="335" t="s">
        <v>141</v>
      </c>
      <c r="I666" s="336" t="s">
        <v>107</v>
      </c>
      <c r="J66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66" s="160">
        <v>501276</v>
      </c>
      <c r="L666" s="160">
        <f>+Reactivos_[[#This Row],[Cantidad]]*Reactivos_[[#This Row],[Valor de referencia]]</f>
        <v>501276</v>
      </c>
      <c r="M666" s="254">
        <v>1</v>
      </c>
      <c r="N666" s="255">
        <f>+Reactivos_[[#This Row],[Valor de referencia]]*Reactivos_[[#This Row],[Cantidad LANIP]]</f>
        <v>501276</v>
      </c>
      <c r="O666" s="256"/>
      <c r="P666" s="255">
        <f>+Reactivos_[[#This Row],[Cantidad 
LDV]]*Reactivos_[[#This Row],[Valor de referencia]]</f>
        <v>0</v>
      </c>
      <c r="Q666" s="257"/>
      <c r="R666" s="255">
        <f>+Reactivos_[[#This Row],[Cantidad LNDV]]*Reactivos_[[#This Row],[Valor de referencia]]</f>
        <v>0</v>
      </c>
      <c r="S666" s="148"/>
      <c r="T666" s="255">
        <f>+Reactivos_[[#This Row],[GGCA]]*Reactivos_[[#This Row],[Valor de referencia]]</f>
        <v>0</v>
      </c>
      <c r="U666" s="254"/>
      <c r="V666" s="255">
        <f>+Reactivos_[[#This Row],[Cantidad LDF]]*Reactivos_[[#This Row],[Valor de referencia]]</f>
        <v>0</v>
      </c>
      <c r="W666" s="254"/>
      <c r="X666" s="255">
        <f>+Reactivos_[[#This Row],[Cantidad LDF&amp;MR]]*Reactivos_[[#This Row],[Valor de referencia]]</f>
        <v>0</v>
      </c>
      <c r="Y666" s="254"/>
      <c r="Z666" s="255">
        <f>+Reactivos_[[#This Row],[Cantidad RED LASE]]*Reactivos_[[#This Row],[Valor de referencia]]</f>
        <v>0</v>
      </c>
      <c r="AA666" s="254"/>
      <c r="AB666" s="255">
        <f>+Reactivos_[[#This Row],[Cantidad LANIA]]*Reactivos_[[#This Row],[Valor de referencia]]</f>
        <v>0</v>
      </c>
      <c r="AC666" s="254"/>
      <c r="AD666" s="255">
        <f>+Reactivos_[[#This Row],[Cantidad SPA]]*Reactivos_[[#This Row],[Valor de referencia]]</f>
        <v>0</v>
      </c>
      <c r="AE666" s="148" t="s">
        <v>76</v>
      </c>
      <c r="AF666" s="148" t="s">
        <v>77</v>
      </c>
    </row>
    <row r="667" spans="1:32" ht="54.75" customHeight="1" x14ac:dyDescent="0.25">
      <c r="A667" s="294" t="str">
        <f>IF(B667=Reactivos_[[#This Row],[Cantidad LANIP]],"LANIP",IF(B667=Reactivos_[[#This Row],[Cantidad 
LDV]],"LDV",IF(B667=Reactivos_[[#This Row],[Cantidad LNDV]],"LNDV",IF(B667=Reactivos_[[#This Row],[GGCA]],"GGCA",IF(B667=Reactivos_[[#This Row],[Cantidad LDF]],"LDF",IF(Reactivos_[[#This Row],[Cantidad LDF&amp;MR]],"LDF&amp;MR",IF(B667=Reactivos_[[#This Row],[Cantidad RED LASE]],"LASE",IF(B667=Reactivos_[[#This Row],[Cantidad LANIA]],"LANIA",IF(B667=Reactivos_[[#This Row],[Cantidad SPA]],"SPA"," ")))))))))</f>
        <v>LANIP</v>
      </c>
      <c r="B66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67" s="325">
        <v>665</v>
      </c>
      <c r="D667" s="326">
        <v>1016</v>
      </c>
      <c r="E667" s="245" t="s">
        <v>1860</v>
      </c>
      <c r="F667" s="244"/>
      <c r="G667" s="245"/>
      <c r="H667" s="335" t="s">
        <v>1861</v>
      </c>
      <c r="I667" s="336" t="s">
        <v>1736</v>
      </c>
      <c r="J66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K667" s="160">
        <v>2710820</v>
      </c>
      <c r="L667" s="160">
        <f>+Reactivos_[[#This Row],[Cantidad]]*Reactivos_[[#This Row],[Valor de referencia]]</f>
        <v>27108200</v>
      </c>
      <c r="M667" s="254">
        <v>10</v>
      </c>
      <c r="N667" s="255">
        <f>+Reactivos_[[#This Row],[Valor de referencia]]*Reactivos_[[#This Row],[Cantidad LANIP]]</f>
        <v>27108200</v>
      </c>
      <c r="O667" s="256"/>
      <c r="P667" s="255">
        <f>+Reactivos_[[#This Row],[Cantidad 
LDV]]*Reactivos_[[#This Row],[Valor de referencia]]</f>
        <v>0</v>
      </c>
      <c r="Q667" s="257"/>
      <c r="R667" s="255">
        <f>+Reactivos_[[#This Row],[Cantidad LNDV]]*Reactivos_[[#This Row],[Valor de referencia]]</f>
        <v>0</v>
      </c>
      <c r="S667" s="148"/>
      <c r="T667" s="255">
        <f>+Reactivos_[[#This Row],[GGCA]]*Reactivos_[[#This Row],[Valor de referencia]]</f>
        <v>0</v>
      </c>
      <c r="U667" s="254"/>
      <c r="V667" s="255">
        <f>+Reactivos_[[#This Row],[Cantidad LDF]]*Reactivos_[[#This Row],[Valor de referencia]]</f>
        <v>0</v>
      </c>
      <c r="W667" s="254"/>
      <c r="X667" s="255">
        <f>+Reactivos_[[#This Row],[Cantidad LDF&amp;MR]]*Reactivos_[[#This Row],[Valor de referencia]]</f>
        <v>0</v>
      </c>
      <c r="Y667" s="254"/>
      <c r="Z667" s="255">
        <f>+Reactivos_[[#This Row],[Cantidad RED LASE]]*Reactivos_[[#This Row],[Valor de referencia]]</f>
        <v>0</v>
      </c>
      <c r="AA667" s="254"/>
      <c r="AB667" s="255">
        <f>+Reactivos_[[#This Row],[Cantidad LANIA]]*Reactivos_[[#This Row],[Valor de referencia]]</f>
        <v>0</v>
      </c>
      <c r="AC667" s="254"/>
      <c r="AD667" s="255">
        <f>+Reactivos_[[#This Row],[Cantidad SPA]]*Reactivos_[[#This Row],[Valor de referencia]]</f>
        <v>0</v>
      </c>
      <c r="AE667" s="148" t="s">
        <v>76</v>
      </c>
      <c r="AF667" s="148" t="s">
        <v>77</v>
      </c>
    </row>
    <row r="668" spans="1:32" ht="29.45" customHeight="1" x14ac:dyDescent="0.25">
      <c r="A668" s="294" t="str">
        <f>IF(B668=Reactivos_[[#This Row],[Cantidad LANIP]],"LANIP",IF(B668=Reactivos_[[#This Row],[Cantidad 
LDV]],"LDV",IF(B668=Reactivos_[[#This Row],[Cantidad LNDV]],"LNDV",IF(B668=Reactivos_[[#This Row],[GGCA]],"GGCA",IF(B668=Reactivos_[[#This Row],[Cantidad LDF]],"LDF",IF(Reactivos_[[#This Row],[Cantidad LDF&amp;MR]],"LDF&amp;MR",IF(B668=Reactivos_[[#This Row],[Cantidad RED LASE]],"LASE",IF(B668=Reactivos_[[#This Row],[Cantidad LANIA]],"LANIA",IF(B668=Reactivos_[[#This Row],[Cantidad SPA]],"SPA"," ")))))))))</f>
        <v>LDF&amp;MR</v>
      </c>
      <c r="B66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668" s="325">
        <v>666</v>
      </c>
      <c r="D668" s="326">
        <v>1017</v>
      </c>
      <c r="E668" s="327" t="s">
        <v>1862</v>
      </c>
      <c r="F668" s="244"/>
      <c r="G668" s="327"/>
      <c r="H668" s="328" t="s">
        <v>1863</v>
      </c>
      <c r="I668" s="363" t="s">
        <v>1864</v>
      </c>
      <c r="J66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K668" s="160">
        <v>7775606</v>
      </c>
      <c r="L668" s="160">
        <f>+Reactivos_[[#This Row],[Cantidad]]*Reactivos_[[#This Row],[Valor de referencia]]</f>
        <v>46653636</v>
      </c>
      <c r="M668" s="254">
        <v>0</v>
      </c>
      <c r="N668" s="255">
        <f>+Reactivos_[[#This Row],[Valor de referencia]]*Reactivos_[[#This Row],[Cantidad LANIP]]</f>
        <v>0</v>
      </c>
      <c r="O668" s="256"/>
      <c r="P668" s="255">
        <f>+Reactivos_[[#This Row],[Cantidad 
LDV]]*Reactivos_[[#This Row],[Valor de referencia]]</f>
        <v>0</v>
      </c>
      <c r="Q668" s="257"/>
      <c r="R668" s="255">
        <f>+Reactivos_[[#This Row],[Cantidad LNDV]]*Reactivos_[[#This Row],[Valor de referencia]]</f>
        <v>0</v>
      </c>
      <c r="S668" s="148"/>
      <c r="T668" s="255">
        <f>+Reactivos_[[#This Row],[GGCA]]*Reactivos_[[#This Row],[Valor de referencia]]</f>
        <v>0</v>
      </c>
      <c r="U668" s="254">
        <v>2</v>
      </c>
      <c r="V668" s="255">
        <f>+Reactivos_[[#This Row],[Cantidad LDF]]*Reactivos_[[#This Row],[Valor de referencia]]</f>
        <v>15551212</v>
      </c>
      <c r="W668" s="254">
        <v>4</v>
      </c>
      <c r="X668" s="255">
        <f>+Reactivos_[[#This Row],[Cantidad LDF&amp;MR]]*Reactivos_[[#This Row],[Valor de referencia]]</f>
        <v>31102424</v>
      </c>
      <c r="Y668" s="254"/>
      <c r="Z668" s="255">
        <f>+Reactivos_[[#This Row],[Cantidad RED LASE]]*Reactivos_[[#This Row],[Valor de referencia]]</f>
        <v>0</v>
      </c>
      <c r="AA668" s="254"/>
      <c r="AB668" s="255">
        <f>+Reactivos_[[#This Row],[Cantidad LANIA]]*Reactivos_[[#This Row],[Valor de referencia]]</f>
        <v>0</v>
      </c>
      <c r="AC668" s="254"/>
      <c r="AD668" s="255">
        <f>+Reactivos_[[#This Row],[Cantidad SPA]]*Reactivos_[[#This Row],[Valor de referencia]]</f>
        <v>0</v>
      </c>
      <c r="AE668" s="148" t="s">
        <v>76</v>
      </c>
      <c r="AF668" s="148" t="s">
        <v>77</v>
      </c>
    </row>
    <row r="669" spans="1:32" ht="42" customHeight="1" x14ac:dyDescent="0.25">
      <c r="A669" s="294" t="str">
        <f>IF(B669=Reactivos_[[#This Row],[Cantidad LANIP]],"LANIP",IF(B669=Reactivos_[[#This Row],[Cantidad 
LDV]],"LDV",IF(B669=Reactivos_[[#This Row],[Cantidad LNDV]],"LNDV",IF(B669=Reactivos_[[#This Row],[GGCA]],"GGCA",IF(B669=Reactivos_[[#This Row],[Cantidad LDF]],"LDF",IF(Reactivos_[[#This Row],[Cantidad LDF&amp;MR]],"LDF&amp;MR",IF(B669=Reactivos_[[#This Row],[Cantidad RED LASE]],"LASE",IF(B669=Reactivos_[[#This Row],[Cantidad LANIA]],"LANIA",IF(B669=Reactivos_[[#This Row],[Cantidad SPA]],"SPA"," ")))))))))</f>
        <v>LDF&amp;MR</v>
      </c>
      <c r="B66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669" s="325">
        <v>667</v>
      </c>
      <c r="D669" s="326">
        <v>1018</v>
      </c>
      <c r="E669" s="245" t="s">
        <v>1865</v>
      </c>
      <c r="F669" s="244"/>
      <c r="G669" s="245"/>
      <c r="H669" s="346" t="s">
        <v>1866</v>
      </c>
      <c r="I669" s="336" t="s">
        <v>1867</v>
      </c>
      <c r="J66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15</v>
      </c>
      <c r="K669" s="160">
        <v>769657</v>
      </c>
      <c r="L669" s="160">
        <f>+Reactivos_[[#This Row],[Cantidad]]*Reactivos_[[#This Row],[Valor de referencia]]</f>
        <v>11544855</v>
      </c>
      <c r="M669" s="254">
        <v>0</v>
      </c>
      <c r="N669" s="255">
        <f>+Reactivos_[[#This Row],[Valor de referencia]]*Reactivos_[[#This Row],[Cantidad LANIP]]</f>
        <v>0</v>
      </c>
      <c r="O669" s="256"/>
      <c r="P669" s="255">
        <f>+Reactivos_[[#This Row],[Cantidad 
LDV]]*Reactivos_[[#This Row],[Valor de referencia]]</f>
        <v>0</v>
      </c>
      <c r="Q669" s="257"/>
      <c r="R669" s="255">
        <f>+Reactivos_[[#This Row],[Cantidad LNDV]]*Reactivos_[[#This Row],[Valor de referencia]]</f>
        <v>0</v>
      </c>
      <c r="S669" s="148"/>
      <c r="T669" s="255">
        <f>+Reactivos_[[#This Row],[GGCA]]*Reactivos_[[#This Row],[Valor de referencia]]</f>
        <v>0</v>
      </c>
      <c r="U669" s="254">
        <v>2</v>
      </c>
      <c r="V669" s="255">
        <f>+Reactivos_[[#This Row],[Cantidad LDF]]*Reactivos_[[#This Row],[Valor de referencia]]</f>
        <v>1539314</v>
      </c>
      <c r="W669" s="254">
        <v>13</v>
      </c>
      <c r="X669" s="255">
        <f>+Reactivos_[[#This Row],[Cantidad LDF&amp;MR]]*Reactivos_[[#This Row],[Valor de referencia]]</f>
        <v>10005541</v>
      </c>
      <c r="Y669" s="254"/>
      <c r="Z669" s="255">
        <f>+Reactivos_[[#This Row],[Cantidad RED LASE]]*Reactivos_[[#This Row],[Valor de referencia]]</f>
        <v>0</v>
      </c>
      <c r="AA669" s="254"/>
      <c r="AB669" s="255">
        <f>+Reactivos_[[#This Row],[Cantidad LANIA]]*Reactivos_[[#This Row],[Valor de referencia]]</f>
        <v>0</v>
      </c>
      <c r="AC669" s="254"/>
      <c r="AD669" s="255">
        <f>+Reactivos_[[#This Row],[Cantidad SPA]]*Reactivos_[[#This Row],[Valor de referencia]]</f>
        <v>0</v>
      </c>
      <c r="AE669" s="148" t="s">
        <v>76</v>
      </c>
      <c r="AF669" s="148" t="s">
        <v>77</v>
      </c>
    </row>
    <row r="670" spans="1:32" ht="29.45" customHeight="1" x14ac:dyDescent="0.25">
      <c r="A670" s="294" t="str">
        <f>IF(B670=Reactivos_[[#This Row],[Cantidad LANIP]],"LANIP",IF(B670=Reactivos_[[#This Row],[Cantidad 
LDV]],"LDV",IF(B670=Reactivos_[[#This Row],[Cantidad LNDV]],"LNDV",IF(B670=Reactivos_[[#This Row],[GGCA]],"GGCA",IF(B670=Reactivos_[[#This Row],[Cantidad LDF]],"LDF",IF(Reactivos_[[#This Row],[Cantidad LDF&amp;MR]],"LDF&amp;MR",IF(B670=Reactivos_[[#This Row],[Cantidad RED LASE]],"LASE",IF(B670=Reactivos_[[#This Row],[Cantidad LANIA]],"LANIA",IF(B670=Reactivos_[[#This Row],[Cantidad SPA]],"SPA"," ")))))))))</f>
        <v>LDF</v>
      </c>
      <c r="B67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C670" s="325">
        <v>668</v>
      </c>
      <c r="D670" s="326">
        <v>1019</v>
      </c>
      <c r="E670" s="245" t="s">
        <v>1868</v>
      </c>
      <c r="F670" s="244"/>
      <c r="G670" s="245"/>
      <c r="H670" s="346" t="s">
        <v>1866</v>
      </c>
      <c r="I670" s="336" t="s">
        <v>1867</v>
      </c>
      <c r="J67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16</v>
      </c>
      <c r="K670" s="160">
        <v>691009</v>
      </c>
      <c r="L670" s="160">
        <f>+Reactivos_[[#This Row],[Cantidad]]*Reactivos_[[#This Row],[Valor de referencia]]</f>
        <v>11056144</v>
      </c>
      <c r="M670" s="254">
        <v>0</v>
      </c>
      <c r="N670" s="255">
        <f>+Reactivos_[[#This Row],[Valor de referencia]]*Reactivos_[[#This Row],[Cantidad LANIP]]</f>
        <v>0</v>
      </c>
      <c r="O670" s="256"/>
      <c r="P670" s="255">
        <f>+Reactivos_[[#This Row],[Cantidad 
LDV]]*Reactivos_[[#This Row],[Valor de referencia]]</f>
        <v>0</v>
      </c>
      <c r="Q670" s="257"/>
      <c r="R670" s="255">
        <f>+Reactivos_[[#This Row],[Cantidad LNDV]]*Reactivos_[[#This Row],[Valor de referencia]]</f>
        <v>0</v>
      </c>
      <c r="S670" s="148"/>
      <c r="T670" s="255">
        <f>+Reactivos_[[#This Row],[GGCA]]*Reactivos_[[#This Row],[Valor de referencia]]</f>
        <v>0</v>
      </c>
      <c r="U670" s="254">
        <v>16</v>
      </c>
      <c r="V670" s="255">
        <f>+Reactivos_[[#This Row],[Cantidad LDF]]*Reactivos_[[#This Row],[Valor de referencia]]</f>
        <v>11056144</v>
      </c>
      <c r="W670" s="254"/>
      <c r="X670" s="255">
        <f>+Reactivos_[[#This Row],[Cantidad LDF&amp;MR]]*Reactivos_[[#This Row],[Valor de referencia]]</f>
        <v>0</v>
      </c>
      <c r="Y670" s="254"/>
      <c r="Z670" s="255">
        <f>+Reactivos_[[#This Row],[Cantidad RED LASE]]*Reactivos_[[#This Row],[Valor de referencia]]</f>
        <v>0</v>
      </c>
      <c r="AA670" s="254"/>
      <c r="AB670" s="255">
        <f>+Reactivos_[[#This Row],[Cantidad LANIA]]*Reactivos_[[#This Row],[Valor de referencia]]</f>
        <v>0</v>
      </c>
      <c r="AC670" s="254"/>
      <c r="AD670" s="255">
        <f>+Reactivos_[[#This Row],[Cantidad SPA]]*Reactivos_[[#This Row],[Valor de referencia]]</f>
        <v>0</v>
      </c>
      <c r="AE670" s="148" t="s">
        <v>76</v>
      </c>
      <c r="AF670" s="148" t="s">
        <v>77</v>
      </c>
    </row>
    <row r="671" spans="1:32" ht="29.45" customHeight="1" x14ac:dyDescent="0.25">
      <c r="A671" s="294" t="str">
        <f>IF(B671=Reactivos_[[#This Row],[Cantidad LANIP]],"LANIP",IF(B671=Reactivos_[[#This Row],[Cantidad 
LDV]],"LDV",IF(B671=Reactivos_[[#This Row],[Cantidad LNDV]],"LNDV",IF(B671=Reactivos_[[#This Row],[GGCA]],"GGCA",IF(B671=Reactivos_[[#This Row],[Cantidad LDF]],"LDF",IF(Reactivos_[[#This Row],[Cantidad LDF&amp;MR]],"LDF&amp;MR",IF(B671=Reactivos_[[#This Row],[Cantidad RED LASE]],"LASE",IF(B671=Reactivos_[[#This Row],[Cantidad LANIA]],"LANIA",IF(B671=Reactivos_[[#This Row],[Cantidad SPA]],"SPA"," ")))))))))</f>
        <v>LANIA</v>
      </c>
      <c r="B67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671" s="325">
        <v>669</v>
      </c>
      <c r="D671" s="326">
        <v>1020</v>
      </c>
      <c r="E671" s="327" t="s">
        <v>1869</v>
      </c>
      <c r="F671" s="244"/>
      <c r="G671" s="327"/>
      <c r="H671" s="330" t="s">
        <v>1870</v>
      </c>
      <c r="I671" s="347" t="s">
        <v>1871</v>
      </c>
      <c r="J67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671" s="160">
        <v>3540404</v>
      </c>
      <c r="L671" s="160">
        <f>+Reactivos_[[#This Row],[Cantidad]]*Reactivos_[[#This Row],[Valor de referencia]]</f>
        <v>17702020</v>
      </c>
      <c r="M671" s="254">
        <v>2</v>
      </c>
      <c r="N671" s="255">
        <f>+Reactivos_[[#This Row],[Valor de referencia]]*Reactivos_[[#This Row],[Cantidad LANIP]]</f>
        <v>7080808</v>
      </c>
      <c r="O671" s="256"/>
      <c r="P671" s="255">
        <f>+Reactivos_[[#This Row],[Cantidad 
LDV]]*Reactivos_[[#This Row],[Valor de referencia]]</f>
        <v>0</v>
      </c>
      <c r="Q671" s="257"/>
      <c r="R671" s="255">
        <f>+Reactivos_[[#This Row],[Cantidad LNDV]]*Reactivos_[[#This Row],[Valor de referencia]]</f>
        <v>0</v>
      </c>
      <c r="S671" s="148"/>
      <c r="T671" s="255">
        <f>+Reactivos_[[#This Row],[GGCA]]*Reactivos_[[#This Row],[Valor de referencia]]</f>
        <v>0</v>
      </c>
      <c r="U671" s="254"/>
      <c r="V671" s="255">
        <f>+Reactivos_[[#This Row],[Cantidad LDF]]*Reactivos_[[#This Row],[Valor de referencia]]</f>
        <v>0</v>
      </c>
      <c r="W671" s="254"/>
      <c r="X671" s="255">
        <f>+Reactivos_[[#This Row],[Cantidad LDF&amp;MR]]*Reactivos_[[#This Row],[Valor de referencia]]</f>
        <v>0</v>
      </c>
      <c r="Y671" s="254"/>
      <c r="Z671" s="255">
        <f>+Reactivos_[[#This Row],[Cantidad RED LASE]]*Reactivos_[[#This Row],[Valor de referencia]]</f>
        <v>0</v>
      </c>
      <c r="AA671" s="254">
        <v>3</v>
      </c>
      <c r="AB671" s="255">
        <f>+Reactivos_[[#This Row],[Cantidad LANIA]]*Reactivos_[[#This Row],[Valor de referencia]]</f>
        <v>10621212</v>
      </c>
      <c r="AC671" s="254"/>
      <c r="AD671" s="255">
        <f>+Reactivos_[[#This Row],[Cantidad SPA]]*Reactivos_[[#This Row],[Valor de referencia]]</f>
        <v>0</v>
      </c>
      <c r="AE671" s="148" t="s">
        <v>76</v>
      </c>
      <c r="AF671" s="148" t="s">
        <v>77</v>
      </c>
    </row>
    <row r="672" spans="1:32" ht="51" customHeight="1" x14ac:dyDescent="0.25">
      <c r="A672" s="294" t="str">
        <f>IF(B672=Reactivos_[[#This Row],[Cantidad LANIP]],"LANIP",IF(B672=Reactivos_[[#This Row],[Cantidad 
LDV]],"LDV",IF(B672=Reactivos_[[#This Row],[Cantidad LNDV]],"LNDV",IF(B672=Reactivos_[[#This Row],[GGCA]],"GGCA",IF(B672=Reactivos_[[#This Row],[Cantidad LDF]],"LDF",IF(Reactivos_[[#This Row],[Cantidad LDF&amp;MR]],"LDF&amp;MR",IF(B672=Reactivos_[[#This Row],[Cantidad RED LASE]],"LASE",IF(B672=Reactivos_[[#This Row],[Cantidad LANIA]],"LANIA",IF(B672=Reactivos_[[#This Row],[Cantidad SPA]],"SPA"," ")))))))))</f>
        <v>LDF&amp;MR</v>
      </c>
      <c r="B67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21</v>
      </c>
      <c r="C672" s="325">
        <v>670</v>
      </c>
      <c r="D672" s="326">
        <v>1021</v>
      </c>
      <c r="E672" s="245" t="s">
        <v>1872</v>
      </c>
      <c r="F672" s="244"/>
      <c r="G672" s="245"/>
      <c r="H672" s="346" t="s">
        <v>1873</v>
      </c>
      <c r="I672" s="336" t="s">
        <v>1874</v>
      </c>
      <c r="J67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37</v>
      </c>
      <c r="K672" s="160">
        <v>821093</v>
      </c>
      <c r="L672" s="160">
        <f>+Reactivos_[[#This Row],[Cantidad]]*Reactivos_[[#This Row],[Valor de referencia]]</f>
        <v>30380441</v>
      </c>
      <c r="M672" s="254">
        <v>0</v>
      </c>
      <c r="N672" s="255">
        <f>+Reactivos_[[#This Row],[Valor de referencia]]*Reactivos_[[#This Row],[Cantidad LANIP]]</f>
        <v>0</v>
      </c>
      <c r="O672" s="256"/>
      <c r="P672" s="255">
        <f>+Reactivos_[[#This Row],[Cantidad 
LDV]]*Reactivos_[[#This Row],[Valor de referencia]]</f>
        <v>0</v>
      </c>
      <c r="Q672" s="257"/>
      <c r="R672" s="255">
        <f>+Reactivos_[[#This Row],[Cantidad LNDV]]*Reactivos_[[#This Row],[Valor de referencia]]</f>
        <v>0</v>
      </c>
      <c r="S672" s="148"/>
      <c r="T672" s="255">
        <f>+Reactivos_[[#This Row],[GGCA]]*Reactivos_[[#This Row],[Valor de referencia]]</f>
        <v>0</v>
      </c>
      <c r="U672" s="254">
        <v>16</v>
      </c>
      <c r="V672" s="255">
        <f>+Reactivos_[[#This Row],[Cantidad LDF]]*Reactivos_[[#This Row],[Valor de referencia]]</f>
        <v>13137488</v>
      </c>
      <c r="W672" s="258">
        <v>21</v>
      </c>
      <c r="X672" s="255">
        <f>+Reactivos_[[#This Row],[Cantidad LDF&amp;MR]]*Reactivos_[[#This Row],[Valor de referencia]]</f>
        <v>17242953</v>
      </c>
      <c r="Y672" s="254"/>
      <c r="Z672" s="255">
        <f>+Reactivos_[[#This Row],[Cantidad RED LASE]]*Reactivos_[[#This Row],[Valor de referencia]]</f>
        <v>0</v>
      </c>
      <c r="AA672" s="254"/>
      <c r="AB672" s="255">
        <f>+Reactivos_[[#This Row],[Cantidad LANIA]]*Reactivos_[[#This Row],[Valor de referencia]]</f>
        <v>0</v>
      </c>
      <c r="AC672" s="254"/>
      <c r="AD672" s="255">
        <f>+Reactivos_[[#This Row],[Cantidad SPA]]*Reactivos_[[#This Row],[Valor de referencia]]</f>
        <v>0</v>
      </c>
      <c r="AE672" s="148" t="s">
        <v>76</v>
      </c>
      <c r="AF672" s="148" t="s">
        <v>77</v>
      </c>
    </row>
    <row r="673" spans="1:32" ht="29.45" customHeight="1" x14ac:dyDescent="0.25">
      <c r="A673" s="294" t="str">
        <f>IF(B673=Reactivos_[[#This Row],[Cantidad LANIP]],"LANIP",IF(B673=Reactivos_[[#This Row],[Cantidad 
LDV]],"LDV",IF(B673=Reactivos_[[#This Row],[Cantidad LNDV]],"LNDV",IF(B673=Reactivos_[[#This Row],[GGCA]],"GGCA",IF(B673=Reactivos_[[#This Row],[Cantidad LDF]],"LDF",IF(Reactivos_[[#This Row],[Cantidad LDF&amp;MR]],"LDF&amp;MR",IF(B673=Reactivos_[[#This Row],[Cantidad RED LASE]],"LASE",IF(B673=Reactivos_[[#This Row],[Cantidad LANIA]],"LANIA",IF(B673=Reactivos_[[#This Row],[Cantidad SPA]],"SPA"," ")))))))))</f>
        <v>LANIP</v>
      </c>
      <c r="B67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73" s="325">
        <v>671</v>
      </c>
      <c r="D673" s="326">
        <v>1023</v>
      </c>
      <c r="E673" s="245" t="s">
        <v>1875</v>
      </c>
      <c r="F673" s="244" t="s">
        <v>1876</v>
      </c>
      <c r="G673" s="245" t="s">
        <v>1877</v>
      </c>
      <c r="H673" s="335"/>
      <c r="I673" s="353" t="s">
        <v>1878</v>
      </c>
      <c r="J67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73" s="160">
        <v>254065</v>
      </c>
      <c r="L673" s="160">
        <f>+Reactivos_[[#This Row],[Cantidad]]*Reactivos_[[#This Row],[Valor de referencia]]</f>
        <v>508130</v>
      </c>
      <c r="M673" s="254">
        <v>2</v>
      </c>
      <c r="N673" s="255">
        <f>+Reactivos_[[#This Row],[Valor de referencia]]*Reactivos_[[#This Row],[Cantidad LANIP]]</f>
        <v>508130</v>
      </c>
      <c r="O673" s="256"/>
      <c r="P673" s="255">
        <f>+Reactivos_[[#This Row],[Cantidad 
LDV]]*Reactivos_[[#This Row],[Valor de referencia]]</f>
        <v>0</v>
      </c>
      <c r="Q673" s="257"/>
      <c r="R673" s="255">
        <f>+Reactivos_[[#This Row],[Cantidad LNDV]]*Reactivos_[[#This Row],[Valor de referencia]]</f>
        <v>0</v>
      </c>
      <c r="S673" s="148"/>
      <c r="T673" s="255">
        <f>+Reactivos_[[#This Row],[GGCA]]*Reactivos_[[#This Row],[Valor de referencia]]</f>
        <v>0</v>
      </c>
      <c r="U673" s="254"/>
      <c r="V673" s="255">
        <f>+Reactivos_[[#This Row],[Cantidad LDF]]*Reactivos_[[#This Row],[Valor de referencia]]</f>
        <v>0</v>
      </c>
      <c r="W673" s="254"/>
      <c r="X673" s="255">
        <f>+Reactivos_[[#This Row],[Cantidad LDF&amp;MR]]*Reactivos_[[#This Row],[Valor de referencia]]</f>
        <v>0</v>
      </c>
      <c r="Y673" s="254"/>
      <c r="Z673" s="255">
        <f>+Reactivos_[[#This Row],[Cantidad RED LASE]]*Reactivos_[[#This Row],[Valor de referencia]]</f>
        <v>0</v>
      </c>
      <c r="AA673" s="254"/>
      <c r="AB673" s="255">
        <f>+Reactivos_[[#This Row],[Cantidad LANIA]]*Reactivos_[[#This Row],[Valor de referencia]]</f>
        <v>0</v>
      </c>
      <c r="AC673" s="254"/>
      <c r="AD673" s="255">
        <f>+Reactivos_[[#This Row],[Cantidad SPA]]*Reactivos_[[#This Row],[Valor de referencia]]</f>
        <v>0</v>
      </c>
      <c r="AE673" s="148" t="s">
        <v>76</v>
      </c>
      <c r="AF673" s="148" t="s">
        <v>77</v>
      </c>
    </row>
    <row r="674" spans="1:32" ht="29.45" customHeight="1" x14ac:dyDescent="0.25">
      <c r="A674" s="294" t="str">
        <f>IF(B674=Reactivos_[[#This Row],[Cantidad LANIP]],"LANIP",IF(B674=Reactivos_[[#This Row],[Cantidad 
LDV]],"LDV",IF(B674=Reactivos_[[#This Row],[Cantidad LNDV]],"LNDV",IF(B674=Reactivos_[[#This Row],[GGCA]],"GGCA",IF(B674=Reactivos_[[#This Row],[Cantidad LDF]],"LDF",IF(Reactivos_[[#This Row],[Cantidad LDF&amp;MR]],"LDF&amp;MR",IF(B674=Reactivos_[[#This Row],[Cantidad RED LASE]],"LASE",IF(B674=Reactivos_[[#This Row],[Cantidad LANIA]],"LANIA",IF(B674=Reactivos_[[#This Row],[Cantidad SPA]],"SPA"," ")))))))))</f>
        <v>LANIP</v>
      </c>
      <c r="B67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674" s="325">
        <v>672</v>
      </c>
      <c r="D674" s="326">
        <v>1025</v>
      </c>
      <c r="E674" s="327" t="s">
        <v>1879</v>
      </c>
      <c r="F674" s="244"/>
      <c r="G674" s="327"/>
      <c r="H674" s="342" t="s">
        <v>1880</v>
      </c>
      <c r="I674" s="341" t="s">
        <v>1881</v>
      </c>
      <c r="J67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674" s="160">
        <v>1001980</v>
      </c>
      <c r="L674" s="160">
        <f>+Reactivos_[[#This Row],[Cantidad]]*Reactivos_[[#This Row],[Valor de referencia]]</f>
        <v>4007920</v>
      </c>
      <c r="M674" s="254">
        <v>4</v>
      </c>
      <c r="N674" s="255">
        <f>+Reactivos_[[#This Row],[Valor de referencia]]*Reactivos_[[#This Row],[Cantidad LANIP]]</f>
        <v>4007920</v>
      </c>
      <c r="O674" s="256"/>
      <c r="P674" s="255">
        <f>+Reactivos_[[#This Row],[Cantidad 
LDV]]*Reactivos_[[#This Row],[Valor de referencia]]</f>
        <v>0</v>
      </c>
      <c r="Q674" s="257"/>
      <c r="R674" s="255">
        <f>+Reactivos_[[#This Row],[Cantidad LNDV]]*Reactivos_[[#This Row],[Valor de referencia]]</f>
        <v>0</v>
      </c>
      <c r="S674" s="148"/>
      <c r="T674" s="255">
        <f>+Reactivos_[[#This Row],[GGCA]]*Reactivos_[[#This Row],[Valor de referencia]]</f>
        <v>0</v>
      </c>
      <c r="U674" s="254"/>
      <c r="V674" s="255">
        <f>+Reactivos_[[#This Row],[Cantidad LDF]]*Reactivos_[[#This Row],[Valor de referencia]]</f>
        <v>0</v>
      </c>
      <c r="W674" s="254"/>
      <c r="X674" s="255">
        <f>+Reactivos_[[#This Row],[Cantidad LDF&amp;MR]]*Reactivos_[[#This Row],[Valor de referencia]]</f>
        <v>0</v>
      </c>
      <c r="Y674" s="254"/>
      <c r="Z674" s="255">
        <f>+Reactivos_[[#This Row],[Cantidad RED LASE]]*Reactivos_[[#This Row],[Valor de referencia]]</f>
        <v>0</v>
      </c>
      <c r="AA674" s="254"/>
      <c r="AB674" s="255">
        <f>+Reactivos_[[#This Row],[Cantidad LANIA]]*Reactivos_[[#This Row],[Valor de referencia]]</f>
        <v>0</v>
      </c>
      <c r="AC674" s="254"/>
      <c r="AD674" s="255">
        <f>+Reactivos_[[#This Row],[Cantidad SPA]]*Reactivos_[[#This Row],[Valor de referencia]]</f>
        <v>0</v>
      </c>
      <c r="AE674" s="148" t="s">
        <v>76</v>
      </c>
      <c r="AF674" s="148" t="s">
        <v>77</v>
      </c>
    </row>
    <row r="675" spans="1:32" ht="29.45" customHeight="1" x14ac:dyDescent="0.25">
      <c r="A675" s="294" t="str">
        <f>IF(B675=Reactivos_[[#This Row],[Cantidad LANIP]],"LANIP",IF(B675=Reactivos_[[#This Row],[Cantidad 
LDV]],"LDV",IF(B675=Reactivos_[[#This Row],[Cantidad LNDV]],"LNDV",IF(B675=Reactivos_[[#This Row],[GGCA]],"GGCA",IF(B675=Reactivos_[[#This Row],[Cantidad LDF]],"LDF",IF(Reactivos_[[#This Row],[Cantidad LDF&amp;MR]],"LDF&amp;MR",IF(B675=Reactivos_[[#This Row],[Cantidad RED LASE]],"LASE",IF(B675=Reactivos_[[#This Row],[Cantidad LANIA]],"LANIA",IF(B675=Reactivos_[[#This Row],[Cantidad SPA]],"SPA"," ")))))))))</f>
        <v>LDV</v>
      </c>
      <c r="B67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120</v>
      </c>
      <c r="C675" s="325">
        <v>673</v>
      </c>
      <c r="D675" s="326">
        <v>1026</v>
      </c>
      <c r="E675" s="331" t="s">
        <v>1882</v>
      </c>
      <c r="F675" s="332"/>
      <c r="G675" s="331"/>
      <c r="H675" s="348" t="s">
        <v>820</v>
      </c>
      <c r="I675" s="329" t="s">
        <v>1883</v>
      </c>
      <c r="J67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130</v>
      </c>
      <c r="K675" s="160">
        <v>1843013</v>
      </c>
      <c r="L675" s="160">
        <f>+Reactivos_[[#This Row],[Cantidad]]*Reactivos_[[#This Row],[Valor de referencia]]</f>
        <v>239591690</v>
      </c>
      <c r="M675" s="254">
        <v>0</v>
      </c>
      <c r="N675" s="255">
        <f>+Reactivos_[[#This Row],[Valor de referencia]]*Reactivos_[[#This Row],[Cantidad LANIP]]</f>
        <v>0</v>
      </c>
      <c r="O675" s="256">
        <v>120</v>
      </c>
      <c r="P675" s="255">
        <f>+Reactivos_[[#This Row],[Cantidad 
LDV]]*Reactivos_[[#This Row],[Valor de referencia]]</f>
        <v>221161560</v>
      </c>
      <c r="Q675" s="257">
        <v>10</v>
      </c>
      <c r="R675" s="255">
        <f>+Reactivos_[[#This Row],[Cantidad LNDV]]*Reactivos_[[#This Row],[Valor de referencia]]</f>
        <v>18430130</v>
      </c>
      <c r="S675" s="148"/>
      <c r="T675" s="255">
        <f>+Reactivos_[[#This Row],[GGCA]]*Reactivos_[[#This Row],[Valor de referencia]]</f>
        <v>0</v>
      </c>
      <c r="U675" s="254"/>
      <c r="V675" s="255">
        <f>+Reactivos_[[#This Row],[Cantidad LDF]]*Reactivos_[[#This Row],[Valor de referencia]]</f>
        <v>0</v>
      </c>
      <c r="W675" s="254"/>
      <c r="X675" s="255">
        <f>+Reactivos_[[#This Row],[Cantidad LDF&amp;MR]]*Reactivos_[[#This Row],[Valor de referencia]]</f>
        <v>0</v>
      </c>
      <c r="Y675" s="254"/>
      <c r="Z675" s="255">
        <f>+Reactivos_[[#This Row],[Cantidad RED LASE]]*Reactivos_[[#This Row],[Valor de referencia]]</f>
        <v>0</v>
      </c>
      <c r="AA675" s="254"/>
      <c r="AB675" s="255">
        <f>+Reactivos_[[#This Row],[Cantidad LANIA]]*Reactivos_[[#This Row],[Valor de referencia]]</f>
        <v>0</v>
      </c>
      <c r="AC675" s="254"/>
      <c r="AD675" s="255">
        <f>+Reactivos_[[#This Row],[Cantidad SPA]]*Reactivos_[[#This Row],[Valor de referencia]]</f>
        <v>0</v>
      </c>
      <c r="AE675" s="148" t="s">
        <v>76</v>
      </c>
      <c r="AF675" s="148" t="s">
        <v>77</v>
      </c>
    </row>
    <row r="676" spans="1:32" ht="29.45" customHeight="1" x14ac:dyDescent="0.25">
      <c r="A676" s="294" t="str">
        <f>IF(B676=Reactivos_[[#This Row],[Cantidad LANIP]],"LANIP",IF(B676=Reactivos_[[#This Row],[Cantidad 
LDV]],"LDV",IF(B676=Reactivos_[[#This Row],[Cantidad LNDV]],"LNDV",IF(B676=Reactivos_[[#This Row],[GGCA]],"GGCA",IF(B676=Reactivos_[[#This Row],[Cantidad LDF]],"LDF",IF(Reactivos_[[#This Row],[Cantidad LDF&amp;MR]],"LDF&amp;MR",IF(B676=Reactivos_[[#This Row],[Cantidad RED LASE]],"LASE",IF(B676=Reactivos_[[#This Row],[Cantidad LANIA]],"LANIA",IF(B676=Reactivos_[[#This Row],[Cantidad SPA]],"SPA"," ")))))))))</f>
        <v>LANIP</v>
      </c>
      <c r="B67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76" s="325">
        <v>674</v>
      </c>
      <c r="D676" s="326">
        <v>1028</v>
      </c>
      <c r="E676" s="245" t="s">
        <v>1884</v>
      </c>
      <c r="F676" s="244" t="s">
        <v>1885</v>
      </c>
      <c r="G676" s="245" t="s">
        <v>1886</v>
      </c>
      <c r="H676" s="335"/>
      <c r="I676" s="353" t="s">
        <v>1887</v>
      </c>
      <c r="J67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76" s="160">
        <v>1632859</v>
      </c>
      <c r="L676" s="160">
        <f>+Reactivos_[[#This Row],[Cantidad]]*Reactivos_[[#This Row],[Valor de referencia]]</f>
        <v>1632859</v>
      </c>
      <c r="M676" s="254">
        <v>1</v>
      </c>
      <c r="N676" s="255">
        <f>+Reactivos_[[#This Row],[Valor de referencia]]*Reactivos_[[#This Row],[Cantidad LANIP]]</f>
        <v>1632859</v>
      </c>
      <c r="O676" s="256"/>
      <c r="P676" s="255">
        <f>+Reactivos_[[#This Row],[Cantidad 
LDV]]*Reactivos_[[#This Row],[Valor de referencia]]</f>
        <v>0</v>
      </c>
      <c r="Q676" s="257"/>
      <c r="R676" s="255">
        <f>+Reactivos_[[#This Row],[Cantidad LNDV]]*Reactivos_[[#This Row],[Valor de referencia]]</f>
        <v>0</v>
      </c>
      <c r="S676" s="148"/>
      <c r="T676" s="255">
        <f>+Reactivos_[[#This Row],[GGCA]]*Reactivos_[[#This Row],[Valor de referencia]]</f>
        <v>0</v>
      </c>
      <c r="U676" s="254"/>
      <c r="V676" s="255">
        <f>+Reactivos_[[#This Row],[Cantidad LDF]]*Reactivos_[[#This Row],[Valor de referencia]]</f>
        <v>0</v>
      </c>
      <c r="W676" s="254"/>
      <c r="X676" s="255">
        <f>+Reactivos_[[#This Row],[Cantidad LDF&amp;MR]]*Reactivos_[[#This Row],[Valor de referencia]]</f>
        <v>0</v>
      </c>
      <c r="Y676" s="254"/>
      <c r="Z676" s="255">
        <f>+Reactivos_[[#This Row],[Cantidad RED LASE]]*Reactivos_[[#This Row],[Valor de referencia]]</f>
        <v>0</v>
      </c>
      <c r="AA676" s="254"/>
      <c r="AB676" s="255">
        <f>+Reactivos_[[#This Row],[Cantidad LANIA]]*Reactivos_[[#This Row],[Valor de referencia]]</f>
        <v>0</v>
      </c>
      <c r="AC676" s="254"/>
      <c r="AD676" s="255">
        <f>+Reactivos_[[#This Row],[Cantidad SPA]]*Reactivos_[[#This Row],[Valor de referencia]]</f>
        <v>0</v>
      </c>
      <c r="AE676" s="148" t="s">
        <v>76</v>
      </c>
      <c r="AF676" s="148" t="s">
        <v>77</v>
      </c>
    </row>
    <row r="677" spans="1:32" ht="29.45" customHeight="1" x14ac:dyDescent="0.25">
      <c r="A677" s="294" t="str">
        <f>IF(B677=Reactivos_[[#This Row],[Cantidad LANIP]],"LANIP",IF(B677=Reactivos_[[#This Row],[Cantidad 
LDV]],"LDV",IF(B677=Reactivos_[[#This Row],[Cantidad LNDV]],"LNDV",IF(B677=Reactivos_[[#This Row],[GGCA]],"GGCA",IF(B677=Reactivos_[[#This Row],[Cantidad LDF]],"LDF",IF(Reactivos_[[#This Row],[Cantidad LDF&amp;MR]],"LDF&amp;MR",IF(B677=Reactivos_[[#This Row],[Cantidad RED LASE]],"LASE",IF(B677=Reactivos_[[#This Row],[Cantidad LANIA]],"LANIA",IF(B677=Reactivos_[[#This Row],[Cantidad SPA]],"SPA"," ")))))))))</f>
        <v>LANIA</v>
      </c>
      <c r="B67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77" s="325">
        <v>675</v>
      </c>
      <c r="D677" s="326">
        <v>1029</v>
      </c>
      <c r="E677" s="245" t="s">
        <v>1888</v>
      </c>
      <c r="F677" s="244" t="s">
        <v>1889</v>
      </c>
      <c r="G677" s="245"/>
      <c r="H677" s="346" t="s">
        <v>1890</v>
      </c>
      <c r="I677" s="336" t="s">
        <v>1891</v>
      </c>
      <c r="J67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77" s="160">
        <v>1523200</v>
      </c>
      <c r="L677" s="160">
        <f>+Reactivos_[[#This Row],[Cantidad]]*Reactivos_[[#This Row],[Valor de referencia]]</f>
        <v>1523200</v>
      </c>
      <c r="M677" s="254">
        <v>0</v>
      </c>
      <c r="N677" s="255">
        <f>+Reactivos_[[#This Row],[Valor de referencia]]*Reactivos_[[#This Row],[Cantidad LANIP]]</f>
        <v>0</v>
      </c>
      <c r="O677" s="256"/>
      <c r="P677" s="255">
        <f>+Reactivos_[[#This Row],[Cantidad 
LDV]]*Reactivos_[[#This Row],[Valor de referencia]]</f>
        <v>0</v>
      </c>
      <c r="Q677" s="257"/>
      <c r="R677" s="255">
        <f>+Reactivos_[[#This Row],[Cantidad LNDV]]*Reactivos_[[#This Row],[Valor de referencia]]</f>
        <v>0</v>
      </c>
      <c r="S677" s="148"/>
      <c r="T677" s="255">
        <f>+Reactivos_[[#This Row],[GGCA]]*Reactivos_[[#This Row],[Valor de referencia]]</f>
        <v>0</v>
      </c>
      <c r="U677" s="254"/>
      <c r="V677" s="255">
        <f>+Reactivos_[[#This Row],[Cantidad LDF]]*Reactivos_[[#This Row],[Valor de referencia]]</f>
        <v>0</v>
      </c>
      <c r="W677" s="254"/>
      <c r="X677" s="255">
        <f>+Reactivos_[[#This Row],[Cantidad LDF&amp;MR]]*Reactivos_[[#This Row],[Valor de referencia]]</f>
        <v>0</v>
      </c>
      <c r="Y677" s="254"/>
      <c r="Z677" s="255">
        <f>+Reactivos_[[#This Row],[Cantidad RED LASE]]*Reactivos_[[#This Row],[Valor de referencia]]</f>
        <v>0</v>
      </c>
      <c r="AA677" s="254">
        <v>1</v>
      </c>
      <c r="AB677" s="255">
        <f>+Reactivos_[[#This Row],[Cantidad LANIA]]*Reactivos_[[#This Row],[Valor de referencia]]</f>
        <v>1523200</v>
      </c>
      <c r="AC677" s="254"/>
      <c r="AD677" s="255">
        <f>+Reactivos_[[#This Row],[Cantidad SPA]]*Reactivos_[[#This Row],[Valor de referencia]]</f>
        <v>0</v>
      </c>
      <c r="AE677" s="148" t="s">
        <v>76</v>
      </c>
      <c r="AF677" s="148" t="s">
        <v>77</v>
      </c>
    </row>
    <row r="678" spans="1:32" ht="29.45" customHeight="1" x14ac:dyDescent="0.25">
      <c r="A678" s="294" t="str">
        <f>IF(B678=Reactivos_[[#This Row],[Cantidad LANIP]],"LANIP",IF(B678=Reactivos_[[#This Row],[Cantidad 
LDV]],"LDV",IF(B678=Reactivos_[[#This Row],[Cantidad LNDV]],"LNDV",IF(B678=Reactivos_[[#This Row],[GGCA]],"GGCA",IF(B678=Reactivos_[[#This Row],[Cantidad LDF]],"LDF",IF(Reactivos_[[#This Row],[Cantidad LDF&amp;MR]],"LDF&amp;MR",IF(B678=Reactivos_[[#This Row],[Cantidad RED LASE]],"LASE",IF(B678=Reactivos_[[#This Row],[Cantidad LANIA]],"LANIA",IF(B678=Reactivos_[[#This Row],[Cantidad SPA]],"SPA"," ")))))))))</f>
        <v>LANIP</v>
      </c>
      <c r="B67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678" s="325">
        <v>676</v>
      </c>
      <c r="D678" s="326">
        <v>1030</v>
      </c>
      <c r="E678" s="245" t="s">
        <v>1892</v>
      </c>
      <c r="F678" s="244" t="s">
        <v>1893</v>
      </c>
      <c r="G678" s="245" t="s">
        <v>1894</v>
      </c>
      <c r="H678" s="335" t="s">
        <v>106</v>
      </c>
      <c r="I678" s="336" t="s">
        <v>107</v>
      </c>
      <c r="J67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678" s="160">
        <v>1082900</v>
      </c>
      <c r="L678" s="160">
        <f>+Reactivos_[[#This Row],[Cantidad]]*Reactivos_[[#This Row],[Valor de referencia]]</f>
        <v>3248700</v>
      </c>
      <c r="M678" s="254">
        <v>3</v>
      </c>
      <c r="N678" s="255">
        <f>+Reactivos_[[#This Row],[Valor de referencia]]*Reactivos_[[#This Row],[Cantidad LANIP]]</f>
        <v>3248700</v>
      </c>
      <c r="O678" s="256"/>
      <c r="P678" s="255">
        <f>+Reactivos_[[#This Row],[Cantidad 
LDV]]*Reactivos_[[#This Row],[Valor de referencia]]</f>
        <v>0</v>
      </c>
      <c r="Q678" s="257"/>
      <c r="R678" s="255">
        <f>+Reactivos_[[#This Row],[Cantidad LNDV]]*Reactivos_[[#This Row],[Valor de referencia]]</f>
        <v>0</v>
      </c>
      <c r="S678" s="148"/>
      <c r="T678" s="255">
        <f>+Reactivos_[[#This Row],[GGCA]]*Reactivos_[[#This Row],[Valor de referencia]]</f>
        <v>0</v>
      </c>
      <c r="U678" s="254"/>
      <c r="V678" s="255">
        <f>+Reactivos_[[#This Row],[Cantidad LDF]]*Reactivos_[[#This Row],[Valor de referencia]]</f>
        <v>0</v>
      </c>
      <c r="W678" s="254"/>
      <c r="X678" s="255">
        <f>+Reactivos_[[#This Row],[Cantidad LDF&amp;MR]]*Reactivos_[[#This Row],[Valor de referencia]]</f>
        <v>0</v>
      </c>
      <c r="Y678" s="254"/>
      <c r="Z678" s="255">
        <f>+Reactivos_[[#This Row],[Cantidad RED LASE]]*Reactivos_[[#This Row],[Valor de referencia]]</f>
        <v>0</v>
      </c>
      <c r="AA678" s="254"/>
      <c r="AB678" s="255">
        <f>+Reactivos_[[#This Row],[Cantidad LANIA]]*Reactivos_[[#This Row],[Valor de referencia]]</f>
        <v>0</v>
      </c>
      <c r="AC678" s="254"/>
      <c r="AD678" s="255">
        <f>+Reactivos_[[#This Row],[Cantidad SPA]]*Reactivos_[[#This Row],[Valor de referencia]]</f>
        <v>0</v>
      </c>
      <c r="AE678" s="148" t="s">
        <v>76</v>
      </c>
      <c r="AF678" s="148" t="s">
        <v>77</v>
      </c>
    </row>
    <row r="679" spans="1:32" ht="29.45" customHeight="1" x14ac:dyDescent="0.2">
      <c r="A679" s="294" t="str">
        <f>IF(B679=Reactivos_[[#This Row],[Cantidad LANIP]],"LANIP",IF(B679=Reactivos_[[#This Row],[Cantidad 
LDV]],"LDV",IF(B679=Reactivos_[[#This Row],[Cantidad LNDV]],"LNDV",IF(B679=Reactivos_[[#This Row],[GGCA]],"GGCA",IF(B679=Reactivos_[[#This Row],[Cantidad LDF]],"LDF",IF(Reactivos_[[#This Row],[Cantidad LDF&amp;MR]],"LDF&amp;MR",IF(B679=Reactivos_[[#This Row],[Cantidad RED LASE]],"LASE",IF(B679=Reactivos_[[#This Row],[Cantidad LANIA]],"LANIA",IF(B679=Reactivos_[[#This Row],[Cantidad SPA]],"SPA"," ")))))))))</f>
        <v>LDF</v>
      </c>
      <c r="B67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79" s="325">
        <v>677</v>
      </c>
      <c r="D679" s="326">
        <v>1031</v>
      </c>
      <c r="E679" s="327" t="s">
        <v>1895</v>
      </c>
      <c r="F679" s="384" t="s">
        <v>1896</v>
      </c>
      <c r="G679" s="245"/>
      <c r="H679" s="330" t="s">
        <v>1897</v>
      </c>
      <c r="I679" s="406" t="s">
        <v>1898</v>
      </c>
      <c r="J67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79" s="160">
        <v>421558</v>
      </c>
      <c r="L679" s="160">
        <f>+Reactivos_[[#This Row],[Cantidad]]*Reactivos_[[#This Row],[Valor de referencia]]</f>
        <v>421558</v>
      </c>
      <c r="M679" s="254">
        <v>0</v>
      </c>
      <c r="N679" s="255">
        <f>+Reactivos_[[#This Row],[Valor de referencia]]*Reactivos_[[#This Row],[Cantidad LANIP]]</f>
        <v>0</v>
      </c>
      <c r="O679" s="256"/>
      <c r="P679" s="255">
        <f>+Reactivos_[[#This Row],[Cantidad 
LDV]]*Reactivos_[[#This Row],[Valor de referencia]]</f>
        <v>0</v>
      </c>
      <c r="Q679" s="257"/>
      <c r="R679" s="255">
        <f>+Reactivos_[[#This Row],[Cantidad LNDV]]*Reactivos_[[#This Row],[Valor de referencia]]</f>
        <v>0</v>
      </c>
      <c r="S679" s="148"/>
      <c r="T679" s="255">
        <f>+Reactivos_[[#This Row],[GGCA]]*Reactivos_[[#This Row],[Valor de referencia]]</f>
        <v>0</v>
      </c>
      <c r="U679" s="254">
        <v>1</v>
      </c>
      <c r="V679" s="255">
        <f>+Reactivos_[[#This Row],[Cantidad LDF]]*Reactivos_[[#This Row],[Valor de referencia]]</f>
        <v>421558</v>
      </c>
      <c r="W679" s="254"/>
      <c r="X679" s="255">
        <f>+Reactivos_[[#This Row],[Cantidad LDF&amp;MR]]*Reactivos_[[#This Row],[Valor de referencia]]</f>
        <v>0</v>
      </c>
      <c r="Y679" s="254"/>
      <c r="Z679" s="255">
        <f>+Reactivos_[[#This Row],[Cantidad RED LASE]]*Reactivos_[[#This Row],[Valor de referencia]]</f>
        <v>0</v>
      </c>
      <c r="AA679" s="254"/>
      <c r="AB679" s="255">
        <f>+Reactivos_[[#This Row],[Cantidad LANIA]]*Reactivos_[[#This Row],[Valor de referencia]]</f>
        <v>0</v>
      </c>
      <c r="AC679" s="254"/>
      <c r="AD679" s="255">
        <f>+Reactivos_[[#This Row],[Cantidad SPA]]*Reactivos_[[#This Row],[Valor de referencia]]</f>
        <v>0</v>
      </c>
      <c r="AE679" s="148" t="s">
        <v>76</v>
      </c>
      <c r="AF679" s="148" t="s">
        <v>77</v>
      </c>
    </row>
    <row r="680" spans="1:32" ht="29.45" customHeight="1" x14ac:dyDescent="0.25">
      <c r="A680" s="294" t="str">
        <f>IF(B680=Reactivos_[[#This Row],[Cantidad LANIP]],"LANIP",IF(B680=Reactivos_[[#This Row],[Cantidad 
LDV]],"LDV",IF(B680=Reactivos_[[#This Row],[Cantidad LNDV]],"LNDV",IF(B680=Reactivos_[[#This Row],[GGCA]],"GGCA",IF(B680=Reactivos_[[#This Row],[Cantidad LDF]],"LDF",IF(Reactivos_[[#This Row],[Cantidad LDF&amp;MR]],"LDF&amp;MR",IF(B680=Reactivos_[[#This Row],[Cantidad RED LASE]],"LASE",IF(B680=Reactivos_[[#This Row],[Cantidad LANIA]],"LANIA",IF(B680=Reactivos_[[#This Row],[Cantidad SPA]],"SPA"," ")))))))))</f>
        <v>LDF</v>
      </c>
      <c r="B68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680" s="325">
        <v>678</v>
      </c>
      <c r="D680" s="326">
        <v>1032</v>
      </c>
      <c r="E680" s="245" t="s">
        <v>1899</v>
      </c>
      <c r="F680" s="244"/>
      <c r="G680" s="245"/>
      <c r="H680" s="346" t="s">
        <v>1900</v>
      </c>
      <c r="I680" s="336" t="s">
        <v>488</v>
      </c>
      <c r="J68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680" s="160">
        <v>468726</v>
      </c>
      <c r="L680" s="160">
        <f>+Reactivos_[[#This Row],[Cantidad]]*Reactivos_[[#This Row],[Valor de referencia]]</f>
        <v>1874904</v>
      </c>
      <c r="M680" s="254">
        <v>0</v>
      </c>
      <c r="N680" s="255">
        <f>+Reactivos_[[#This Row],[Valor de referencia]]*Reactivos_[[#This Row],[Cantidad LANIP]]</f>
        <v>0</v>
      </c>
      <c r="O680" s="256"/>
      <c r="P680" s="255">
        <f>+Reactivos_[[#This Row],[Cantidad 
LDV]]*Reactivos_[[#This Row],[Valor de referencia]]</f>
        <v>0</v>
      </c>
      <c r="Q680" s="257"/>
      <c r="R680" s="255">
        <f>+Reactivos_[[#This Row],[Cantidad LNDV]]*Reactivos_[[#This Row],[Valor de referencia]]</f>
        <v>0</v>
      </c>
      <c r="S680" s="148"/>
      <c r="T680" s="255">
        <f>+Reactivos_[[#This Row],[GGCA]]*Reactivos_[[#This Row],[Valor de referencia]]</f>
        <v>0</v>
      </c>
      <c r="U680" s="254">
        <v>4</v>
      </c>
      <c r="V680" s="255">
        <f>+Reactivos_[[#This Row],[Cantidad LDF]]*Reactivos_[[#This Row],[Valor de referencia]]</f>
        <v>1874904</v>
      </c>
      <c r="W680" s="254"/>
      <c r="X680" s="255">
        <f>+Reactivos_[[#This Row],[Cantidad LDF&amp;MR]]*Reactivos_[[#This Row],[Valor de referencia]]</f>
        <v>0</v>
      </c>
      <c r="Y680" s="254"/>
      <c r="Z680" s="255">
        <f>+Reactivos_[[#This Row],[Cantidad RED LASE]]*Reactivos_[[#This Row],[Valor de referencia]]</f>
        <v>0</v>
      </c>
      <c r="AA680" s="254"/>
      <c r="AB680" s="255">
        <f>+Reactivos_[[#This Row],[Cantidad LANIA]]*Reactivos_[[#This Row],[Valor de referencia]]</f>
        <v>0</v>
      </c>
      <c r="AC680" s="254"/>
      <c r="AD680" s="255">
        <f>+Reactivos_[[#This Row],[Cantidad SPA]]*Reactivos_[[#This Row],[Valor de referencia]]</f>
        <v>0</v>
      </c>
      <c r="AE680" s="148" t="s">
        <v>76</v>
      </c>
      <c r="AF680" s="406" t="s">
        <v>101</v>
      </c>
    </row>
    <row r="681" spans="1:32" ht="51" x14ac:dyDescent="0.25">
      <c r="A681" s="294" t="str">
        <f>IF(B681=Reactivos_[[#This Row],[Cantidad LANIP]],"LANIP",IF(B681=Reactivos_[[#This Row],[Cantidad 
LDV]],"LDV",IF(B681=Reactivos_[[#This Row],[Cantidad LNDV]],"LNDV",IF(B681=Reactivos_[[#This Row],[GGCA]],"GGCA",IF(B681=Reactivos_[[#This Row],[Cantidad LDF]],"LDF",IF(Reactivos_[[#This Row],[Cantidad LDF&amp;MR]],"LDF&amp;MR",IF(B681=Reactivos_[[#This Row],[Cantidad RED LASE]],"LASE",IF(B681=Reactivos_[[#This Row],[Cantidad LANIA]],"LANIA",IF(B681=Reactivos_[[#This Row],[Cantidad SPA]],"SPA"," ")))))))))</f>
        <v>LANIA</v>
      </c>
      <c r="B68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81" s="325">
        <v>679</v>
      </c>
      <c r="D681" s="326">
        <v>1034</v>
      </c>
      <c r="E681" s="245" t="s">
        <v>1901</v>
      </c>
      <c r="F681" s="244" t="s">
        <v>1902</v>
      </c>
      <c r="G681" s="245" t="s">
        <v>1903</v>
      </c>
      <c r="H681" s="335" t="s">
        <v>1904</v>
      </c>
      <c r="I681" s="353" t="s">
        <v>1905</v>
      </c>
      <c r="J68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81" s="160">
        <v>499959</v>
      </c>
      <c r="L681" s="160">
        <f>+Reactivos_[[#This Row],[Cantidad]]*Reactivos_[[#This Row],[Valor de referencia]]</f>
        <v>499959</v>
      </c>
      <c r="M681" s="254">
        <v>0</v>
      </c>
      <c r="N681" s="255">
        <f>+Reactivos_[[#This Row],[Valor de referencia]]*Reactivos_[[#This Row],[Cantidad LANIP]]</f>
        <v>0</v>
      </c>
      <c r="O681" s="256"/>
      <c r="P681" s="255">
        <f>+Reactivos_[[#This Row],[Cantidad 
LDV]]*Reactivos_[[#This Row],[Valor de referencia]]</f>
        <v>0</v>
      </c>
      <c r="Q681" s="257"/>
      <c r="R681" s="255">
        <f>+Reactivos_[[#This Row],[Cantidad LNDV]]*Reactivos_[[#This Row],[Valor de referencia]]</f>
        <v>0</v>
      </c>
      <c r="S681" s="148"/>
      <c r="T681" s="255">
        <f>+Reactivos_[[#This Row],[GGCA]]*Reactivos_[[#This Row],[Valor de referencia]]</f>
        <v>0</v>
      </c>
      <c r="U681" s="254"/>
      <c r="V681" s="255">
        <f>+Reactivos_[[#This Row],[Cantidad LDF]]*Reactivos_[[#This Row],[Valor de referencia]]</f>
        <v>0</v>
      </c>
      <c r="W681" s="254"/>
      <c r="X681" s="255">
        <f>+Reactivos_[[#This Row],[Cantidad LDF&amp;MR]]*Reactivos_[[#This Row],[Valor de referencia]]</f>
        <v>0</v>
      </c>
      <c r="Y681" s="254"/>
      <c r="Z681" s="255">
        <f>+Reactivos_[[#This Row],[Cantidad RED LASE]]*Reactivos_[[#This Row],[Valor de referencia]]</f>
        <v>0</v>
      </c>
      <c r="AA681" s="254">
        <v>1</v>
      </c>
      <c r="AB681" s="255">
        <f>+Reactivos_[[#This Row],[Cantidad LANIA]]*Reactivos_[[#This Row],[Valor de referencia]]</f>
        <v>499959</v>
      </c>
      <c r="AC681" s="254"/>
      <c r="AD681" s="255">
        <f>+Reactivos_[[#This Row],[Cantidad SPA]]*Reactivos_[[#This Row],[Valor de referencia]]</f>
        <v>0</v>
      </c>
      <c r="AE681" s="148" t="s">
        <v>76</v>
      </c>
      <c r="AF681" s="148" t="s">
        <v>77</v>
      </c>
    </row>
    <row r="682" spans="1:32" ht="38.25" x14ac:dyDescent="0.25">
      <c r="A682" s="294" t="str">
        <f>IF(B682=Reactivos_[[#This Row],[Cantidad LANIP]],"LANIP",IF(B682=Reactivos_[[#This Row],[Cantidad 
LDV]],"LDV",IF(B682=Reactivos_[[#This Row],[Cantidad LNDV]],"LNDV",IF(B682=Reactivos_[[#This Row],[GGCA]],"GGCA",IF(B682=Reactivos_[[#This Row],[Cantidad LDF]],"LDF",IF(Reactivos_[[#This Row],[Cantidad LDF&amp;MR]],"LDF&amp;MR",IF(B682=Reactivos_[[#This Row],[Cantidad RED LASE]],"LASE",IF(B682=Reactivos_[[#This Row],[Cantidad LANIA]],"LANIA",IF(B682=Reactivos_[[#This Row],[Cantidad SPA]],"SPA"," ")))))))))</f>
        <v>LANIP</v>
      </c>
      <c r="B68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C682" s="325">
        <v>680</v>
      </c>
      <c r="D682" s="326">
        <v>1035</v>
      </c>
      <c r="E682" s="331" t="s">
        <v>1906</v>
      </c>
      <c r="F682" s="332"/>
      <c r="G682" s="331"/>
      <c r="H682" s="328" t="s">
        <v>1907</v>
      </c>
      <c r="I682" s="362" t="s">
        <v>1908</v>
      </c>
      <c r="J68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13</v>
      </c>
      <c r="K682" s="160">
        <v>207755</v>
      </c>
      <c r="L682" s="160">
        <f>+Reactivos_[[#This Row],[Cantidad]]*Reactivos_[[#This Row],[Valor de referencia]]</f>
        <v>2700815</v>
      </c>
      <c r="M682" s="254">
        <v>13</v>
      </c>
      <c r="N682" s="255">
        <f>+Reactivos_[[#This Row],[Valor de referencia]]*Reactivos_[[#This Row],[Cantidad LANIP]]</f>
        <v>2700815</v>
      </c>
      <c r="O682" s="256"/>
      <c r="P682" s="255">
        <f>+Reactivos_[[#This Row],[Cantidad 
LDV]]*Reactivos_[[#This Row],[Valor de referencia]]</f>
        <v>0</v>
      </c>
      <c r="Q682" s="257"/>
      <c r="R682" s="255">
        <f>+Reactivos_[[#This Row],[Cantidad LNDV]]*Reactivos_[[#This Row],[Valor de referencia]]</f>
        <v>0</v>
      </c>
      <c r="S682" s="148"/>
      <c r="T682" s="255">
        <f>+Reactivos_[[#This Row],[GGCA]]*Reactivos_[[#This Row],[Valor de referencia]]</f>
        <v>0</v>
      </c>
      <c r="U682" s="254"/>
      <c r="V682" s="255">
        <f>+Reactivos_[[#This Row],[Cantidad LDF]]*Reactivos_[[#This Row],[Valor de referencia]]</f>
        <v>0</v>
      </c>
      <c r="W682" s="254"/>
      <c r="X682" s="255">
        <f>+Reactivos_[[#This Row],[Cantidad LDF&amp;MR]]*Reactivos_[[#This Row],[Valor de referencia]]</f>
        <v>0</v>
      </c>
      <c r="Y682" s="254"/>
      <c r="Z682" s="255">
        <f>+Reactivos_[[#This Row],[Cantidad RED LASE]]*Reactivos_[[#This Row],[Valor de referencia]]</f>
        <v>0</v>
      </c>
      <c r="AA682" s="254"/>
      <c r="AB682" s="255">
        <f>+Reactivos_[[#This Row],[Cantidad LANIA]]*Reactivos_[[#This Row],[Valor de referencia]]</f>
        <v>0</v>
      </c>
      <c r="AC682" s="254"/>
      <c r="AD682" s="255">
        <f>+Reactivos_[[#This Row],[Cantidad SPA]]*Reactivos_[[#This Row],[Valor de referencia]]</f>
        <v>0</v>
      </c>
      <c r="AE682" s="148" t="s">
        <v>76</v>
      </c>
      <c r="AF682" s="148" t="s">
        <v>77</v>
      </c>
    </row>
    <row r="683" spans="1:32" ht="29.45" customHeight="1" x14ac:dyDescent="0.25">
      <c r="A683" s="294" t="str">
        <f>IF(B683=Reactivos_[[#This Row],[Cantidad LANIP]],"LANIP",IF(B683=Reactivos_[[#This Row],[Cantidad 
LDV]],"LDV",IF(B683=Reactivos_[[#This Row],[Cantidad LNDV]],"LNDV",IF(B683=Reactivos_[[#This Row],[GGCA]],"GGCA",IF(B683=Reactivos_[[#This Row],[Cantidad LDF]],"LDF",IF(Reactivos_[[#This Row],[Cantidad LDF&amp;MR]],"LDF&amp;MR",IF(B683=Reactivos_[[#This Row],[Cantidad RED LASE]],"LASE",IF(B683=Reactivos_[[#This Row],[Cantidad LANIA]],"LANIA",IF(B683=Reactivos_[[#This Row],[Cantidad SPA]],"SPA"," ")))))))))</f>
        <v>LDV</v>
      </c>
      <c r="B68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20</v>
      </c>
      <c r="C683" s="325">
        <v>681</v>
      </c>
      <c r="D683" s="326">
        <v>1036</v>
      </c>
      <c r="E683" s="331" t="s">
        <v>1909</v>
      </c>
      <c r="F683" s="332"/>
      <c r="G683" s="331"/>
      <c r="H683" s="348" t="s">
        <v>1910</v>
      </c>
      <c r="I683" s="329" t="s">
        <v>1911</v>
      </c>
      <c r="J68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55</v>
      </c>
      <c r="K683" s="160">
        <v>216432</v>
      </c>
      <c r="L683" s="160">
        <f>+Reactivos_[[#This Row],[Cantidad]]*Reactivos_[[#This Row],[Valor de referencia]]</f>
        <v>11903760</v>
      </c>
      <c r="M683" s="254">
        <v>1</v>
      </c>
      <c r="N683" s="255">
        <f>+Reactivos_[[#This Row],[Valor de referencia]]*Reactivos_[[#This Row],[Cantidad LANIP]]</f>
        <v>216432</v>
      </c>
      <c r="O683" s="256">
        <v>20</v>
      </c>
      <c r="P683" s="255">
        <f>+Reactivos_[[#This Row],[Cantidad 
LDV]]*Reactivos_[[#This Row],[Valor de referencia]]</f>
        <v>4328640</v>
      </c>
      <c r="Q683" s="257">
        <v>15</v>
      </c>
      <c r="R683" s="255">
        <f>+Reactivos_[[#This Row],[Cantidad LNDV]]*Reactivos_[[#This Row],[Valor de referencia]]</f>
        <v>3246480</v>
      </c>
      <c r="S683" s="148"/>
      <c r="T683" s="255">
        <f>+Reactivos_[[#This Row],[GGCA]]*Reactivos_[[#This Row],[Valor de referencia]]</f>
        <v>0</v>
      </c>
      <c r="U683" s="254">
        <v>13</v>
      </c>
      <c r="V683" s="255">
        <f>+Reactivos_[[#This Row],[Cantidad LDF]]*Reactivos_[[#This Row],[Valor de referencia]]</f>
        <v>2813616</v>
      </c>
      <c r="W683" s="254">
        <v>4</v>
      </c>
      <c r="X683" s="255">
        <f>+Reactivos_[[#This Row],[Cantidad LDF&amp;MR]]*Reactivos_[[#This Row],[Valor de referencia]]</f>
        <v>865728</v>
      </c>
      <c r="Y683" s="254"/>
      <c r="Z683" s="255">
        <f>+Reactivos_[[#This Row],[Cantidad RED LASE]]*Reactivos_[[#This Row],[Valor de referencia]]</f>
        <v>0</v>
      </c>
      <c r="AA683" s="254">
        <v>2</v>
      </c>
      <c r="AB683" s="255">
        <f>+Reactivos_[[#This Row],[Cantidad LANIA]]*Reactivos_[[#This Row],[Valor de referencia]]</f>
        <v>432864</v>
      </c>
      <c r="AC683" s="254"/>
      <c r="AD683" s="255">
        <f>+Reactivos_[[#This Row],[Cantidad SPA]]*Reactivos_[[#This Row],[Valor de referencia]]</f>
        <v>0</v>
      </c>
      <c r="AE683" s="148" t="s">
        <v>76</v>
      </c>
      <c r="AF683" s="148" t="s">
        <v>77</v>
      </c>
    </row>
    <row r="684" spans="1:32" ht="72" customHeight="1" x14ac:dyDescent="0.25">
      <c r="A684" s="294" t="str">
        <f>IF(B684=Reactivos_[[#This Row],[Cantidad LANIP]],"LANIP",IF(B684=Reactivos_[[#This Row],[Cantidad 
LDV]],"LDV",IF(B684=Reactivos_[[#This Row],[Cantidad LNDV]],"LNDV",IF(B684=Reactivos_[[#This Row],[GGCA]],"GGCA",IF(B684=Reactivos_[[#This Row],[Cantidad LDF]],"LDF",IF(Reactivos_[[#This Row],[Cantidad LDF&amp;MR]],"LDF&amp;MR",IF(B684=Reactivos_[[#This Row],[Cantidad RED LASE]],"LASE",IF(B684=Reactivos_[[#This Row],[Cantidad LANIA]],"LANIA",IF(B684=Reactivos_[[#This Row],[Cantidad SPA]],"SPA"," ")))))))))</f>
        <v>LNDV</v>
      </c>
      <c r="B68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684" s="325">
        <v>682</v>
      </c>
      <c r="D684" s="326">
        <v>1039</v>
      </c>
      <c r="E684" s="327" t="s">
        <v>1912</v>
      </c>
      <c r="F684" s="244"/>
      <c r="G684" s="327"/>
      <c r="H684" s="328" t="s">
        <v>1913</v>
      </c>
      <c r="I684" s="363" t="s">
        <v>1914</v>
      </c>
      <c r="J68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684" s="160">
        <v>788319</v>
      </c>
      <c r="L684" s="160">
        <f>+Reactivos_[[#This Row],[Cantidad]]*Reactivos_[[#This Row],[Valor de referencia]]</f>
        <v>3941595</v>
      </c>
      <c r="M684" s="254">
        <v>0</v>
      </c>
      <c r="N684" s="255">
        <f>+Reactivos_[[#This Row],[Valor de referencia]]*Reactivos_[[#This Row],[Cantidad LANIP]]</f>
        <v>0</v>
      </c>
      <c r="O684" s="256"/>
      <c r="P684" s="255">
        <f>+Reactivos_[[#This Row],[Cantidad 
LDV]]*Reactivos_[[#This Row],[Valor de referencia]]</f>
        <v>0</v>
      </c>
      <c r="Q684" s="257">
        <v>5</v>
      </c>
      <c r="R684" s="255">
        <f>+Reactivos_[[#This Row],[Cantidad LNDV]]*Reactivos_[[#This Row],[Valor de referencia]]</f>
        <v>3941595</v>
      </c>
      <c r="S684" s="148"/>
      <c r="T684" s="255">
        <f>+Reactivos_[[#This Row],[GGCA]]*Reactivos_[[#This Row],[Valor de referencia]]</f>
        <v>0</v>
      </c>
      <c r="U684" s="254"/>
      <c r="V684" s="255">
        <f>+Reactivos_[[#This Row],[Cantidad LDF]]*Reactivos_[[#This Row],[Valor de referencia]]</f>
        <v>0</v>
      </c>
      <c r="W684" s="241">
        <v>0</v>
      </c>
      <c r="X684" s="255">
        <f>+Reactivos_[[#This Row],[Cantidad LDF&amp;MR]]*Reactivos_[[#This Row],[Valor de referencia]]</f>
        <v>0</v>
      </c>
      <c r="Y684" s="254"/>
      <c r="Z684" s="255">
        <f>+Reactivos_[[#This Row],[Cantidad RED LASE]]*Reactivos_[[#This Row],[Valor de referencia]]</f>
        <v>0</v>
      </c>
      <c r="AA684" s="254"/>
      <c r="AB684" s="255">
        <f>+Reactivos_[[#This Row],[Cantidad LANIA]]*Reactivos_[[#This Row],[Valor de referencia]]</f>
        <v>0</v>
      </c>
      <c r="AC684" s="254"/>
      <c r="AD684" s="255">
        <f>+Reactivos_[[#This Row],[Cantidad SPA]]*Reactivos_[[#This Row],[Valor de referencia]]</f>
        <v>0</v>
      </c>
      <c r="AE684" s="148" t="s">
        <v>76</v>
      </c>
      <c r="AF684" s="148" t="s">
        <v>77</v>
      </c>
    </row>
    <row r="685" spans="1:32" ht="29.45" customHeight="1" x14ac:dyDescent="0.25">
      <c r="A685" s="294" t="str">
        <f>IF(B685=Reactivos_[[#This Row],[Cantidad LANIP]],"LANIP",IF(B685=Reactivos_[[#This Row],[Cantidad 
LDV]],"LDV",IF(B685=Reactivos_[[#This Row],[Cantidad LNDV]],"LNDV",IF(B685=Reactivos_[[#This Row],[GGCA]],"GGCA",IF(B685=Reactivos_[[#This Row],[Cantidad LDF]],"LDF",IF(Reactivos_[[#This Row],[Cantidad LDF&amp;MR]],"LDF&amp;MR",IF(B685=Reactivos_[[#This Row],[Cantidad RED LASE]],"LASE",IF(B685=Reactivos_[[#This Row],[Cantidad LANIA]],"LANIA",IF(B685=Reactivos_[[#This Row],[Cantidad SPA]],"SPA"," ")))))))))</f>
        <v>LNDV</v>
      </c>
      <c r="B68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685" s="325">
        <v>683</v>
      </c>
      <c r="D685" s="326">
        <v>1040</v>
      </c>
      <c r="E685" s="331" t="s">
        <v>1915</v>
      </c>
      <c r="F685" s="332"/>
      <c r="G685" s="331"/>
      <c r="H685" s="348" t="s">
        <v>1916</v>
      </c>
      <c r="I685" s="329" t="s">
        <v>474</v>
      </c>
      <c r="J68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685" s="160">
        <v>422876</v>
      </c>
      <c r="L685" s="160">
        <f>+Reactivos_[[#This Row],[Cantidad]]*Reactivos_[[#This Row],[Valor de referencia]]</f>
        <v>2114380</v>
      </c>
      <c r="M685" s="254">
        <v>0</v>
      </c>
      <c r="N685" s="255">
        <f>+Reactivos_[[#This Row],[Valor de referencia]]*Reactivos_[[#This Row],[Cantidad LANIP]]</f>
        <v>0</v>
      </c>
      <c r="O685" s="256">
        <v>1</v>
      </c>
      <c r="P685" s="255">
        <f>+Reactivos_[[#This Row],[Cantidad 
LDV]]*Reactivos_[[#This Row],[Valor de referencia]]</f>
        <v>422876</v>
      </c>
      <c r="Q685" s="257">
        <v>4</v>
      </c>
      <c r="R685" s="255">
        <f>+Reactivos_[[#This Row],[Cantidad LNDV]]*Reactivos_[[#This Row],[Valor de referencia]]</f>
        <v>1691504</v>
      </c>
      <c r="S685" s="148"/>
      <c r="T685" s="255">
        <f>+Reactivos_[[#This Row],[GGCA]]*Reactivos_[[#This Row],[Valor de referencia]]</f>
        <v>0</v>
      </c>
      <c r="U685" s="254"/>
      <c r="V685" s="255">
        <f>+Reactivos_[[#This Row],[Cantidad LDF]]*Reactivos_[[#This Row],[Valor de referencia]]</f>
        <v>0</v>
      </c>
      <c r="W685" s="254"/>
      <c r="X685" s="255">
        <f>+Reactivos_[[#This Row],[Cantidad LDF&amp;MR]]*Reactivos_[[#This Row],[Valor de referencia]]</f>
        <v>0</v>
      </c>
      <c r="Y685" s="254"/>
      <c r="Z685" s="255">
        <f>+Reactivos_[[#This Row],[Cantidad RED LASE]]*Reactivos_[[#This Row],[Valor de referencia]]</f>
        <v>0</v>
      </c>
      <c r="AA685" s="254"/>
      <c r="AB685" s="255">
        <f>+Reactivos_[[#This Row],[Cantidad LANIA]]*Reactivos_[[#This Row],[Valor de referencia]]</f>
        <v>0</v>
      </c>
      <c r="AC685" s="254"/>
      <c r="AD685" s="255">
        <f>+Reactivos_[[#This Row],[Cantidad SPA]]*Reactivos_[[#This Row],[Valor de referencia]]</f>
        <v>0</v>
      </c>
      <c r="AE685" s="148" t="s">
        <v>76</v>
      </c>
      <c r="AF685" s="148" t="s">
        <v>77</v>
      </c>
    </row>
    <row r="686" spans="1:32" ht="29.45" customHeight="1" x14ac:dyDescent="0.25">
      <c r="A686" s="294" t="str">
        <f>IF(B686=Reactivos_[[#This Row],[Cantidad LANIP]],"LANIP",IF(B686=Reactivos_[[#This Row],[Cantidad 
LDV]],"LDV",IF(B686=Reactivos_[[#This Row],[Cantidad LNDV]],"LNDV",IF(B686=Reactivos_[[#This Row],[GGCA]],"GGCA",IF(B686=Reactivos_[[#This Row],[Cantidad LDF]],"LDF",IF(Reactivos_[[#This Row],[Cantidad LDF&amp;MR]],"LDF&amp;MR",IF(B686=Reactivos_[[#This Row],[Cantidad RED LASE]],"LASE",IF(B686=Reactivos_[[#This Row],[Cantidad LANIA]],"LANIA",IF(B686=Reactivos_[[#This Row],[Cantidad SPA]],"SPA"," ")))))))))</f>
        <v>LANIP</v>
      </c>
      <c r="B68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86" s="325">
        <v>684</v>
      </c>
      <c r="D686" s="326">
        <v>1041</v>
      </c>
      <c r="E686" s="245" t="s">
        <v>1917</v>
      </c>
      <c r="F686" s="244" t="s">
        <v>1918</v>
      </c>
      <c r="G686" s="245"/>
      <c r="H686" s="346" t="s">
        <v>1919</v>
      </c>
      <c r="I686" s="336" t="s">
        <v>1920</v>
      </c>
      <c r="J68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86" s="160">
        <v>386096</v>
      </c>
      <c r="L686" s="160">
        <f>+Reactivos_[[#This Row],[Cantidad]]*Reactivos_[[#This Row],[Valor de referencia]]</f>
        <v>386096</v>
      </c>
      <c r="M686" s="254">
        <v>1</v>
      </c>
      <c r="N686" s="255">
        <f>+Reactivos_[[#This Row],[Valor de referencia]]*Reactivos_[[#This Row],[Cantidad LANIP]]</f>
        <v>386096</v>
      </c>
      <c r="O686" s="256"/>
      <c r="P686" s="255">
        <f>+Reactivos_[[#This Row],[Cantidad 
LDV]]*Reactivos_[[#This Row],[Valor de referencia]]</f>
        <v>0</v>
      </c>
      <c r="Q686" s="257"/>
      <c r="R686" s="255">
        <f>+Reactivos_[[#This Row],[Cantidad LNDV]]*Reactivos_[[#This Row],[Valor de referencia]]</f>
        <v>0</v>
      </c>
      <c r="S686" s="148"/>
      <c r="T686" s="255">
        <f>+Reactivos_[[#This Row],[GGCA]]*Reactivos_[[#This Row],[Valor de referencia]]</f>
        <v>0</v>
      </c>
      <c r="U686" s="254"/>
      <c r="V686" s="255">
        <f>+Reactivos_[[#This Row],[Cantidad LDF]]*Reactivos_[[#This Row],[Valor de referencia]]</f>
        <v>0</v>
      </c>
      <c r="W686" s="254"/>
      <c r="X686" s="255">
        <f>+Reactivos_[[#This Row],[Cantidad LDF&amp;MR]]*Reactivos_[[#This Row],[Valor de referencia]]</f>
        <v>0</v>
      </c>
      <c r="Y686" s="254"/>
      <c r="Z686" s="255">
        <f>+Reactivos_[[#This Row],[Cantidad RED LASE]]*Reactivos_[[#This Row],[Valor de referencia]]</f>
        <v>0</v>
      </c>
      <c r="AA686" s="254"/>
      <c r="AB686" s="255">
        <f>+Reactivos_[[#This Row],[Cantidad LANIA]]*Reactivos_[[#This Row],[Valor de referencia]]</f>
        <v>0</v>
      </c>
      <c r="AC686" s="254"/>
      <c r="AD686" s="255">
        <f>+Reactivos_[[#This Row],[Cantidad SPA]]*Reactivos_[[#This Row],[Valor de referencia]]</f>
        <v>0</v>
      </c>
      <c r="AE686" s="148" t="s">
        <v>76</v>
      </c>
      <c r="AF686" s="148" t="s">
        <v>77</v>
      </c>
    </row>
    <row r="687" spans="1:32" ht="29.45" customHeight="1" x14ac:dyDescent="0.25">
      <c r="A687" s="294" t="str">
        <f>IF(B687=Reactivos_[[#This Row],[Cantidad LANIP]],"LANIP",IF(B687=Reactivos_[[#This Row],[Cantidad 
LDV]],"LDV",IF(B687=Reactivos_[[#This Row],[Cantidad LNDV]],"LNDV",IF(B687=Reactivos_[[#This Row],[GGCA]],"GGCA",IF(B687=Reactivos_[[#This Row],[Cantidad LDF]],"LDF",IF(Reactivos_[[#This Row],[Cantidad LDF&amp;MR]],"LDF&amp;MR",IF(B687=Reactivos_[[#This Row],[Cantidad RED LASE]],"LASE",IF(B687=Reactivos_[[#This Row],[Cantidad LANIA]],"LANIA",IF(B687=Reactivos_[[#This Row],[Cantidad SPA]],"SPA"," ")))))))))</f>
        <v>LNDV</v>
      </c>
      <c r="B68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C687" s="325">
        <v>685</v>
      </c>
      <c r="D687" s="326">
        <v>1044</v>
      </c>
      <c r="E687" s="327" t="s">
        <v>1921</v>
      </c>
      <c r="F687" s="244"/>
      <c r="G687" s="245"/>
      <c r="H687" s="328" t="s">
        <v>1922</v>
      </c>
      <c r="I687" s="329" t="s">
        <v>1923</v>
      </c>
      <c r="J68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v>
      </c>
      <c r="K687" s="160">
        <v>220626</v>
      </c>
      <c r="L687" s="160">
        <f>+Reactivos_[[#This Row],[Cantidad]]*Reactivos_[[#This Row],[Valor de referencia]]</f>
        <v>2647512</v>
      </c>
      <c r="M687" s="254">
        <v>0</v>
      </c>
      <c r="N687" s="255">
        <f>+Reactivos_[[#This Row],[Valor de referencia]]*Reactivos_[[#This Row],[Cantidad LANIP]]</f>
        <v>0</v>
      </c>
      <c r="O687" s="256"/>
      <c r="P687" s="255">
        <f>+Reactivos_[[#This Row],[Cantidad 
LDV]]*Reactivos_[[#This Row],[Valor de referencia]]</f>
        <v>0</v>
      </c>
      <c r="Q687" s="257">
        <v>12</v>
      </c>
      <c r="R687" s="255">
        <f>+Reactivos_[[#This Row],[Cantidad LNDV]]*Reactivos_[[#This Row],[Valor de referencia]]</f>
        <v>2647512</v>
      </c>
      <c r="S687" s="148"/>
      <c r="T687" s="255">
        <f>+Reactivos_[[#This Row],[GGCA]]*Reactivos_[[#This Row],[Valor de referencia]]</f>
        <v>0</v>
      </c>
      <c r="U687" s="254"/>
      <c r="V687" s="255">
        <f>+Reactivos_[[#This Row],[Cantidad LDF]]*Reactivos_[[#This Row],[Valor de referencia]]</f>
        <v>0</v>
      </c>
      <c r="W687" s="254"/>
      <c r="X687" s="255">
        <f>+Reactivos_[[#This Row],[Cantidad LDF&amp;MR]]*Reactivos_[[#This Row],[Valor de referencia]]</f>
        <v>0</v>
      </c>
      <c r="Y687" s="254"/>
      <c r="Z687" s="255">
        <f>+Reactivos_[[#This Row],[Cantidad RED LASE]]*Reactivos_[[#This Row],[Valor de referencia]]</f>
        <v>0</v>
      </c>
      <c r="AA687" s="254"/>
      <c r="AB687" s="255">
        <f>+Reactivos_[[#This Row],[Cantidad LANIA]]*Reactivos_[[#This Row],[Valor de referencia]]</f>
        <v>0</v>
      </c>
      <c r="AC687" s="254"/>
      <c r="AD687" s="255">
        <f>+Reactivos_[[#This Row],[Cantidad SPA]]*Reactivos_[[#This Row],[Valor de referencia]]</f>
        <v>0</v>
      </c>
      <c r="AE687" s="148" t="s">
        <v>76</v>
      </c>
      <c r="AF687" s="148" t="s">
        <v>77</v>
      </c>
    </row>
    <row r="688" spans="1:32" ht="29.45" customHeight="1" x14ac:dyDescent="0.25">
      <c r="A688" s="294" t="str">
        <f>IF(B688=Reactivos_[[#This Row],[Cantidad LANIP]],"LANIP",IF(B688=Reactivos_[[#This Row],[Cantidad 
LDV]],"LDV",IF(B688=Reactivos_[[#This Row],[Cantidad LNDV]],"LNDV",IF(B688=Reactivos_[[#This Row],[GGCA]],"GGCA",IF(B688=Reactivos_[[#This Row],[Cantidad LDF]],"LDF",IF(Reactivos_[[#This Row],[Cantidad LDF&amp;MR]],"LDF&amp;MR",IF(B688=Reactivos_[[#This Row],[Cantidad RED LASE]],"LASE",IF(B688=Reactivos_[[#This Row],[Cantidad LANIA]],"LANIA",IF(B688=Reactivos_[[#This Row],[Cantidad SPA]],"SPA"," ")))))))))</f>
        <v>LNDV</v>
      </c>
      <c r="B68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88" s="325">
        <v>686</v>
      </c>
      <c r="D688" s="326">
        <v>1045</v>
      </c>
      <c r="E688" s="327" t="s">
        <v>1924</v>
      </c>
      <c r="F688" s="350" t="s">
        <v>1925</v>
      </c>
      <c r="G688" s="327"/>
      <c r="H688" s="348" t="s">
        <v>1926</v>
      </c>
      <c r="I688" s="329" t="s">
        <v>866</v>
      </c>
      <c r="J68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88" s="160">
        <v>667500</v>
      </c>
      <c r="L688" s="160">
        <f>+Reactivos_[[#This Row],[Cantidad]]*Reactivos_[[#This Row],[Valor de referencia]]</f>
        <v>1335000</v>
      </c>
      <c r="M688" s="254">
        <v>0</v>
      </c>
      <c r="N688" s="255">
        <f>+Reactivos_[[#This Row],[Valor de referencia]]*Reactivos_[[#This Row],[Cantidad LANIP]]</f>
        <v>0</v>
      </c>
      <c r="O688" s="256"/>
      <c r="P688" s="255">
        <f>+Reactivos_[[#This Row],[Cantidad 
LDV]]*Reactivos_[[#This Row],[Valor de referencia]]</f>
        <v>0</v>
      </c>
      <c r="Q688" s="257">
        <v>2</v>
      </c>
      <c r="R688" s="255">
        <f>+Reactivos_[[#This Row],[Cantidad LNDV]]*Reactivos_[[#This Row],[Valor de referencia]]</f>
        <v>1335000</v>
      </c>
      <c r="S688" s="148"/>
      <c r="T688" s="255">
        <f>+Reactivos_[[#This Row],[GGCA]]*Reactivos_[[#This Row],[Valor de referencia]]</f>
        <v>0</v>
      </c>
      <c r="U688" s="254"/>
      <c r="V688" s="255">
        <f>+Reactivos_[[#This Row],[Cantidad LDF]]*Reactivos_[[#This Row],[Valor de referencia]]</f>
        <v>0</v>
      </c>
      <c r="W688" s="254"/>
      <c r="X688" s="255">
        <f>+Reactivos_[[#This Row],[Cantidad LDF&amp;MR]]*Reactivos_[[#This Row],[Valor de referencia]]</f>
        <v>0</v>
      </c>
      <c r="Y688" s="254"/>
      <c r="Z688" s="255">
        <f>+Reactivos_[[#This Row],[Cantidad RED LASE]]*Reactivos_[[#This Row],[Valor de referencia]]</f>
        <v>0</v>
      </c>
      <c r="AA688" s="254"/>
      <c r="AB688" s="255">
        <f>+Reactivos_[[#This Row],[Cantidad LANIA]]*Reactivos_[[#This Row],[Valor de referencia]]</f>
        <v>0</v>
      </c>
      <c r="AC688" s="254"/>
      <c r="AD688" s="255">
        <f>+Reactivos_[[#This Row],[Cantidad SPA]]*Reactivos_[[#This Row],[Valor de referencia]]</f>
        <v>0</v>
      </c>
      <c r="AE688" s="148" t="s">
        <v>76</v>
      </c>
      <c r="AF688" s="148" t="s">
        <v>77</v>
      </c>
    </row>
    <row r="689" spans="1:32" ht="29.45" customHeight="1" x14ac:dyDescent="0.25">
      <c r="A689" s="294" t="str">
        <f>IF(B689=Reactivos_[[#This Row],[Cantidad LANIP]],"LANIP",IF(B689=Reactivos_[[#This Row],[Cantidad 
LDV]],"LDV",IF(B689=Reactivos_[[#This Row],[Cantidad LNDV]],"LNDV",IF(B689=Reactivos_[[#This Row],[GGCA]],"GGCA",IF(B689=Reactivos_[[#This Row],[Cantidad LDF]],"LDF",IF(Reactivos_[[#This Row],[Cantidad LDF&amp;MR]],"LDF&amp;MR",IF(B689=Reactivos_[[#This Row],[Cantidad RED LASE]],"LASE",IF(B689=Reactivos_[[#This Row],[Cantidad LANIA]],"LANIA",IF(B689=Reactivos_[[#This Row],[Cantidad SPA]],"SPA"," ")))))))))</f>
        <v>LDF</v>
      </c>
      <c r="B68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C689" s="325">
        <v>687</v>
      </c>
      <c r="D689" s="326">
        <v>1046</v>
      </c>
      <c r="E689" s="327" t="s">
        <v>1927</v>
      </c>
      <c r="F689" s="350" t="s">
        <v>1928</v>
      </c>
      <c r="G689" s="321" t="s">
        <v>1929</v>
      </c>
      <c r="H689" s="328" t="s">
        <v>1930</v>
      </c>
      <c r="I689" s="329" t="s">
        <v>488</v>
      </c>
      <c r="J68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689" s="160">
        <v>1583630</v>
      </c>
      <c r="L689" s="160">
        <f>+Reactivos_[[#This Row],[Cantidad]]*Reactivos_[[#This Row],[Valor de referencia]]</f>
        <v>7918150</v>
      </c>
      <c r="M689" s="254">
        <v>0</v>
      </c>
      <c r="N689" s="255">
        <f>+Reactivos_[[#This Row],[Valor de referencia]]*Reactivos_[[#This Row],[Cantidad LANIP]]</f>
        <v>0</v>
      </c>
      <c r="O689" s="256"/>
      <c r="P689" s="255">
        <f>+Reactivos_[[#This Row],[Cantidad 
LDV]]*Reactivos_[[#This Row],[Valor de referencia]]</f>
        <v>0</v>
      </c>
      <c r="Q689" s="257">
        <v>1</v>
      </c>
      <c r="R689" s="255">
        <f>+Reactivos_[[#This Row],[Cantidad LNDV]]*Reactivos_[[#This Row],[Valor de referencia]]</f>
        <v>1583630</v>
      </c>
      <c r="S689" s="148"/>
      <c r="T689" s="255">
        <f>+Reactivos_[[#This Row],[GGCA]]*Reactivos_[[#This Row],[Valor de referencia]]</f>
        <v>0</v>
      </c>
      <c r="U689" s="254">
        <v>4</v>
      </c>
      <c r="V689" s="255">
        <f>+Reactivos_[[#This Row],[Cantidad LDF]]*Reactivos_[[#This Row],[Valor de referencia]]</f>
        <v>6334520</v>
      </c>
      <c r="W689" s="254"/>
      <c r="X689" s="255">
        <f>+Reactivos_[[#This Row],[Cantidad LDF&amp;MR]]*Reactivos_[[#This Row],[Valor de referencia]]</f>
        <v>0</v>
      </c>
      <c r="Y689" s="254"/>
      <c r="Z689" s="255">
        <f>+Reactivos_[[#This Row],[Cantidad RED LASE]]*Reactivos_[[#This Row],[Valor de referencia]]</f>
        <v>0</v>
      </c>
      <c r="AA689" s="254"/>
      <c r="AB689" s="255">
        <f>+Reactivos_[[#This Row],[Cantidad LANIA]]*Reactivos_[[#This Row],[Valor de referencia]]</f>
        <v>0</v>
      </c>
      <c r="AC689" s="254"/>
      <c r="AD689" s="255">
        <f>+Reactivos_[[#This Row],[Cantidad SPA]]*Reactivos_[[#This Row],[Valor de referencia]]</f>
        <v>0</v>
      </c>
      <c r="AE689" s="148" t="s">
        <v>76</v>
      </c>
      <c r="AF689" s="148" t="s">
        <v>77</v>
      </c>
    </row>
    <row r="690" spans="1:32" ht="29.45" customHeight="1" x14ac:dyDescent="0.25">
      <c r="A690" s="294" t="str">
        <f>IF(B690=Reactivos_[[#This Row],[Cantidad LANIP]],"LANIP",IF(B690=Reactivos_[[#This Row],[Cantidad 
LDV]],"LDV",IF(B690=Reactivos_[[#This Row],[Cantidad LNDV]],"LNDV",IF(B690=Reactivos_[[#This Row],[GGCA]],"GGCA",IF(B690=Reactivos_[[#This Row],[Cantidad LDF]],"LDF",IF(Reactivos_[[#This Row],[Cantidad LDF&amp;MR]],"LDF&amp;MR",IF(B690=Reactivos_[[#This Row],[Cantidad RED LASE]],"LASE",IF(B690=Reactivos_[[#This Row],[Cantidad LANIA]],"LANIA",IF(B690=Reactivos_[[#This Row],[Cantidad SPA]],"SPA"," ")))))))))</f>
        <v>LNDV</v>
      </c>
      <c r="B69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90" s="325">
        <v>688</v>
      </c>
      <c r="D690" s="326">
        <v>1047</v>
      </c>
      <c r="E690" s="245" t="s">
        <v>1931</v>
      </c>
      <c r="F690" s="350" t="s">
        <v>1932</v>
      </c>
      <c r="G690" s="385" t="s">
        <v>1933</v>
      </c>
      <c r="H690" s="346" t="s">
        <v>1934</v>
      </c>
      <c r="I690" s="336" t="s">
        <v>217</v>
      </c>
      <c r="J69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90" s="160">
        <v>1733683</v>
      </c>
      <c r="L690" s="160">
        <f>+Reactivos_[[#This Row],[Cantidad]]*Reactivos_[[#This Row],[Valor de referencia]]</f>
        <v>3467366</v>
      </c>
      <c r="M690" s="254">
        <v>0</v>
      </c>
      <c r="N690" s="255">
        <f>+Reactivos_[[#This Row],[Valor de referencia]]*Reactivos_[[#This Row],[Cantidad LANIP]]</f>
        <v>0</v>
      </c>
      <c r="O690" s="256"/>
      <c r="P690" s="255">
        <f>+Reactivos_[[#This Row],[Cantidad 
LDV]]*Reactivos_[[#This Row],[Valor de referencia]]</f>
        <v>0</v>
      </c>
      <c r="Q690" s="257">
        <v>2</v>
      </c>
      <c r="R690" s="255">
        <f>+Reactivos_[[#This Row],[Cantidad LNDV]]*Reactivos_[[#This Row],[Valor de referencia]]</f>
        <v>3467366</v>
      </c>
      <c r="S690" s="148"/>
      <c r="T690" s="255">
        <f>+Reactivos_[[#This Row],[GGCA]]*Reactivos_[[#This Row],[Valor de referencia]]</f>
        <v>0</v>
      </c>
      <c r="U690" s="254"/>
      <c r="V690" s="255">
        <f>+Reactivos_[[#This Row],[Cantidad LDF]]*Reactivos_[[#This Row],[Valor de referencia]]</f>
        <v>0</v>
      </c>
      <c r="W690" s="254"/>
      <c r="X690" s="255">
        <f>+Reactivos_[[#This Row],[Cantidad LDF&amp;MR]]*Reactivos_[[#This Row],[Valor de referencia]]</f>
        <v>0</v>
      </c>
      <c r="Y690" s="254"/>
      <c r="Z690" s="255">
        <f>+Reactivos_[[#This Row],[Cantidad RED LASE]]*Reactivos_[[#This Row],[Valor de referencia]]</f>
        <v>0</v>
      </c>
      <c r="AA690" s="254"/>
      <c r="AB690" s="255">
        <f>+Reactivos_[[#This Row],[Cantidad LANIA]]*Reactivos_[[#This Row],[Valor de referencia]]</f>
        <v>0</v>
      </c>
      <c r="AC690" s="254"/>
      <c r="AD690" s="255">
        <f>+Reactivos_[[#This Row],[Cantidad SPA]]*Reactivos_[[#This Row],[Valor de referencia]]</f>
        <v>0</v>
      </c>
      <c r="AE690" s="148" t="s">
        <v>76</v>
      </c>
      <c r="AF690" s="148" t="s">
        <v>77</v>
      </c>
    </row>
    <row r="691" spans="1:32" ht="29.45" customHeight="1" x14ac:dyDescent="0.25">
      <c r="A691" s="294" t="str">
        <f>IF(B691=Reactivos_[[#This Row],[Cantidad LANIP]],"LANIP",IF(B691=Reactivos_[[#This Row],[Cantidad 
LDV]],"LDV",IF(B691=Reactivos_[[#This Row],[Cantidad LNDV]],"LNDV",IF(B691=Reactivos_[[#This Row],[GGCA]],"GGCA",IF(B691=Reactivos_[[#This Row],[Cantidad LDF]],"LDF",IF(Reactivos_[[#This Row],[Cantidad LDF&amp;MR]],"LDF&amp;MR",IF(B691=Reactivos_[[#This Row],[Cantidad RED LASE]],"LASE",IF(B691=Reactivos_[[#This Row],[Cantidad LANIA]],"LANIA",IF(B691=Reactivos_[[#This Row],[Cantidad SPA]],"SPA"," ")))))))))</f>
        <v>LNDV</v>
      </c>
      <c r="B69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91" s="325">
        <v>689</v>
      </c>
      <c r="D691" s="326">
        <v>1048</v>
      </c>
      <c r="E691" s="327" t="s">
        <v>1935</v>
      </c>
      <c r="F691" s="244"/>
      <c r="G691" s="327"/>
      <c r="H691" s="348" t="s">
        <v>1936</v>
      </c>
      <c r="I691" s="410" t="s">
        <v>1937</v>
      </c>
      <c r="J69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691" s="160">
        <v>218952</v>
      </c>
      <c r="L691" s="160">
        <f>+Reactivos_[[#This Row],[Cantidad]]*Reactivos_[[#This Row],[Valor de referencia]]</f>
        <v>437904</v>
      </c>
      <c r="M691" s="254">
        <v>0</v>
      </c>
      <c r="N691" s="255">
        <f>+Reactivos_[[#This Row],[Valor de referencia]]*Reactivos_[[#This Row],[Cantidad LANIP]]</f>
        <v>0</v>
      </c>
      <c r="O691" s="256"/>
      <c r="P691" s="255">
        <f>+Reactivos_[[#This Row],[Cantidad 
LDV]]*Reactivos_[[#This Row],[Valor de referencia]]</f>
        <v>0</v>
      </c>
      <c r="Q691" s="257">
        <v>1</v>
      </c>
      <c r="R691" s="255">
        <f>+Reactivos_[[#This Row],[Cantidad LNDV]]*Reactivos_[[#This Row],[Valor de referencia]]</f>
        <v>218952</v>
      </c>
      <c r="S691" s="148"/>
      <c r="T691" s="255">
        <f>+Reactivos_[[#This Row],[GGCA]]*Reactivos_[[#This Row],[Valor de referencia]]</f>
        <v>0</v>
      </c>
      <c r="U691" s="254">
        <v>1</v>
      </c>
      <c r="V691" s="255">
        <f>+Reactivos_[[#This Row],[Cantidad LDF]]*Reactivos_[[#This Row],[Valor de referencia]]</f>
        <v>218952</v>
      </c>
      <c r="W691" s="254"/>
      <c r="X691" s="255">
        <f>+Reactivos_[[#This Row],[Cantidad LDF&amp;MR]]*Reactivos_[[#This Row],[Valor de referencia]]</f>
        <v>0</v>
      </c>
      <c r="Y691" s="254"/>
      <c r="Z691" s="255">
        <f>+Reactivos_[[#This Row],[Cantidad RED LASE]]*Reactivos_[[#This Row],[Valor de referencia]]</f>
        <v>0</v>
      </c>
      <c r="AA691" s="254"/>
      <c r="AB691" s="255">
        <f>+Reactivos_[[#This Row],[Cantidad LANIA]]*Reactivos_[[#This Row],[Valor de referencia]]</f>
        <v>0</v>
      </c>
      <c r="AC691" s="254"/>
      <c r="AD691" s="255">
        <f>+Reactivos_[[#This Row],[Cantidad SPA]]*Reactivos_[[#This Row],[Valor de referencia]]</f>
        <v>0</v>
      </c>
      <c r="AE691" s="148" t="s">
        <v>76</v>
      </c>
      <c r="AF691" s="148" t="s">
        <v>77</v>
      </c>
    </row>
    <row r="692" spans="1:32" ht="29.45" customHeight="1" x14ac:dyDescent="0.25">
      <c r="A692" s="294" t="str">
        <f>IF(B692=Reactivos_[[#This Row],[Cantidad LANIP]],"LANIP",IF(B692=Reactivos_[[#This Row],[Cantidad 
LDV]],"LDV",IF(B692=Reactivos_[[#This Row],[Cantidad LNDV]],"LNDV",IF(B692=Reactivos_[[#This Row],[GGCA]],"GGCA",IF(B692=Reactivos_[[#This Row],[Cantidad LDF]],"LDF",IF(Reactivos_[[#This Row],[Cantidad LDF&amp;MR]],"LDF&amp;MR",IF(B692=Reactivos_[[#This Row],[Cantidad RED LASE]],"LASE",IF(B692=Reactivos_[[#This Row],[Cantidad LANIA]],"LANIA",IF(B692=Reactivos_[[#This Row],[Cantidad SPA]],"SPA"," ")))))))))</f>
        <v>LDV</v>
      </c>
      <c r="B69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6</v>
      </c>
      <c r="C692" s="325">
        <v>690</v>
      </c>
      <c r="D692" s="326">
        <v>1050</v>
      </c>
      <c r="E692" s="331" t="s">
        <v>1938</v>
      </c>
      <c r="F692" s="332"/>
      <c r="G692" s="331"/>
      <c r="H692" s="348" t="s">
        <v>1939</v>
      </c>
      <c r="I692" s="329" t="s">
        <v>1940</v>
      </c>
      <c r="J69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11</v>
      </c>
      <c r="K692" s="160">
        <v>4253298</v>
      </c>
      <c r="L692" s="160">
        <f>+Reactivos_[[#This Row],[Cantidad]]*Reactivos_[[#This Row],[Valor de referencia]]</f>
        <v>46786278</v>
      </c>
      <c r="M692" s="254">
        <v>0</v>
      </c>
      <c r="N692" s="255">
        <f>+Reactivos_[[#This Row],[Valor de referencia]]*Reactivos_[[#This Row],[Cantidad LANIP]]</f>
        <v>0</v>
      </c>
      <c r="O692" s="256">
        <v>6</v>
      </c>
      <c r="P692" s="255">
        <f>+Reactivos_[[#This Row],[Cantidad 
LDV]]*Reactivos_[[#This Row],[Valor de referencia]]</f>
        <v>25519788</v>
      </c>
      <c r="Q692" s="257">
        <v>5</v>
      </c>
      <c r="R692" s="255">
        <f>+Reactivos_[[#This Row],[Cantidad LNDV]]*Reactivos_[[#This Row],[Valor de referencia]]</f>
        <v>21266490</v>
      </c>
      <c r="S692" s="148"/>
      <c r="T692" s="255">
        <f>+Reactivos_[[#This Row],[GGCA]]*Reactivos_[[#This Row],[Valor de referencia]]</f>
        <v>0</v>
      </c>
      <c r="U692" s="254"/>
      <c r="V692" s="255">
        <f>+Reactivos_[[#This Row],[Cantidad LDF]]*Reactivos_[[#This Row],[Valor de referencia]]</f>
        <v>0</v>
      </c>
      <c r="W692" s="254"/>
      <c r="X692" s="255">
        <f>+Reactivos_[[#This Row],[Cantidad LDF&amp;MR]]*Reactivos_[[#This Row],[Valor de referencia]]</f>
        <v>0</v>
      </c>
      <c r="Y692" s="254"/>
      <c r="Z692" s="255">
        <f>+Reactivos_[[#This Row],[Cantidad RED LASE]]*Reactivos_[[#This Row],[Valor de referencia]]</f>
        <v>0</v>
      </c>
      <c r="AA692" s="254"/>
      <c r="AB692" s="255">
        <f>+Reactivos_[[#This Row],[Cantidad LANIA]]*Reactivos_[[#This Row],[Valor de referencia]]</f>
        <v>0</v>
      </c>
      <c r="AC692" s="254"/>
      <c r="AD692" s="255">
        <f>+Reactivos_[[#This Row],[Cantidad SPA]]*Reactivos_[[#This Row],[Valor de referencia]]</f>
        <v>0</v>
      </c>
      <c r="AE692" s="148" t="s">
        <v>76</v>
      </c>
      <c r="AF692" s="148" t="s">
        <v>77</v>
      </c>
    </row>
    <row r="693" spans="1:32" ht="38.25" customHeight="1" x14ac:dyDescent="0.25">
      <c r="A693" s="294" t="str">
        <f>IF(B693=Reactivos_[[#This Row],[Cantidad LANIP]],"LANIP",IF(B693=Reactivos_[[#This Row],[Cantidad 
LDV]],"LDV",IF(B693=Reactivos_[[#This Row],[Cantidad LNDV]],"LNDV",IF(B693=Reactivos_[[#This Row],[GGCA]],"GGCA",IF(B693=Reactivos_[[#This Row],[Cantidad LDF]],"LDF",IF(Reactivos_[[#This Row],[Cantidad LDF&amp;MR]],"LDF&amp;MR",IF(B693=Reactivos_[[#This Row],[Cantidad RED LASE]],"LASE",IF(B693=Reactivos_[[#This Row],[Cantidad LANIA]],"LANIA",IF(B693=Reactivos_[[#This Row],[Cantidad SPA]],"SPA"," ")))))))))</f>
        <v>LNDV</v>
      </c>
      <c r="B69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10</v>
      </c>
      <c r="C693" s="325">
        <v>691</v>
      </c>
      <c r="D693" s="326">
        <v>1051</v>
      </c>
      <c r="E693" s="331" t="s">
        <v>1941</v>
      </c>
      <c r="F693" s="332"/>
      <c r="G693" s="331"/>
      <c r="H693" s="348" t="s">
        <v>1942</v>
      </c>
      <c r="I693" s="329" t="s">
        <v>1940</v>
      </c>
      <c r="J69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18</v>
      </c>
      <c r="K693" s="160">
        <v>3275978</v>
      </c>
      <c r="L693" s="160">
        <f>+Reactivos_[[#This Row],[Cantidad]]*Reactivos_[[#This Row],[Valor de referencia]]</f>
        <v>58967604</v>
      </c>
      <c r="M693" s="254">
        <v>2</v>
      </c>
      <c r="N693" s="255">
        <f>+Reactivos_[[#This Row],[Valor de referencia]]*Reactivos_[[#This Row],[Cantidad LANIP]]</f>
        <v>6551956</v>
      </c>
      <c r="O693" s="256">
        <v>6</v>
      </c>
      <c r="P693" s="255">
        <f>+Reactivos_[[#This Row],[Cantidad 
LDV]]*Reactivos_[[#This Row],[Valor de referencia]]</f>
        <v>19655868</v>
      </c>
      <c r="Q693" s="257">
        <v>10</v>
      </c>
      <c r="R693" s="255">
        <f>+Reactivos_[[#This Row],[Cantidad LNDV]]*Reactivos_[[#This Row],[Valor de referencia]]</f>
        <v>32759780</v>
      </c>
      <c r="S693" s="148"/>
      <c r="T693" s="255">
        <f>+Reactivos_[[#This Row],[GGCA]]*Reactivos_[[#This Row],[Valor de referencia]]</f>
        <v>0</v>
      </c>
      <c r="U693" s="254"/>
      <c r="V693" s="255">
        <f>+Reactivos_[[#This Row],[Cantidad LDF]]*Reactivos_[[#This Row],[Valor de referencia]]</f>
        <v>0</v>
      </c>
      <c r="W693" s="254"/>
      <c r="X693" s="255">
        <f>+Reactivos_[[#This Row],[Cantidad LDF&amp;MR]]*Reactivos_[[#This Row],[Valor de referencia]]</f>
        <v>0</v>
      </c>
      <c r="Y693" s="254"/>
      <c r="Z693" s="255">
        <f>+Reactivos_[[#This Row],[Cantidad RED LASE]]*Reactivos_[[#This Row],[Valor de referencia]]</f>
        <v>0</v>
      </c>
      <c r="AA693" s="254"/>
      <c r="AB693" s="255">
        <f>+Reactivos_[[#This Row],[Cantidad LANIA]]*Reactivos_[[#This Row],[Valor de referencia]]</f>
        <v>0</v>
      </c>
      <c r="AC693" s="254"/>
      <c r="AD693" s="255">
        <f>+Reactivos_[[#This Row],[Cantidad SPA]]*Reactivos_[[#This Row],[Valor de referencia]]</f>
        <v>0</v>
      </c>
      <c r="AE693" s="148" t="s">
        <v>76</v>
      </c>
      <c r="AF693" s="148" t="s">
        <v>77</v>
      </c>
    </row>
    <row r="694" spans="1:32" ht="29.45" customHeight="1" x14ac:dyDescent="0.25">
      <c r="A694" s="294" t="str">
        <f>IF(B694=Reactivos_[[#This Row],[Cantidad LANIP]],"LANIP",IF(B694=Reactivos_[[#This Row],[Cantidad 
LDV]],"LDV",IF(B694=Reactivos_[[#This Row],[Cantidad LNDV]],"LNDV",IF(B694=Reactivos_[[#This Row],[GGCA]],"GGCA",IF(B694=Reactivos_[[#This Row],[Cantidad LDF]],"LDF",IF(Reactivos_[[#This Row],[Cantidad LDF&amp;MR]],"LDF&amp;MR",IF(B694=Reactivos_[[#This Row],[Cantidad RED LASE]],"LASE",IF(B694=Reactivos_[[#This Row],[Cantidad LANIA]],"LANIA",IF(B694=Reactivos_[[#This Row],[Cantidad SPA]],"SPA"," ")))))))))</f>
        <v>LNDV</v>
      </c>
      <c r="B69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94" s="325">
        <v>692</v>
      </c>
      <c r="D694" s="326">
        <v>1053</v>
      </c>
      <c r="E694" s="331" t="s">
        <v>1943</v>
      </c>
      <c r="F694" s="332"/>
      <c r="G694" s="331"/>
      <c r="H694" s="348" t="s">
        <v>1944</v>
      </c>
      <c r="I694" s="334" t="s">
        <v>184</v>
      </c>
      <c r="J69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94" s="160">
        <v>1963500</v>
      </c>
      <c r="L694" s="160">
        <f>+Reactivos_[[#This Row],[Cantidad]]*Reactivos_[[#This Row],[Valor de referencia]]</f>
        <v>1963500</v>
      </c>
      <c r="M694" s="254">
        <v>0</v>
      </c>
      <c r="N694" s="255">
        <f>+Reactivos_[[#This Row],[Valor de referencia]]*Reactivos_[[#This Row],[Cantidad LANIP]]</f>
        <v>0</v>
      </c>
      <c r="O694" s="256"/>
      <c r="P694" s="255">
        <f>+Reactivos_[[#This Row],[Cantidad 
LDV]]*Reactivos_[[#This Row],[Valor de referencia]]</f>
        <v>0</v>
      </c>
      <c r="Q694" s="257">
        <v>1</v>
      </c>
      <c r="R694" s="255">
        <f>+Reactivos_[[#This Row],[Cantidad LNDV]]*Reactivos_[[#This Row],[Valor de referencia]]</f>
        <v>1963500</v>
      </c>
      <c r="S694" s="148"/>
      <c r="T694" s="255">
        <f>+Reactivos_[[#This Row],[GGCA]]*Reactivos_[[#This Row],[Valor de referencia]]</f>
        <v>0</v>
      </c>
      <c r="U694" s="254"/>
      <c r="V694" s="255">
        <f>+Reactivos_[[#This Row],[Cantidad LDF]]*Reactivos_[[#This Row],[Valor de referencia]]</f>
        <v>0</v>
      </c>
      <c r="W694" s="254"/>
      <c r="X694" s="255">
        <f>+Reactivos_[[#This Row],[Cantidad LDF&amp;MR]]*Reactivos_[[#This Row],[Valor de referencia]]</f>
        <v>0</v>
      </c>
      <c r="Y694" s="254"/>
      <c r="Z694" s="255">
        <f>+Reactivos_[[#This Row],[Cantidad RED LASE]]*Reactivos_[[#This Row],[Valor de referencia]]</f>
        <v>0</v>
      </c>
      <c r="AA694" s="254"/>
      <c r="AB694" s="255">
        <f>+Reactivos_[[#This Row],[Cantidad LANIA]]*Reactivos_[[#This Row],[Valor de referencia]]</f>
        <v>0</v>
      </c>
      <c r="AC694" s="254"/>
      <c r="AD694" s="255">
        <f>+Reactivos_[[#This Row],[Cantidad SPA]]*Reactivos_[[#This Row],[Valor de referencia]]</f>
        <v>0</v>
      </c>
      <c r="AE694" s="148" t="s">
        <v>76</v>
      </c>
      <c r="AF694" s="148" t="s">
        <v>77</v>
      </c>
    </row>
    <row r="695" spans="1:32" ht="29.45" customHeight="1" x14ac:dyDescent="0.25">
      <c r="A695" s="294" t="str">
        <f>IF(B695=Reactivos_[[#This Row],[Cantidad LANIP]],"LANIP",IF(B695=Reactivos_[[#This Row],[Cantidad 
LDV]],"LDV",IF(B695=Reactivos_[[#This Row],[Cantidad LNDV]],"LNDV",IF(B695=Reactivos_[[#This Row],[GGCA]],"GGCA",IF(B695=Reactivos_[[#This Row],[Cantidad LDF]],"LDF",IF(Reactivos_[[#This Row],[Cantidad LDF&amp;MR]],"LDF&amp;MR",IF(B695=Reactivos_[[#This Row],[Cantidad RED LASE]],"LASE",IF(B695=Reactivos_[[#This Row],[Cantidad LANIA]],"LANIA",IF(B695=Reactivos_[[#This Row],[Cantidad SPA]],"SPA"," ")))))))))</f>
        <v>LASE</v>
      </c>
      <c r="B69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695" s="325">
        <v>693</v>
      </c>
      <c r="D695" s="326">
        <v>1060</v>
      </c>
      <c r="E695" s="245" t="s">
        <v>1945</v>
      </c>
      <c r="F695" s="386" t="s">
        <v>1946</v>
      </c>
      <c r="G695" s="387" t="s">
        <v>1947</v>
      </c>
      <c r="H695" s="349" t="s">
        <v>1948</v>
      </c>
      <c r="I695" s="336" t="s">
        <v>301</v>
      </c>
      <c r="J69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7</v>
      </c>
      <c r="K695" s="160">
        <v>459566</v>
      </c>
      <c r="L695" s="160">
        <f>+Reactivos_[[#This Row],[Cantidad]]*Reactivos_[[#This Row],[Valor de referencia]]</f>
        <v>3216962</v>
      </c>
      <c r="M695" s="254">
        <v>1</v>
      </c>
      <c r="N695" s="255">
        <f>+Reactivos_[[#This Row],[Valor de referencia]]*Reactivos_[[#This Row],[Cantidad LANIP]]</f>
        <v>459566</v>
      </c>
      <c r="O695" s="256">
        <v>1</v>
      </c>
      <c r="P695" s="255">
        <f>+Reactivos_[[#This Row],[Cantidad 
LDV]]*Reactivos_[[#This Row],[Valor de referencia]]</f>
        <v>459566</v>
      </c>
      <c r="Q695" s="257">
        <v>2</v>
      </c>
      <c r="R695" s="255">
        <f>+Reactivos_[[#This Row],[Cantidad LNDV]]*Reactivos_[[#This Row],[Valor de referencia]]</f>
        <v>919132</v>
      </c>
      <c r="S695" s="148"/>
      <c r="T695" s="255">
        <f>+Reactivos_[[#This Row],[GGCA]]*Reactivos_[[#This Row],[Valor de referencia]]</f>
        <v>0</v>
      </c>
      <c r="U695" s="254"/>
      <c r="V695" s="255">
        <f>+Reactivos_[[#This Row],[Cantidad LDF]]*Reactivos_[[#This Row],[Valor de referencia]]</f>
        <v>0</v>
      </c>
      <c r="W695" s="254"/>
      <c r="X695" s="255">
        <f>+Reactivos_[[#This Row],[Cantidad LDF&amp;MR]]*Reactivos_[[#This Row],[Valor de referencia]]</f>
        <v>0</v>
      </c>
      <c r="Y695" s="254">
        <v>3</v>
      </c>
      <c r="Z695" s="255">
        <f>+Reactivos_[[#This Row],[Cantidad RED LASE]]*Reactivos_[[#This Row],[Valor de referencia]]</f>
        <v>1378698</v>
      </c>
      <c r="AA695" s="254"/>
      <c r="AB695" s="255">
        <f>+Reactivos_[[#This Row],[Cantidad LANIA]]*Reactivos_[[#This Row],[Valor de referencia]]</f>
        <v>0</v>
      </c>
      <c r="AC695" s="254"/>
      <c r="AD695" s="255">
        <f>+Reactivos_[[#This Row],[Cantidad SPA]]*Reactivos_[[#This Row],[Valor de referencia]]</f>
        <v>0</v>
      </c>
      <c r="AE695" s="148" t="s">
        <v>76</v>
      </c>
      <c r="AF695" s="148" t="s">
        <v>77</v>
      </c>
    </row>
    <row r="696" spans="1:32" ht="29.45" customHeight="1" x14ac:dyDescent="0.2">
      <c r="A696" s="294" t="str">
        <f>IF(B696=Reactivos_[[#This Row],[Cantidad LANIP]],"LANIP",IF(B696=Reactivos_[[#This Row],[Cantidad 
LDV]],"LDV",IF(B696=Reactivos_[[#This Row],[Cantidad LNDV]],"LNDV",IF(B696=Reactivos_[[#This Row],[GGCA]],"GGCA",IF(B696=Reactivos_[[#This Row],[Cantidad LDF]],"LDF",IF(Reactivos_[[#This Row],[Cantidad LDF&amp;MR]],"LDF&amp;MR",IF(B696=Reactivos_[[#This Row],[Cantidad RED LASE]],"LASE",IF(B696=Reactivos_[[#This Row],[Cantidad LANIA]],"LANIA",IF(B696=Reactivos_[[#This Row],[Cantidad SPA]],"SPA"," ")))))))))</f>
        <v>LANIA</v>
      </c>
      <c r="B69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96" s="325">
        <v>694</v>
      </c>
      <c r="D696" s="326">
        <v>1061</v>
      </c>
      <c r="E696" s="331" t="s">
        <v>1949</v>
      </c>
      <c r="F696" s="388" t="s">
        <v>1950</v>
      </c>
      <c r="G696" s="331"/>
      <c r="H696" s="342" t="s">
        <v>1951</v>
      </c>
      <c r="I696" s="337" t="s">
        <v>1952</v>
      </c>
      <c r="J69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696" s="160">
        <v>475976</v>
      </c>
      <c r="L696" s="160">
        <f>+Reactivos_[[#This Row],[Cantidad]]*Reactivos_[[#This Row],[Valor de referencia]]</f>
        <v>1903904</v>
      </c>
      <c r="M696" s="254">
        <v>1</v>
      </c>
      <c r="N696" s="255">
        <f>+Reactivos_[[#This Row],[Valor de referencia]]*Reactivos_[[#This Row],[Cantidad LANIP]]</f>
        <v>475976</v>
      </c>
      <c r="O696" s="256"/>
      <c r="P696" s="255">
        <f>+Reactivos_[[#This Row],[Cantidad 
LDV]]*Reactivos_[[#This Row],[Valor de referencia]]</f>
        <v>0</v>
      </c>
      <c r="Q696" s="257">
        <v>1</v>
      </c>
      <c r="R696" s="255">
        <f>+Reactivos_[[#This Row],[Cantidad LNDV]]*Reactivos_[[#This Row],[Valor de referencia]]</f>
        <v>475976</v>
      </c>
      <c r="S696" s="148"/>
      <c r="T696" s="255">
        <f>+Reactivos_[[#This Row],[GGCA]]*Reactivos_[[#This Row],[Valor de referencia]]</f>
        <v>0</v>
      </c>
      <c r="U696" s="254"/>
      <c r="V696" s="255">
        <f>+Reactivos_[[#This Row],[Cantidad LDF]]*Reactivos_[[#This Row],[Valor de referencia]]</f>
        <v>0</v>
      </c>
      <c r="W696" s="254"/>
      <c r="X696" s="255">
        <f>+Reactivos_[[#This Row],[Cantidad LDF&amp;MR]]*Reactivos_[[#This Row],[Valor de referencia]]</f>
        <v>0</v>
      </c>
      <c r="Y696" s="254"/>
      <c r="Z696" s="255">
        <f>+Reactivos_[[#This Row],[Cantidad RED LASE]]*Reactivos_[[#This Row],[Valor de referencia]]</f>
        <v>0</v>
      </c>
      <c r="AA696" s="254">
        <v>2</v>
      </c>
      <c r="AB696" s="255">
        <f>+Reactivos_[[#This Row],[Cantidad LANIA]]*Reactivos_[[#This Row],[Valor de referencia]]</f>
        <v>951952</v>
      </c>
      <c r="AC696" s="254"/>
      <c r="AD696" s="255">
        <f>+Reactivos_[[#This Row],[Cantidad SPA]]*Reactivos_[[#This Row],[Valor de referencia]]</f>
        <v>0</v>
      </c>
      <c r="AE696" s="148" t="s">
        <v>76</v>
      </c>
      <c r="AF696" s="148" t="s">
        <v>77</v>
      </c>
    </row>
    <row r="697" spans="1:32" ht="29.45" customHeight="1" x14ac:dyDescent="0.2">
      <c r="A697" s="294" t="str">
        <f>IF(B697=Reactivos_[[#This Row],[Cantidad LANIP]],"LANIP",IF(B697=Reactivos_[[#This Row],[Cantidad 
LDV]],"LDV",IF(B697=Reactivos_[[#This Row],[Cantidad LNDV]],"LNDV",IF(B697=Reactivos_[[#This Row],[GGCA]],"GGCA",IF(B697=Reactivos_[[#This Row],[Cantidad LDF]],"LDF",IF(Reactivos_[[#This Row],[Cantidad LDF&amp;MR]],"LDF&amp;MR",IF(B697=Reactivos_[[#This Row],[Cantidad RED LASE]],"LASE",IF(B697=Reactivos_[[#This Row],[Cantidad LANIA]],"LANIA",IF(B697=Reactivos_[[#This Row],[Cantidad SPA]],"SPA"," ")))))))))</f>
        <v>LNDV</v>
      </c>
      <c r="B69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697" s="325">
        <v>695</v>
      </c>
      <c r="D697" s="326">
        <v>1063</v>
      </c>
      <c r="E697" s="327" t="s">
        <v>1953</v>
      </c>
      <c r="F697" s="389"/>
      <c r="G697" s="339"/>
      <c r="H697" s="373" t="s">
        <v>1954</v>
      </c>
      <c r="I697" s="329" t="s">
        <v>1955</v>
      </c>
      <c r="J69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697" s="160">
        <v>2278591</v>
      </c>
      <c r="L697" s="160">
        <f>+Reactivos_[[#This Row],[Cantidad]]*Reactivos_[[#This Row],[Valor de referencia]]</f>
        <v>2278591</v>
      </c>
      <c r="M697" s="254">
        <v>0</v>
      </c>
      <c r="N697" s="255">
        <f>+Reactivos_[[#This Row],[Valor de referencia]]*Reactivos_[[#This Row],[Cantidad LANIP]]</f>
        <v>0</v>
      </c>
      <c r="O697" s="256"/>
      <c r="P697" s="255">
        <f>+Reactivos_[[#This Row],[Cantidad 
LDV]]*Reactivos_[[#This Row],[Valor de referencia]]</f>
        <v>0</v>
      </c>
      <c r="Q697" s="257">
        <v>1</v>
      </c>
      <c r="R697" s="255">
        <f>+Reactivos_[[#This Row],[Cantidad LNDV]]*Reactivos_[[#This Row],[Valor de referencia]]</f>
        <v>2278591</v>
      </c>
      <c r="S697" s="148"/>
      <c r="T697" s="255">
        <f>+Reactivos_[[#This Row],[GGCA]]*Reactivos_[[#This Row],[Valor de referencia]]</f>
        <v>0</v>
      </c>
      <c r="U697" s="254"/>
      <c r="V697" s="255">
        <f>+Reactivos_[[#This Row],[Cantidad LDF]]*Reactivos_[[#This Row],[Valor de referencia]]</f>
        <v>0</v>
      </c>
      <c r="W697" s="254"/>
      <c r="X697" s="255">
        <f>+Reactivos_[[#This Row],[Cantidad LDF&amp;MR]]*Reactivos_[[#This Row],[Valor de referencia]]</f>
        <v>0</v>
      </c>
      <c r="Y697" s="254"/>
      <c r="Z697" s="255">
        <f>+Reactivos_[[#This Row],[Cantidad RED LASE]]*Reactivos_[[#This Row],[Valor de referencia]]</f>
        <v>0</v>
      </c>
      <c r="AA697" s="254"/>
      <c r="AB697" s="255">
        <f>+Reactivos_[[#This Row],[Cantidad LANIA]]*Reactivos_[[#This Row],[Valor de referencia]]</f>
        <v>0</v>
      </c>
      <c r="AC697" s="254"/>
      <c r="AD697" s="255">
        <f>+Reactivos_[[#This Row],[Cantidad SPA]]*Reactivos_[[#This Row],[Valor de referencia]]</f>
        <v>0</v>
      </c>
      <c r="AE697" s="148" t="s">
        <v>76</v>
      </c>
      <c r="AF697" s="148" t="s">
        <v>77</v>
      </c>
    </row>
    <row r="698" spans="1:32" ht="29.45" customHeight="1" x14ac:dyDescent="0.25">
      <c r="A698" s="294" t="str">
        <f>IF(B698=Reactivos_[[#This Row],[Cantidad LANIP]],"LANIP",IF(B698=Reactivos_[[#This Row],[Cantidad 
LDV]],"LDV",IF(B698=Reactivos_[[#This Row],[Cantidad LNDV]],"LNDV",IF(B698=Reactivos_[[#This Row],[GGCA]],"GGCA",IF(B698=Reactivos_[[#This Row],[Cantidad LDF]],"LDF",IF(Reactivos_[[#This Row],[Cantidad LDF&amp;MR]],"LDF&amp;MR",IF(B698=Reactivos_[[#This Row],[Cantidad RED LASE]],"LASE",IF(B698=Reactivos_[[#This Row],[Cantidad LANIA]],"LANIA",IF(B698=Reactivos_[[#This Row],[Cantidad SPA]],"SPA"," ")))))))))</f>
        <v>LDF</v>
      </c>
      <c r="B69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C698" s="325">
        <v>696</v>
      </c>
      <c r="D698" s="326">
        <v>1065</v>
      </c>
      <c r="E698" s="331" t="s">
        <v>1956</v>
      </c>
      <c r="F698" s="332"/>
      <c r="G698" s="331"/>
      <c r="H698" s="348" t="s">
        <v>1957</v>
      </c>
      <c r="I698" s="329" t="s">
        <v>1958</v>
      </c>
      <c r="J69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9</v>
      </c>
      <c r="K698" s="160">
        <v>173787</v>
      </c>
      <c r="L698" s="160">
        <f>+Reactivos_[[#This Row],[Cantidad]]*Reactivos_[[#This Row],[Valor de referencia]]</f>
        <v>1564083</v>
      </c>
      <c r="M698" s="254">
        <v>3</v>
      </c>
      <c r="N698" s="255">
        <f>+Reactivos_[[#This Row],[Valor de referencia]]*Reactivos_[[#This Row],[Cantidad LANIP]]</f>
        <v>521361</v>
      </c>
      <c r="O698" s="256">
        <v>0</v>
      </c>
      <c r="P698" s="255">
        <f>+Reactivos_[[#This Row],[Cantidad 
LDV]]*Reactivos_[[#This Row],[Valor de referencia]]</f>
        <v>0</v>
      </c>
      <c r="Q698" s="257"/>
      <c r="R698" s="255">
        <f>+Reactivos_[[#This Row],[Cantidad LNDV]]*Reactivos_[[#This Row],[Valor de referencia]]</f>
        <v>0</v>
      </c>
      <c r="S698" s="148"/>
      <c r="T698" s="255">
        <f>+Reactivos_[[#This Row],[GGCA]]*Reactivos_[[#This Row],[Valor de referencia]]</f>
        <v>0</v>
      </c>
      <c r="U698" s="254">
        <v>5</v>
      </c>
      <c r="V698" s="255">
        <f>+Reactivos_[[#This Row],[Cantidad LDF]]*Reactivos_[[#This Row],[Valor de referencia]]</f>
        <v>868935</v>
      </c>
      <c r="W698" s="254">
        <v>1</v>
      </c>
      <c r="X698" s="255">
        <f>+Reactivos_[[#This Row],[Cantidad LDF&amp;MR]]*Reactivos_[[#This Row],[Valor de referencia]]</f>
        <v>173787</v>
      </c>
      <c r="Y698" s="254"/>
      <c r="Z698" s="255">
        <f>+Reactivos_[[#This Row],[Cantidad RED LASE]]*Reactivos_[[#This Row],[Valor de referencia]]</f>
        <v>0</v>
      </c>
      <c r="AA698" s="254"/>
      <c r="AB698" s="255">
        <f>+Reactivos_[[#This Row],[Cantidad LANIA]]*Reactivos_[[#This Row],[Valor de referencia]]</f>
        <v>0</v>
      </c>
      <c r="AC698" s="254"/>
      <c r="AD698" s="255">
        <f>+Reactivos_[[#This Row],[Cantidad SPA]]*Reactivos_[[#This Row],[Valor de referencia]]</f>
        <v>0</v>
      </c>
      <c r="AE698" s="148" t="s">
        <v>76</v>
      </c>
      <c r="AF698" s="148" t="s">
        <v>101</v>
      </c>
    </row>
    <row r="699" spans="1:32" ht="29.45" customHeight="1" x14ac:dyDescent="0.25">
      <c r="A699" s="294" t="str">
        <f>IF(B699=Reactivos_[[#This Row],[Cantidad LANIP]],"LANIP",IF(B699=Reactivos_[[#This Row],[Cantidad 
LDV]],"LDV",IF(B699=Reactivos_[[#This Row],[Cantidad LNDV]],"LNDV",IF(B699=Reactivos_[[#This Row],[GGCA]],"GGCA",IF(B699=Reactivos_[[#This Row],[Cantidad LDF]],"LDF",IF(Reactivos_[[#This Row],[Cantidad LDF&amp;MR]],"LDF&amp;MR",IF(B699=Reactivos_[[#This Row],[Cantidad RED LASE]],"LASE",IF(B699=Reactivos_[[#This Row],[Cantidad LANIA]],"LANIA",IF(B699=Reactivos_[[#This Row],[Cantidad SPA]],"SPA"," ")))))))))</f>
        <v>LDF</v>
      </c>
      <c r="B69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699" s="325">
        <v>697</v>
      </c>
      <c r="D699" s="326">
        <v>1066</v>
      </c>
      <c r="E699" s="331" t="s">
        <v>1959</v>
      </c>
      <c r="F699" s="332"/>
      <c r="G699" s="331"/>
      <c r="H699" s="348" t="s">
        <v>1960</v>
      </c>
      <c r="I699" s="363" t="s">
        <v>120</v>
      </c>
      <c r="J69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699" s="160">
        <v>118258</v>
      </c>
      <c r="L699" s="160">
        <f>+Reactivos_[[#This Row],[Cantidad]]*Reactivos_[[#This Row],[Valor de referencia]]</f>
        <v>354774</v>
      </c>
      <c r="M699" s="254">
        <v>1</v>
      </c>
      <c r="N699" s="255">
        <f>+Reactivos_[[#This Row],[Valor de referencia]]*Reactivos_[[#This Row],[Cantidad LANIP]]</f>
        <v>118258</v>
      </c>
      <c r="O699" s="256">
        <v>0</v>
      </c>
      <c r="P699" s="255">
        <f>+Reactivos_[[#This Row],[Cantidad 
LDV]]*Reactivos_[[#This Row],[Valor de referencia]]</f>
        <v>0</v>
      </c>
      <c r="Q699" s="257"/>
      <c r="R699" s="255">
        <f>+Reactivos_[[#This Row],[Cantidad LNDV]]*Reactivos_[[#This Row],[Valor de referencia]]</f>
        <v>0</v>
      </c>
      <c r="S699" s="148"/>
      <c r="T699" s="255">
        <f>+Reactivos_[[#This Row],[GGCA]]*Reactivos_[[#This Row],[Valor de referencia]]</f>
        <v>0</v>
      </c>
      <c r="U699" s="254">
        <v>2</v>
      </c>
      <c r="V699" s="255">
        <f>+Reactivos_[[#This Row],[Cantidad LDF]]*Reactivos_[[#This Row],[Valor de referencia]]</f>
        <v>236516</v>
      </c>
      <c r="W699" s="254"/>
      <c r="X699" s="255">
        <f>+Reactivos_[[#This Row],[Cantidad LDF&amp;MR]]*Reactivos_[[#This Row],[Valor de referencia]]</f>
        <v>0</v>
      </c>
      <c r="Y699" s="254"/>
      <c r="Z699" s="255">
        <f>+Reactivos_[[#This Row],[Cantidad RED LASE]]*Reactivos_[[#This Row],[Valor de referencia]]</f>
        <v>0</v>
      </c>
      <c r="AA699" s="254"/>
      <c r="AB699" s="255">
        <f>+Reactivos_[[#This Row],[Cantidad LANIA]]*Reactivos_[[#This Row],[Valor de referencia]]</f>
        <v>0</v>
      </c>
      <c r="AC699" s="254"/>
      <c r="AD699" s="255">
        <f>+Reactivos_[[#This Row],[Cantidad SPA]]*Reactivos_[[#This Row],[Valor de referencia]]</f>
        <v>0</v>
      </c>
      <c r="AE699" s="148" t="s">
        <v>76</v>
      </c>
      <c r="AF699" s="148" t="s">
        <v>101</v>
      </c>
    </row>
    <row r="700" spans="1:32" ht="39.75" customHeight="1" x14ac:dyDescent="0.25">
      <c r="A700" s="294" t="str">
        <f>IF(B700=Reactivos_[[#This Row],[Cantidad LANIP]],"LANIP",IF(B700=Reactivos_[[#This Row],[Cantidad 
LDV]],"LDV",IF(B700=Reactivos_[[#This Row],[Cantidad LNDV]],"LNDV",IF(B700=Reactivos_[[#This Row],[GGCA]],"GGCA",IF(B700=Reactivos_[[#This Row],[Cantidad LDF]],"LDF",IF(Reactivos_[[#This Row],[Cantidad LDF&amp;MR]],"LDF&amp;MR",IF(B700=Reactivos_[[#This Row],[Cantidad RED LASE]],"LASE",IF(B700=Reactivos_[[#This Row],[Cantidad LANIA]],"LANIA",IF(B700=Reactivos_[[#This Row],[Cantidad SPA]],"SPA"," ")))))))))</f>
        <v>LNDV</v>
      </c>
      <c r="B70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700" s="325">
        <v>698</v>
      </c>
      <c r="D700" s="326">
        <v>1067</v>
      </c>
      <c r="E700" s="327" t="s">
        <v>1961</v>
      </c>
      <c r="F700" s="386" t="s">
        <v>998</v>
      </c>
      <c r="G700" s="327"/>
      <c r="H700" s="348" t="s">
        <v>1962</v>
      </c>
      <c r="I700" s="423" t="s">
        <v>1963</v>
      </c>
      <c r="J70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K700" s="160">
        <v>256386</v>
      </c>
      <c r="L700" s="160">
        <f>+Reactivos_[[#This Row],[Cantidad]]*Reactivos_[[#This Row],[Valor de referencia]]</f>
        <v>512772</v>
      </c>
      <c r="M700" s="254">
        <v>0</v>
      </c>
      <c r="N700" s="255">
        <f>+Reactivos_[[#This Row],[Valor de referencia]]*Reactivos_[[#This Row],[Cantidad LANIP]]</f>
        <v>0</v>
      </c>
      <c r="O700" s="256"/>
      <c r="P700" s="255">
        <f>+Reactivos_[[#This Row],[Cantidad 
LDV]]*Reactivos_[[#This Row],[Valor de referencia]]</f>
        <v>0</v>
      </c>
      <c r="Q700" s="257">
        <v>2</v>
      </c>
      <c r="R700" s="255">
        <f>+Reactivos_[[#This Row],[Cantidad LNDV]]*Reactivos_[[#This Row],[Valor de referencia]]</f>
        <v>512772</v>
      </c>
      <c r="S700" s="148"/>
      <c r="T700" s="255">
        <f>+Reactivos_[[#This Row],[GGCA]]*Reactivos_[[#This Row],[Valor de referencia]]</f>
        <v>0</v>
      </c>
      <c r="U700" s="254"/>
      <c r="V700" s="255">
        <f>+Reactivos_[[#This Row],[Cantidad LDF]]*Reactivos_[[#This Row],[Valor de referencia]]</f>
        <v>0</v>
      </c>
      <c r="W700" s="254"/>
      <c r="X700" s="255">
        <f>+Reactivos_[[#This Row],[Cantidad LDF&amp;MR]]*Reactivos_[[#This Row],[Valor de referencia]]</f>
        <v>0</v>
      </c>
      <c r="Y700" s="254"/>
      <c r="Z700" s="255">
        <f>+Reactivos_[[#This Row],[Cantidad RED LASE]]*Reactivos_[[#This Row],[Valor de referencia]]</f>
        <v>0</v>
      </c>
      <c r="AA700" s="254"/>
      <c r="AB700" s="255">
        <f>+Reactivos_[[#This Row],[Cantidad LANIA]]*Reactivos_[[#This Row],[Valor de referencia]]</f>
        <v>0</v>
      </c>
      <c r="AC700" s="254"/>
      <c r="AD700" s="255">
        <f>+Reactivos_[[#This Row],[Cantidad SPA]]*Reactivos_[[#This Row],[Valor de referencia]]</f>
        <v>0</v>
      </c>
      <c r="AE700" s="148" t="s">
        <v>76</v>
      </c>
      <c r="AF700" s="148" t="s">
        <v>77</v>
      </c>
    </row>
    <row r="701" spans="1:32" ht="29.45" customHeight="1" x14ac:dyDescent="0.25">
      <c r="A701" s="294" t="str">
        <f>IF(B701=Reactivos_[[#This Row],[Cantidad LANIP]],"LANIP",IF(B701=Reactivos_[[#This Row],[Cantidad 
LDV]],"LDV",IF(B701=Reactivos_[[#This Row],[Cantidad LNDV]],"LNDV",IF(B701=Reactivos_[[#This Row],[GGCA]],"GGCA",IF(B701=Reactivos_[[#This Row],[Cantidad LDF]],"LDF",IF(Reactivos_[[#This Row],[Cantidad LDF&amp;MR]],"LDF&amp;MR",IF(B701=Reactivos_[[#This Row],[Cantidad RED LASE]],"LASE",IF(B701=Reactivos_[[#This Row],[Cantidad LANIA]],"LANIA",IF(B701=Reactivos_[[#This Row],[Cantidad SPA]],"SPA"," ")))))))))</f>
        <v>LDF</v>
      </c>
      <c r="B70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01" s="325">
        <v>699</v>
      </c>
      <c r="D701" s="326">
        <v>1068</v>
      </c>
      <c r="E701" s="327" t="s">
        <v>1964</v>
      </c>
      <c r="F701" s="244"/>
      <c r="G701" s="327"/>
      <c r="H701" s="328" t="s">
        <v>183</v>
      </c>
      <c r="I701" s="418" t="s">
        <v>1965</v>
      </c>
      <c r="J70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01" s="160">
        <v>238374</v>
      </c>
      <c r="L701" s="160">
        <f>+Reactivos_[[#This Row],[Cantidad]]*Reactivos_[[#This Row],[Valor de referencia]]</f>
        <v>238374</v>
      </c>
      <c r="M701" s="254">
        <v>0</v>
      </c>
      <c r="N701" s="255">
        <f>+Reactivos_[[#This Row],[Valor de referencia]]*Reactivos_[[#This Row],[Cantidad LANIP]]</f>
        <v>0</v>
      </c>
      <c r="O701" s="256"/>
      <c r="P701" s="255">
        <f>+Reactivos_[[#This Row],[Cantidad 
LDV]]*Reactivos_[[#This Row],[Valor de referencia]]</f>
        <v>0</v>
      </c>
      <c r="Q701" s="257"/>
      <c r="R701" s="255">
        <f>+Reactivos_[[#This Row],[Cantidad LNDV]]*Reactivos_[[#This Row],[Valor de referencia]]</f>
        <v>0</v>
      </c>
      <c r="S701" s="148"/>
      <c r="T701" s="255">
        <f>+Reactivos_[[#This Row],[GGCA]]*Reactivos_[[#This Row],[Valor de referencia]]</f>
        <v>0</v>
      </c>
      <c r="U701" s="254">
        <v>1</v>
      </c>
      <c r="V701" s="255">
        <f>+Reactivos_[[#This Row],[Cantidad LDF]]*Reactivos_[[#This Row],[Valor de referencia]]</f>
        <v>238374</v>
      </c>
      <c r="W701" s="254"/>
      <c r="X701" s="255">
        <f>+Reactivos_[[#This Row],[Cantidad LDF&amp;MR]]*Reactivos_[[#This Row],[Valor de referencia]]</f>
        <v>0</v>
      </c>
      <c r="Y701" s="254"/>
      <c r="Z701" s="255">
        <f>+Reactivos_[[#This Row],[Cantidad RED LASE]]*Reactivos_[[#This Row],[Valor de referencia]]</f>
        <v>0</v>
      </c>
      <c r="AA701" s="254"/>
      <c r="AB701" s="255">
        <f>+Reactivos_[[#This Row],[Cantidad LANIA]]*Reactivos_[[#This Row],[Valor de referencia]]</f>
        <v>0</v>
      </c>
      <c r="AC701" s="254"/>
      <c r="AD701" s="255">
        <f>+Reactivos_[[#This Row],[Cantidad SPA]]*Reactivos_[[#This Row],[Valor de referencia]]</f>
        <v>0</v>
      </c>
      <c r="AE701" s="148" t="s">
        <v>76</v>
      </c>
      <c r="AF701" s="406" t="s">
        <v>101</v>
      </c>
    </row>
    <row r="702" spans="1:32" ht="29.45" customHeight="1" x14ac:dyDescent="0.25">
      <c r="A702" s="294" t="str">
        <f>IF(B702=Reactivos_[[#This Row],[Cantidad LANIP]],"LANIP",IF(B702=Reactivos_[[#This Row],[Cantidad 
LDV]],"LDV",IF(B702=Reactivos_[[#This Row],[Cantidad LNDV]],"LNDV",IF(B702=Reactivos_[[#This Row],[GGCA]],"GGCA",IF(B702=Reactivos_[[#This Row],[Cantidad LDF]],"LDF",IF(Reactivos_[[#This Row],[Cantidad LDF&amp;MR]],"LDF&amp;MR",IF(B702=Reactivos_[[#This Row],[Cantidad RED LASE]],"LASE",IF(B702=Reactivos_[[#This Row],[Cantidad LANIA]],"LANIA",IF(B702=Reactivos_[[#This Row],[Cantidad SPA]],"SPA"," ")))))))))</f>
        <v>LNDV</v>
      </c>
      <c r="B70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02" s="325">
        <v>700</v>
      </c>
      <c r="D702" s="326">
        <v>1069</v>
      </c>
      <c r="E702" s="327" t="s">
        <v>1966</v>
      </c>
      <c r="F702" s="244"/>
      <c r="G702" s="327"/>
      <c r="H702" s="328" t="s">
        <v>1967</v>
      </c>
      <c r="I702" s="347" t="s">
        <v>1968</v>
      </c>
      <c r="J70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02" s="160">
        <v>419694</v>
      </c>
      <c r="L702" s="160">
        <f>+Reactivos_[[#This Row],[Cantidad]]*Reactivos_[[#This Row],[Valor de referencia]]</f>
        <v>419694</v>
      </c>
      <c r="M702" s="254">
        <v>0</v>
      </c>
      <c r="N702" s="255">
        <f>+Reactivos_[[#This Row],[Valor de referencia]]*Reactivos_[[#This Row],[Cantidad LANIP]]</f>
        <v>0</v>
      </c>
      <c r="O702" s="256"/>
      <c r="P702" s="255">
        <f>+Reactivos_[[#This Row],[Cantidad 
LDV]]*Reactivos_[[#This Row],[Valor de referencia]]</f>
        <v>0</v>
      </c>
      <c r="Q702" s="257">
        <v>1</v>
      </c>
      <c r="R702" s="255">
        <f>+Reactivos_[[#This Row],[Cantidad LNDV]]*Reactivos_[[#This Row],[Valor de referencia]]</f>
        <v>419694</v>
      </c>
      <c r="S702" s="148"/>
      <c r="T702" s="255">
        <f>+Reactivos_[[#This Row],[GGCA]]*Reactivos_[[#This Row],[Valor de referencia]]</f>
        <v>0</v>
      </c>
      <c r="U702" s="254"/>
      <c r="V702" s="255">
        <f>+Reactivos_[[#This Row],[Cantidad LDF]]*Reactivos_[[#This Row],[Valor de referencia]]</f>
        <v>0</v>
      </c>
      <c r="W702" s="254"/>
      <c r="X702" s="255">
        <f>+Reactivos_[[#This Row],[Cantidad LDF&amp;MR]]*Reactivos_[[#This Row],[Valor de referencia]]</f>
        <v>0</v>
      </c>
      <c r="Y702" s="254"/>
      <c r="Z702" s="255">
        <f>+Reactivos_[[#This Row],[Cantidad RED LASE]]*Reactivos_[[#This Row],[Valor de referencia]]</f>
        <v>0</v>
      </c>
      <c r="AA702" s="254"/>
      <c r="AB702" s="255">
        <f>+Reactivos_[[#This Row],[Cantidad LANIA]]*Reactivos_[[#This Row],[Valor de referencia]]</f>
        <v>0</v>
      </c>
      <c r="AC702" s="254"/>
      <c r="AD702" s="255">
        <f>+Reactivos_[[#This Row],[Cantidad SPA]]*Reactivos_[[#This Row],[Valor de referencia]]</f>
        <v>0</v>
      </c>
      <c r="AE702" s="148" t="s">
        <v>76</v>
      </c>
      <c r="AF702" s="310" t="s">
        <v>101</v>
      </c>
    </row>
    <row r="703" spans="1:32" ht="29.45" customHeight="1" x14ac:dyDescent="0.25">
      <c r="A703" s="294" t="str">
        <f>IF(B703=Reactivos_[[#This Row],[Cantidad LANIP]],"LANIP",IF(B703=Reactivos_[[#This Row],[Cantidad 
LDV]],"LDV",IF(B703=Reactivos_[[#This Row],[Cantidad LNDV]],"LNDV",IF(B703=Reactivos_[[#This Row],[GGCA]],"GGCA",IF(B703=Reactivos_[[#This Row],[Cantidad LDF]],"LDF",IF(Reactivos_[[#This Row],[Cantidad LDF&amp;MR]],"LDF&amp;MR",IF(B703=Reactivos_[[#This Row],[Cantidad RED LASE]],"LASE",IF(B703=Reactivos_[[#This Row],[Cantidad LANIA]],"LANIA",IF(B703=Reactivos_[[#This Row],[Cantidad SPA]],"SPA"," ")))))))))</f>
        <v>LNDV</v>
      </c>
      <c r="B70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03" s="325">
        <v>701</v>
      </c>
      <c r="D703" s="326">
        <v>1070</v>
      </c>
      <c r="E703" s="327" t="s">
        <v>1969</v>
      </c>
      <c r="F703" s="244"/>
      <c r="G703" s="327"/>
      <c r="H703" s="328" t="s">
        <v>1970</v>
      </c>
      <c r="I703" s="347" t="s">
        <v>1968</v>
      </c>
      <c r="J70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03" s="160">
        <v>419694</v>
      </c>
      <c r="L703" s="160">
        <f>+Reactivos_[[#This Row],[Cantidad]]*Reactivos_[[#This Row],[Valor de referencia]]</f>
        <v>419694</v>
      </c>
      <c r="M703" s="254">
        <v>0</v>
      </c>
      <c r="N703" s="255">
        <f>+Reactivos_[[#This Row],[Valor de referencia]]*Reactivos_[[#This Row],[Cantidad LANIP]]</f>
        <v>0</v>
      </c>
      <c r="O703" s="256"/>
      <c r="P703" s="255">
        <f>+Reactivos_[[#This Row],[Cantidad 
LDV]]*Reactivos_[[#This Row],[Valor de referencia]]</f>
        <v>0</v>
      </c>
      <c r="Q703" s="257">
        <v>1</v>
      </c>
      <c r="R703" s="255">
        <f>+Reactivos_[[#This Row],[Cantidad LNDV]]*Reactivos_[[#This Row],[Valor de referencia]]</f>
        <v>419694</v>
      </c>
      <c r="S703" s="148"/>
      <c r="T703" s="255">
        <f>+Reactivos_[[#This Row],[GGCA]]*Reactivos_[[#This Row],[Valor de referencia]]</f>
        <v>0</v>
      </c>
      <c r="U703" s="254"/>
      <c r="V703" s="255">
        <f>+Reactivos_[[#This Row],[Cantidad LDF]]*Reactivos_[[#This Row],[Valor de referencia]]</f>
        <v>0</v>
      </c>
      <c r="W703" s="254"/>
      <c r="X703" s="255">
        <f>+Reactivos_[[#This Row],[Cantidad LDF&amp;MR]]*Reactivos_[[#This Row],[Valor de referencia]]</f>
        <v>0</v>
      </c>
      <c r="Y703" s="254"/>
      <c r="Z703" s="255">
        <f>+Reactivos_[[#This Row],[Cantidad RED LASE]]*Reactivos_[[#This Row],[Valor de referencia]]</f>
        <v>0</v>
      </c>
      <c r="AA703" s="254"/>
      <c r="AB703" s="255">
        <f>+Reactivos_[[#This Row],[Cantidad LANIA]]*Reactivos_[[#This Row],[Valor de referencia]]</f>
        <v>0</v>
      </c>
      <c r="AC703" s="254"/>
      <c r="AD703" s="255">
        <f>+Reactivos_[[#This Row],[Cantidad SPA]]*Reactivos_[[#This Row],[Valor de referencia]]</f>
        <v>0</v>
      </c>
      <c r="AE703" s="148" t="s">
        <v>76</v>
      </c>
      <c r="AF703" s="310" t="s">
        <v>101</v>
      </c>
    </row>
    <row r="704" spans="1:32" ht="29.45" customHeight="1" x14ac:dyDescent="0.25">
      <c r="A704" s="294" t="str">
        <f>IF(B704=Reactivos_[[#This Row],[Cantidad LANIP]],"LANIP",IF(B704=Reactivos_[[#This Row],[Cantidad 
LDV]],"LDV",IF(B704=Reactivos_[[#This Row],[Cantidad LNDV]],"LNDV",IF(B704=Reactivos_[[#This Row],[GGCA]],"GGCA",IF(B704=Reactivos_[[#This Row],[Cantidad LDF]],"LDF",IF(Reactivos_[[#This Row],[Cantidad LDF&amp;MR]],"LDF&amp;MR",IF(B704=Reactivos_[[#This Row],[Cantidad RED LASE]],"LASE",IF(B704=Reactivos_[[#This Row],[Cantidad LANIA]],"LANIA",IF(B704=Reactivos_[[#This Row],[Cantidad SPA]],"SPA"," ")))))))))</f>
        <v>LNDV</v>
      </c>
      <c r="B70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04" s="325">
        <v>702</v>
      </c>
      <c r="D704" s="326">
        <v>1071</v>
      </c>
      <c r="E704" s="327" t="s">
        <v>1971</v>
      </c>
      <c r="F704" s="244"/>
      <c r="G704" s="327"/>
      <c r="H704" s="348" t="s">
        <v>1972</v>
      </c>
      <c r="I704" s="329" t="s">
        <v>1968</v>
      </c>
      <c r="J70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04" s="160">
        <v>621821</v>
      </c>
      <c r="L704" s="160">
        <f>+Reactivos_[[#This Row],[Cantidad]]*Reactivos_[[#This Row],[Valor de referencia]]</f>
        <v>621821</v>
      </c>
      <c r="M704" s="254">
        <v>0</v>
      </c>
      <c r="N704" s="255">
        <f>+Reactivos_[[#This Row],[Valor de referencia]]*Reactivos_[[#This Row],[Cantidad LANIP]]</f>
        <v>0</v>
      </c>
      <c r="O704" s="256"/>
      <c r="P704" s="255">
        <f>+Reactivos_[[#This Row],[Cantidad 
LDV]]*Reactivos_[[#This Row],[Valor de referencia]]</f>
        <v>0</v>
      </c>
      <c r="Q704" s="257">
        <v>1</v>
      </c>
      <c r="R704" s="255">
        <f>+Reactivos_[[#This Row],[Cantidad LNDV]]*Reactivos_[[#This Row],[Valor de referencia]]</f>
        <v>621821</v>
      </c>
      <c r="S704" s="148"/>
      <c r="T704" s="255">
        <f>+Reactivos_[[#This Row],[GGCA]]*Reactivos_[[#This Row],[Valor de referencia]]</f>
        <v>0</v>
      </c>
      <c r="U704" s="254"/>
      <c r="V704" s="255">
        <f>+Reactivos_[[#This Row],[Cantidad LDF]]*Reactivos_[[#This Row],[Valor de referencia]]</f>
        <v>0</v>
      </c>
      <c r="W704" s="254"/>
      <c r="X704" s="255">
        <f>+Reactivos_[[#This Row],[Cantidad LDF&amp;MR]]*Reactivos_[[#This Row],[Valor de referencia]]</f>
        <v>0</v>
      </c>
      <c r="Y704" s="254"/>
      <c r="Z704" s="255">
        <f>+Reactivos_[[#This Row],[Cantidad RED LASE]]*Reactivos_[[#This Row],[Valor de referencia]]</f>
        <v>0</v>
      </c>
      <c r="AA704" s="254"/>
      <c r="AB704" s="255">
        <f>+Reactivos_[[#This Row],[Cantidad LANIA]]*Reactivos_[[#This Row],[Valor de referencia]]</f>
        <v>0</v>
      </c>
      <c r="AC704" s="254"/>
      <c r="AD704" s="255">
        <f>+Reactivos_[[#This Row],[Cantidad SPA]]*Reactivos_[[#This Row],[Valor de referencia]]</f>
        <v>0</v>
      </c>
      <c r="AE704" s="148" t="s">
        <v>76</v>
      </c>
      <c r="AF704" s="310" t="s">
        <v>101</v>
      </c>
    </row>
    <row r="705" spans="1:32" ht="29.45" customHeight="1" x14ac:dyDescent="0.25">
      <c r="A705" s="294" t="str">
        <f>IF(B705=Reactivos_[[#This Row],[Cantidad LANIP]],"LANIP",IF(B705=Reactivos_[[#This Row],[Cantidad 
LDV]],"LDV",IF(B705=Reactivos_[[#This Row],[Cantidad LNDV]],"LNDV",IF(B705=Reactivos_[[#This Row],[GGCA]],"GGCA",IF(B705=Reactivos_[[#This Row],[Cantidad LDF]],"LDF",IF(Reactivos_[[#This Row],[Cantidad LDF&amp;MR]],"LDF&amp;MR",IF(B705=Reactivos_[[#This Row],[Cantidad RED LASE]],"LASE",IF(B705=Reactivos_[[#This Row],[Cantidad LANIA]],"LANIA",IF(B705=Reactivos_[[#This Row],[Cantidad SPA]],"SPA"," ")))))))))</f>
        <v>LNDV</v>
      </c>
      <c r="B70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05" s="325">
        <v>703</v>
      </c>
      <c r="D705" s="326">
        <v>1072</v>
      </c>
      <c r="E705" s="327" t="s">
        <v>1973</v>
      </c>
      <c r="F705" s="244"/>
      <c r="G705" s="327"/>
      <c r="H705" s="348" t="s">
        <v>1974</v>
      </c>
      <c r="I705" s="329" t="s">
        <v>1975</v>
      </c>
      <c r="J70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05" s="160">
        <v>512880</v>
      </c>
      <c r="L705" s="160">
        <f>+Reactivos_[[#This Row],[Cantidad]]*Reactivos_[[#This Row],[Valor de referencia]]</f>
        <v>512880</v>
      </c>
      <c r="M705" s="254">
        <v>0</v>
      </c>
      <c r="N705" s="255">
        <f>+Reactivos_[[#This Row],[Valor de referencia]]*Reactivos_[[#This Row],[Cantidad LANIP]]</f>
        <v>0</v>
      </c>
      <c r="O705" s="256"/>
      <c r="P705" s="255">
        <f>+Reactivos_[[#This Row],[Cantidad 
LDV]]*Reactivos_[[#This Row],[Valor de referencia]]</f>
        <v>0</v>
      </c>
      <c r="Q705" s="257">
        <v>1</v>
      </c>
      <c r="R705" s="255">
        <f>+Reactivos_[[#This Row],[Cantidad LNDV]]*Reactivos_[[#This Row],[Valor de referencia]]</f>
        <v>512880</v>
      </c>
      <c r="S705" s="148"/>
      <c r="T705" s="255">
        <f>+Reactivos_[[#This Row],[GGCA]]*Reactivos_[[#This Row],[Valor de referencia]]</f>
        <v>0</v>
      </c>
      <c r="U705" s="254"/>
      <c r="V705" s="255">
        <f>+Reactivos_[[#This Row],[Cantidad LDF]]*Reactivos_[[#This Row],[Valor de referencia]]</f>
        <v>0</v>
      </c>
      <c r="W705" s="254"/>
      <c r="X705" s="255">
        <f>+Reactivos_[[#This Row],[Cantidad LDF&amp;MR]]*Reactivos_[[#This Row],[Valor de referencia]]</f>
        <v>0</v>
      </c>
      <c r="Y705" s="254"/>
      <c r="Z705" s="255">
        <f>+Reactivos_[[#This Row],[Cantidad RED LASE]]*Reactivos_[[#This Row],[Valor de referencia]]</f>
        <v>0</v>
      </c>
      <c r="AA705" s="254"/>
      <c r="AB705" s="255">
        <f>+Reactivos_[[#This Row],[Cantidad LANIA]]*Reactivos_[[#This Row],[Valor de referencia]]</f>
        <v>0</v>
      </c>
      <c r="AC705" s="254"/>
      <c r="AD705" s="255">
        <f>+Reactivos_[[#This Row],[Cantidad SPA]]*Reactivos_[[#This Row],[Valor de referencia]]</f>
        <v>0</v>
      </c>
      <c r="AE705" s="148" t="s">
        <v>76</v>
      </c>
      <c r="AF705" s="310" t="s">
        <v>101</v>
      </c>
    </row>
    <row r="706" spans="1:32" ht="29.45" customHeight="1" x14ac:dyDescent="0.25">
      <c r="A706" s="294" t="str">
        <f>IF(B706=Reactivos_[[#This Row],[Cantidad LANIP]],"LANIP",IF(B706=Reactivos_[[#This Row],[Cantidad 
LDV]],"LDV",IF(B706=Reactivos_[[#This Row],[Cantidad LNDV]],"LNDV",IF(B706=Reactivos_[[#This Row],[GGCA]],"GGCA",IF(B706=Reactivos_[[#This Row],[Cantidad LDF]],"LDF",IF(Reactivos_[[#This Row],[Cantidad LDF&amp;MR]],"LDF&amp;MR",IF(B706=Reactivos_[[#This Row],[Cantidad RED LASE]],"LASE",IF(B706=Reactivos_[[#This Row],[Cantidad LANIA]],"LANIA",IF(B706=Reactivos_[[#This Row],[Cantidad SPA]],"SPA"," ")))))))))</f>
        <v>LNDV</v>
      </c>
      <c r="B70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06" s="325">
        <v>704</v>
      </c>
      <c r="D706" s="326">
        <v>1073</v>
      </c>
      <c r="E706" s="327" t="s">
        <v>1976</v>
      </c>
      <c r="F706" s="244"/>
      <c r="G706" s="327"/>
      <c r="H706" s="348" t="s">
        <v>1977</v>
      </c>
      <c r="I706" s="329" t="s">
        <v>1975</v>
      </c>
      <c r="J70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06" s="160">
        <v>512880</v>
      </c>
      <c r="L706" s="160">
        <f>+Reactivos_[[#This Row],[Cantidad]]*Reactivos_[[#This Row],[Valor de referencia]]</f>
        <v>512880</v>
      </c>
      <c r="M706" s="254">
        <v>0</v>
      </c>
      <c r="N706" s="255">
        <f>+Reactivos_[[#This Row],[Valor de referencia]]*Reactivos_[[#This Row],[Cantidad LANIP]]</f>
        <v>0</v>
      </c>
      <c r="O706" s="256"/>
      <c r="P706" s="255">
        <f>+Reactivos_[[#This Row],[Cantidad 
LDV]]*Reactivos_[[#This Row],[Valor de referencia]]</f>
        <v>0</v>
      </c>
      <c r="Q706" s="257">
        <v>1</v>
      </c>
      <c r="R706" s="255">
        <f>+Reactivos_[[#This Row],[Cantidad LNDV]]*Reactivos_[[#This Row],[Valor de referencia]]</f>
        <v>512880</v>
      </c>
      <c r="S706" s="148"/>
      <c r="T706" s="255">
        <f>+Reactivos_[[#This Row],[GGCA]]*Reactivos_[[#This Row],[Valor de referencia]]</f>
        <v>0</v>
      </c>
      <c r="U706" s="254"/>
      <c r="V706" s="255">
        <f>+Reactivos_[[#This Row],[Cantidad LDF]]*Reactivos_[[#This Row],[Valor de referencia]]</f>
        <v>0</v>
      </c>
      <c r="W706" s="254"/>
      <c r="X706" s="255">
        <f>+Reactivos_[[#This Row],[Cantidad LDF&amp;MR]]*Reactivos_[[#This Row],[Valor de referencia]]</f>
        <v>0</v>
      </c>
      <c r="Y706" s="254"/>
      <c r="Z706" s="255">
        <f>+Reactivos_[[#This Row],[Cantidad RED LASE]]*Reactivos_[[#This Row],[Valor de referencia]]</f>
        <v>0</v>
      </c>
      <c r="AA706" s="254"/>
      <c r="AB706" s="255">
        <f>+Reactivos_[[#This Row],[Cantidad LANIA]]*Reactivos_[[#This Row],[Valor de referencia]]</f>
        <v>0</v>
      </c>
      <c r="AC706" s="254"/>
      <c r="AD706" s="255">
        <f>+Reactivos_[[#This Row],[Cantidad SPA]]*Reactivos_[[#This Row],[Valor de referencia]]</f>
        <v>0</v>
      </c>
      <c r="AE706" s="148" t="s">
        <v>76</v>
      </c>
      <c r="AF706" s="310" t="s">
        <v>101</v>
      </c>
    </row>
    <row r="707" spans="1:32" ht="29.45" customHeight="1" x14ac:dyDescent="0.25">
      <c r="A707" s="294" t="str">
        <f>IF(B707=Reactivos_[[#This Row],[Cantidad LANIP]],"LANIP",IF(B707=Reactivos_[[#This Row],[Cantidad 
LDV]],"LDV",IF(B707=Reactivos_[[#This Row],[Cantidad LNDV]],"LNDV",IF(B707=Reactivos_[[#This Row],[GGCA]],"GGCA",IF(B707=Reactivos_[[#This Row],[Cantidad LDF]],"LDF",IF(Reactivos_[[#This Row],[Cantidad LDF&amp;MR]],"LDF&amp;MR",IF(B707=Reactivos_[[#This Row],[Cantidad RED LASE]],"LASE",IF(B707=Reactivos_[[#This Row],[Cantidad LANIA]],"LANIA",IF(B707=Reactivos_[[#This Row],[Cantidad SPA]],"SPA"," ")))))))))</f>
        <v>LDV</v>
      </c>
      <c r="B70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24</v>
      </c>
      <c r="C707" s="325">
        <v>705</v>
      </c>
      <c r="D707" s="326">
        <v>1075</v>
      </c>
      <c r="E707" s="331" t="s">
        <v>1978</v>
      </c>
      <c r="F707" s="332"/>
      <c r="G707" s="331"/>
      <c r="H707" s="348" t="s">
        <v>1979</v>
      </c>
      <c r="I707" s="329" t="s">
        <v>1980</v>
      </c>
      <c r="J70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44</v>
      </c>
      <c r="K707" s="160">
        <v>1444496</v>
      </c>
      <c r="L707" s="160">
        <f>+Reactivos_[[#This Row],[Cantidad]]*Reactivos_[[#This Row],[Valor de referencia]]</f>
        <v>63557824</v>
      </c>
      <c r="M707" s="254">
        <v>2</v>
      </c>
      <c r="N707" s="255">
        <f>+Reactivos_[[#This Row],[Valor de referencia]]*Reactivos_[[#This Row],[Cantidad LANIP]]</f>
        <v>2888992</v>
      </c>
      <c r="O707" s="256">
        <v>24</v>
      </c>
      <c r="P707" s="255">
        <f>+Reactivos_[[#This Row],[Cantidad 
LDV]]*Reactivos_[[#This Row],[Valor de referencia]]</f>
        <v>34667904</v>
      </c>
      <c r="Q707" s="257">
        <v>10</v>
      </c>
      <c r="R707" s="255">
        <f>+Reactivos_[[#This Row],[Cantidad LNDV]]*Reactivos_[[#This Row],[Valor de referencia]]</f>
        <v>14444960</v>
      </c>
      <c r="S707" s="148"/>
      <c r="T707" s="255">
        <f>+Reactivos_[[#This Row],[GGCA]]*Reactivos_[[#This Row],[Valor de referencia]]</f>
        <v>0</v>
      </c>
      <c r="U707" s="254">
        <v>8</v>
      </c>
      <c r="V707" s="255">
        <f>+Reactivos_[[#This Row],[Cantidad LDF]]*Reactivos_[[#This Row],[Valor de referencia]]</f>
        <v>11555968</v>
      </c>
      <c r="W707" s="254"/>
      <c r="X707" s="255">
        <f>+Reactivos_[[#This Row],[Cantidad LDF&amp;MR]]*Reactivos_[[#This Row],[Valor de referencia]]</f>
        <v>0</v>
      </c>
      <c r="Y707" s="254"/>
      <c r="Z707" s="255">
        <f>+Reactivos_[[#This Row],[Cantidad RED LASE]]*Reactivos_[[#This Row],[Valor de referencia]]</f>
        <v>0</v>
      </c>
      <c r="AA707" s="254"/>
      <c r="AB707" s="255">
        <f>+Reactivos_[[#This Row],[Cantidad LANIA]]*Reactivos_[[#This Row],[Valor de referencia]]</f>
        <v>0</v>
      </c>
      <c r="AC707" s="254"/>
      <c r="AD707" s="255">
        <f>+Reactivos_[[#This Row],[Cantidad SPA]]*Reactivos_[[#This Row],[Valor de referencia]]</f>
        <v>0</v>
      </c>
      <c r="AE707" s="148" t="s">
        <v>76</v>
      </c>
      <c r="AF707" s="148" t="s">
        <v>77</v>
      </c>
    </row>
    <row r="708" spans="1:32" ht="29.45" customHeight="1" x14ac:dyDescent="0.25">
      <c r="A708" s="294" t="str">
        <f>IF(B708=Reactivos_[[#This Row],[Cantidad LANIP]],"LANIP",IF(B708=Reactivos_[[#This Row],[Cantidad 
LDV]],"LDV",IF(B708=Reactivos_[[#This Row],[Cantidad LNDV]],"LNDV",IF(B708=Reactivos_[[#This Row],[GGCA]],"GGCA",IF(B708=Reactivos_[[#This Row],[Cantidad LDF]],"LDF",IF(Reactivos_[[#This Row],[Cantidad LDF&amp;MR]],"LDF&amp;MR",IF(B708=Reactivos_[[#This Row],[Cantidad RED LASE]],"LASE",IF(B708=Reactivos_[[#This Row],[Cantidad LANIA]],"LANIA",IF(B708=Reactivos_[[#This Row],[Cantidad SPA]],"SPA"," ")))))))))</f>
        <v>LDF&amp;MR</v>
      </c>
      <c r="B70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08" s="325">
        <v>706</v>
      </c>
      <c r="D708" s="326">
        <v>1077</v>
      </c>
      <c r="E708" s="331" t="s">
        <v>1981</v>
      </c>
      <c r="F708" s="244"/>
      <c r="G708" s="245"/>
      <c r="H708" s="377" t="s">
        <v>183</v>
      </c>
      <c r="I708" s="390" t="s">
        <v>1982</v>
      </c>
      <c r="J70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08" s="160">
        <v>539000</v>
      </c>
      <c r="L708" s="160">
        <f>+Reactivos_[[#This Row],[Cantidad]]*Reactivos_[[#This Row],[Valor de referencia]]</f>
        <v>539000</v>
      </c>
      <c r="M708" s="254">
        <v>0</v>
      </c>
      <c r="N708" s="255">
        <f>+Reactivos_[[#This Row],[Valor de referencia]]*Reactivos_[[#This Row],[Cantidad LANIP]]</f>
        <v>0</v>
      </c>
      <c r="O708" s="256"/>
      <c r="P708" s="255">
        <f>+Reactivos_[[#This Row],[Cantidad 
LDV]]*Reactivos_[[#This Row],[Valor de referencia]]</f>
        <v>0</v>
      </c>
      <c r="Q708" s="257"/>
      <c r="R708" s="255">
        <f>+Reactivos_[[#This Row],[Cantidad LNDV]]*Reactivos_[[#This Row],[Valor de referencia]]</f>
        <v>0</v>
      </c>
      <c r="S708" s="148"/>
      <c r="T708" s="255">
        <f>+Reactivos_[[#This Row],[GGCA]]*Reactivos_[[#This Row],[Valor de referencia]]</f>
        <v>0</v>
      </c>
      <c r="U708" s="254"/>
      <c r="V708" s="255">
        <f>+Reactivos_[[#This Row],[Cantidad LDF]]*Reactivos_[[#This Row],[Valor de referencia]]</f>
        <v>0</v>
      </c>
      <c r="W708" s="254">
        <v>1</v>
      </c>
      <c r="X708" s="255">
        <f>+Reactivos_[[#This Row],[Cantidad LDF&amp;MR]]*Reactivos_[[#This Row],[Valor de referencia]]</f>
        <v>539000</v>
      </c>
      <c r="Y708" s="254"/>
      <c r="Z708" s="255">
        <f>+Reactivos_[[#This Row],[Cantidad RED LASE]]*Reactivos_[[#This Row],[Valor de referencia]]</f>
        <v>0</v>
      </c>
      <c r="AA708" s="254"/>
      <c r="AB708" s="255">
        <f>+Reactivos_[[#This Row],[Cantidad LANIA]]*Reactivos_[[#This Row],[Valor de referencia]]</f>
        <v>0</v>
      </c>
      <c r="AC708" s="254"/>
      <c r="AD708" s="255">
        <f>+Reactivos_[[#This Row],[Cantidad SPA]]*Reactivos_[[#This Row],[Valor de referencia]]</f>
        <v>0</v>
      </c>
      <c r="AE708" s="148" t="s">
        <v>76</v>
      </c>
      <c r="AF708" s="406" t="s">
        <v>101</v>
      </c>
    </row>
    <row r="709" spans="1:32" ht="29.45" customHeight="1" x14ac:dyDescent="0.2">
      <c r="A709" s="294" t="str">
        <f>IF(B709=Reactivos_[[#This Row],[Cantidad LANIP]],"LANIP",IF(B709=Reactivos_[[#This Row],[Cantidad 
LDV]],"LDV",IF(B709=Reactivos_[[#This Row],[Cantidad LNDV]],"LNDV",IF(B709=Reactivos_[[#This Row],[GGCA]],"GGCA",IF(B709=Reactivos_[[#This Row],[Cantidad LDF]],"LDF",IF(Reactivos_[[#This Row],[Cantidad LDF&amp;MR]],"LDF&amp;MR",IF(B709=Reactivos_[[#This Row],[Cantidad RED LASE]],"LASE",IF(B709=Reactivos_[[#This Row],[Cantidad LANIA]],"LANIA",IF(B709=Reactivos_[[#This Row],[Cantidad SPA]],"SPA"," ")))))))))</f>
        <v>LDV</v>
      </c>
      <c r="B70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09" s="325">
        <v>707</v>
      </c>
      <c r="D709" s="326">
        <v>1079</v>
      </c>
      <c r="E709" s="327" t="s">
        <v>1983</v>
      </c>
      <c r="F709" s="338"/>
      <c r="G709" s="339"/>
      <c r="H709" s="373" t="s">
        <v>249</v>
      </c>
      <c r="I709" s="366" t="s">
        <v>162</v>
      </c>
      <c r="J70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09" s="160">
        <v>1023865</v>
      </c>
      <c r="L709" s="160">
        <f>+Reactivos_[[#This Row],[Cantidad]]*Reactivos_[[#This Row],[Valor de referencia]]</f>
        <v>1023865</v>
      </c>
      <c r="M709" s="254">
        <v>0</v>
      </c>
      <c r="N709" s="255">
        <f>+Reactivos_[[#This Row],[Valor de referencia]]*Reactivos_[[#This Row],[Cantidad LANIP]]</f>
        <v>0</v>
      </c>
      <c r="O709" s="256">
        <v>1</v>
      </c>
      <c r="P709" s="255">
        <f>+Reactivos_[[#This Row],[Cantidad 
LDV]]*Reactivos_[[#This Row],[Valor de referencia]]</f>
        <v>1023865</v>
      </c>
      <c r="Q709" s="257"/>
      <c r="R709" s="255">
        <f>+Reactivos_[[#This Row],[Cantidad LNDV]]*Reactivos_[[#This Row],[Valor de referencia]]</f>
        <v>0</v>
      </c>
      <c r="S709" s="148"/>
      <c r="T709" s="255">
        <f>+Reactivos_[[#This Row],[GGCA]]*Reactivos_[[#This Row],[Valor de referencia]]</f>
        <v>0</v>
      </c>
      <c r="U709" s="254"/>
      <c r="V709" s="255">
        <f>+Reactivos_[[#This Row],[Cantidad LDF]]*Reactivos_[[#This Row],[Valor de referencia]]</f>
        <v>0</v>
      </c>
      <c r="W709" s="254"/>
      <c r="X709" s="255">
        <f>+Reactivos_[[#This Row],[Cantidad LDF&amp;MR]]*Reactivos_[[#This Row],[Valor de referencia]]</f>
        <v>0</v>
      </c>
      <c r="Y709" s="254"/>
      <c r="Z709" s="255">
        <f>+Reactivos_[[#This Row],[Cantidad RED LASE]]*Reactivos_[[#This Row],[Valor de referencia]]</f>
        <v>0</v>
      </c>
      <c r="AA709" s="254"/>
      <c r="AB709" s="255">
        <f>+Reactivos_[[#This Row],[Cantidad LANIA]]*Reactivos_[[#This Row],[Valor de referencia]]</f>
        <v>0</v>
      </c>
      <c r="AC709" s="254"/>
      <c r="AD709" s="255">
        <f>+Reactivos_[[#This Row],[Cantidad SPA]]*Reactivos_[[#This Row],[Valor de referencia]]</f>
        <v>0</v>
      </c>
      <c r="AE709" s="148" t="s">
        <v>76</v>
      </c>
      <c r="AF709" s="148" t="s">
        <v>77</v>
      </c>
    </row>
    <row r="710" spans="1:32" ht="29.45" customHeight="1" x14ac:dyDescent="0.25">
      <c r="A710" s="294" t="str">
        <f>IF(B710=Reactivos_[[#This Row],[Cantidad LANIP]],"LANIP",IF(B710=Reactivos_[[#This Row],[Cantidad 
LDV]],"LDV",IF(B710=Reactivos_[[#This Row],[Cantidad LNDV]],"LNDV",IF(B710=Reactivos_[[#This Row],[GGCA]],"GGCA",IF(B710=Reactivos_[[#This Row],[Cantidad LDF]],"LDF",IF(Reactivos_[[#This Row],[Cantidad LDF&amp;MR]],"LDF&amp;MR",IF(B710=Reactivos_[[#This Row],[Cantidad RED LASE]],"LASE",IF(B710=Reactivos_[[#This Row],[Cantidad LANIA]],"LANIA",IF(B710=Reactivos_[[#This Row],[Cantidad SPA]],"SPA"," ")))))))))</f>
        <v>LDF</v>
      </c>
      <c r="B71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10" s="325">
        <v>708</v>
      </c>
      <c r="D710" s="326">
        <v>1080</v>
      </c>
      <c r="E710" s="414" t="s">
        <v>1984</v>
      </c>
      <c r="F710" s="244"/>
      <c r="G710" s="245"/>
      <c r="H710" s="346" t="s">
        <v>1985</v>
      </c>
      <c r="I710" s="336" t="s">
        <v>1986</v>
      </c>
      <c r="J71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10" s="160">
        <v>200729</v>
      </c>
      <c r="L710" s="160">
        <f>+Reactivos_[[#This Row],[Cantidad]]*Reactivos_[[#This Row],[Valor de referencia]]</f>
        <v>200729</v>
      </c>
      <c r="M710" s="254">
        <v>0</v>
      </c>
      <c r="N710" s="255">
        <f>+Reactivos_[[#This Row],[Valor de referencia]]*Reactivos_[[#This Row],[Cantidad LANIP]]</f>
        <v>0</v>
      </c>
      <c r="O710" s="256"/>
      <c r="P710" s="255">
        <f>+Reactivos_[[#This Row],[Cantidad 
LDV]]*Reactivos_[[#This Row],[Valor de referencia]]</f>
        <v>0</v>
      </c>
      <c r="Q710" s="257"/>
      <c r="R710" s="255">
        <f>+Reactivos_[[#This Row],[Cantidad LNDV]]*Reactivos_[[#This Row],[Valor de referencia]]</f>
        <v>0</v>
      </c>
      <c r="S710" s="148"/>
      <c r="T710" s="255">
        <f>+Reactivos_[[#This Row],[GGCA]]*Reactivos_[[#This Row],[Valor de referencia]]</f>
        <v>0</v>
      </c>
      <c r="U710" s="254">
        <v>1</v>
      </c>
      <c r="V710" s="255">
        <f>+Reactivos_[[#This Row],[Cantidad LDF]]*Reactivos_[[#This Row],[Valor de referencia]]</f>
        <v>200729</v>
      </c>
      <c r="W710" s="254"/>
      <c r="X710" s="255">
        <f>+Reactivos_[[#This Row],[Cantidad LDF&amp;MR]]*Reactivos_[[#This Row],[Valor de referencia]]</f>
        <v>0</v>
      </c>
      <c r="Y710" s="254"/>
      <c r="Z710" s="255">
        <f>+Reactivos_[[#This Row],[Cantidad RED LASE]]*Reactivos_[[#This Row],[Valor de referencia]]</f>
        <v>0</v>
      </c>
      <c r="AA710" s="254"/>
      <c r="AB710" s="255">
        <f>+Reactivos_[[#This Row],[Cantidad LANIA]]*Reactivos_[[#This Row],[Valor de referencia]]</f>
        <v>0</v>
      </c>
      <c r="AC710" s="254"/>
      <c r="AD710" s="255">
        <f>+Reactivos_[[#This Row],[Cantidad SPA]]*Reactivos_[[#This Row],[Valor de referencia]]</f>
        <v>0</v>
      </c>
      <c r="AE710" s="148" t="s">
        <v>76</v>
      </c>
      <c r="AF710" s="148" t="s">
        <v>101</v>
      </c>
    </row>
    <row r="711" spans="1:32" ht="47.25" customHeight="1" x14ac:dyDescent="0.25">
      <c r="A711" s="294" t="str">
        <f>IF(B711=Reactivos_[[#This Row],[Cantidad LANIP]],"LANIP",IF(B711=Reactivos_[[#This Row],[Cantidad 
LDV]],"LDV",IF(B711=Reactivos_[[#This Row],[Cantidad LNDV]],"LNDV",IF(B711=Reactivos_[[#This Row],[GGCA]],"GGCA",IF(B711=Reactivos_[[#This Row],[Cantidad LDF]],"LDF",IF(Reactivos_[[#This Row],[Cantidad LDF&amp;MR]],"LDF&amp;MR",IF(B711=Reactivos_[[#This Row],[Cantidad RED LASE]],"LASE",IF(B711=Reactivos_[[#This Row],[Cantidad LANIA]],"LANIA",IF(B711=Reactivos_[[#This Row],[Cantidad SPA]],"SPA"," ")))))))))</f>
        <v>LDF</v>
      </c>
      <c r="B71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C711" s="325">
        <v>709</v>
      </c>
      <c r="D711" s="326">
        <v>1082</v>
      </c>
      <c r="E711" s="331" t="s">
        <v>1987</v>
      </c>
      <c r="F711" s="351" t="s">
        <v>1988</v>
      </c>
      <c r="G711" s="320" t="s">
        <v>1989</v>
      </c>
      <c r="H711" s="348" t="s">
        <v>1990</v>
      </c>
      <c r="I711" s="329" t="s">
        <v>1233</v>
      </c>
      <c r="J71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5</v>
      </c>
      <c r="K711" s="160">
        <v>384821</v>
      </c>
      <c r="L711" s="160">
        <f>+Reactivos_[[#This Row],[Cantidad]]*Reactivos_[[#This Row],[Valor de referencia]]</f>
        <v>1924105</v>
      </c>
      <c r="M711" s="254">
        <v>0</v>
      </c>
      <c r="N711" s="255">
        <f>+Reactivos_[[#This Row],[Valor de referencia]]*Reactivos_[[#This Row],[Cantidad LANIP]]</f>
        <v>0</v>
      </c>
      <c r="O711" s="256"/>
      <c r="P711" s="255">
        <f>+Reactivos_[[#This Row],[Cantidad 
LDV]]*Reactivos_[[#This Row],[Valor de referencia]]</f>
        <v>0</v>
      </c>
      <c r="Q711" s="257">
        <v>2</v>
      </c>
      <c r="R711" s="255">
        <f>+Reactivos_[[#This Row],[Cantidad LNDV]]*Reactivos_[[#This Row],[Valor de referencia]]</f>
        <v>769642</v>
      </c>
      <c r="S711" s="148"/>
      <c r="T711" s="255">
        <f>+Reactivos_[[#This Row],[GGCA]]*Reactivos_[[#This Row],[Valor de referencia]]</f>
        <v>0</v>
      </c>
      <c r="U711" s="254">
        <v>3</v>
      </c>
      <c r="V711" s="255">
        <f>+Reactivos_[[#This Row],[Cantidad LDF]]*Reactivos_[[#This Row],[Valor de referencia]]</f>
        <v>1154463</v>
      </c>
      <c r="W711" s="254"/>
      <c r="X711" s="255">
        <f>+Reactivos_[[#This Row],[Cantidad LDF&amp;MR]]*Reactivos_[[#This Row],[Valor de referencia]]</f>
        <v>0</v>
      </c>
      <c r="Y711" s="254"/>
      <c r="Z711" s="255">
        <f>+Reactivos_[[#This Row],[Cantidad RED LASE]]*Reactivos_[[#This Row],[Valor de referencia]]</f>
        <v>0</v>
      </c>
      <c r="AA711" s="254"/>
      <c r="AB711" s="255">
        <f>+Reactivos_[[#This Row],[Cantidad LANIA]]*Reactivos_[[#This Row],[Valor de referencia]]</f>
        <v>0</v>
      </c>
      <c r="AC711" s="254"/>
      <c r="AD711" s="255">
        <f>+Reactivos_[[#This Row],[Cantidad SPA]]*Reactivos_[[#This Row],[Valor de referencia]]</f>
        <v>0</v>
      </c>
      <c r="AE711" s="148" t="s">
        <v>76</v>
      </c>
      <c r="AF711" s="148" t="s">
        <v>77</v>
      </c>
    </row>
    <row r="712" spans="1:32" ht="29.45" customHeight="1" x14ac:dyDescent="0.25">
      <c r="A712" s="294" t="str">
        <f>IF(B712=Reactivos_[[#This Row],[Cantidad LANIP]],"LANIP",IF(B712=Reactivos_[[#This Row],[Cantidad 
LDV]],"LDV",IF(B712=Reactivos_[[#This Row],[Cantidad LNDV]],"LNDV",IF(B712=Reactivos_[[#This Row],[GGCA]],"GGCA",IF(B712=Reactivos_[[#This Row],[Cantidad LDF]],"LDF",IF(Reactivos_[[#This Row],[Cantidad LDF&amp;MR]],"LDF&amp;MR",IF(B712=Reactivos_[[#This Row],[Cantidad RED LASE]],"LASE",IF(B712=Reactivos_[[#This Row],[Cantidad LANIA]],"LANIA",IF(B712=Reactivos_[[#This Row],[Cantidad SPA]],"SPA"," ")))))))))</f>
        <v>LDF&amp;MR</v>
      </c>
      <c r="B71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12" s="325">
        <v>710</v>
      </c>
      <c r="D712" s="326">
        <v>1084</v>
      </c>
      <c r="E712" s="331" t="s">
        <v>1991</v>
      </c>
      <c r="F712" s="244"/>
      <c r="G712" s="331"/>
      <c r="H712" s="377" t="s">
        <v>183</v>
      </c>
      <c r="I712" s="408" t="s">
        <v>120</v>
      </c>
      <c r="J71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12" s="160">
        <v>10434515</v>
      </c>
      <c r="L712" s="160">
        <f>+Reactivos_[[#This Row],[Cantidad]]*Reactivos_[[#This Row],[Valor de referencia]]</f>
        <v>10434515</v>
      </c>
      <c r="M712" s="254">
        <v>0</v>
      </c>
      <c r="N712" s="255">
        <f>+Reactivos_[[#This Row],[Valor de referencia]]*Reactivos_[[#This Row],[Cantidad LANIP]]</f>
        <v>0</v>
      </c>
      <c r="O712" s="256"/>
      <c r="P712" s="255">
        <f>+Reactivos_[[#This Row],[Cantidad 
LDV]]*Reactivos_[[#This Row],[Valor de referencia]]</f>
        <v>0</v>
      </c>
      <c r="Q712" s="257"/>
      <c r="R712" s="255">
        <f>+Reactivos_[[#This Row],[Cantidad LNDV]]*Reactivos_[[#This Row],[Valor de referencia]]</f>
        <v>0</v>
      </c>
      <c r="S712" s="148"/>
      <c r="T712" s="255">
        <f>+Reactivos_[[#This Row],[GGCA]]*Reactivos_[[#This Row],[Valor de referencia]]</f>
        <v>0</v>
      </c>
      <c r="U712" s="254"/>
      <c r="V712" s="255">
        <f>+Reactivos_[[#This Row],[Cantidad LDF]]*Reactivos_[[#This Row],[Valor de referencia]]</f>
        <v>0</v>
      </c>
      <c r="W712" s="254">
        <v>1</v>
      </c>
      <c r="X712" s="255">
        <f>+Reactivos_[[#This Row],[Cantidad LDF&amp;MR]]*Reactivos_[[#This Row],[Valor de referencia]]</f>
        <v>10434515</v>
      </c>
      <c r="Y712" s="254"/>
      <c r="Z712" s="255">
        <f>+Reactivos_[[#This Row],[Cantidad RED LASE]]*Reactivos_[[#This Row],[Valor de referencia]]</f>
        <v>0</v>
      </c>
      <c r="AA712" s="254"/>
      <c r="AB712" s="255">
        <f>+Reactivos_[[#This Row],[Cantidad LANIA]]*Reactivos_[[#This Row],[Valor de referencia]]</f>
        <v>0</v>
      </c>
      <c r="AC712" s="254"/>
      <c r="AD712" s="255">
        <f>+Reactivos_[[#This Row],[Cantidad SPA]]*Reactivos_[[#This Row],[Valor de referencia]]</f>
        <v>0</v>
      </c>
      <c r="AE712" s="148" t="s">
        <v>76</v>
      </c>
      <c r="AF712" s="148" t="s">
        <v>77</v>
      </c>
    </row>
    <row r="713" spans="1:32" ht="29.45" customHeight="1" x14ac:dyDescent="0.25">
      <c r="A713" s="294" t="str">
        <f>IF(B713=Reactivos_[[#This Row],[Cantidad LANIP]],"LANIP",IF(B713=Reactivos_[[#This Row],[Cantidad 
LDV]],"LDV",IF(B713=Reactivos_[[#This Row],[Cantidad LNDV]],"LNDV",IF(B713=Reactivos_[[#This Row],[GGCA]],"GGCA",IF(B713=Reactivos_[[#This Row],[Cantidad LDF]],"LDF",IF(Reactivos_[[#This Row],[Cantidad LDF&amp;MR]],"LDF&amp;MR",IF(B713=Reactivos_[[#This Row],[Cantidad RED LASE]],"LASE",IF(B713=Reactivos_[[#This Row],[Cantidad LANIA]],"LANIA",IF(B713=Reactivos_[[#This Row],[Cantidad SPA]],"SPA"," ")))))))))</f>
        <v>LANIP</v>
      </c>
      <c r="B71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13" s="325">
        <v>711</v>
      </c>
      <c r="D713" s="326">
        <v>1085</v>
      </c>
      <c r="E713" s="331" t="s">
        <v>1992</v>
      </c>
      <c r="F713" s="332"/>
      <c r="G713" s="331"/>
      <c r="H713" s="342" t="s">
        <v>1993</v>
      </c>
      <c r="I713" s="329" t="s">
        <v>162</v>
      </c>
      <c r="J71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3</v>
      </c>
      <c r="K713" s="160">
        <v>444432</v>
      </c>
      <c r="L713" s="160">
        <f>+Reactivos_[[#This Row],[Cantidad]]*Reactivos_[[#This Row],[Valor de referencia]]</f>
        <v>1333296</v>
      </c>
      <c r="M713" s="254">
        <v>1</v>
      </c>
      <c r="N713" s="255">
        <f>+Reactivos_[[#This Row],[Valor de referencia]]*Reactivos_[[#This Row],[Cantidad LANIP]]</f>
        <v>444432</v>
      </c>
      <c r="O713" s="256"/>
      <c r="P713" s="255">
        <f>+Reactivos_[[#This Row],[Cantidad 
LDV]]*Reactivos_[[#This Row],[Valor de referencia]]</f>
        <v>0</v>
      </c>
      <c r="Q713" s="257"/>
      <c r="R713" s="255">
        <f>+Reactivos_[[#This Row],[Cantidad LNDV]]*Reactivos_[[#This Row],[Valor de referencia]]</f>
        <v>0</v>
      </c>
      <c r="S713" s="148"/>
      <c r="T713" s="255">
        <f>+Reactivos_[[#This Row],[GGCA]]*Reactivos_[[#This Row],[Valor de referencia]]</f>
        <v>0</v>
      </c>
      <c r="U713" s="254">
        <v>1</v>
      </c>
      <c r="V713" s="255">
        <f>+Reactivos_[[#This Row],[Cantidad LDF]]*Reactivos_[[#This Row],[Valor de referencia]]</f>
        <v>444432</v>
      </c>
      <c r="W713" s="254"/>
      <c r="X713" s="255">
        <f>+Reactivos_[[#This Row],[Cantidad LDF&amp;MR]]*Reactivos_[[#This Row],[Valor de referencia]]</f>
        <v>0</v>
      </c>
      <c r="Y713" s="254"/>
      <c r="Z713" s="255">
        <f>+Reactivos_[[#This Row],[Cantidad RED LASE]]*Reactivos_[[#This Row],[Valor de referencia]]</f>
        <v>0</v>
      </c>
      <c r="AA713" s="254">
        <v>1</v>
      </c>
      <c r="AB713" s="255">
        <f>+Reactivos_[[#This Row],[Cantidad LANIA]]*Reactivos_[[#This Row],[Valor de referencia]]</f>
        <v>444432</v>
      </c>
      <c r="AC713" s="254"/>
      <c r="AD713" s="255">
        <f>+Reactivos_[[#This Row],[Cantidad SPA]]*Reactivos_[[#This Row],[Valor de referencia]]</f>
        <v>0</v>
      </c>
      <c r="AE713" s="148" t="s">
        <v>76</v>
      </c>
      <c r="AF713" s="148" t="s">
        <v>77</v>
      </c>
    </row>
    <row r="714" spans="1:32" ht="29.45" customHeight="1" x14ac:dyDescent="0.25">
      <c r="A714" s="294" t="str">
        <f>IF(B714=Reactivos_[[#This Row],[Cantidad LANIP]],"LANIP",IF(B714=Reactivos_[[#This Row],[Cantidad 
LDV]],"LDV",IF(B714=Reactivos_[[#This Row],[Cantidad LNDV]],"LNDV",IF(B714=Reactivos_[[#This Row],[GGCA]],"GGCA",IF(B714=Reactivos_[[#This Row],[Cantidad LDF]],"LDF",IF(Reactivos_[[#This Row],[Cantidad LDF&amp;MR]],"LDF&amp;MR",IF(B714=Reactivos_[[#This Row],[Cantidad RED LASE]],"LASE",IF(B714=Reactivos_[[#This Row],[Cantidad LANIA]],"LANIA",IF(B714=Reactivos_[[#This Row],[Cantidad SPA]],"SPA"," ")))))))))</f>
        <v>LANIA</v>
      </c>
      <c r="B71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2</v>
      </c>
      <c r="C714" s="325">
        <v>712</v>
      </c>
      <c r="D714" s="326">
        <v>1088</v>
      </c>
      <c r="E714" s="245" t="s">
        <v>1994</v>
      </c>
      <c r="F714" s="244"/>
      <c r="G714" s="245"/>
      <c r="H714" s="349" t="s">
        <v>1995</v>
      </c>
      <c r="I714" s="336" t="s">
        <v>259</v>
      </c>
      <c r="J71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4</v>
      </c>
      <c r="K714" s="160">
        <v>600319</v>
      </c>
      <c r="L714" s="160">
        <f>+Reactivos_[[#This Row],[Cantidad]]*Reactivos_[[#This Row],[Valor de referencia]]</f>
        <v>2401276</v>
      </c>
      <c r="M714" s="254">
        <v>1</v>
      </c>
      <c r="N714" s="255">
        <f>+Reactivos_[[#This Row],[Valor de referencia]]*Reactivos_[[#This Row],[Cantidad LANIP]]</f>
        <v>600319</v>
      </c>
      <c r="O714" s="256"/>
      <c r="P714" s="255">
        <f>+Reactivos_[[#This Row],[Cantidad 
LDV]]*Reactivos_[[#This Row],[Valor de referencia]]</f>
        <v>0</v>
      </c>
      <c r="Q714" s="257"/>
      <c r="R714" s="255">
        <f>+Reactivos_[[#This Row],[Cantidad LNDV]]*Reactivos_[[#This Row],[Valor de referencia]]</f>
        <v>0</v>
      </c>
      <c r="S714" s="148"/>
      <c r="T714" s="255">
        <f>+Reactivos_[[#This Row],[GGCA]]*Reactivos_[[#This Row],[Valor de referencia]]</f>
        <v>0</v>
      </c>
      <c r="U714" s="254">
        <v>1</v>
      </c>
      <c r="V714" s="255">
        <f>+Reactivos_[[#This Row],[Cantidad LDF]]*Reactivos_[[#This Row],[Valor de referencia]]</f>
        <v>600319</v>
      </c>
      <c r="W714" s="254"/>
      <c r="X714" s="255">
        <f>+Reactivos_[[#This Row],[Cantidad LDF&amp;MR]]*Reactivos_[[#This Row],[Valor de referencia]]</f>
        <v>0</v>
      </c>
      <c r="Y714" s="254"/>
      <c r="Z714" s="255">
        <f>+Reactivos_[[#This Row],[Cantidad RED LASE]]*Reactivos_[[#This Row],[Valor de referencia]]</f>
        <v>0</v>
      </c>
      <c r="AA714" s="254">
        <f>1+1</f>
        <v>2</v>
      </c>
      <c r="AB714" s="255">
        <f>+Reactivos_[[#This Row],[Cantidad LANIA]]*Reactivos_[[#This Row],[Valor de referencia]]</f>
        <v>1200638</v>
      </c>
      <c r="AC714" s="254"/>
      <c r="AD714" s="255">
        <f>+Reactivos_[[#This Row],[Cantidad SPA]]*Reactivos_[[#This Row],[Valor de referencia]]</f>
        <v>0</v>
      </c>
      <c r="AE714" s="148" t="s">
        <v>76</v>
      </c>
      <c r="AF714" s="148" t="s">
        <v>77</v>
      </c>
    </row>
    <row r="715" spans="1:32" ht="25.5" x14ac:dyDescent="0.25">
      <c r="A715" s="294" t="str">
        <f>IF(B715=Reactivos_[[#This Row],[Cantidad LANIP]],"LANIP",IF(B715=Reactivos_[[#This Row],[Cantidad 
LDV]],"LDV",IF(B715=Reactivos_[[#This Row],[Cantidad LNDV]],"LNDV",IF(B715=Reactivos_[[#This Row],[GGCA]],"GGCA",IF(B715=Reactivos_[[#This Row],[Cantidad LDF]],"LDF",IF(Reactivos_[[#This Row],[Cantidad LDF&amp;MR]],"LDF&amp;MR",IF(B715=Reactivos_[[#This Row],[Cantidad RED LASE]],"LASE",IF(B715=Reactivos_[[#This Row],[Cantidad LANIA]],"LANIA",IF(B715=Reactivos_[[#This Row],[Cantidad SPA]],"SPA"," ")))))))))</f>
        <v>LNDV</v>
      </c>
      <c r="B71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80</v>
      </c>
      <c r="C715" s="325">
        <v>713</v>
      </c>
      <c r="D715" s="326">
        <v>1089</v>
      </c>
      <c r="E715" s="245" t="s">
        <v>1996</v>
      </c>
      <c r="F715" s="242"/>
      <c r="G715" s="243"/>
      <c r="H715" s="346" t="s">
        <v>1997</v>
      </c>
      <c r="I715" s="336" t="s">
        <v>1998</v>
      </c>
      <c r="J71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120</v>
      </c>
      <c r="K715" s="160">
        <v>1190000</v>
      </c>
      <c r="L715" s="160">
        <f>+Reactivos_[[#This Row],[Cantidad]]*Reactivos_[[#This Row],[Valor de referencia]]</f>
        <v>142800000</v>
      </c>
      <c r="M715" s="254"/>
      <c r="N715" s="255">
        <f>+Reactivos_[[#This Row],[Valor de referencia]]*Reactivos_[[#This Row],[Cantidad LANIP]]</f>
        <v>0</v>
      </c>
      <c r="O715" s="256">
        <v>40</v>
      </c>
      <c r="P715" s="255">
        <f>+Reactivos_[[#This Row],[Cantidad 
LDV]]*Reactivos_[[#This Row],[Valor de referencia]]</f>
        <v>47600000</v>
      </c>
      <c r="Q715" s="257">
        <v>80</v>
      </c>
      <c r="R715" s="255">
        <f>+Reactivos_[[#This Row],[Cantidad LNDV]]*Reactivos_[[#This Row],[Valor de referencia]]</f>
        <v>95200000</v>
      </c>
      <c r="S715" s="148"/>
      <c r="T715" s="255">
        <f>+Reactivos_[[#This Row],[GGCA]]*Reactivos_[[#This Row],[Valor de referencia]]</f>
        <v>0</v>
      </c>
      <c r="U715" s="254"/>
      <c r="V715" s="255">
        <f>+Reactivos_[[#This Row],[Cantidad LDF]]*Reactivos_[[#This Row],[Valor de referencia]]</f>
        <v>0</v>
      </c>
      <c r="W715" s="254"/>
      <c r="X715" s="255">
        <f>+Reactivos_[[#This Row],[Cantidad LDF&amp;MR]]*Reactivos_[[#This Row],[Valor de referencia]]</f>
        <v>0</v>
      </c>
      <c r="Y715" s="254"/>
      <c r="Z715" s="255">
        <f>+Reactivos_[[#This Row],[Cantidad RED LASE]]*Reactivos_[[#This Row],[Valor de referencia]]</f>
        <v>0</v>
      </c>
      <c r="AA715" s="254"/>
      <c r="AB715" s="255">
        <f>+Reactivos_[[#This Row],[Cantidad LANIA]]*Reactivos_[[#This Row],[Valor de referencia]]</f>
        <v>0</v>
      </c>
      <c r="AC715" s="254"/>
      <c r="AD715" s="255">
        <f>+Reactivos_[[#This Row],[Cantidad SPA]]*Reactivos_[[#This Row],[Valor de referencia]]</f>
        <v>0</v>
      </c>
      <c r="AE715" s="148" t="s">
        <v>76</v>
      </c>
      <c r="AF715" s="148" t="s">
        <v>77</v>
      </c>
    </row>
    <row r="716" spans="1:32" ht="27.75" customHeight="1" x14ac:dyDescent="0.25">
      <c r="A716" s="294" t="str">
        <f>IF(B716=Reactivos_[[#This Row],[Cantidad LANIP]],"LANIP",IF(B716=Reactivos_[[#This Row],[Cantidad 
LDV]],"LDV",IF(B716=Reactivos_[[#This Row],[Cantidad LNDV]],"LNDV",IF(B716=Reactivos_[[#This Row],[GGCA]],"GGCA",IF(B716=Reactivos_[[#This Row],[Cantidad LDF]],"LDF",IF(Reactivos_[[#This Row],[Cantidad LDF&amp;MR]],"LDF&amp;MR",IF(B716=Reactivos_[[#This Row],[Cantidad RED LASE]],"LASE",IF(B716=Reactivos_[[#This Row],[Cantidad LANIA]],"LANIA",IF(B716=Reactivos_[[#This Row],[Cantidad SPA]],"SPA"," ")))))))))</f>
        <v>LDF&amp;MR</v>
      </c>
      <c r="B71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16" s="325">
        <v>714</v>
      </c>
      <c r="D716" s="326">
        <v>1090</v>
      </c>
      <c r="E716" s="327" t="s">
        <v>1999</v>
      </c>
      <c r="F716" s="242"/>
      <c r="G716" s="243"/>
      <c r="H716" s="391" t="s">
        <v>2000</v>
      </c>
      <c r="I716" s="392" t="s">
        <v>2001</v>
      </c>
      <c r="J71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16" s="160">
        <v>651131</v>
      </c>
      <c r="L716" s="160">
        <f>+Reactivos_[[#This Row],[Cantidad]]*Reactivos_[[#This Row],[Valor de referencia]]</f>
        <v>651131</v>
      </c>
      <c r="M716" s="254"/>
      <c r="N716" s="255">
        <f>+Reactivos_[[#This Row],[Valor de referencia]]*Reactivos_[[#This Row],[Cantidad LANIP]]</f>
        <v>0</v>
      </c>
      <c r="O716" s="256"/>
      <c r="P716" s="255">
        <f>+Reactivos_[[#This Row],[Cantidad 
LDV]]*Reactivos_[[#This Row],[Valor de referencia]]</f>
        <v>0</v>
      </c>
      <c r="Q716" s="257"/>
      <c r="R716" s="255">
        <f>+Reactivos_[[#This Row],[Cantidad LNDV]]*Reactivos_[[#This Row],[Valor de referencia]]</f>
        <v>0</v>
      </c>
      <c r="S716" s="148"/>
      <c r="T716" s="255">
        <f>+Reactivos_[[#This Row],[GGCA]]*Reactivos_[[#This Row],[Valor de referencia]]</f>
        <v>0</v>
      </c>
      <c r="U716" s="254"/>
      <c r="V716" s="255">
        <f>+Reactivos_[[#This Row],[Cantidad LDF]]*Reactivos_[[#This Row],[Valor de referencia]]</f>
        <v>0</v>
      </c>
      <c r="W716" s="254">
        <v>1</v>
      </c>
      <c r="X716" s="255">
        <f>+Reactivos_[[#This Row],[Cantidad LDF&amp;MR]]*Reactivos_[[#This Row],[Valor de referencia]]</f>
        <v>651131</v>
      </c>
      <c r="Y716" s="254"/>
      <c r="Z716" s="255">
        <f>+Reactivos_[[#This Row],[Cantidad RED LASE]]*Reactivos_[[#This Row],[Valor de referencia]]</f>
        <v>0</v>
      </c>
      <c r="AA716" s="254"/>
      <c r="AB716" s="255">
        <f>+Reactivos_[[#This Row],[Cantidad LANIA]]*Reactivos_[[#This Row],[Valor de referencia]]</f>
        <v>0</v>
      </c>
      <c r="AC716" s="254"/>
      <c r="AD716" s="255">
        <f>+Reactivos_[[#This Row],[Cantidad SPA]]*Reactivos_[[#This Row],[Valor de referencia]]</f>
        <v>0</v>
      </c>
      <c r="AE716" s="148" t="s">
        <v>76</v>
      </c>
      <c r="AF716" s="148" t="s">
        <v>77</v>
      </c>
    </row>
    <row r="717" spans="1:32" ht="25.5" x14ac:dyDescent="0.25">
      <c r="A717" s="294" t="str">
        <f>IF(B717=Reactivos_[[#This Row],[Cantidad LANIP]],"LANIP",IF(B717=Reactivos_[[#This Row],[Cantidad 
LDV]],"LDV",IF(B717=Reactivos_[[#This Row],[Cantidad LNDV]],"LNDV",IF(B717=Reactivos_[[#This Row],[GGCA]],"GGCA",IF(B717=Reactivos_[[#This Row],[Cantidad LDF]],"LDF",IF(Reactivos_[[#This Row],[Cantidad LDF&amp;MR]],"LDF&amp;MR",IF(B717=Reactivos_[[#This Row],[Cantidad RED LASE]],"LASE",IF(B717=Reactivos_[[#This Row],[Cantidad LANIA]],"LANIA",IF(B717=Reactivos_[[#This Row],[Cantidad SPA]],"SPA"," ")))))))))</f>
        <v>LDF&amp;MR</v>
      </c>
      <c r="B71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17" s="325">
        <v>715</v>
      </c>
      <c r="D717" s="326">
        <v>1091</v>
      </c>
      <c r="E717" s="327" t="s">
        <v>2002</v>
      </c>
      <c r="F717" s="242"/>
      <c r="G717" s="243"/>
      <c r="H717" s="391" t="s">
        <v>2003</v>
      </c>
      <c r="I717" s="392" t="s">
        <v>2001</v>
      </c>
      <c r="J71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17" s="160">
        <v>651131</v>
      </c>
      <c r="L717" s="160">
        <f>+Reactivos_[[#This Row],[Cantidad]]*Reactivos_[[#This Row],[Valor de referencia]]</f>
        <v>651131</v>
      </c>
      <c r="M717" s="254"/>
      <c r="N717" s="255">
        <f>+Reactivos_[[#This Row],[Valor de referencia]]*Reactivos_[[#This Row],[Cantidad LANIP]]</f>
        <v>0</v>
      </c>
      <c r="O717" s="256"/>
      <c r="P717" s="255">
        <f>+Reactivos_[[#This Row],[Cantidad 
LDV]]*Reactivos_[[#This Row],[Valor de referencia]]</f>
        <v>0</v>
      </c>
      <c r="Q717" s="257"/>
      <c r="R717" s="255">
        <f>+Reactivos_[[#This Row],[Cantidad LNDV]]*Reactivos_[[#This Row],[Valor de referencia]]</f>
        <v>0</v>
      </c>
      <c r="S717" s="148"/>
      <c r="T717" s="255">
        <f>+Reactivos_[[#This Row],[GGCA]]*Reactivos_[[#This Row],[Valor de referencia]]</f>
        <v>0</v>
      </c>
      <c r="U717" s="254"/>
      <c r="V717" s="255">
        <f>+Reactivos_[[#This Row],[Cantidad LDF]]*Reactivos_[[#This Row],[Valor de referencia]]</f>
        <v>0</v>
      </c>
      <c r="W717" s="254">
        <v>1</v>
      </c>
      <c r="X717" s="255">
        <f>+Reactivos_[[#This Row],[Cantidad LDF&amp;MR]]*Reactivos_[[#This Row],[Valor de referencia]]</f>
        <v>651131</v>
      </c>
      <c r="Y717" s="254"/>
      <c r="Z717" s="255">
        <f>+Reactivos_[[#This Row],[Cantidad RED LASE]]*Reactivos_[[#This Row],[Valor de referencia]]</f>
        <v>0</v>
      </c>
      <c r="AA717" s="254"/>
      <c r="AB717" s="255">
        <f>+Reactivos_[[#This Row],[Cantidad LANIA]]*Reactivos_[[#This Row],[Valor de referencia]]</f>
        <v>0</v>
      </c>
      <c r="AC717" s="254"/>
      <c r="AD717" s="255">
        <f>+Reactivos_[[#This Row],[Cantidad SPA]]*Reactivos_[[#This Row],[Valor de referencia]]</f>
        <v>0</v>
      </c>
      <c r="AE717" s="148" t="s">
        <v>76</v>
      </c>
      <c r="AF717" s="148" t="s">
        <v>77</v>
      </c>
    </row>
    <row r="718" spans="1:32" ht="25.5" x14ac:dyDescent="0.25">
      <c r="A718" s="294" t="str">
        <f>IF(B718=Reactivos_[[#This Row],[Cantidad LANIP]],"LANIP",IF(B718=Reactivos_[[#This Row],[Cantidad 
LDV]],"LDV",IF(B718=Reactivos_[[#This Row],[Cantidad LNDV]],"LNDV",IF(B718=Reactivos_[[#This Row],[GGCA]],"GGCA",IF(B718=Reactivos_[[#This Row],[Cantidad LDF]],"LDF",IF(Reactivos_[[#This Row],[Cantidad LDF&amp;MR]],"LDF&amp;MR",IF(B718=Reactivos_[[#This Row],[Cantidad RED LASE]],"LASE",IF(B718=Reactivos_[[#This Row],[Cantidad LANIA]],"LANIA",IF(B718=Reactivos_[[#This Row],[Cantidad SPA]],"SPA"," ")))))))))</f>
        <v>LDF&amp;MR</v>
      </c>
      <c r="B71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18" s="325">
        <v>716</v>
      </c>
      <c r="D718" s="326">
        <v>1092</v>
      </c>
      <c r="E718" s="327" t="s">
        <v>2004</v>
      </c>
      <c r="F718" s="242"/>
      <c r="G718" s="243"/>
      <c r="H718" s="391" t="s">
        <v>2005</v>
      </c>
      <c r="I718" s="392" t="s">
        <v>2001</v>
      </c>
      <c r="J71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18" s="160">
        <v>651131</v>
      </c>
      <c r="L718" s="160">
        <f>+Reactivos_[[#This Row],[Cantidad]]*Reactivos_[[#This Row],[Valor de referencia]]</f>
        <v>651131</v>
      </c>
      <c r="M718" s="254"/>
      <c r="N718" s="255">
        <f>+Reactivos_[[#This Row],[Valor de referencia]]*Reactivos_[[#This Row],[Cantidad LANIP]]</f>
        <v>0</v>
      </c>
      <c r="O718" s="256"/>
      <c r="P718" s="255">
        <f>+Reactivos_[[#This Row],[Cantidad 
LDV]]*Reactivos_[[#This Row],[Valor de referencia]]</f>
        <v>0</v>
      </c>
      <c r="Q718" s="257"/>
      <c r="R718" s="255">
        <f>+Reactivos_[[#This Row],[Cantidad LNDV]]*Reactivos_[[#This Row],[Valor de referencia]]</f>
        <v>0</v>
      </c>
      <c r="S718" s="148"/>
      <c r="T718" s="255">
        <f>+Reactivos_[[#This Row],[GGCA]]*Reactivos_[[#This Row],[Valor de referencia]]</f>
        <v>0</v>
      </c>
      <c r="U718" s="254"/>
      <c r="V718" s="255">
        <f>+Reactivos_[[#This Row],[Cantidad LDF]]*Reactivos_[[#This Row],[Valor de referencia]]</f>
        <v>0</v>
      </c>
      <c r="W718" s="254">
        <v>1</v>
      </c>
      <c r="X718" s="255">
        <f>+Reactivos_[[#This Row],[Cantidad LDF&amp;MR]]*Reactivos_[[#This Row],[Valor de referencia]]</f>
        <v>651131</v>
      </c>
      <c r="Y718" s="254"/>
      <c r="Z718" s="255">
        <f>+Reactivos_[[#This Row],[Cantidad RED LASE]]*Reactivos_[[#This Row],[Valor de referencia]]</f>
        <v>0</v>
      </c>
      <c r="AA718" s="254"/>
      <c r="AB718" s="255">
        <f>+Reactivos_[[#This Row],[Cantidad LANIA]]*Reactivos_[[#This Row],[Valor de referencia]]</f>
        <v>0</v>
      </c>
      <c r="AC718" s="254"/>
      <c r="AD718" s="255">
        <f>+Reactivos_[[#This Row],[Cantidad SPA]]*Reactivos_[[#This Row],[Valor de referencia]]</f>
        <v>0</v>
      </c>
      <c r="AE718" s="148" t="s">
        <v>76</v>
      </c>
      <c r="AF718" s="148" t="s">
        <v>77</v>
      </c>
    </row>
    <row r="719" spans="1:32" ht="25.5" x14ac:dyDescent="0.25">
      <c r="A719" s="294" t="str">
        <f>IF(B719=Reactivos_[[#This Row],[Cantidad LANIP]],"LANIP",IF(B719=Reactivos_[[#This Row],[Cantidad 
LDV]],"LDV",IF(B719=Reactivos_[[#This Row],[Cantidad LNDV]],"LNDV",IF(B719=Reactivos_[[#This Row],[GGCA]],"GGCA",IF(B719=Reactivos_[[#This Row],[Cantidad LDF]],"LDF",IF(Reactivos_[[#This Row],[Cantidad LDF&amp;MR]],"LDF&amp;MR",IF(B719=Reactivos_[[#This Row],[Cantidad RED LASE]],"LASE",IF(B719=Reactivos_[[#This Row],[Cantidad LANIA]],"LANIA",IF(B719=Reactivos_[[#This Row],[Cantidad SPA]],"SPA"," ")))))))))</f>
        <v>LDF&amp;MR</v>
      </c>
      <c r="B71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19" s="325">
        <v>717</v>
      </c>
      <c r="D719" s="326">
        <v>1093</v>
      </c>
      <c r="E719" s="327" t="s">
        <v>2006</v>
      </c>
      <c r="F719" s="242"/>
      <c r="G719" s="243"/>
      <c r="H719" s="391" t="s">
        <v>2007</v>
      </c>
      <c r="I719" s="392" t="s">
        <v>2001</v>
      </c>
      <c r="J71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19" s="160">
        <v>651131</v>
      </c>
      <c r="L719" s="160">
        <f>+Reactivos_[[#This Row],[Cantidad]]*Reactivos_[[#This Row],[Valor de referencia]]</f>
        <v>651131</v>
      </c>
      <c r="M719" s="254"/>
      <c r="N719" s="255">
        <f>+Reactivos_[[#This Row],[Valor de referencia]]*Reactivos_[[#This Row],[Cantidad LANIP]]</f>
        <v>0</v>
      </c>
      <c r="O719" s="256"/>
      <c r="P719" s="255">
        <f>+Reactivos_[[#This Row],[Cantidad 
LDV]]*Reactivos_[[#This Row],[Valor de referencia]]</f>
        <v>0</v>
      </c>
      <c r="Q719" s="257"/>
      <c r="R719" s="255">
        <f>+Reactivos_[[#This Row],[Cantidad LNDV]]*Reactivos_[[#This Row],[Valor de referencia]]</f>
        <v>0</v>
      </c>
      <c r="S719" s="148"/>
      <c r="T719" s="255">
        <f>+Reactivos_[[#This Row],[GGCA]]*Reactivos_[[#This Row],[Valor de referencia]]</f>
        <v>0</v>
      </c>
      <c r="U719" s="254"/>
      <c r="V719" s="255">
        <f>+Reactivos_[[#This Row],[Cantidad LDF]]*Reactivos_[[#This Row],[Valor de referencia]]</f>
        <v>0</v>
      </c>
      <c r="W719" s="254">
        <v>1</v>
      </c>
      <c r="X719" s="255">
        <f>+Reactivos_[[#This Row],[Cantidad LDF&amp;MR]]*Reactivos_[[#This Row],[Valor de referencia]]</f>
        <v>651131</v>
      </c>
      <c r="Y719" s="254"/>
      <c r="Z719" s="255">
        <f>+Reactivos_[[#This Row],[Cantidad RED LASE]]*Reactivos_[[#This Row],[Valor de referencia]]</f>
        <v>0</v>
      </c>
      <c r="AA719" s="254"/>
      <c r="AB719" s="255">
        <f>+Reactivos_[[#This Row],[Cantidad LANIA]]*Reactivos_[[#This Row],[Valor de referencia]]</f>
        <v>0</v>
      </c>
      <c r="AC719" s="254"/>
      <c r="AD719" s="255">
        <f>+Reactivos_[[#This Row],[Cantidad SPA]]*Reactivos_[[#This Row],[Valor de referencia]]</f>
        <v>0</v>
      </c>
      <c r="AE719" s="148" t="s">
        <v>76</v>
      </c>
      <c r="AF719" s="148" t="s">
        <v>77</v>
      </c>
    </row>
    <row r="720" spans="1:32" ht="25.5" x14ac:dyDescent="0.25">
      <c r="A720" s="294" t="str">
        <f>IF(B720=Reactivos_[[#This Row],[Cantidad LANIP]],"LANIP",IF(B720=Reactivos_[[#This Row],[Cantidad 
LDV]],"LDV",IF(B720=Reactivos_[[#This Row],[Cantidad LNDV]],"LNDV",IF(B720=Reactivos_[[#This Row],[GGCA]],"GGCA",IF(B720=Reactivos_[[#This Row],[Cantidad LDF]],"LDF",IF(Reactivos_[[#This Row],[Cantidad LDF&amp;MR]],"LDF&amp;MR",IF(B720=Reactivos_[[#This Row],[Cantidad RED LASE]],"LASE",IF(B720=Reactivos_[[#This Row],[Cantidad LANIA]],"LANIA",IF(B720=Reactivos_[[#This Row],[Cantidad SPA]],"SPA"," ")))))))))</f>
        <v>LDF&amp;MR</v>
      </c>
      <c r="B72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0" s="325">
        <v>718</v>
      </c>
      <c r="D720" s="326">
        <v>1094</v>
      </c>
      <c r="E720" s="327" t="s">
        <v>2008</v>
      </c>
      <c r="F720" s="242"/>
      <c r="G720" s="243"/>
      <c r="H720" s="391" t="s">
        <v>2009</v>
      </c>
      <c r="I720" s="392" t="s">
        <v>2001</v>
      </c>
      <c r="J72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0" s="160">
        <v>716244</v>
      </c>
      <c r="L720" s="160">
        <f>+Reactivos_[[#This Row],[Cantidad]]*Reactivos_[[#This Row],[Valor de referencia]]</f>
        <v>716244</v>
      </c>
      <c r="M720" s="254"/>
      <c r="N720" s="255">
        <f>+Reactivos_[[#This Row],[Valor de referencia]]*Reactivos_[[#This Row],[Cantidad LANIP]]</f>
        <v>0</v>
      </c>
      <c r="O720" s="256"/>
      <c r="P720" s="255">
        <f>+Reactivos_[[#This Row],[Cantidad 
LDV]]*Reactivos_[[#This Row],[Valor de referencia]]</f>
        <v>0</v>
      </c>
      <c r="Q720" s="257"/>
      <c r="R720" s="255">
        <f>+Reactivos_[[#This Row],[Cantidad LNDV]]*Reactivos_[[#This Row],[Valor de referencia]]</f>
        <v>0</v>
      </c>
      <c r="S720" s="148"/>
      <c r="T720" s="255">
        <f>+Reactivos_[[#This Row],[GGCA]]*Reactivos_[[#This Row],[Valor de referencia]]</f>
        <v>0</v>
      </c>
      <c r="U720" s="254"/>
      <c r="V720" s="255">
        <f>+Reactivos_[[#This Row],[Cantidad LDF]]*Reactivos_[[#This Row],[Valor de referencia]]</f>
        <v>0</v>
      </c>
      <c r="W720" s="254">
        <v>1</v>
      </c>
      <c r="X720" s="255">
        <f>+Reactivos_[[#This Row],[Cantidad LDF&amp;MR]]*Reactivos_[[#This Row],[Valor de referencia]]</f>
        <v>716244</v>
      </c>
      <c r="Y720" s="254"/>
      <c r="Z720" s="255">
        <f>+Reactivos_[[#This Row],[Cantidad RED LASE]]*Reactivos_[[#This Row],[Valor de referencia]]</f>
        <v>0</v>
      </c>
      <c r="AA720" s="254"/>
      <c r="AB720" s="255">
        <f>+Reactivos_[[#This Row],[Cantidad LANIA]]*Reactivos_[[#This Row],[Valor de referencia]]</f>
        <v>0</v>
      </c>
      <c r="AC720" s="254"/>
      <c r="AD720" s="255">
        <f>+Reactivos_[[#This Row],[Cantidad SPA]]*Reactivos_[[#This Row],[Valor de referencia]]</f>
        <v>0</v>
      </c>
      <c r="AE720" s="148" t="s">
        <v>76</v>
      </c>
      <c r="AF720" s="148" t="s">
        <v>77</v>
      </c>
    </row>
    <row r="721" spans="1:32" ht="25.5" x14ac:dyDescent="0.25">
      <c r="A721" s="294" t="str">
        <f>IF(B721=Reactivos_[[#This Row],[Cantidad LANIP]],"LANIP",IF(B721=Reactivos_[[#This Row],[Cantidad 
LDV]],"LDV",IF(B721=Reactivos_[[#This Row],[Cantidad LNDV]],"LNDV",IF(B721=Reactivos_[[#This Row],[GGCA]],"GGCA",IF(B721=Reactivos_[[#This Row],[Cantidad LDF]],"LDF",IF(Reactivos_[[#This Row],[Cantidad LDF&amp;MR]],"LDF&amp;MR",IF(B721=Reactivos_[[#This Row],[Cantidad RED LASE]],"LASE",IF(B721=Reactivos_[[#This Row],[Cantidad LANIA]],"LANIA",IF(B721=Reactivos_[[#This Row],[Cantidad SPA]],"SPA"," ")))))))))</f>
        <v>LDF&amp;MR</v>
      </c>
      <c r="B72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1" s="325">
        <v>719</v>
      </c>
      <c r="D721" s="326">
        <v>1095</v>
      </c>
      <c r="E721" s="327" t="s">
        <v>2010</v>
      </c>
      <c r="F721" s="242"/>
      <c r="G721" s="243"/>
      <c r="H721" s="391" t="s">
        <v>2011</v>
      </c>
      <c r="I721" s="392" t="s">
        <v>2001</v>
      </c>
      <c r="J72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1" s="160">
        <v>716244</v>
      </c>
      <c r="L721" s="160">
        <f>+Reactivos_[[#This Row],[Cantidad]]*Reactivos_[[#This Row],[Valor de referencia]]</f>
        <v>716244</v>
      </c>
      <c r="M721" s="254"/>
      <c r="N721" s="255">
        <f>+Reactivos_[[#This Row],[Valor de referencia]]*Reactivos_[[#This Row],[Cantidad LANIP]]</f>
        <v>0</v>
      </c>
      <c r="O721" s="256"/>
      <c r="P721" s="255">
        <f>+Reactivos_[[#This Row],[Cantidad 
LDV]]*Reactivos_[[#This Row],[Valor de referencia]]</f>
        <v>0</v>
      </c>
      <c r="Q721" s="257"/>
      <c r="R721" s="255">
        <f>+Reactivos_[[#This Row],[Cantidad LNDV]]*Reactivos_[[#This Row],[Valor de referencia]]</f>
        <v>0</v>
      </c>
      <c r="S721" s="148"/>
      <c r="T721" s="255">
        <f>+Reactivos_[[#This Row],[GGCA]]*Reactivos_[[#This Row],[Valor de referencia]]</f>
        <v>0</v>
      </c>
      <c r="U721" s="254"/>
      <c r="V721" s="255">
        <f>+Reactivos_[[#This Row],[Cantidad LDF]]*Reactivos_[[#This Row],[Valor de referencia]]</f>
        <v>0</v>
      </c>
      <c r="W721" s="254">
        <v>1</v>
      </c>
      <c r="X721" s="255">
        <f>+Reactivos_[[#This Row],[Cantidad LDF&amp;MR]]*Reactivos_[[#This Row],[Valor de referencia]]</f>
        <v>716244</v>
      </c>
      <c r="Y721" s="254"/>
      <c r="Z721" s="255">
        <f>+Reactivos_[[#This Row],[Cantidad RED LASE]]*Reactivos_[[#This Row],[Valor de referencia]]</f>
        <v>0</v>
      </c>
      <c r="AA721" s="254"/>
      <c r="AB721" s="255">
        <f>+Reactivos_[[#This Row],[Cantidad LANIA]]*Reactivos_[[#This Row],[Valor de referencia]]</f>
        <v>0</v>
      </c>
      <c r="AC721" s="254"/>
      <c r="AD721" s="255">
        <f>+Reactivos_[[#This Row],[Cantidad SPA]]*Reactivos_[[#This Row],[Valor de referencia]]</f>
        <v>0</v>
      </c>
      <c r="AE721" s="148" t="s">
        <v>76</v>
      </c>
      <c r="AF721" s="148" t="s">
        <v>77</v>
      </c>
    </row>
    <row r="722" spans="1:32" ht="25.5" x14ac:dyDescent="0.25">
      <c r="A722" s="294" t="str">
        <f>IF(B722=Reactivos_[[#This Row],[Cantidad LANIP]],"LANIP",IF(B722=Reactivos_[[#This Row],[Cantidad 
LDV]],"LDV",IF(B722=Reactivos_[[#This Row],[Cantidad LNDV]],"LNDV",IF(B722=Reactivos_[[#This Row],[GGCA]],"GGCA",IF(B722=Reactivos_[[#This Row],[Cantidad LDF]],"LDF",IF(Reactivos_[[#This Row],[Cantidad LDF&amp;MR]],"LDF&amp;MR",IF(B722=Reactivos_[[#This Row],[Cantidad RED LASE]],"LASE",IF(B722=Reactivos_[[#This Row],[Cantidad LANIA]],"LANIA",IF(B722=Reactivos_[[#This Row],[Cantidad SPA]],"SPA"," ")))))))))</f>
        <v>LDF&amp;MR</v>
      </c>
      <c r="B722"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2" s="325">
        <v>720</v>
      </c>
      <c r="D722" s="326">
        <v>1096</v>
      </c>
      <c r="E722" s="327" t="s">
        <v>2012</v>
      </c>
      <c r="F722" s="242"/>
      <c r="G722" s="243"/>
      <c r="H722" s="391" t="s">
        <v>2013</v>
      </c>
      <c r="I722" s="392" t="s">
        <v>2001</v>
      </c>
      <c r="J722"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2" s="160">
        <v>716244</v>
      </c>
      <c r="L722" s="160">
        <f>+Reactivos_[[#This Row],[Cantidad]]*Reactivos_[[#This Row],[Valor de referencia]]</f>
        <v>716244</v>
      </c>
      <c r="M722" s="254"/>
      <c r="N722" s="255">
        <f>+Reactivos_[[#This Row],[Valor de referencia]]*Reactivos_[[#This Row],[Cantidad LANIP]]</f>
        <v>0</v>
      </c>
      <c r="O722" s="256"/>
      <c r="P722" s="255">
        <f>+Reactivos_[[#This Row],[Cantidad 
LDV]]*Reactivos_[[#This Row],[Valor de referencia]]</f>
        <v>0</v>
      </c>
      <c r="Q722" s="257"/>
      <c r="R722" s="255">
        <f>+Reactivos_[[#This Row],[Cantidad LNDV]]*Reactivos_[[#This Row],[Valor de referencia]]</f>
        <v>0</v>
      </c>
      <c r="S722" s="148"/>
      <c r="T722" s="255">
        <f>+Reactivos_[[#This Row],[GGCA]]*Reactivos_[[#This Row],[Valor de referencia]]</f>
        <v>0</v>
      </c>
      <c r="U722" s="254"/>
      <c r="V722" s="255">
        <f>+Reactivos_[[#This Row],[Cantidad LDF]]*Reactivos_[[#This Row],[Valor de referencia]]</f>
        <v>0</v>
      </c>
      <c r="W722" s="254">
        <v>1</v>
      </c>
      <c r="X722" s="255">
        <f>+Reactivos_[[#This Row],[Cantidad LDF&amp;MR]]*Reactivos_[[#This Row],[Valor de referencia]]</f>
        <v>716244</v>
      </c>
      <c r="Y722" s="254"/>
      <c r="Z722" s="255">
        <f>+Reactivos_[[#This Row],[Cantidad RED LASE]]*Reactivos_[[#This Row],[Valor de referencia]]</f>
        <v>0</v>
      </c>
      <c r="AA722" s="254"/>
      <c r="AB722" s="255">
        <f>+Reactivos_[[#This Row],[Cantidad LANIA]]*Reactivos_[[#This Row],[Valor de referencia]]</f>
        <v>0</v>
      </c>
      <c r="AC722" s="254"/>
      <c r="AD722" s="255">
        <f>+Reactivos_[[#This Row],[Cantidad SPA]]*Reactivos_[[#This Row],[Valor de referencia]]</f>
        <v>0</v>
      </c>
      <c r="AE722" s="148" t="s">
        <v>76</v>
      </c>
      <c r="AF722" s="148" t="s">
        <v>77</v>
      </c>
    </row>
    <row r="723" spans="1:32" ht="38.25" x14ac:dyDescent="0.25">
      <c r="A723" s="294" t="str">
        <f>IF(B723=Reactivos_[[#This Row],[Cantidad LANIP]],"LANIP",IF(B723=Reactivos_[[#This Row],[Cantidad 
LDV]],"LDV",IF(B723=Reactivos_[[#This Row],[Cantidad LNDV]],"LNDV",IF(B723=Reactivos_[[#This Row],[GGCA]],"GGCA",IF(B723=Reactivos_[[#This Row],[Cantidad LDF]],"LDF",IF(Reactivos_[[#This Row],[Cantidad LDF&amp;MR]],"LDF&amp;MR",IF(B723=Reactivos_[[#This Row],[Cantidad RED LASE]],"LASE",IF(B723=Reactivos_[[#This Row],[Cantidad LANIA]],"LANIA",IF(B723=Reactivos_[[#This Row],[Cantidad SPA]],"SPA"," ")))))))))</f>
        <v>LDF&amp;MR</v>
      </c>
      <c r="B723"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3" s="325">
        <v>721</v>
      </c>
      <c r="D723" s="326">
        <v>1097</v>
      </c>
      <c r="E723" s="327" t="s">
        <v>2014</v>
      </c>
      <c r="F723" s="242"/>
      <c r="G723" s="243"/>
      <c r="H723" s="391" t="s">
        <v>2015</v>
      </c>
      <c r="I723" s="392" t="s">
        <v>2001</v>
      </c>
      <c r="J723"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3" s="160">
        <v>716244</v>
      </c>
      <c r="L723" s="160">
        <f>+Reactivos_[[#This Row],[Cantidad]]*Reactivos_[[#This Row],[Valor de referencia]]</f>
        <v>716244</v>
      </c>
      <c r="M723" s="254"/>
      <c r="N723" s="255">
        <f>+Reactivos_[[#This Row],[Valor de referencia]]*Reactivos_[[#This Row],[Cantidad LANIP]]</f>
        <v>0</v>
      </c>
      <c r="O723" s="256"/>
      <c r="P723" s="255">
        <f>+Reactivos_[[#This Row],[Cantidad 
LDV]]*Reactivos_[[#This Row],[Valor de referencia]]</f>
        <v>0</v>
      </c>
      <c r="Q723" s="257"/>
      <c r="R723" s="255">
        <f>+Reactivos_[[#This Row],[Cantidad LNDV]]*Reactivos_[[#This Row],[Valor de referencia]]</f>
        <v>0</v>
      </c>
      <c r="S723" s="148"/>
      <c r="T723" s="255">
        <f>+Reactivos_[[#This Row],[GGCA]]*Reactivos_[[#This Row],[Valor de referencia]]</f>
        <v>0</v>
      </c>
      <c r="U723" s="254"/>
      <c r="V723" s="255">
        <f>+Reactivos_[[#This Row],[Cantidad LDF]]*Reactivos_[[#This Row],[Valor de referencia]]</f>
        <v>0</v>
      </c>
      <c r="W723" s="254">
        <v>1</v>
      </c>
      <c r="X723" s="255">
        <f>+Reactivos_[[#This Row],[Cantidad LDF&amp;MR]]*Reactivos_[[#This Row],[Valor de referencia]]</f>
        <v>716244</v>
      </c>
      <c r="Y723" s="254"/>
      <c r="Z723" s="255">
        <f>+Reactivos_[[#This Row],[Cantidad RED LASE]]*Reactivos_[[#This Row],[Valor de referencia]]</f>
        <v>0</v>
      </c>
      <c r="AA723" s="254"/>
      <c r="AB723" s="255">
        <f>+Reactivos_[[#This Row],[Cantidad LANIA]]*Reactivos_[[#This Row],[Valor de referencia]]</f>
        <v>0</v>
      </c>
      <c r="AC723" s="254"/>
      <c r="AD723" s="255">
        <f>+Reactivos_[[#This Row],[Cantidad SPA]]*Reactivos_[[#This Row],[Valor de referencia]]</f>
        <v>0</v>
      </c>
      <c r="AE723" s="148" t="s">
        <v>76</v>
      </c>
      <c r="AF723" s="148" t="s">
        <v>77</v>
      </c>
    </row>
    <row r="724" spans="1:32" ht="25.5" x14ac:dyDescent="0.25">
      <c r="A724" s="294" t="str">
        <f>IF(B724=Reactivos_[[#This Row],[Cantidad LANIP]],"LANIP",IF(B724=Reactivos_[[#This Row],[Cantidad 
LDV]],"LDV",IF(B724=Reactivos_[[#This Row],[Cantidad LNDV]],"LNDV",IF(B724=Reactivos_[[#This Row],[GGCA]],"GGCA",IF(B724=Reactivos_[[#This Row],[Cantidad LDF]],"LDF",IF(Reactivos_[[#This Row],[Cantidad LDF&amp;MR]],"LDF&amp;MR",IF(B724=Reactivos_[[#This Row],[Cantidad RED LASE]],"LASE",IF(B724=Reactivos_[[#This Row],[Cantidad LANIA]],"LANIA",IF(B724=Reactivos_[[#This Row],[Cantidad SPA]],"SPA"," ")))))))))</f>
        <v>LDF&amp;MR</v>
      </c>
      <c r="B724"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4" s="325">
        <v>722</v>
      </c>
      <c r="D724" s="326">
        <v>1098</v>
      </c>
      <c r="E724" s="327" t="s">
        <v>2016</v>
      </c>
      <c r="F724" s="242"/>
      <c r="G724" s="243"/>
      <c r="H724" s="391" t="s">
        <v>2017</v>
      </c>
      <c r="I724" s="392" t="s">
        <v>2001</v>
      </c>
      <c r="J724"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4" s="160">
        <v>716244</v>
      </c>
      <c r="L724" s="160">
        <f>+Reactivos_[[#This Row],[Cantidad]]*Reactivos_[[#This Row],[Valor de referencia]]</f>
        <v>716244</v>
      </c>
      <c r="M724" s="254"/>
      <c r="N724" s="255">
        <f>+Reactivos_[[#This Row],[Valor de referencia]]*Reactivos_[[#This Row],[Cantidad LANIP]]</f>
        <v>0</v>
      </c>
      <c r="O724" s="256"/>
      <c r="P724" s="255">
        <f>+Reactivos_[[#This Row],[Cantidad 
LDV]]*Reactivos_[[#This Row],[Valor de referencia]]</f>
        <v>0</v>
      </c>
      <c r="Q724" s="257"/>
      <c r="R724" s="255">
        <f>+Reactivos_[[#This Row],[Cantidad LNDV]]*Reactivos_[[#This Row],[Valor de referencia]]</f>
        <v>0</v>
      </c>
      <c r="S724" s="148"/>
      <c r="T724" s="255">
        <f>+Reactivos_[[#This Row],[GGCA]]*Reactivos_[[#This Row],[Valor de referencia]]</f>
        <v>0</v>
      </c>
      <c r="U724" s="254"/>
      <c r="V724" s="255">
        <f>+Reactivos_[[#This Row],[Cantidad LDF]]*Reactivos_[[#This Row],[Valor de referencia]]</f>
        <v>0</v>
      </c>
      <c r="W724" s="254">
        <v>1</v>
      </c>
      <c r="X724" s="255">
        <f>+Reactivos_[[#This Row],[Cantidad LDF&amp;MR]]*Reactivos_[[#This Row],[Valor de referencia]]</f>
        <v>716244</v>
      </c>
      <c r="Y724" s="254"/>
      <c r="Z724" s="255">
        <f>+Reactivos_[[#This Row],[Cantidad RED LASE]]*Reactivos_[[#This Row],[Valor de referencia]]</f>
        <v>0</v>
      </c>
      <c r="AA724" s="254"/>
      <c r="AB724" s="255">
        <f>+Reactivos_[[#This Row],[Cantidad LANIA]]*Reactivos_[[#This Row],[Valor de referencia]]</f>
        <v>0</v>
      </c>
      <c r="AC724" s="254"/>
      <c r="AD724" s="255">
        <f>+Reactivos_[[#This Row],[Cantidad SPA]]*Reactivos_[[#This Row],[Valor de referencia]]</f>
        <v>0</v>
      </c>
      <c r="AE724" s="148" t="s">
        <v>76</v>
      </c>
      <c r="AF724" s="148" t="s">
        <v>77</v>
      </c>
    </row>
    <row r="725" spans="1:32" ht="38.25" x14ac:dyDescent="0.25">
      <c r="A725" s="294" t="str">
        <f>IF(B725=Reactivos_[[#This Row],[Cantidad LANIP]],"LANIP",IF(B725=Reactivos_[[#This Row],[Cantidad 
LDV]],"LDV",IF(B725=Reactivos_[[#This Row],[Cantidad LNDV]],"LNDV",IF(B725=Reactivos_[[#This Row],[GGCA]],"GGCA",IF(B725=Reactivos_[[#This Row],[Cantidad LDF]],"LDF",IF(Reactivos_[[#This Row],[Cantidad LDF&amp;MR]],"LDF&amp;MR",IF(B725=Reactivos_[[#This Row],[Cantidad RED LASE]],"LASE",IF(B725=Reactivos_[[#This Row],[Cantidad LANIA]],"LANIA",IF(B725=Reactivos_[[#This Row],[Cantidad SPA]],"SPA"," ")))))))))</f>
        <v>LDF&amp;MR</v>
      </c>
      <c r="B725"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5" s="325">
        <v>723</v>
      </c>
      <c r="D725" s="326">
        <v>1099</v>
      </c>
      <c r="E725" s="327" t="s">
        <v>2018</v>
      </c>
      <c r="F725" s="242"/>
      <c r="G725" s="243"/>
      <c r="H725" s="391" t="s">
        <v>2019</v>
      </c>
      <c r="I725" s="392" t="s">
        <v>2001</v>
      </c>
      <c r="J725"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5" s="160">
        <v>716244</v>
      </c>
      <c r="L725" s="160">
        <f>+Reactivos_[[#This Row],[Cantidad]]*Reactivos_[[#This Row],[Valor de referencia]]</f>
        <v>716244</v>
      </c>
      <c r="M725" s="254"/>
      <c r="N725" s="255">
        <f>+Reactivos_[[#This Row],[Valor de referencia]]*Reactivos_[[#This Row],[Cantidad LANIP]]</f>
        <v>0</v>
      </c>
      <c r="O725" s="256"/>
      <c r="P725" s="255">
        <f>+Reactivos_[[#This Row],[Cantidad 
LDV]]*Reactivos_[[#This Row],[Valor de referencia]]</f>
        <v>0</v>
      </c>
      <c r="Q725" s="257"/>
      <c r="R725" s="255">
        <f>+Reactivos_[[#This Row],[Cantidad LNDV]]*Reactivos_[[#This Row],[Valor de referencia]]</f>
        <v>0</v>
      </c>
      <c r="S725" s="148"/>
      <c r="T725" s="255">
        <f>+Reactivos_[[#This Row],[GGCA]]*Reactivos_[[#This Row],[Valor de referencia]]</f>
        <v>0</v>
      </c>
      <c r="U725" s="254"/>
      <c r="V725" s="255">
        <f>+Reactivos_[[#This Row],[Cantidad LDF]]*Reactivos_[[#This Row],[Valor de referencia]]</f>
        <v>0</v>
      </c>
      <c r="W725" s="254">
        <v>1</v>
      </c>
      <c r="X725" s="255">
        <f>+Reactivos_[[#This Row],[Cantidad LDF&amp;MR]]*Reactivos_[[#This Row],[Valor de referencia]]</f>
        <v>716244</v>
      </c>
      <c r="Y725" s="254"/>
      <c r="Z725" s="255">
        <f>+Reactivos_[[#This Row],[Cantidad RED LASE]]*Reactivos_[[#This Row],[Valor de referencia]]</f>
        <v>0</v>
      </c>
      <c r="AA725" s="254"/>
      <c r="AB725" s="255">
        <f>+Reactivos_[[#This Row],[Cantidad LANIA]]*Reactivos_[[#This Row],[Valor de referencia]]</f>
        <v>0</v>
      </c>
      <c r="AC725" s="254"/>
      <c r="AD725" s="255">
        <f>+Reactivos_[[#This Row],[Cantidad SPA]]*Reactivos_[[#This Row],[Valor de referencia]]</f>
        <v>0</v>
      </c>
      <c r="AE725" s="148" t="s">
        <v>76</v>
      </c>
      <c r="AF725" s="148" t="s">
        <v>77</v>
      </c>
    </row>
    <row r="726" spans="1:32" ht="38.25" x14ac:dyDescent="0.25">
      <c r="A726" s="294" t="str">
        <f>IF(B726=Reactivos_[[#This Row],[Cantidad LANIP]],"LANIP",IF(B726=Reactivos_[[#This Row],[Cantidad 
LDV]],"LDV",IF(B726=Reactivos_[[#This Row],[Cantidad LNDV]],"LNDV",IF(B726=Reactivos_[[#This Row],[GGCA]],"GGCA",IF(B726=Reactivos_[[#This Row],[Cantidad LDF]],"LDF",IF(Reactivos_[[#This Row],[Cantidad LDF&amp;MR]],"LDF&amp;MR",IF(B726=Reactivos_[[#This Row],[Cantidad RED LASE]],"LASE",IF(B726=Reactivos_[[#This Row],[Cantidad LANIA]],"LANIA",IF(B726=Reactivos_[[#This Row],[Cantidad SPA]],"SPA"," ")))))))))</f>
        <v>LDF&amp;MR</v>
      </c>
      <c r="B726"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6" s="325">
        <v>724</v>
      </c>
      <c r="D726" s="326">
        <v>1100</v>
      </c>
      <c r="E726" s="327" t="s">
        <v>2020</v>
      </c>
      <c r="F726" s="242"/>
      <c r="G726" s="243"/>
      <c r="H726" s="391" t="s">
        <v>2021</v>
      </c>
      <c r="I726" s="392" t="s">
        <v>2001</v>
      </c>
      <c r="J726"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6" s="160">
        <v>716244</v>
      </c>
      <c r="L726" s="160">
        <f>+Reactivos_[[#This Row],[Cantidad]]*Reactivos_[[#This Row],[Valor de referencia]]</f>
        <v>716244</v>
      </c>
      <c r="M726" s="254"/>
      <c r="N726" s="255">
        <f>+Reactivos_[[#This Row],[Valor de referencia]]*Reactivos_[[#This Row],[Cantidad LANIP]]</f>
        <v>0</v>
      </c>
      <c r="O726" s="256"/>
      <c r="P726" s="255">
        <f>+Reactivos_[[#This Row],[Cantidad 
LDV]]*Reactivos_[[#This Row],[Valor de referencia]]</f>
        <v>0</v>
      </c>
      <c r="Q726" s="257"/>
      <c r="R726" s="255">
        <f>+Reactivos_[[#This Row],[Cantidad LNDV]]*Reactivos_[[#This Row],[Valor de referencia]]</f>
        <v>0</v>
      </c>
      <c r="S726" s="148"/>
      <c r="T726" s="255">
        <f>+Reactivos_[[#This Row],[GGCA]]*Reactivos_[[#This Row],[Valor de referencia]]</f>
        <v>0</v>
      </c>
      <c r="U726" s="254"/>
      <c r="V726" s="255">
        <f>+Reactivos_[[#This Row],[Cantidad LDF]]*Reactivos_[[#This Row],[Valor de referencia]]</f>
        <v>0</v>
      </c>
      <c r="W726" s="254">
        <v>1</v>
      </c>
      <c r="X726" s="255">
        <f>+Reactivos_[[#This Row],[Cantidad LDF&amp;MR]]*Reactivos_[[#This Row],[Valor de referencia]]</f>
        <v>716244</v>
      </c>
      <c r="Y726" s="254"/>
      <c r="Z726" s="255">
        <f>+Reactivos_[[#This Row],[Cantidad RED LASE]]*Reactivos_[[#This Row],[Valor de referencia]]</f>
        <v>0</v>
      </c>
      <c r="AA726" s="254"/>
      <c r="AB726" s="255">
        <f>+Reactivos_[[#This Row],[Cantidad LANIA]]*Reactivos_[[#This Row],[Valor de referencia]]</f>
        <v>0</v>
      </c>
      <c r="AC726" s="254"/>
      <c r="AD726" s="255">
        <f>+Reactivos_[[#This Row],[Cantidad SPA]]*Reactivos_[[#This Row],[Valor de referencia]]</f>
        <v>0</v>
      </c>
      <c r="AE726" s="148" t="s">
        <v>76</v>
      </c>
      <c r="AF726" s="148" t="s">
        <v>77</v>
      </c>
    </row>
    <row r="727" spans="1:32" ht="38.25" x14ac:dyDescent="0.25">
      <c r="A727" s="294" t="str">
        <f>IF(B727=Reactivos_[[#This Row],[Cantidad LANIP]],"LANIP",IF(B727=Reactivos_[[#This Row],[Cantidad 
LDV]],"LDV",IF(B727=Reactivos_[[#This Row],[Cantidad LNDV]],"LNDV",IF(B727=Reactivos_[[#This Row],[GGCA]],"GGCA",IF(B727=Reactivos_[[#This Row],[Cantidad LDF]],"LDF",IF(Reactivos_[[#This Row],[Cantidad LDF&amp;MR]],"LDF&amp;MR",IF(B727=Reactivos_[[#This Row],[Cantidad RED LASE]],"LASE",IF(B727=Reactivos_[[#This Row],[Cantidad LANIA]],"LANIA",IF(B727=Reactivos_[[#This Row],[Cantidad SPA]],"SPA"," ")))))))))</f>
        <v>LDF&amp;MR</v>
      </c>
      <c r="B727"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7" s="325">
        <v>725</v>
      </c>
      <c r="D727" s="326">
        <v>1101</v>
      </c>
      <c r="E727" s="327" t="s">
        <v>2022</v>
      </c>
      <c r="F727" s="242"/>
      <c r="G727" s="243"/>
      <c r="H727" s="391" t="s">
        <v>2023</v>
      </c>
      <c r="I727" s="392" t="s">
        <v>2001</v>
      </c>
      <c r="J727"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7" s="160">
        <v>716244</v>
      </c>
      <c r="L727" s="160">
        <f>+Reactivos_[[#This Row],[Cantidad]]*Reactivos_[[#This Row],[Valor de referencia]]</f>
        <v>716244</v>
      </c>
      <c r="M727" s="254"/>
      <c r="N727" s="255">
        <f>+Reactivos_[[#This Row],[Valor de referencia]]*Reactivos_[[#This Row],[Cantidad LANIP]]</f>
        <v>0</v>
      </c>
      <c r="O727" s="256"/>
      <c r="P727" s="255">
        <f>+Reactivos_[[#This Row],[Cantidad 
LDV]]*Reactivos_[[#This Row],[Valor de referencia]]</f>
        <v>0</v>
      </c>
      <c r="Q727" s="257"/>
      <c r="R727" s="255">
        <f>+Reactivos_[[#This Row],[Cantidad LNDV]]*Reactivos_[[#This Row],[Valor de referencia]]</f>
        <v>0</v>
      </c>
      <c r="S727" s="148"/>
      <c r="T727" s="255">
        <f>+Reactivos_[[#This Row],[GGCA]]*Reactivos_[[#This Row],[Valor de referencia]]</f>
        <v>0</v>
      </c>
      <c r="U727" s="254"/>
      <c r="V727" s="255">
        <f>+Reactivos_[[#This Row],[Cantidad LDF]]*Reactivos_[[#This Row],[Valor de referencia]]</f>
        <v>0</v>
      </c>
      <c r="W727" s="254">
        <v>1</v>
      </c>
      <c r="X727" s="255">
        <f>+Reactivos_[[#This Row],[Cantidad LDF&amp;MR]]*Reactivos_[[#This Row],[Valor de referencia]]</f>
        <v>716244</v>
      </c>
      <c r="Y727" s="254"/>
      <c r="Z727" s="255">
        <f>+Reactivos_[[#This Row],[Cantidad RED LASE]]*Reactivos_[[#This Row],[Valor de referencia]]</f>
        <v>0</v>
      </c>
      <c r="AA727" s="254"/>
      <c r="AB727" s="255">
        <f>+Reactivos_[[#This Row],[Cantidad LANIA]]*Reactivos_[[#This Row],[Valor de referencia]]</f>
        <v>0</v>
      </c>
      <c r="AC727" s="254"/>
      <c r="AD727" s="255">
        <f>+Reactivos_[[#This Row],[Cantidad SPA]]*Reactivos_[[#This Row],[Valor de referencia]]</f>
        <v>0</v>
      </c>
      <c r="AE727" s="148" t="s">
        <v>76</v>
      </c>
      <c r="AF727" s="148" t="s">
        <v>77</v>
      </c>
    </row>
    <row r="728" spans="1:32" ht="25.5" customHeight="1" x14ac:dyDescent="0.25">
      <c r="A728" s="294" t="str">
        <f>IF(B728=Reactivos_[[#This Row],[Cantidad LANIP]],"LANIP",IF(B728=Reactivos_[[#This Row],[Cantidad 
LDV]],"LDV",IF(B728=Reactivos_[[#This Row],[Cantidad LNDV]],"LNDV",IF(B728=Reactivos_[[#This Row],[GGCA]],"GGCA",IF(B728=Reactivos_[[#This Row],[Cantidad LDF]],"LDF",IF(Reactivos_[[#This Row],[Cantidad LDF&amp;MR]],"LDF&amp;MR",IF(B728=Reactivos_[[#This Row],[Cantidad RED LASE]],"LASE",IF(B728=Reactivos_[[#This Row],[Cantidad LANIA]],"LANIA",IF(B728=Reactivos_[[#This Row],[Cantidad SPA]],"SPA"," ")))))))))</f>
        <v>LDF&amp;MR</v>
      </c>
      <c r="B728"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8" s="325">
        <v>726</v>
      </c>
      <c r="D728" s="326">
        <v>1102</v>
      </c>
      <c r="E728" s="327" t="s">
        <v>2024</v>
      </c>
      <c r="F728" s="244"/>
      <c r="G728" s="245"/>
      <c r="H728" s="391" t="s">
        <v>2025</v>
      </c>
      <c r="I728" s="392" t="s">
        <v>2001</v>
      </c>
      <c r="J728"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8" s="160">
        <v>716244</v>
      </c>
      <c r="L728" s="160">
        <f>+Reactivos_[[#This Row],[Cantidad]]*Reactivos_[[#This Row],[Valor de referencia]]</f>
        <v>716244</v>
      </c>
      <c r="M728" s="254"/>
      <c r="N728" s="255">
        <f>+Reactivos_[[#This Row],[Valor de referencia]]*Reactivos_[[#This Row],[Cantidad LANIP]]</f>
        <v>0</v>
      </c>
      <c r="O728" s="256"/>
      <c r="P728" s="255">
        <f>+Reactivos_[[#This Row],[Cantidad 
LDV]]*Reactivos_[[#This Row],[Valor de referencia]]</f>
        <v>0</v>
      </c>
      <c r="Q728" s="257"/>
      <c r="R728" s="255">
        <f>+Reactivos_[[#This Row],[Cantidad LNDV]]*Reactivos_[[#This Row],[Valor de referencia]]</f>
        <v>0</v>
      </c>
      <c r="S728" s="148"/>
      <c r="T728" s="255">
        <f>+Reactivos_[[#This Row],[GGCA]]*Reactivos_[[#This Row],[Valor de referencia]]</f>
        <v>0</v>
      </c>
      <c r="U728" s="254"/>
      <c r="V728" s="255">
        <f>+Reactivos_[[#This Row],[Cantidad LDF]]*Reactivos_[[#This Row],[Valor de referencia]]</f>
        <v>0</v>
      </c>
      <c r="W728" s="254">
        <v>1</v>
      </c>
      <c r="X728" s="255">
        <f>+Reactivos_[[#This Row],[Cantidad LDF&amp;MR]]*Reactivos_[[#This Row],[Valor de referencia]]</f>
        <v>716244</v>
      </c>
      <c r="Y728" s="254"/>
      <c r="Z728" s="255">
        <f>+Reactivos_[[#This Row],[Cantidad RED LASE]]*Reactivos_[[#This Row],[Valor de referencia]]</f>
        <v>0</v>
      </c>
      <c r="AA728" s="254"/>
      <c r="AB728" s="255">
        <f>+Reactivos_[[#This Row],[Cantidad LANIA]]*Reactivos_[[#This Row],[Valor de referencia]]</f>
        <v>0</v>
      </c>
      <c r="AC728" s="254"/>
      <c r="AD728" s="255">
        <f>+Reactivos_[[#This Row],[Cantidad SPA]]*Reactivos_[[#This Row],[Valor de referencia]]</f>
        <v>0</v>
      </c>
      <c r="AE728" s="148" t="s">
        <v>76</v>
      </c>
      <c r="AF728" s="148" t="s">
        <v>77</v>
      </c>
    </row>
    <row r="729" spans="1:32" ht="35.25" customHeight="1" x14ac:dyDescent="0.2">
      <c r="A729" s="294" t="str">
        <f>IF(B729=Reactivos_[[#This Row],[Cantidad LANIP]],"LANIP",IF(B729=Reactivos_[[#This Row],[Cantidad 
LDV]],"LDV",IF(B729=Reactivos_[[#This Row],[Cantidad LNDV]],"LNDV",IF(B729=Reactivos_[[#This Row],[GGCA]],"GGCA",IF(B729=Reactivos_[[#This Row],[Cantidad LDF]],"LDF",IF(Reactivos_[[#This Row],[Cantidad LDF&amp;MR]],"LDF&amp;MR",IF(B729=Reactivos_[[#This Row],[Cantidad RED LASE]],"LASE",IF(B729=Reactivos_[[#This Row],[Cantidad LANIA]],"LANIA",IF(B729=Reactivos_[[#This Row],[Cantidad SPA]],"SPA"," ")))))))))</f>
        <v>LDF&amp;MR</v>
      </c>
      <c r="B729"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29" s="325">
        <v>727</v>
      </c>
      <c r="D729" s="393">
        <v>1103</v>
      </c>
      <c r="E729" s="327" t="s">
        <v>2026</v>
      </c>
      <c r="F729" s="244"/>
      <c r="G729" s="245"/>
      <c r="H729" s="394" t="s">
        <v>2027</v>
      </c>
      <c r="I729" s="395" t="s">
        <v>732</v>
      </c>
      <c r="J729"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29" s="259">
        <v>900000</v>
      </c>
      <c r="L729" s="160">
        <f>+Reactivos_[[#This Row],[Cantidad]]*Reactivos_[[#This Row],[Valor de referencia]]</f>
        <v>900000</v>
      </c>
      <c r="M729" s="254"/>
      <c r="N729" s="255">
        <f>+Reactivos_[[#This Row],[Valor de referencia]]*Reactivos_[[#This Row],[Cantidad LANIP]]</f>
        <v>0</v>
      </c>
      <c r="O729" s="256"/>
      <c r="P729" s="255">
        <f>+Reactivos_[[#This Row],[Cantidad 
LDV]]*Reactivos_[[#This Row],[Valor de referencia]]</f>
        <v>0</v>
      </c>
      <c r="Q729" s="257"/>
      <c r="R729" s="255">
        <f>+Reactivos_[[#This Row],[Cantidad LNDV]]*Reactivos_[[#This Row],[Valor de referencia]]</f>
        <v>0</v>
      </c>
      <c r="S729" s="148"/>
      <c r="T729" s="255">
        <f>+Reactivos_[[#This Row],[GGCA]]*Reactivos_[[#This Row],[Valor de referencia]]</f>
        <v>0</v>
      </c>
      <c r="U729" s="254"/>
      <c r="V729" s="255">
        <f>+Reactivos_[[#This Row],[Cantidad LDF]]*Reactivos_[[#This Row],[Valor de referencia]]</f>
        <v>0</v>
      </c>
      <c r="W729" s="254">
        <v>1</v>
      </c>
      <c r="X729" s="255">
        <f>+Reactivos_[[#This Row],[Cantidad LDF&amp;MR]]*Reactivos_[[#This Row],[Valor de referencia]]</f>
        <v>900000</v>
      </c>
      <c r="Y729" s="254"/>
      <c r="Z729" s="255">
        <f>+Reactivos_[[#This Row],[Cantidad RED LASE]]*Reactivos_[[#This Row],[Valor de referencia]]</f>
        <v>0</v>
      </c>
      <c r="AA729" s="254"/>
      <c r="AB729" s="255">
        <f>+Reactivos_[[#This Row],[Cantidad LANIA]]*Reactivos_[[#This Row],[Valor de referencia]]</f>
        <v>0</v>
      </c>
      <c r="AC729" s="254"/>
      <c r="AD729" s="255">
        <f>+Reactivos_[[#This Row],[Cantidad SPA]]*Reactivos_[[#This Row],[Valor de referencia]]</f>
        <v>0</v>
      </c>
      <c r="AE729" s="148" t="s">
        <v>76</v>
      </c>
      <c r="AF729" s="148" t="s">
        <v>77</v>
      </c>
    </row>
    <row r="730" spans="1:32" ht="26.25" customHeight="1" x14ac:dyDescent="0.2">
      <c r="A730" s="294" t="str">
        <f>IF(B730=Reactivos_[[#This Row],[Cantidad LANIP]],"LANIP",IF(B730=Reactivos_[[#This Row],[Cantidad 
LDV]],"LDV",IF(B730=Reactivos_[[#This Row],[Cantidad LNDV]],"LNDV",IF(B730=Reactivos_[[#This Row],[GGCA]],"GGCA",IF(B730=Reactivos_[[#This Row],[Cantidad LDF]],"LDF",IF(Reactivos_[[#This Row],[Cantidad LDF&amp;MR]],"LDF&amp;MR",IF(B730=Reactivos_[[#This Row],[Cantidad RED LASE]],"LASE",IF(B730=Reactivos_[[#This Row],[Cantidad LANIA]],"LANIA",IF(B730=Reactivos_[[#This Row],[Cantidad SPA]],"SPA"," ")))))))))</f>
        <v>LDF&amp;MR</v>
      </c>
      <c r="B730"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30" s="325">
        <v>728</v>
      </c>
      <c r="D730" s="393">
        <v>1104</v>
      </c>
      <c r="E730" s="327" t="s">
        <v>2028</v>
      </c>
      <c r="F730" s="244"/>
      <c r="G730" s="245"/>
      <c r="H730" s="394" t="s">
        <v>2027</v>
      </c>
      <c r="I730" s="395" t="s">
        <v>732</v>
      </c>
      <c r="J730"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30" s="259">
        <v>900000</v>
      </c>
      <c r="L730" s="160">
        <f>+Reactivos_[[#This Row],[Cantidad]]*Reactivos_[[#This Row],[Valor de referencia]]</f>
        <v>900000</v>
      </c>
      <c r="M730" s="254"/>
      <c r="N730" s="255">
        <f>+Reactivos_[[#This Row],[Valor de referencia]]*Reactivos_[[#This Row],[Cantidad LANIP]]</f>
        <v>0</v>
      </c>
      <c r="O730" s="256"/>
      <c r="P730" s="255">
        <f>+Reactivos_[[#This Row],[Cantidad 
LDV]]*Reactivos_[[#This Row],[Valor de referencia]]</f>
        <v>0</v>
      </c>
      <c r="Q730" s="257"/>
      <c r="R730" s="255">
        <f>+Reactivos_[[#This Row],[Cantidad LNDV]]*Reactivos_[[#This Row],[Valor de referencia]]</f>
        <v>0</v>
      </c>
      <c r="S730" s="148"/>
      <c r="T730" s="255">
        <f>+Reactivos_[[#This Row],[GGCA]]*Reactivos_[[#This Row],[Valor de referencia]]</f>
        <v>0</v>
      </c>
      <c r="U730" s="254"/>
      <c r="V730" s="255">
        <f>+Reactivos_[[#This Row],[Cantidad LDF]]*Reactivos_[[#This Row],[Valor de referencia]]</f>
        <v>0</v>
      </c>
      <c r="W730" s="254">
        <v>1</v>
      </c>
      <c r="X730" s="255">
        <f>+Reactivos_[[#This Row],[Cantidad LDF&amp;MR]]*Reactivos_[[#This Row],[Valor de referencia]]</f>
        <v>900000</v>
      </c>
      <c r="Y730" s="254"/>
      <c r="Z730" s="255">
        <f>+Reactivos_[[#This Row],[Cantidad RED LASE]]*Reactivos_[[#This Row],[Valor de referencia]]</f>
        <v>0</v>
      </c>
      <c r="AA730" s="254"/>
      <c r="AB730" s="255">
        <f>+Reactivos_[[#This Row],[Cantidad LANIA]]*Reactivos_[[#This Row],[Valor de referencia]]</f>
        <v>0</v>
      </c>
      <c r="AC730" s="254"/>
      <c r="AD730" s="255">
        <f>+Reactivos_[[#This Row],[Cantidad SPA]]*Reactivos_[[#This Row],[Valor de referencia]]</f>
        <v>0</v>
      </c>
      <c r="AE730" s="148" t="s">
        <v>76</v>
      </c>
      <c r="AF730" s="148" t="s">
        <v>77</v>
      </c>
    </row>
    <row r="731" spans="1:32" ht="25.5" x14ac:dyDescent="0.2">
      <c r="A731" s="294" t="str">
        <f>IF(B731=Reactivos_[[#This Row],[Cantidad LANIP]],"LANIP",IF(B731=Reactivos_[[#This Row],[Cantidad 
LDV]],"LDV",IF(B731=Reactivos_[[#This Row],[Cantidad LNDV]],"LNDV",IF(B731=Reactivos_[[#This Row],[GGCA]],"GGCA",IF(B731=Reactivos_[[#This Row],[Cantidad LDF]],"LDF",IF(Reactivos_[[#This Row],[Cantidad LDF&amp;MR]],"LDF&amp;MR",IF(B731=Reactivos_[[#This Row],[Cantidad RED LASE]],"LASE",IF(B731=Reactivos_[[#This Row],[Cantidad LANIA]],"LANIA",IF(B731=Reactivos_[[#This Row],[Cantidad SPA]],"SPA"," ")))))))))</f>
        <v>LDF&amp;MR</v>
      </c>
      <c r="B731" s="292">
        <f>MAX(Reactivos_[[#This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C731" s="325">
        <v>729</v>
      </c>
      <c r="D731" s="393">
        <v>1105</v>
      </c>
      <c r="E731" s="327" t="s">
        <v>2029</v>
      </c>
      <c r="F731" s="244"/>
      <c r="G731" s="245"/>
      <c r="H731" s="396" t="s">
        <v>2030</v>
      </c>
      <c r="I731" s="395" t="s">
        <v>2031</v>
      </c>
      <c r="J731" s="239">
        <f>SUM(Reactivos_[[#This Row],[Cantidad LANIP]],Reactivos_[[#This Row],[Cantidad 
LDV]],Reactivos_[[#This Row],[Cantidad LNDV]],Reactivos_[[#This Row],[GGCA]],Reactivos_[[#This Row],[Cantidad LDF]],Reactivos_[[#This Row],[Cantidad LDF&amp;MR]],Reactivos_[[#This Row],[Cantidad RED LASE]],Reactivos_[[#This Row],[Cantidad LANIA]],Reactivos_[[#This Row],[Cantidad SPA]])</f>
        <v>1</v>
      </c>
      <c r="K731" s="259">
        <v>773500</v>
      </c>
      <c r="L731" s="160">
        <f>+Reactivos_[[#This Row],[Cantidad]]*Reactivos_[[#This Row],[Valor de referencia]]</f>
        <v>773500</v>
      </c>
      <c r="M731" s="254"/>
      <c r="N731" s="255">
        <f>+Reactivos_[[#This Row],[Valor de referencia]]*Reactivos_[[#This Row],[Cantidad LANIP]]</f>
        <v>0</v>
      </c>
      <c r="O731" s="256"/>
      <c r="P731" s="255">
        <f>+Reactivos_[[#This Row],[Cantidad 
LDV]]*Reactivos_[[#This Row],[Valor de referencia]]</f>
        <v>0</v>
      </c>
      <c r="Q731" s="257"/>
      <c r="R731" s="255">
        <f>+Reactivos_[[#This Row],[Cantidad LNDV]]*Reactivos_[[#This Row],[Valor de referencia]]</f>
        <v>0</v>
      </c>
      <c r="S731" s="148"/>
      <c r="T731" s="255">
        <f>+Reactivos_[[#This Row],[GGCA]]*Reactivos_[[#This Row],[Valor de referencia]]</f>
        <v>0</v>
      </c>
      <c r="U731" s="254"/>
      <c r="V731" s="255">
        <f>+Reactivos_[[#This Row],[Cantidad LDF]]*Reactivos_[[#This Row],[Valor de referencia]]</f>
        <v>0</v>
      </c>
      <c r="W731" s="254">
        <v>1</v>
      </c>
      <c r="X731" s="255">
        <f>+Reactivos_[[#This Row],[Cantidad LDF&amp;MR]]*Reactivos_[[#This Row],[Valor de referencia]]</f>
        <v>773500</v>
      </c>
      <c r="Y731" s="254"/>
      <c r="Z731" s="255">
        <f>+Reactivos_[[#This Row],[Cantidad RED LASE]]*Reactivos_[[#This Row],[Valor de referencia]]</f>
        <v>0</v>
      </c>
      <c r="AA731" s="254"/>
      <c r="AB731" s="255">
        <f>+Reactivos_[[#This Row],[Cantidad LANIA]]*Reactivos_[[#This Row],[Valor de referencia]]</f>
        <v>0</v>
      </c>
      <c r="AC731" s="254"/>
      <c r="AD731" s="255">
        <f>+Reactivos_[[#This Row],[Cantidad SPA]]*Reactivos_[[#This Row],[Valor de referencia]]</f>
        <v>0</v>
      </c>
      <c r="AE731" s="148" t="s">
        <v>76</v>
      </c>
      <c r="AF731" s="148" t="s">
        <v>77</v>
      </c>
    </row>
    <row r="732" spans="1:32" ht="12.75" customHeight="1" x14ac:dyDescent="0.2">
      <c r="D732" s="397" t="s">
        <v>2032</v>
      </c>
      <c r="E732" s="116">
        <f>SUBTOTAL(103,Reactivos_[Descripción técnica])</f>
        <v>729</v>
      </c>
      <c r="J732" s="260">
        <f>SUBTOTAL(109,Reactivos_[Cantidad])</f>
        <v>18181</v>
      </c>
      <c r="K732" s="261">
        <f>SUBTOTAL(109,Reactivos_[Valor de referencia])</f>
        <v>1306685087</v>
      </c>
      <c r="L732" s="262">
        <f>SUBTOTAL(109,Reactivos_[Valor Total])</f>
        <v>8455645549</v>
      </c>
      <c r="M732" s="263">
        <f>SUBTOTAL(109,M3:M731)</f>
        <v>751</v>
      </c>
      <c r="N732" s="264">
        <f>SUBTOTAL(109,Reactivos_[Valor total LANIP])</f>
        <v>949949385</v>
      </c>
      <c r="O732" s="265">
        <f>SUBTOTAL(109,O3:O731)</f>
        <v>2439</v>
      </c>
      <c r="P732" s="264">
        <f>SUBTOTAL(109,Reactivos_[Valor total LDV])</f>
        <v>2853811530</v>
      </c>
      <c r="Q732" s="263">
        <f>SUBTOTAL(109,Q3:Q731)</f>
        <v>4216</v>
      </c>
      <c r="R732" s="264">
        <f>SUBTOTAL(109,Reactivos_[Valor Total LNDV])</f>
        <v>3043473401</v>
      </c>
      <c r="S732" s="266">
        <f>SUBTOTAL(109,S3:S731)</f>
        <v>0</v>
      </c>
      <c r="T732" s="267">
        <f>SUBTOTAL(109,Reactivos_[Valor GGCA])</f>
        <v>0</v>
      </c>
      <c r="U732" s="266">
        <f>SUBTOTAL(109,U3:U731)</f>
        <v>3919</v>
      </c>
      <c r="V732" s="264">
        <f>SUBTOTAL(109,Reactivos_[Valor Total LDF])</f>
        <v>669995300</v>
      </c>
      <c r="W732" s="268">
        <f>SUBTOTAL(109,W3:W731)</f>
        <v>5870</v>
      </c>
      <c r="X732" s="264">
        <f>SUBTOTAL(109,Reactivos_[Valor Total LDF&amp;MR])</f>
        <v>344025112</v>
      </c>
      <c r="Y732" s="266">
        <f>SUBTOTAL(109,Y3:Y731)</f>
        <v>212</v>
      </c>
      <c r="Z732" s="264">
        <f>SUBTOTAL(109,Reactivos_[Valor Total RED LASE])</f>
        <v>26991214</v>
      </c>
      <c r="AA732" s="266">
        <f>SUBTOTAL(109,AA3:AA731)</f>
        <v>717</v>
      </c>
      <c r="AB732" s="264">
        <f>SUBTOTAL(109,Reactivos_[Valor Total LANIA])</f>
        <v>559672916</v>
      </c>
      <c r="AC732" s="266">
        <f>SUBTOTAL(109,AC3:AC731)</f>
        <v>57</v>
      </c>
      <c r="AD732" s="264">
        <f>SUBTOTAL(109,AD3:AD731)</f>
        <v>10643381</v>
      </c>
      <c r="AE732" s="266"/>
      <c r="AF732" s="266"/>
    </row>
    <row r="733" spans="1:32" ht="12.75" customHeight="1" x14ac:dyDescent="0.2">
      <c r="E733" s="428"/>
      <c r="F733" s="429"/>
      <c r="G733" s="117"/>
      <c r="H733" s="400"/>
      <c r="I733" s="118"/>
      <c r="J733" s="118"/>
      <c r="K733" s="269" t="s">
        <v>2033</v>
      </c>
      <c r="L733" s="149"/>
      <c r="N733" s="144">
        <v>950000000</v>
      </c>
      <c r="P733" s="146">
        <v>2853807476</v>
      </c>
      <c r="R733" s="144">
        <f>3050000000</f>
        <v>3050000000</v>
      </c>
      <c r="T733" s="148"/>
      <c r="V733" s="146">
        <f>630000000+40000000</f>
        <v>670000000</v>
      </c>
      <c r="W733" s="143"/>
      <c r="X733" s="144">
        <v>344000000</v>
      </c>
      <c r="Z733" s="146">
        <v>27000000</v>
      </c>
      <c r="AB733" s="146">
        <v>560000000</v>
      </c>
      <c r="AD733" s="148"/>
    </row>
    <row r="734" spans="1:32" ht="12.75" customHeight="1" x14ac:dyDescent="0.2">
      <c r="E734" s="428"/>
      <c r="F734" s="429"/>
      <c r="G734" s="117"/>
      <c r="H734" s="401"/>
      <c r="I734" s="117"/>
      <c r="J734" s="117"/>
      <c r="K734" s="117"/>
      <c r="L734" s="150"/>
      <c r="N734" s="145">
        <f>+N733-Reactivos_[[#Totals],[Valor total LANIP]]</f>
        <v>50615</v>
      </c>
      <c r="P734" s="147">
        <f>+P733-Reactivos_[[#Totals],[Valor total LDV]]</f>
        <v>-4054</v>
      </c>
      <c r="R734" s="145">
        <f>+R733-Reactivos_[[#Totals],[Valor Total LNDV]]</f>
        <v>6526599</v>
      </c>
      <c r="T734" s="148"/>
      <c r="V734" s="147">
        <f>+V733-Reactivos_[[#Totals],[Valor Total LDF]]</f>
        <v>4700</v>
      </c>
      <c r="W734" s="143"/>
      <c r="X734" s="145">
        <f>+X733-Reactivos_[[#Totals],[Valor Total LDF&amp;MR]]</f>
        <v>-25112</v>
      </c>
      <c r="Z734" s="147">
        <f>+Z733-Reactivos_[[#Totals],[Valor Total RED LASE]]</f>
        <v>8786</v>
      </c>
      <c r="AB734" s="147">
        <f>+AB733-Reactivos_[[#Totals],[Valor Total LANIA]]</f>
        <v>327084</v>
      </c>
      <c r="AD734" s="148"/>
    </row>
    <row r="735" spans="1:32" ht="12.75" customHeight="1" x14ac:dyDescent="0.2">
      <c r="E735" s="428"/>
      <c r="F735" s="429"/>
      <c r="G735" s="117"/>
      <c r="H735" s="400"/>
      <c r="I735" s="118"/>
      <c r="J735" s="118"/>
      <c r="K735" s="117"/>
      <c r="L735" s="117"/>
    </row>
    <row r="736" spans="1:32" ht="12.75" customHeight="1" x14ac:dyDescent="0.2">
      <c r="E736" s="402"/>
      <c r="F736" s="117"/>
      <c r="G736" s="117"/>
      <c r="H736" s="401"/>
      <c r="I736" s="117"/>
      <c r="J736" s="117"/>
      <c r="K736" s="165"/>
      <c r="L736" s="117">
        <f>+Elementos_[[#Totals],[Valor Total]]</f>
        <v>4463159616</v>
      </c>
    </row>
    <row r="737" spans="5:12" ht="12.75" customHeight="1" x14ac:dyDescent="0.2">
      <c r="E737" s="402"/>
      <c r="F737" s="117"/>
      <c r="G737" s="117"/>
      <c r="H737" s="400"/>
      <c r="I737" s="118"/>
      <c r="J737" s="118"/>
      <c r="K737" s="246"/>
      <c r="L737" s="246">
        <f>+Reactivos_[[#Totals],[Valor Total]]+L736</f>
        <v>12918805165</v>
      </c>
    </row>
  </sheetData>
  <sheetProtection formatCells="0" formatColumns="0" formatRows="0" insertRows="0" autoFilter="0"/>
  <autoFilter ref="A2:C731" xr:uid="{00000000-0001-0000-0200-000000000000}"/>
  <mergeCells count="4">
    <mergeCell ref="E735:F735"/>
    <mergeCell ref="D1:J1"/>
    <mergeCell ref="E733:F733"/>
    <mergeCell ref="E734:F734"/>
  </mergeCells>
  <phoneticPr fontId="31" type="noConversion"/>
  <conditionalFormatting sqref="E588">
    <cfRule type="duplicateValues" dxfId="33" priority="8"/>
  </conditionalFormatting>
  <conditionalFormatting sqref="L734:AB734">
    <cfRule type="cellIs" dxfId="32" priority="1" operator="greaterThan">
      <formula>0</formula>
    </cfRule>
    <cfRule type="cellIs" dxfId="31" priority="2" operator="lessThan">
      <formula>0</formula>
    </cfRule>
  </conditionalFormatting>
  <hyperlinks>
    <hyperlink ref="F7" r:id="rId1" display="https://www.sigmaaldrich.com/CO/es/search/132-32-1?focus=products&amp;page=1&amp;perpage=30&amp;sort=relevance&amp;term=132-32-1&amp;type=cas_number" xr:uid="{00000000-0004-0000-0200-000000000000}"/>
    <hyperlink ref="F31" r:id="rId2" display="https://www.itwreagents.com/iberia/es/product/search?term=7647-01-0&amp;filter=cas" xr:uid="{00000000-0004-0000-0200-000001000000}"/>
    <hyperlink ref="F30" r:id="rId3" display="https://www.itwreagents.com/iberia/es/product/search?term=7647-01-0&amp;filter=cas" xr:uid="{00000000-0004-0000-0200-000002000000}"/>
    <hyperlink ref="G38" r:id="rId4" display="https://www.merckmillipore.com/CO/es/search/-?search=&amp;SingleResultDisplay=SFProductSearch&amp;TrackingSearchType=pdp_related_product&amp;SearchTerm=*&amp;SearchParameter=%26%40QueryTerm%3D*%26feature_formula_hill_value%3DH%25E2%2582%2585I%2BO%25E2%2582%2586" xr:uid="{00000000-0004-0000-0200-000003000000}"/>
    <hyperlink ref="G49" r:id="rId5" display="https://www.merckmillipore.com/CO/es/search/-?search=&amp;SingleResultDisplay=SFProductSearch&amp;TrackingSearchType=pdp_related_product&amp;SearchTerm=*&amp;SearchParameter=%26%40QueryTerm%3D*%26feature_formula_hill_value%3DH%25E2%2582%2585I%2BO%25E2%2582%2586" xr:uid="{00000000-0004-0000-0200-000004000000}"/>
    <hyperlink ref="F679" r:id="rId6" xr:uid="{4B03DD40-5E96-46BF-8D56-75F8FA6233C0}"/>
    <hyperlink ref="F498" r:id="rId7" xr:uid="{629ED058-0B70-4A32-9213-06F7E0219E06}"/>
    <hyperlink ref="F696" r:id="rId8" xr:uid="{270B1858-1E8F-46C3-932C-2D7A595A8490}"/>
  </hyperlinks>
  <pageMargins left="0.7" right="0.7" top="0.75" bottom="0.75" header="0.3" footer="0.3"/>
  <pageSetup orientation="portrait" r:id="rId9"/>
  <legacyDrawing r:id="rId10"/>
  <tableParts count="1">
    <tablePart r:id="rId1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4" tint="0.59999389629810485"/>
  </sheetPr>
  <dimension ref="A1:AC524"/>
  <sheetViews>
    <sheetView zoomScaleNormal="100" workbookViewId="0">
      <pane xSplit="7" ySplit="2" topLeftCell="H3" activePane="bottomRight" state="frozen"/>
      <selection pane="topRight" activeCell="H1" sqref="H1"/>
      <selection pane="bottomLeft" activeCell="A3" sqref="A3"/>
      <selection pane="bottomRight" activeCell="G5" sqref="G5"/>
    </sheetView>
  </sheetViews>
  <sheetFormatPr baseColWidth="10" defaultColWidth="15.28515625" defaultRowHeight="12" x14ac:dyDescent="0.2"/>
  <cols>
    <col min="1" max="1" width="11.5703125" style="10" customWidth="1"/>
    <col min="2" max="2" width="6" style="126" hidden="1" customWidth="1"/>
    <col min="3" max="3" width="18.5703125" style="126" customWidth="1"/>
    <col min="4" max="4" width="8.7109375" style="122" customWidth="1"/>
    <col min="5" max="5" width="48.7109375" style="125" customWidth="1"/>
    <col min="6" max="6" width="15.28515625" style="125" customWidth="1"/>
    <col min="7" max="7" width="14" style="11" customWidth="1"/>
    <col min="8" max="8" width="11.140625" style="126" customWidth="1"/>
    <col min="9" max="9" width="16" style="122" customWidth="1"/>
    <col min="10" max="10" width="17.5703125" style="161" customWidth="1"/>
    <col min="11" max="11" width="15.28515625" style="126" customWidth="1"/>
    <col min="12" max="12" width="19.5703125" style="106" customWidth="1"/>
    <col min="13" max="13" width="15.28515625" style="126" customWidth="1"/>
    <col min="14" max="14" width="18" style="155" customWidth="1"/>
    <col min="15" max="15" width="8.85546875" style="10" customWidth="1"/>
    <col min="16" max="16" width="19.5703125" style="106" bestFit="1" customWidth="1"/>
    <col min="17" max="17" width="11.140625" style="10" customWidth="1"/>
    <col min="18" max="18" width="19.5703125" style="106" customWidth="1"/>
    <col min="19" max="19" width="10.5703125" style="126" customWidth="1"/>
    <col min="20" max="20" width="18.28515625" style="161" customWidth="1"/>
    <col min="21" max="21" width="11.42578125" style="138" customWidth="1"/>
    <col min="22" max="22" width="17.140625" style="161" customWidth="1"/>
    <col min="23" max="23" width="11.5703125" style="126" customWidth="1"/>
    <col min="24" max="24" width="18.42578125" style="161" bestFit="1" customWidth="1"/>
    <col min="25" max="25" width="12.28515625" style="130" customWidth="1"/>
    <col min="26" max="26" width="17.140625" style="161" customWidth="1"/>
    <col min="27" max="27" width="15.28515625" style="122" customWidth="1"/>
    <col min="28" max="28" width="16.7109375" style="161" customWidth="1"/>
    <col min="29" max="29" width="15.28515625" style="126" customWidth="1"/>
    <col min="30" max="39" width="15.28515625" style="10" customWidth="1"/>
    <col min="40" max="16384" width="15.28515625" style="10"/>
  </cols>
  <sheetData>
    <row r="1" spans="1:29" ht="18" customHeight="1" x14ac:dyDescent="0.2">
      <c r="D1" s="435" t="s">
        <v>2034</v>
      </c>
      <c r="E1" s="436"/>
      <c r="F1" s="436"/>
      <c r="G1" s="437"/>
      <c r="H1" s="437"/>
    </row>
    <row r="2" spans="1:29" ht="96" customHeight="1" x14ac:dyDescent="0.2">
      <c r="A2" s="295" t="s">
        <v>40</v>
      </c>
      <c r="B2" s="295" t="s">
        <v>41</v>
      </c>
      <c r="C2" s="301" t="s">
        <v>2035</v>
      </c>
      <c r="D2" s="293" t="s">
        <v>2036</v>
      </c>
      <c r="E2" s="271" t="s">
        <v>44</v>
      </c>
      <c r="F2" s="131" t="s">
        <v>2037</v>
      </c>
      <c r="G2" s="120" t="s">
        <v>48</v>
      </c>
      <c r="H2" s="120" t="s">
        <v>49</v>
      </c>
      <c r="I2" s="120" t="s">
        <v>50</v>
      </c>
      <c r="J2" s="132" t="s">
        <v>51</v>
      </c>
      <c r="K2" s="133" t="s">
        <v>52</v>
      </c>
      <c r="L2" s="134" t="s">
        <v>53</v>
      </c>
      <c r="M2" s="156" t="s">
        <v>54</v>
      </c>
      <c r="N2" s="157" t="s">
        <v>55</v>
      </c>
      <c r="O2" s="136" t="s">
        <v>56</v>
      </c>
      <c r="P2" s="134" t="s">
        <v>57</v>
      </c>
      <c r="Q2" s="137" t="s">
        <v>58</v>
      </c>
      <c r="R2" s="134" t="s">
        <v>59</v>
      </c>
      <c r="S2" s="137" t="s">
        <v>60</v>
      </c>
      <c r="T2" s="134" t="s">
        <v>61</v>
      </c>
      <c r="U2" s="134" t="s">
        <v>62</v>
      </c>
      <c r="V2" s="134" t="s">
        <v>63</v>
      </c>
      <c r="W2" s="135" t="s">
        <v>64</v>
      </c>
      <c r="X2" s="134" t="s">
        <v>65</v>
      </c>
      <c r="Y2" s="135" t="s">
        <v>66</v>
      </c>
      <c r="Z2" s="134" t="s">
        <v>67</v>
      </c>
      <c r="AA2" s="137" t="s">
        <v>68</v>
      </c>
      <c r="AB2" s="134" t="s">
        <v>69</v>
      </c>
      <c r="AC2" s="137" t="s">
        <v>71</v>
      </c>
    </row>
    <row r="3" spans="1:29" ht="24" x14ac:dyDescent="0.2">
      <c r="A3" s="294" t="str">
        <f>IF(B3=Elementos_[[#This Row],[Cantidad LANIP]],"LANIP",IF(B3=Elementos_[[#This Row],[Cantidad 
LDV]],"LDV",IF(B3=Elementos_[[#This Row],[Cantidad LNDV]],"LNDV",IF(B3=Elementos_[[#This Row],[GGCA]],"GGCA",IF(B3=Elementos_[[#This Row],[Cantidad LDF]],"LDF",IF(B3=Elementos_[[#This Row],[Cantidad LDF&amp;MR]],"LDF&amp;MR",IF(B3=Elementos_[[#This Row],[Cantidad RED LASE]],"LASE",IF(B3=Elementos_[[#This Row],[Cantidad LANIA]],"LANIA",IF(B3=Elementos_[[#This Row],[Cantidad SPA]],"SPA"," ")))))))))</f>
        <v>LDF</v>
      </c>
      <c r="B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 s="298">
        <v>1</v>
      </c>
      <c r="D3" s="190">
        <v>4</v>
      </c>
      <c r="E3" s="272" t="s">
        <v>2038</v>
      </c>
      <c r="F3" s="191" t="s">
        <v>2039</v>
      </c>
      <c r="G3" s="192" t="s">
        <v>2040</v>
      </c>
      <c r="H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 s="194">
        <v>171353</v>
      </c>
      <c r="J3" s="194">
        <f>+Elementos_[[#This Row],[Valor de referencia]]*Elementos_[[#This Row],[Cantidad]]</f>
        <v>1028118</v>
      </c>
      <c r="K3" s="166"/>
      <c r="L3" s="159">
        <f>+Elementos_[[#This Row],[Cantidad LANIP]]*Elementos_[[#This Row],[Valor de referencia]]</f>
        <v>0</v>
      </c>
      <c r="M3" s="270">
        <v>0</v>
      </c>
      <c r="N3" s="195">
        <f>+Elementos_[[#This Row],[Cantidad 
LDV]]*Elementos_[[#This Row],[Valor de referencia]]</f>
        <v>0</v>
      </c>
      <c r="O3" s="166"/>
      <c r="P3" s="159">
        <f>+Elementos_[[#This Row],[Cantidad LNDV]]*Elementos_[[#This Row],[Valor de referencia]]</f>
        <v>0</v>
      </c>
      <c r="Q3" s="196"/>
      <c r="R3" s="159">
        <f>+Elementos_[[#This Row],[GGCA]]*Elementos_[[#This Row],[Valor de referencia]]</f>
        <v>0</v>
      </c>
      <c r="S3" s="166">
        <v>6</v>
      </c>
      <c r="T3" s="159">
        <f>+Elementos_[[#This Row],[Cantidad LDF]]*Elementos_[[#This Row],[Valor de referencia]]</f>
        <v>1028118</v>
      </c>
      <c r="U3" s="197"/>
      <c r="V3" s="159">
        <f>+Elementos_[[#This Row],[Cantidad LDF&amp;MR]]*Elementos_[[#This Row],[Valor de referencia]]</f>
        <v>0</v>
      </c>
      <c r="W3" s="166"/>
      <c r="X3" s="159">
        <f>+Elementos_[[#This Row],[Cantidad RED LASE]]*Elementos_[[#This Row],[Valor de referencia]]</f>
        <v>0</v>
      </c>
      <c r="Y3" s="196"/>
      <c r="Z3" s="159">
        <f>+Elementos_[[#This Row],[Cantidad LANIA]]*Elementos_[[#This Row],[Valor de referencia]]</f>
        <v>0</v>
      </c>
      <c r="AA3" s="196"/>
      <c r="AB3" s="159">
        <f>+Elementos_[[#This Row],[Cantidad SPA]]*Elementos_[[#This Row],[Valor de referencia]]</f>
        <v>0</v>
      </c>
      <c r="AC3" s="166" t="s">
        <v>2041</v>
      </c>
    </row>
    <row r="4" spans="1:29" ht="24" x14ac:dyDescent="0.2">
      <c r="A4" s="294" t="str">
        <f>IF(B4=Elementos_[[#This Row],[Cantidad LANIP]],"LANIP",IF(B4=Elementos_[[#This Row],[Cantidad 
LDV]],"LDV",IF(B4=Elementos_[[#This Row],[Cantidad LNDV]],"LNDV",IF(B4=Elementos_[[#This Row],[GGCA]],"GGCA",IF(B4=Elementos_[[#This Row],[Cantidad LDF]],"LDF",IF(B4=Elementos_[[#This Row],[Cantidad LDF&amp;MR]],"LDF&amp;MR",IF(B4=Elementos_[[#This Row],[Cantidad RED LASE]],"LASE",IF(B4=Elementos_[[#This Row],[Cantidad LANIA]],"LANIA",IF(B4=Elementos_[[#This Row],[Cantidad SPA]],"SPA"," ")))))))))</f>
        <v>LDF</v>
      </c>
      <c r="B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4" s="298">
        <v>2</v>
      </c>
      <c r="D4" s="190">
        <v>5</v>
      </c>
      <c r="E4" s="273" t="s">
        <v>2042</v>
      </c>
      <c r="F4" s="191" t="s">
        <v>2039</v>
      </c>
      <c r="G4" s="192" t="s">
        <v>2040</v>
      </c>
      <c r="H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 s="194">
        <v>153321</v>
      </c>
      <c r="J4" s="194">
        <f>+Elementos_[[#This Row],[Valor de referencia]]*Elementos_[[#This Row],[Cantidad]]</f>
        <v>919926</v>
      </c>
      <c r="K4" s="166"/>
      <c r="L4" s="159">
        <f>+Elementos_[[#This Row],[Cantidad LANIP]]*Elementos_[[#This Row],[Valor de referencia]]</f>
        <v>0</v>
      </c>
      <c r="M4" s="270">
        <v>0</v>
      </c>
      <c r="N4" s="195">
        <f>+Elementos_[[#This Row],[Cantidad 
LDV]]*Elementos_[[#This Row],[Valor de referencia]]</f>
        <v>0</v>
      </c>
      <c r="O4" s="166"/>
      <c r="P4" s="159">
        <f>+Elementos_[[#This Row],[Cantidad LNDV]]*Elementos_[[#This Row],[Valor de referencia]]</f>
        <v>0</v>
      </c>
      <c r="Q4" s="196"/>
      <c r="R4" s="159">
        <f>+Elementos_[[#This Row],[GGCA]]*Elementos_[[#This Row],[Valor de referencia]]</f>
        <v>0</v>
      </c>
      <c r="S4" s="166">
        <v>6</v>
      </c>
      <c r="T4" s="159">
        <f>+Elementos_[[#This Row],[Cantidad LDF]]*Elementos_[[#This Row],[Valor de referencia]]</f>
        <v>919926</v>
      </c>
      <c r="U4" s="197"/>
      <c r="V4" s="159">
        <f>+Elementos_[[#This Row],[Cantidad LDF&amp;MR]]*Elementos_[[#This Row],[Valor de referencia]]</f>
        <v>0</v>
      </c>
      <c r="W4" s="166"/>
      <c r="X4" s="159">
        <f>+Elementos_[[#This Row],[Cantidad RED LASE]]*Elementos_[[#This Row],[Valor de referencia]]</f>
        <v>0</v>
      </c>
      <c r="Y4" s="196"/>
      <c r="Z4" s="159">
        <f>+Elementos_[[#This Row],[Cantidad LANIA]]*Elementos_[[#This Row],[Valor de referencia]]</f>
        <v>0</v>
      </c>
      <c r="AA4" s="196"/>
      <c r="AB4" s="159">
        <f>+Elementos_[[#This Row],[Cantidad SPA]]*Elementos_[[#This Row],[Valor de referencia]]</f>
        <v>0</v>
      </c>
      <c r="AC4" s="166" t="s">
        <v>2041</v>
      </c>
    </row>
    <row r="5" spans="1:29" ht="24" x14ac:dyDescent="0.2">
      <c r="A5" s="294" t="str">
        <f>IF(B5=Elementos_[[#This Row],[Cantidad LANIP]],"LANIP",IF(B5=Elementos_[[#This Row],[Cantidad 
LDV]],"LDV",IF(B5=Elementos_[[#This Row],[Cantidad LNDV]],"LNDV",IF(B5=Elementos_[[#This Row],[GGCA]],"GGCA",IF(B5=Elementos_[[#This Row],[Cantidad LDF]],"LDF",IF(B5=Elementos_[[#This Row],[Cantidad LDF&amp;MR]],"LDF&amp;MR",IF(B5=Elementos_[[#This Row],[Cantidad RED LASE]],"LASE",IF(B5=Elementos_[[#This Row],[Cantidad LANIA]],"LANIA",IF(B5=Elementos_[[#This Row],[Cantidad SPA]],"SPA"," ")))))))))</f>
        <v>LANIP</v>
      </c>
      <c r="B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5" s="298">
        <v>3</v>
      </c>
      <c r="D5" s="190">
        <v>6</v>
      </c>
      <c r="E5" s="274" t="s">
        <v>2043</v>
      </c>
      <c r="F5" s="191" t="s">
        <v>2044</v>
      </c>
      <c r="G5" s="192" t="s">
        <v>1391</v>
      </c>
      <c r="H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5" s="194">
        <v>51087</v>
      </c>
      <c r="J5" s="194">
        <f>+Elementos_[[#This Row],[Valor de referencia]]*Elementos_[[#This Row],[Cantidad]]</f>
        <v>1021740</v>
      </c>
      <c r="K5" s="166">
        <v>20</v>
      </c>
      <c r="L5" s="159">
        <f>+Elementos_[[#This Row],[Cantidad LANIP]]*Elementos_[[#This Row],[Valor de referencia]]</f>
        <v>1021740</v>
      </c>
      <c r="M5" s="270">
        <v>0</v>
      </c>
      <c r="N5" s="195">
        <f>+Elementos_[[#This Row],[Cantidad 
LDV]]*Elementos_[[#This Row],[Valor de referencia]]</f>
        <v>0</v>
      </c>
      <c r="O5" s="166"/>
      <c r="P5" s="159">
        <f>+Elementos_[[#This Row],[Cantidad LNDV]]*Elementos_[[#This Row],[Valor de referencia]]</f>
        <v>0</v>
      </c>
      <c r="Q5" s="196"/>
      <c r="R5" s="159">
        <f>+Elementos_[[#This Row],[GGCA]]*Elementos_[[#This Row],[Valor de referencia]]</f>
        <v>0</v>
      </c>
      <c r="S5" s="166"/>
      <c r="T5" s="159">
        <f>+Elementos_[[#This Row],[Cantidad LDF]]*Elementos_[[#This Row],[Valor de referencia]]</f>
        <v>0</v>
      </c>
      <c r="U5" s="197"/>
      <c r="V5" s="159">
        <f>+Elementos_[[#This Row],[Cantidad LDF&amp;MR]]*Elementos_[[#This Row],[Valor de referencia]]</f>
        <v>0</v>
      </c>
      <c r="W5" s="166"/>
      <c r="X5" s="159">
        <f>+Elementos_[[#This Row],[Cantidad RED LASE]]*Elementos_[[#This Row],[Valor de referencia]]</f>
        <v>0</v>
      </c>
      <c r="Y5" s="196"/>
      <c r="Z5" s="159">
        <f>+Elementos_[[#This Row],[Cantidad LANIA]]*Elementos_[[#This Row],[Valor de referencia]]</f>
        <v>0</v>
      </c>
      <c r="AA5" s="196"/>
      <c r="AB5" s="159">
        <f>+Elementos_[[#This Row],[Cantidad SPA]]*Elementos_[[#This Row],[Valor de referencia]]</f>
        <v>0</v>
      </c>
      <c r="AC5" s="166" t="s">
        <v>2041</v>
      </c>
    </row>
    <row r="6" spans="1:29" ht="24" x14ac:dyDescent="0.2">
      <c r="A6" s="294" t="str">
        <f>IF(B6=Elementos_[[#This Row],[Cantidad LANIP]],"LANIP",IF(B6=Elementos_[[#This Row],[Cantidad 
LDV]],"LDV",IF(B6=Elementos_[[#This Row],[Cantidad LNDV]],"LNDV",IF(B6=Elementos_[[#This Row],[GGCA]],"GGCA",IF(B6=Elementos_[[#This Row],[Cantidad LDF]],"LDF",IF(B6=Elementos_[[#This Row],[Cantidad LDF&amp;MR]],"LDF&amp;MR",IF(B6=Elementos_[[#This Row],[Cantidad RED LASE]],"LASE",IF(B6=Elementos_[[#This Row],[Cantidad LANIA]],"LANIA",IF(B6=Elementos_[[#This Row],[Cantidad SPA]],"SPA"," ")))))))))</f>
        <v>LANIP</v>
      </c>
      <c r="B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6" s="298">
        <v>4</v>
      </c>
      <c r="D6" s="190">
        <v>9</v>
      </c>
      <c r="E6" s="273" t="s">
        <v>2045</v>
      </c>
      <c r="F6" s="200" t="s">
        <v>183</v>
      </c>
      <c r="G6" s="192" t="s">
        <v>1353</v>
      </c>
      <c r="H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I6" s="194">
        <v>67293</v>
      </c>
      <c r="J6" s="194">
        <f>+Elementos_[[#This Row],[Valor de referencia]]*Elementos_[[#This Row],[Cantidad]]</f>
        <v>6729300</v>
      </c>
      <c r="K6" s="166">
        <v>100</v>
      </c>
      <c r="L6" s="159">
        <f>+Elementos_[[#This Row],[Cantidad LANIP]]*Elementos_[[#This Row],[Valor de referencia]]</f>
        <v>6729300</v>
      </c>
      <c r="M6" s="270">
        <v>0</v>
      </c>
      <c r="N6" s="195">
        <f>+Elementos_[[#This Row],[Cantidad 
LDV]]*Elementos_[[#This Row],[Valor de referencia]]</f>
        <v>0</v>
      </c>
      <c r="O6" s="166"/>
      <c r="P6" s="159">
        <f>+Elementos_[[#This Row],[Cantidad LNDV]]*Elementos_[[#This Row],[Valor de referencia]]</f>
        <v>0</v>
      </c>
      <c r="Q6" s="196"/>
      <c r="R6" s="159">
        <f>+Elementos_[[#This Row],[GGCA]]*Elementos_[[#This Row],[Valor de referencia]]</f>
        <v>0</v>
      </c>
      <c r="S6" s="166"/>
      <c r="T6" s="159">
        <f>+Elementos_[[#This Row],[Cantidad LDF]]*Elementos_[[#This Row],[Valor de referencia]]</f>
        <v>0</v>
      </c>
      <c r="U6" s="197"/>
      <c r="V6" s="159">
        <f>+Elementos_[[#This Row],[Cantidad LDF&amp;MR]]*Elementos_[[#This Row],[Valor de referencia]]</f>
        <v>0</v>
      </c>
      <c r="W6" s="166"/>
      <c r="X6" s="159">
        <f>+Elementos_[[#This Row],[Cantidad RED LASE]]*Elementos_[[#This Row],[Valor de referencia]]</f>
        <v>0</v>
      </c>
      <c r="Y6" s="196"/>
      <c r="Z6" s="159">
        <f>+Elementos_[[#This Row],[Cantidad LANIA]]*Elementos_[[#This Row],[Valor de referencia]]</f>
        <v>0</v>
      </c>
      <c r="AA6" s="196"/>
      <c r="AB6" s="159">
        <f>+Elementos_[[#This Row],[Cantidad SPA]]*Elementos_[[#This Row],[Valor de referencia]]</f>
        <v>0</v>
      </c>
      <c r="AC6" s="166" t="s">
        <v>2041</v>
      </c>
    </row>
    <row r="7" spans="1:29" ht="24" x14ac:dyDescent="0.2">
      <c r="A7" s="294" t="str">
        <f>IF(B7=Elementos_[[#This Row],[Cantidad LANIP]],"LANIP",IF(B7=Elementos_[[#This Row],[Cantidad 
LDV]],"LDV",IF(B7=Elementos_[[#This Row],[Cantidad LNDV]],"LNDV",IF(B7=Elementos_[[#This Row],[GGCA]],"GGCA",IF(B7=Elementos_[[#This Row],[Cantidad LDF]],"LDF",IF(B7=Elementos_[[#This Row],[Cantidad LDF&amp;MR]],"LDF&amp;MR",IF(B7=Elementos_[[#This Row],[Cantidad RED LASE]],"LASE",IF(B7=Elementos_[[#This Row],[Cantidad LANIA]],"LANIA",IF(B7=Elementos_[[#This Row],[Cantidad SPA]],"SPA"," ")))))))))</f>
        <v>SPA</v>
      </c>
      <c r="B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2495</v>
      </c>
      <c r="C7" s="298">
        <v>5</v>
      </c>
      <c r="D7" s="190">
        <v>10</v>
      </c>
      <c r="E7" s="274" t="s">
        <v>2046</v>
      </c>
      <c r="F7" s="201" t="s">
        <v>2044</v>
      </c>
      <c r="G7" s="192" t="s">
        <v>2047</v>
      </c>
      <c r="H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2522</v>
      </c>
      <c r="I7" s="194">
        <v>71400</v>
      </c>
      <c r="J7" s="194">
        <f>+Elementos_[[#This Row],[Valor de referencia]]*Elementos_[[#This Row],[Cantidad]]</f>
        <v>180070800</v>
      </c>
      <c r="K7" s="166">
        <v>25</v>
      </c>
      <c r="L7" s="159">
        <f>+Elementos_[[#This Row],[Cantidad LANIP]]*Elementos_[[#This Row],[Valor de referencia]]</f>
        <v>1785000</v>
      </c>
      <c r="M7" s="270">
        <v>0</v>
      </c>
      <c r="N7" s="195">
        <f>+Elementos_[[#This Row],[Cantidad 
LDV]]*Elementos_[[#This Row],[Valor de referencia]]</f>
        <v>0</v>
      </c>
      <c r="O7" s="166">
        <v>2</v>
      </c>
      <c r="P7" s="159">
        <f>+Elementos_[[#This Row],[Cantidad LNDV]]*Elementos_[[#This Row],[Valor de referencia]]</f>
        <v>142800</v>
      </c>
      <c r="Q7" s="196"/>
      <c r="R7" s="159">
        <f>+Elementos_[[#This Row],[GGCA]]*Elementos_[[#This Row],[Valor de referencia]]</f>
        <v>0</v>
      </c>
      <c r="S7" s="166"/>
      <c r="T7" s="194">
        <f>+Elementos_[[#This Row],[Cantidad LDF]]*Elementos_[[#This Row],[Valor de referencia]]</f>
        <v>0</v>
      </c>
      <c r="U7" s="197"/>
      <c r="V7" s="194">
        <f>+Elementos_[[#This Row],[Cantidad LDF&amp;MR]]*Elementos_[[#This Row],[Valor de referencia]]</f>
        <v>0</v>
      </c>
      <c r="W7" s="166"/>
      <c r="X7" s="194">
        <f>+Elementos_[[#This Row],[Cantidad RED LASE]]*Elementos_[[#This Row],[Valor de referencia]]</f>
        <v>0</v>
      </c>
      <c r="Y7" s="196"/>
      <c r="Z7" s="194">
        <f>+Elementos_[[#This Row],[Cantidad LANIA]]*Elementos_[[#This Row],[Valor de referencia]]</f>
        <v>0</v>
      </c>
      <c r="AA7" s="196">
        <v>2495</v>
      </c>
      <c r="AB7" s="194">
        <f>+Elementos_[[#This Row],[Cantidad SPA]]*Elementos_[[#This Row],[Valor de referencia]]</f>
        <v>178143000</v>
      </c>
      <c r="AC7" s="166" t="s">
        <v>2041</v>
      </c>
    </row>
    <row r="8" spans="1:29" ht="12.75" x14ac:dyDescent="0.2">
      <c r="A8" s="294" t="str">
        <f>IF(B8=Elementos_[[#This Row],[Cantidad LANIP]],"LANIP",IF(B8=Elementos_[[#This Row],[Cantidad 
LDV]],"LDV",IF(B8=Elementos_[[#This Row],[Cantidad LNDV]],"LNDV",IF(B8=Elementos_[[#This Row],[GGCA]],"GGCA",IF(B8=Elementos_[[#This Row],[Cantidad LDF]],"LDF",IF(B8=Elementos_[[#This Row],[Cantidad LDF&amp;MR]],"LDF&amp;MR",IF(B8=Elementos_[[#This Row],[Cantidad RED LASE]],"LASE",IF(B8=Elementos_[[#This Row],[Cantidad LANIA]],"LANIA",IF(B8=Elementos_[[#This Row],[Cantidad SPA]],"SPA"," ")))))))))</f>
        <v>SPA</v>
      </c>
      <c r="B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8" s="298">
        <v>6</v>
      </c>
      <c r="D8" s="190">
        <v>11</v>
      </c>
      <c r="E8" s="274" t="s">
        <v>2048</v>
      </c>
      <c r="F8" s="201" t="s">
        <v>183</v>
      </c>
      <c r="G8" s="192" t="s">
        <v>525</v>
      </c>
      <c r="H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110</v>
      </c>
      <c r="I8" s="194">
        <v>4438</v>
      </c>
      <c r="J8" s="194">
        <f>+Elementos_[[#This Row],[Valor de referencia]]*Elementos_[[#This Row],[Cantidad]]</f>
        <v>488180</v>
      </c>
      <c r="K8" s="166"/>
      <c r="L8" s="159">
        <f>+Elementos_[[#This Row],[Cantidad LANIP]]*Elementos_[[#This Row],[Valor de referencia]]</f>
        <v>0</v>
      </c>
      <c r="M8" s="270">
        <v>0</v>
      </c>
      <c r="N8" s="195">
        <f>+Elementos_[[#This Row],[Cantidad 
LDV]]*Elementos_[[#This Row],[Valor de referencia]]</f>
        <v>0</v>
      </c>
      <c r="O8" s="166"/>
      <c r="P8" s="159">
        <f>+Elementos_[[#This Row],[Cantidad LNDV]]*Elementos_[[#This Row],[Valor de referencia]]</f>
        <v>0</v>
      </c>
      <c r="Q8" s="196"/>
      <c r="R8" s="159">
        <f>+Elementos_[[#This Row],[GGCA]]*Elementos_[[#This Row],[Valor de referencia]]</f>
        <v>0</v>
      </c>
      <c r="S8" s="166">
        <v>10</v>
      </c>
      <c r="T8" s="194">
        <f>+Elementos_[[#This Row],[Cantidad LDF]]*Elementos_[[#This Row],[Valor de referencia]]</f>
        <v>44380</v>
      </c>
      <c r="U8" s="197"/>
      <c r="V8" s="194">
        <f>+Elementos_[[#This Row],[Cantidad LDF&amp;MR]]*Elementos_[[#This Row],[Valor de referencia]]</f>
        <v>0</v>
      </c>
      <c r="W8" s="166"/>
      <c r="X8" s="194">
        <f>+Elementos_[[#This Row],[Cantidad RED LASE]]*Elementos_[[#This Row],[Valor de referencia]]</f>
        <v>0</v>
      </c>
      <c r="Y8" s="196"/>
      <c r="Z8" s="194">
        <f>+Elementos_[[#This Row],[Cantidad LANIA]]*Elementos_[[#This Row],[Valor de referencia]]</f>
        <v>0</v>
      </c>
      <c r="AA8" s="196">
        <v>100</v>
      </c>
      <c r="AB8" s="194">
        <f>+Elementos_[[#This Row],[Cantidad SPA]]*Elementos_[[#This Row],[Valor de referencia]]</f>
        <v>443800</v>
      </c>
      <c r="AC8" s="166" t="s">
        <v>2049</v>
      </c>
    </row>
    <row r="9" spans="1:29" ht="12.75" x14ac:dyDescent="0.2">
      <c r="A9" s="294" t="str">
        <f>IF(B9=Elementos_[[#This Row],[Cantidad LANIP]],"LANIP",IF(B9=Elementos_[[#This Row],[Cantidad 
LDV]],"LDV",IF(B9=Elementos_[[#This Row],[Cantidad LNDV]],"LNDV",IF(B9=Elementos_[[#This Row],[GGCA]],"GGCA",IF(B9=Elementos_[[#This Row],[Cantidad LDF]],"LDF",IF(B9=Elementos_[[#This Row],[Cantidad LDF&amp;MR]],"LDF&amp;MR",IF(B9=Elementos_[[#This Row],[Cantidad RED LASE]],"LASE",IF(B9=Elementos_[[#This Row],[Cantidad LANIA]],"LANIA",IF(B9=Elementos_[[#This Row],[Cantidad SPA]],"SPA"," ")))))))))</f>
        <v>LDF</v>
      </c>
      <c r="B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9" s="298">
        <v>7</v>
      </c>
      <c r="D9" s="190">
        <v>12</v>
      </c>
      <c r="E9" s="273" t="s">
        <v>2050</v>
      </c>
      <c r="F9" s="201" t="s">
        <v>183</v>
      </c>
      <c r="G9" s="192" t="s">
        <v>525</v>
      </c>
      <c r="H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9" s="194">
        <v>8867</v>
      </c>
      <c r="J9" s="194">
        <f>+Elementos_[[#This Row],[Valor de referencia]]*Elementos_[[#This Row],[Cantidad]]</f>
        <v>106404</v>
      </c>
      <c r="K9" s="166"/>
      <c r="L9" s="159">
        <f>+Elementos_[[#This Row],[Cantidad LANIP]]*Elementos_[[#This Row],[Valor de referencia]]</f>
        <v>0</v>
      </c>
      <c r="M9" s="270">
        <v>0</v>
      </c>
      <c r="N9" s="195">
        <f>+Elementos_[[#This Row],[Cantidad 
LDV]]*Elementos_[[#This Row],[Valor de referencia]]</f>
        <v>0</v>
      </c>
      <c r="O9" s="166"/>
      <c r="P9" s="159">
        <f>+Elementos_[[#This Row],[Cantidad LNDV]]*Elementos_[[#This Row],[Valor de referencia]]</f>
        <v>0</v>
      </c>
      <c r="Q9" s="196"/>
      <c r="R9" s="159">
        <f>+Elementos_[[#This Row],[GGCA]]*Elementos_[[#This Row],[Valor de referencia]]</f>
        <v>0</v>
      </c>
      <c r="S9" s="166">
        <v>12</v>
      </c>
      <c r="T9" s="159">
        <f>+Elementos_[[#This Row],[Cantidad LDF]]*Elementos_[[#This Row],[Valor de referencia]]</f>
        <v>106404</v>
      </c>
      <c r="U9" s="197"/>
      <c r="V9" s="159">
        <f>+Elementos_[[#This Row],[Cantidad LDF&amp;MR]]*Elementos_[[#This Row],[Valor de referencia]]</f>
        <v>0</v>
      </c>
      <c r="W9" s="166"/>
      <c r="X9" s="159">
        <f>+Elementos_[[#This Row],[Cantidad RED LASE]]*Elementos_[[#This Row],[Valor de referencia]]</f>
        <v>0</v>
      </c>
      <c r="Y9" s="196"/>
      <c r="Z9" s="159">
        <f>+Elementos_[[#This Row],[Cantidad LANIA]]*Elementos_[[#This Row],[Valor de referencia]]</f>
        <v>0</v>
      </c>
      <c r="AA9" s="196"/>
      <c r="AB9" s="159">
        <f>+Elementos_[[#This Row],[Cantidad SPA]]*Elementos_[[#This Row],[Valor de referencia]]</f>
        <v>0</v>
      </c>
      <c r="AC9" s="166" t="s">
        <v>2049</v>
      </c>
    </row>
    <row r="10" spans="1:29" ht="12.75" x14ac:dyDescent="0.2">
      <c r="A10" s="294" t="str">
        <f>IF(B10=Elementos_[[#This Row],[Cantidad LANIP]],"LANIP",IF(B10=Elementos_[[#This Row],[Cantidad 
LDV]],"LDV",IF(B10=Elementos_[[#This Row],[Cantidad LNDV]],"LNDV",IF(B10=Elementos_[[#This Row],[GGCA]],"GGCA",IF(B10=Elementos_[[#This Row],[Cantidad LDF]],"LDF",IF(B10=Elementos_[[#This Row],[Cantidad LDF&amp;MR]],"LDF&amp;MR",IF(B10=Elementos_[[#This Row],[Cantidad RED LASE]],"LASE",IF(B10=Elementos_[[#This Row],[Cantidad LANIA]],"LANIA",IF(B10=Elementos_[[#This Row],[Cantidad SPA]],"SPA"," ")))))))))</f>
        <v>LDF</v>
      </c>
      <c r="B1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0" s="298">
        <v>8</v>
      </c>
      <c r="D10" s="190">
        <v>16</v>
      </c>
      <c r="E10" s="273" t="s">
        <v>2051</v>
      </c>
      <c r="F10" s="201" t="s">
        <v>183</v>
      </c>
      <c r="G10" s="202" t="s">
        <v>2052</v>
      </c>
      <c r="H1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10" s="194">
        <v>73783</v>
      </c>
      <c r="J10" s="194">
        <f>+Elementos_[[#This Row],[Valor de referencia]]*Elementos_[[#This Row],[Cantidad]]</f>
        <v>295132</v>
      </c>
      <c r="K10" s="166"/>
      <c r="L10" s="159">
        <f>+Elementos_[[#This Row],[Cantidad LANIP]]*Elementos_[[#This Row],[Valor de referencia]]</f>
        <v>0</v>
      </c>
      <c r="M10" s="270">
        <v>0</v>
      </c>
      <c r="N10" s="195">
        <f>+Elementos_[[#This Row],[Cantidad 
LDV]]*Elementos_[[#This Row],[Valor de referencia]]</f>
        <v>0</v>
      </c>
      <c r="O10" s="166"/>
      <c r="P10" s="159">
        <f>+Elementos_[[#This Row],[Cantidad LNDV]]*Elementos_[[#This Row],[Valor de referencia]]</f>
        <v>0</v>
      </c>
      <c r="Q10" s="196"/>
      <c r="R10" s="159">
        <f>+Elementos_[[#This Row],[GGCA]]*Elementos_[[#This Row],[Valor de referencia]]</f>
        <v>0</v>
      </c>
      <c r="S10" s="166">
        <v>4</v>
      </c>
      <c r="T10" s="159">
        <f>+Elementos_[[#This Row],[Cantidad LDF]]*Elementos_[[#This Row],[Valor de referencia]]</f>
        <v>295132</v>
      </c>
      <c r="U10" s="197"/>
      <c r="V10" s="159">
        <f>+Elementos_[[#This Row],[Cantidad LDF&amp;MR]]*Elementos_[[#This Row],[Valor de referencia]]</f>
        <v>0</v>
      </c>
      <c r="W10" s="166"/>
      <c r="X10" s="159">
        <f>+Elementos_[[#This Row],[Cantidad RED LASE]]*Elementos_[[#This Row],[Valor de referencia]]</f>
        <v>0</v>
      </c>
      <c r="Y10" s="196"/>
      <c r="Z10" s="159">
        <f>+Elementos_[[#This Row],[Cantidad LANIA]]*Elementos_[[#This Row],[Valor de referencia]]</f>
        <v>0</v>
      </c>
      <c r="AA10" s="196"/>
      <c r="AB10" s="159">
        <f>+Elementos_[[#This Row],[Cantidad SPA]]*Elementos_[[#This Row],[Valor de referencia]]</f>
        <v>0</v>
      </c>
      <c r="AC10" s="166" t="s">
        <v>2049</v>
      </c>
    </row>
    <row r="11" spans="1:29" ht="12.75" x14ac:dyDescent="0.2">
      <c r="A11" s="294" t="str">
        <f>IF(B11=Elementos_[[#This Row],[Cantidad LANIP]],"LANIP",IF(B11=Elementos_[[#This Row],[Cantidad 
LDV]],"LDV",IF(B11=Elementos_[[#This Row],[Cantidad LNDV]],"LNDV",IF(B11=Elementos_[[#This Row],[GGCA]],"GGCA",IF(B11=Elementos_[[#This Row],[Cantidad LDF]],"LDF",IF(B11=Elementos_[[#This Row],[Cantidad LDF&amp;MR]],"LDF&amp;MR",IF(B11=Elementos_[[#This Row],[Cantidad RED LASE]],"LASE",IF(B11=Elementos_[[#This Row],[Cantidad LANIA]],"LANIA",IF(B11=Elementos_[[#This Row],[Cantidad SPA]],"SPA"," ")))))))))</f>
        <v>LDF</v>
      </c>
      <c r="B1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1" s="298">
        <v>9</v>
      </c>
      <c r="D11" s="190">
        <v>17</v>
      </c>
      <c r="E11" s="273" t="s">
        <v>2053</v>
      </c>
      <c r="F11" s="201" t="s">
        <v>183</v>
      </c>
      <c r="G11" s="202" t="s">
        <v>2054</v>
      </c>
      <c r="H1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11" s="194">
        <v>73913</v>
      </c>
      <c r="J11" s="194">
        <f>+Elementos_[[#This Row],[Valor de referencia]]*Elementos_[[#This Row],[Cantidad]]</f>
        <v>295652</v>
      </c>
      <c r="K11" s="166"/>
      <c r="L11" s="159">
        <f>+Elementos_[[#This Row],[Cantidad LANIP]]*Elementos_[[#This Row],[Valor de referencia]]</f>
        <v>0</v>
      </c>
      <c r="M11" s="270">
        <v>0</v>
      </c>
      <c r="N11" s="195">
        <f>+Elementos_[[#This Row],[Cantidad 
LDV]]*Elementos_[[#This Row],[Valor de referencia]]</f>
        <v>0</v>
      </c>
      <c r="O11" s="166"/>
      <c r="P11" s="159">
        <f>+Elementos_[[#This Row],[Cantidad LNDV]]*Elementos_[[#This Row],[Valor de referencia]]</f>
        <v>0</v>
      </c>
      <c r="Q11" s="196"/>
      <c r="R11" s="159">
        <f>+Elementos_[[#This Row],[GGCA]]*Elementos_[[#This Row],[Valor de referencia]]</f>
        <v>0</v>
      </c>
      <c r="S11" s="166">
        <v>4</v>
      </c>
      <c r="T11" s="159">
        <f>+Elementos_[[#This Row],[Cantidad LDF]]*Elementos_[[#This Row],[Valor de referencia]]</f>
        <v>295652</v>
      </c>
      <c r="U11" s="197"/>
      <c r="V11" s="159">
        <f>+Elementos_[[#This Row],[Cantidad LDF&amp;MR]]*Elementos_[[#This Row],[Valor de referencia]]</f>
        <v>0</v>
      </c>
      <c r="W11" s="166"/>
      <c r="X11" s="159">
        <f>+Elementos_[[#This Row],[Cantidad RED LASE]]*Elementos_[[#This Row],[Valor de referencia]]</f>
        <v>0</v>
      </c>
      <c r="Y11" s="196"/>
      <c r="Z11" s="159">
        <f>+Elementos_[[#This Row],[Cantidad LANIA]]*Elementos_[[#This Row],[Valor de referencia]]</f>
        <v>0</v>
      </c>
      <c r="AA11" s="196"/>
      <c r="AB11" s="159">
        <f>+Elementos_[[#This Row],[Cantidad SPA]]*Elementos_[[#This Row],[Valor de referencia]]</f>
        <v>0</v>
      </c>
      <c r="AC11" s="166" t="s">
        <v>2049</v>
      </c>
    </row>
    <row r="12" spans="1:29" ht="12.75" x14ac:dyDescent="0.2">
      <c r="A12" s="294" t="str">
        <f>IF(B12=Elementos_[[#This Row],[Cantidad LANIP]],"LANIP",IF(B12=Elementos_[[#This Row],[Cantidad 
LDV]],"LDV",IF(B12=Elementos_[[#This Row],[Cantidad LNDV]],"LNDV",IF(B12=Elementos_[[#This Row],[GGCA]],"GGCA",IF(B12=Elementos_[[#This Row],[Cantidad LDF]],"LDF",IF(B12=Elementos_[[#This Row],[Cantidad LDF&amp;MR]],"LDF&amp;MR",IF(B12=Elementos_[[#This Row],[Cantidad RED LASE]],"LASE",IF(B12=Elementos_[[#This Row],[Cantidad LANIA]],"LANIA",IF(B12=Elementos_[[#This Row],[Cantidad SPA]],"SPA"," ")))))))))</f>
        <v>LDF</v>
      </c>
      <c r="B1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2" s="298">
        <v>10</v>
      </c>
      <c r="D12" s="190">
        <v>18</v>
      </c>
      <c r="E12" s="273" t="s">
        <v>2055</v>
      </c>
      <c r="F12" s="201" t="s">
        <v>183</v>
      </c>
      <c r="G12" s="202" t="s">
        <v>2052</v>
      </c>
      <c r="H1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12" s="194">
        <v>85357</v>
      </c>
      <c r="J12" s="194">
        <f>+Elementos_[[#This Row],[Valor de referencia]]*Elementos_[[#This Row],[Cantidad]]</f>
        <v>341428</v>
      </c>
      <c r="K12" s="166"/>
      <c r="L12" s="159">
        <f>+Elementos_[[#This Row],[Cantidad LANIP]]*Elementos_[[#This Row],[Valor de referencia]]</f>
        <v>0</v>
      </c>
      <c r="M12" s="270">
        <v>0</v>
      </c>
      <c r="N12" s="195">
        <f>+Elementos_[[#This Row],[Cantidad 
LDV]]*Elementos_[[#This Row],[Valor de referencia]]</f>
        <v>0</v>
      </c>
      <c r="O12" s="166"/>
      <c r="P12" s="159">
        <f>+Elementos_[[#This Row],[Cantidad LNDV]]*Elementos_[[#This Row],[Valor de referencia]]</f>
        <v>0</v>
      </c>
      <c r="Q12" s="196"/>
      <c r="R12" s="159">
        <f>+Elementos_[[#This Row],[GGCA]]*Elementos_[[#This Row],[Valor de referencia]]</f>
        <v>0</v>
      </c>
      <c r="S12" s="166">
        <v>4</v>
      </c>
      <c r="T12" s="159">
        <f>+Elementos_[[#This Row],[Cantidad LDF]]*Elementos_[[#This Row],[Valor de referencia]]</f>
        <v>341428</v>
      </c>
      <c r="U12" s="197"/>
      <c r="V12" s="159">
        <f>+Elementos_[[#This Row],[Cantidad LDF&amp;MR]]*Elementos_[[#This Row],[Valor de referencia]]</f>
        <v>0</v>
      </c>
      <c r="W12" s="166"/>
      <c r="X12" s="159">
        <f>+Elementos_[[#This Row],[Cantidad RED LASE]]*Elementos_[[#This Row],[Valor de referencia]]</f>
        <v>0</v>
      </c>
      <c r="Y12" s="196"/>
      <c r="Z12" s="159">
        <f>+Elementos_[[#This Row],[Cantidad LANIA]]*Elementos_[[#This Row],[Valor de referencia]]</f>
        <v>0</v>
      </c>
      <c r="AA12" s="196"/>
      <c r="AB12" s="159">
        <f>+Elementos_[[#This Row],[Cantidad SPA]]*Elementos_[[#This Row],[Valor de referencia]]</f>
        <v>0</v>
      </c>
      <c r="AC12" s="166" t="s">
        <v>2049</v>
      </c>
    </row>
    <row r="13" spans="1:29" ht="12.75" x14ac:dyDescent="0.2">
      <c r="A13" s="294" t="str">
        <f>IF(B13=Elementos_[[#This Row],[Cantidad LANIP]],"LANIP",IF(B13=Elementos_[[#This Row],[Cantidad 
LDV]],"LDV",IF(B13=Elementos_[[#This Row],[Cantidad LNDV]],"LNDV",IF(B13=Elementos_[[#This Row],[GGCA]],"GGCA",IF(B13=Elementos_[[#This Row],[Cantidad LDF]],"LDF",IF(B13=Elementos_[[#This Row],[Cantidad LDF&amp;MR]],"LDF&amp;MR",IF(B13=Elementos_[[#This Row],[Cantidad RED LASE]],"LASE",IF(B13=Elementos_[[#This Row],[Cantidad LANIA]],"LANIA",IF(B13=Elementos_[[#This Row],[Cantidad SPA]],"SPA"," ")))))))))</f>
        <v>LDF</v>
      </c>
      <c r="B1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3" s="298">
        <v>11</v>
      </c>
      <c r="D13" s="190">
        <v>19</v>
      </c>
      <c r="E13" s="273" t="s">
        <v>2056</v>
      </c>
      <c r="F13" s="203" t="s">
        <v>183</v>
      </c>
      <c r="G13" s="192" t="s">
        <v>2052</v>
      </c>
      <c r="H1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13" s="194">
        <v>73913</v>
      </c>
      <c r="J13" s="194">
        <f>+Elementos_[[#This Row],[Valor de referencia]]*Elementos_[[#This Row],[Cantidad]]</f>
        <v>295652</v>
      </c>
      <c r="K13" s="166"/>
      <c r="L13" s="159">
        <f>+Elementos_[[#This Row],[Cantidad LANIP]]*Elementos_[[#This Row],[Valor de referencia]]</f>
        <v>0</v>
      </c>
      <c r="M13" s="270">
        <v>0</v>
      </c>
      <c r="N13" s="195">
        <f>+Elementos_[[#This Row],[Cantidad 
LDV]]*Elementos_[[#This Row],[Valor de referencia]]</f>
        <v>0</v>
      </c>
      <c r="O13" s="166"/>
      <c r="P13" s="159">
        <f>+Elementos_[[#This Row],[Cantidad LNDV]]*Elementos_[[#This Row],[Valor de referencia]]</f>
        <v>0</v>
      </c>
      <c r="Q13" s="196"/>
      <c r="R13" s="159">
        <f>+Elementos_[[#This Row],[GGCA]]*Elementos_[[#This Row],[Valor de referencia]]</f>
        <v>0</v>
      </c>
      <c r="S13" s="166">
        <v>4</v>
      </c>
      <c r="T13" s="159">
        <f>+Elementos_[[#This Row],[Cantidad LDF]]*Elementos_[[#This Row],[Valor de referencia]]</f>
        <v>295652</v>
      </c>
      <c r="U13" s="197"/>
      <c r="V13" s="159">
        <f>+Elementos_[[#This Row],[Cantidad LDF&amp;MR]]*Elementos_[[#This Row],[Valor de referencia]]</f>
        <v>0</v>
      </c>
      <c r="W13" s="166"/>
      <c r="X13" s="159">
        <f>+Elementos_[[#This Row],[Cantidad RED LASE]]*Elementos_[[#This Row],[Valor de referencia]]</f>
        <v>0</v>
      </c>
      <c r="Y13" s="196"/>
      <c r="Z13" s="159">
        <f>+Elementos_[[#This Row],[Cantidad LANIA]]*Elementos_[[#This Row],[Valor de referencia]]</f>
        <v>0</v>
      </c>
      <c r="AA13" s="196"/>
      <c r="AB13" s="159">
        <f>+Elementos_[[#This Row],[Cantidad SPA]]*Elementos_[[#This Row],[Valor de referencia]]</f>
        <v>0</v>
      </c>
      <c r="AC13" s="166" t="s">
        <v>2049</v>
      </c>
    </row>
    <row r="14" spans="1:29" ht="12.75" x14ac:dyDescent="0.2">
      <c r="A14" s="294" t="str">
        <f>IF(B14=Elementos_[[#This Row],[Cantidad LANIP]],"LANIP",IF(B14=Elementos_[[#This Row],[Cantidad 
LDV]],"LDV",IF(B14=Elementos_[[#This Row],[Cantidad LNDV]],"LNDV",IF(B14=Elementos_[[#This Row],[GGCA]],"GGCA",IF(B14=Elementos_[[#This Row],[Cantidad LDF]],"LDF",IF(B14=Elementos_[[#This Row],[Cantidad LDF&amp;MR]],"LDF&amp;MR",IF(B14=Elementos_[[#This Row],[Cantidad RED LASE]],"LASE",IF(B14=Elementos_[[#This Row],[Cantidad LANIA]],"LANIA",IF(B14=Elementos_[[#This Row],[Cantidad SPA]],"SPA"," ")))))))))</f>
        <v>LDF</v>
      </c>
      <c r="B1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4" s="298">
        <v>12</v>
      </c>
      <c r="D14" s="190">
        <v>20</v>
      </c>
      <c r="E14" s="273" t="s">
        <v>2057</v>
      </c>
      <c r="F14" s="201" t="s">
        <v>183</v>
      </c>
      <c r="G14" s="192" t="s">
        <v>2054</v>
      </c>
      <c r="H1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14" s="194">
        <v>79367</v>
      </c>
      <c r="J14" s="194">
        <f>+Elementos_[[#This Row],[Valor de referencia]]*Elementos_[[#This Row],[Cantidad]]</f>
        <v>317468</v>
      </c>
      <c r="K14" s="166"/>
      <c r="L14" s="159">
        <f>+Elementos_[[#This Row],[Cantidad LANIP]]*Elementos_[[#This Row],[Valor de referencia]]</f>
        <v>0</v>
      </c>
      <c r="M14" s="270">
        <v>0</v>
      </c>
      <c r="N14" s="195">
        <f>+Elementos_[[#This Row],[Cantidad 
LDV]]*Elementos_[[#This Row],[Valor de referencia]]</f>
        <v>0</v>
      </c>
      <c r="O14" s="166"/>
      <c r="P14" s="159">
        <f>+Elementos_[[#This Row],[Cantidad LNDV]]*Elementos_[[#This Row],[Valor de referencia]]</f>
        <v>0</v>
      </c>
      <c r="Q14" s="196"/>
      <c r="R14" s="159">
        <f>+Elementos_[[#This Row],[GGCA]]*Elementos_[[#This Row],[Valor de referencia]]</f>
        <v>0</v>
      </c>
      <c r="S14" s="166">
        <v>4</v>
      </c>
      <c r="T14" s="159">
        <f>+Elementos_[[#This Row],[Cantidad LDF]]*Elementos_[[#This Row],[Valor de referencia]]</f>
        <v>317468</v>
      </c>
      <c r="U14" s="197"/>
      <c r="V14" s="159">
        <f>+Elementos_[[#This Row],[Cantidad LDF&amp;MR]]*Elementos_[[#This Row],[Valor de referencia]]</f>
        <v>0</v>
      </c>
      <c r="W14" s="166"/>
      <c r="X14" s="159">
        <f>+Elementos_[[#This Row],[Cantidad RED LASE]]*Elementos_[[#This Row],[Valor de referencia]]</f>
        <v>0</v>
      </c>
      <c r="Y14" s="196"/>
      <c r="Z14" s="159">
        <f>+Elementos_[[#This Row],[Cantidad LANIA]]*Elementos_[[#This Row],[Valor de referencia]]</f>
        <v>0</v>
      </c>
      <c r="AA14" s="196"/>
      <c r="AB14" s="159">
        <f>+Elementos_[[#This Row],[Cantidad SPA]]*Elementos_[[#This Row],[Valor de referencia]]</f>
        <v>0</v>
      </c>
      <c r="AC14" s="166" t="s">
        <v>2049</v>
      </c>
    </row>
    <row r="15" spans="1:29" ht="12.75" x14ac:dyDescent="0.2">
      <c r="A15" s="294" t="str">
        <f>IF(B15=Elementos_[[#This Row],[Cantidad LANIP]],"LANIP",IF(B15=Elementos_[[#This Row],[Cantidad 
LDV]],"LDV",IF(B15=Elementos_[[#This Row],[Cantidad LNDV]],"LNDV",IF(B15=Elementos_[[#This Row],[GGCA]],"GGCA",IF(B15=Elementos_[[#This Row],[Cantidad LDF]],"LDF",IF(B15=Elementos_[[#This Row],[Cantidad LDF&amp;MR]],"LDF&amp;MR",IF(B15=Elementos_[[#This Row],[Cantidad RED LASE]],"LASE",IF(B15=Elementos_[[#This Row],[Cantidad LANIA]],"LANIA",IF(B15=Elementos_[[#This Row],[Cantidad SPA]],"SPA"," ")))))))))</f>
        <v>LDF</v>
      </c>
      <c r="B1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5" s="298">
        <v>13</v>
      </c>
      <c r="D15" s="190">
        <v>21</v>
      </c>
      <c r="E15" s="273" t="s">
        <v>2058</v>
      </c>
      <c r="F15" s="201" t="s">
        <v>183</v>
      </c>
      <c r="G15" s="202" t="s">
        <v>2059</v>
      </c>
      <c r="H1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15" s="194">
        <v>70425</v>
      </c>
      <c r="J15" s="194">
        <f>+Elementos_[[#This Row],[Valor de referencia]]*Elementos_[[#This Row],[Cantidad]]</f>
        <v>352125</v>
      </c>
      <c r="K15" s="166"/>
      <c r="L15" s="159">
        <f>+Elementos_[[#This Row],[Cantidad LANIP]]*Elementos_[[#This Row],[Valor de referencia]]</f>
        <v>0</v>
      </c>
      <c r="M15" s="270">
        <v>0</v>
      </c>
      <c r="N15" s="195">
        <f>+Elementos_[[#This Row],[Cantidad 
LDV]]*Elementos_[[#This Row],[Valor de referencia]]</f>
        <v>0</v>
      </c>
      <c r="O15" s="166"/>
      <c r="P15" s="159">
        <f>+Elementos_[[#This Row],[Cantidad LNDV]]*Elementos_[[#This Row],[Valor de referencia]]</f>
        <v>0</v>
      </c>
      <c r="Q15" s="196"/>
      <c r="R15" s="159">
        <f>+Elementos_[[#This Row],[GGCA]]*Elementos_[[#This Row],[Valor de referencia]]</f>
        <v>0</v>
      </c>
      <c r="S15" s="166">
        <v>4</v>
      </c>
      <c r="T15" s="159">
        <f>+Elementos_[[#This Row],[Cantidad LDF]]*Elementos_[[#This Row],[Valor de referencia]]</f>
        <v>281700</v>
      </c>
      <c r="U15" s="197">
        <v>1</v>
      </c>
      <c r="V15" s="159">
        <f>+Elementos_[[#This Row],[Cantidad LDF&amp;MR]]*Elementos_[[#This Row],[Valor de referencia]]</f>
        <v>70425</v>
      </c>
      <c r="W15" s="166"/>
      <c r="X15" s="159">
        <f>+Elementos_[[#This Row],[Cantidad RED LASE]]*Elementos_[[#This Row],[Valor de referencia]]</f>
        <v>0</v>
      </c>
      <c r="Y15" s="196"/>
      <c r="Z15" s="159">
        <f>+Elementos_[[#This Row],[Cantidad LANIA]]*Elementos_[[#This Row],[Valor de referencia]]</f>
        <v>0</v>
      </c>
      <c r="AA15" s="196"/>
      <c r="AB15" s="159">
        <f>+Elementos_[[#This Row],[Cantidad SPA]]*Elementos_[[#This Row],[Valor de referencia]]</f>
        <v>0</v>
      </c>
      <c r="AC15" s="166" t="s">
        <v>2049</v>
      </c>
    </row>
    <row r="16" spans="1:29" ht="24" x14ac:dyDescent="0.2">
      <c r="A16" s="294" t="str">
        <f>IF(B16=Elementos_[[#This Row],[Cantidad LANIP]],"LANIP",IF(B16=Elementos_[[#This Row],[Cantidad 
LDV]],"LDV",IF(B16=Elementos_[[#This Row],[Cantidad LNDV]],"LNDV",IF(B16=Elementos_[[#This Row],[GGCA]],"GGCA",IF(B16=Elementos_[[#This Row],[Cantidad LDF]],"LDF",IF(B16=Elementos_[[#This Row],[Cantidad LDF&amp;MR]],"LDF&amp;MR",IF(B16=Elementos_[[#This Row],[Cantidad RED LASE]],"LASE",IF(B16=Elementos_[[#This Row],[Cantidad LANIA]],"LANIA",IF(B16=Elementos_[[#This Row],[Cantidad SPA]],"SPA"," ")))))))))</f>
        <v>LDV</v>
      </c>
      <c r="B1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6" s="298">
        <v>14</v>
      </c>
      <c r="D16" s="190">
        <v>22</v>
      </c>
      <c r="E16" s="273" t="s">
        <v>2060</v>
      </c>
      <c r="F16" s="201" t="s">
        <v>183</v>
      </c>
      <c r="G16" s="302" t="s">
        <v>2061</v>
      </c>
      <c r="H1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32</v>
      </c>
      <c r="I16" s="194">
        <v>37123</v>
      </c>
      <c r="J16" s="194">
        <f>+Elementos_[[#This Row],[Valor de referencia]]*Elementos_[[#This Row],[Cantidad]]</f>
        <v>1187936</v>
      </c>
      <c r="K16" s="166">
        <v>7</v>
      </c>
      <c r="L16" s="159">
        <f>+Elementos_[[#This Row],[Cantidad LANIP]]*Elementos_[[#This Row],[Valor de referencia]]</f>
        <v>259861</v>
      </c>
      <c r="M16" s="270">
        <v>10</v>
      </c>
      <c r="N16" s="195">
        <f>+Elementos_[[#This Row],[Cantidad 
LDV]]*Elementos_[[#This Row],[Valor de referencia]]</f>
        <v>371230</v>
      </c>
      <c r="O16" s="166">
        <v>5</v>
      </c>
      <c r="P16" s="159">
        <f>+Elementos_[[#This Row],[Cantidad LNDV]]*Elementos_[[#This Row],[Valor de referencia]]</f>
        <v>185615</v>
      </c>
      <c r="Q16" s="196"/>
      <c r="R16" s="159">
        <f>+Elementos_[[#This Row],[GGCA]]*Elementos_[[#This Row],[Valor de referencia]]</f>
        <v>0</v>
      </c>
      <c r="S16" s="166">
        <v>4</v>
      </c>
      <c r="T16" s="159">
        <f>+Elementos_[[#This Row],[Cantidad LDF]]*Elementos_[[#This Row],[Valor de referencia]]</f>
        <v>148492</v>
      </c>
      <c r="U16" s="197">
        <v>4</v>
      </c>
      <c r="V16" s="159">
        <f>+Elementos_[[#This Row],[Cantidad LDF&amp;MR]]*Elementos_[[#This Row],[Valor de referencia]]</f>
        <v>148492</v>
      </c>
      <c r="W16" s="166"/>
      <c r="X16" s="159">
        <f>+Elementos_[[#This Row],[Cantidad RED LASE]]*Elementos_[[#This Row],[Valor de referencia]]</f>
        <v>0</v>
      </c>
      <c r="Y16" s="166">
        <v>2</v>
      </c>
      <c r="Z16" s="159">
        <f>+Elementos_[[#This Row],[Cantidad LANIA]]*Elementos_[[#This Row],[Valor de referencia]]</f>
        <v>74246</v>
      </c>
      <c r="AA16" s="196"/>
      <c r="AB16" s="159">
        <f>+Elementos_[[#This Row],[Cantidad SPA]]*Elementos_[[#This Row],[Valor de referencia]]</f>
        <v>0</v>
      </c>
      <c r="AC16" s="166" t="s">
        <v>2049</v>
      </c>
    </row>
    <row r="17" spans="1:29" ht="36" x14ac:dyDescent="0.2">
      <c r="A17" s="294" t="str">
        <f>IF(B17=Elementos_[[#This Row],[Cantidad LANIP]],"LANIP",IF(B17=Elementos_[[#This Row],[Cantidad 
LDV]],"LDV",IF(B17=Elementos_[[#This Row],[Cantidad LNDV]],"LNDV",IF(B17=Elementos_[[#This Row],[GGCA]],"GGCA",IF(B17=Elementos_[[#This Row],[Cantidad LDF]],"LDF",IF(B17=Elementos_[[#This Row],[Cantidad LDF&amp;MR]],"LDF&amp;MR",IF(B17=Elementos_[[#This Row],[Cantidad RED LASE]],"LASE",IF(B17=Elementos_[[#This Row],[Cantidad LANIA]],"LANIA",IF(B17=Elementos_[[#This Row],[Cantidad SPA]],"SPA"," ")))))))))</f>
        <v>LANIP</v>
      </c>
      <c r="B1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C17" s="298">
        <v>15</v>
      </c>
      <c r="D17" s="190">
        <v>24</v>
      </c>
      <c r="E17" s="273" t="s">
        <v>2062</v>
      </c>
      <c r="F17" s="201" t="s">
        <v>2063</v>
      </c>
      <c r="G17" s="192" t="s">
        <v>2064</v>
      </c>
      <c r="H1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I17" s="194">
        <v>15724</v>
      </c>
      <c r="J17" s="194">
        <f>+Elementos_[[#This Row],[Valor de referencia]]*Elementos_[[#This Row],[Cantidad]]</f>
        <v>786200</v>
      </c>
      <c r="K17" s="166">
        <v>50</v>
      </c>
      <c r="L17" s="159">
        <f>+Elementos_[[#This Row],[Cantidad LANIP]]*Elementos_[[#This Row],[Valor de referencia]]</f>
        <v>786200</v>
      </c>
      <c r="M17" s="270">
        <v>0</v>
      </c>
      <c r="N17" s="195">
        <f>+Elementos_[[#This Row],[Cantidad 
LDV]]*Elementos_[[#This Row],[Valor de referencia]]</f>
        <v>0</v>
      </c>
      <c r="O17" s="166"/>
      <c r="P17" s="159">
        <f>+Elementos_[[#This Row],[Cantidad LNDV]]*Elementos_[[#This Row],[Valor de referencia]]</f>
        <v>0</v>
      </c>
      <c r="Q17" s="196"/>
      <c r="R17" s="159">
        <f>+Elementos_[[#This Row],[GGCA]]*Elementos_[[#This Row],[Valor de referencia]]</f>
        <v>0</v>
      </c>
      <c r="S17" s="166"/>
      <c r="T17" s="159">
        <f>+Elementos_[[#This Row],[Cantidad LDF]]*Elementos_[[#This Row],[Valor de referencia]]</f>
        <v>0</v>
      </c>
      <c r="U17" s="197"/>
      <c r="V17" s="159">
        <f>+Elementos_[[#This Row],[Cantidad LDF&amp;MR]]*Elementos_[[#This Row],[Valor de referencia]]</f>
        <v>0</v>
      </c>
      <c r="W17" s="166"/>
      <c r="X17" s="159">
        <f>+Elementos_[[#This Row],[Cantidad RED LASE]]*Elementos_[[#This Row],[Valor de referencia]]</f>
        <v>0</v>
      </c>
      <c r="Y17" s="166"/>
      <c r="Z17" s="159">
        <f>+Elementos_[[#This Row],[Cantidad LANIA]]*Elementos_[[#This Row],[Valor de referencia]]</f>
        <v>0</v>
      </c>
      <c r="AA17" s="196"/>
      <c r="AB17" s="159">
        <f>+Elementos_[[#This Row],[Cantidad SPA]]*Elementos_[[#This Row],[Valor de referencia]]</f>
        <v>0</v>
      </c>
      <c r="AC17" s="166" t="s">
        <v>2041</v>
      </c>
    </row>
    <row r="18" spans="1:29" ht="36" x14ac:dyDescent="0.2">
      <c r="A18" s="294" t="str">
        <f>IF(B18=Elementos_[[#This Row],[Cantidad LANIP]],"LANIP",IF(B18=Elementos_[[#This Row],[Cantidad 
LDV]],"LDV",IF(B18=Elementos_[[#This Row],[Cantidad LNDV]],"LNDV",IF(B18=Elementos_[[#This Row],[GGCA]],"GGCA",IF(B18=Elementos_[[#This Row],[Cantidad LDF]],"LDF",IF(B18=Elementos_[[#This Row],[Cantidad LDF&amp;MR]],"LDF&amp;MR",IF(B18=Elementos_[[#This Row],[Cantidad RED LASE]],"LASE",IF(B18=Elementos_[[#This Row],[Cantidad LANIA]],"LANIA",IF(B18=Elementos_[[#This Row],[Cantidad SPA]],"SPA"," ")))))))))</f>
        <v>LANIP</v>
      </c>
      <c r="B1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C18" s="298">
        <v>16</v>
      </c>
      <c r="D18" s="190">
        <v>25</v>
      </c>
      <c r="E18" s="299" t="s">
        <v>2065</v>
      </c>
      <c r="F18" s="191" t="s">
        <v>2063</v>
      </c>
      <c r="G18" s="192" t="s">
        <v>2064</v>
      </c>
      <c r="H1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I18" s="194">
        <v>14424</v>
      </c>
      <c r="J18" s="194">
        <f>+Elementos_[[#This Row],[Valor de referencia]]*Elementos_[[#This Row],[Cantidad]]</f>
        <v>721200</v>
      </c>
      <c r="K18" s="166">
        <v>50</v>
      </c>
      <c r="L18" s="159">
        <f>+Elementos_[[#This Row],[Cantidad LANIP]]*Elementos_[[#This Row],[Valor de referencia]]</f>
        <v>721200</v>
      </c>
      <c r="M18" s="270"/>
      <c r="N18" s="195">
        <f>+Elementos_[[#This Row],[Cantidad 
LDV]]*Elementos_[[#This Row],[Valor de referencia]]</f>
        <v>0</v>
      </c>
      <c r="O18" s="166"/>
      <c r="P18" s="159">
        <f>+Elementos_[[#This Row],[Cantidad LNDV]]*Elementos_[[#This Row],[Valor de referencia]]</f>
        <v>0</v>
      </c>
      <c r="Q18" s="196"/>
      <c r="R18" s="159">
        <f>+Elementos_[[#This Row],[GGCA]]*Elementos_[[#This Row],[Valor de referencia]]</f>
        <v>0</v>
      </c>
      <c r="S18" s="166"/>
      <c r="T18" s="159">
        <f>+Elementos_[[#This Row],[Cantidad LDF]]*Elementos_[[#This Row],[Valor de referencia]]</f>
        <v>0</v>
      </c>
      <c r="U18" s="197"/>
      <c r="V18" s="159">
        <f>+Elementos_[[#This Row],[Cantidad LDF&amp;MR]]*Elementos_[[#This Row],[Valor de referencia]]</f>
        <v>0</v>
      </c>
      <c r="W18" s="166"/>
      <c r="X18" s="159">
        <f>+Elementos_[[#This Row],[Cantidad RED LASE]]*Elementos_[[#This Row],[Valor de referencia]]</f>
        <v>0</v>
      </c>
      <c r="Y18" s="166"/>
      <c r="Z18" s="159">
        <f>+Elementos_[[#This Row],[Cantidad LANIA]]*Elementos_[[#This Row],[Valor de referencia]]</f>
        <v>0</v>
      </c>
      <c r="AA18" s="196"/>
      <c r="AB18" s="159">
        <f>+Elementos_[[#This Row],[Cantidad SPA]]*Elementos_[[#This Row],[Valor de referencia]]</f>
        <v>0</v>
      </c>
      <c r="AC18" s="166" t="s">
        <v>2041</v>
      </c>
    </row>
    <row r="19" spans="1:29" ht="24" customHeight="1" x14ac:dyDescent="0.2">
      <c r="A19" s="294" t="str">
        <f>IF(B19=Elementos_[[#This Row],[Cantidad LANIP]],"LANIP",IF(B19=Elementos_[[#This Row],[Cantidad 
LDV]],"LDV",IF(B19=Elementos_[[#This Row],[Cantidad LNDV]],"LNDV",IF(B19=Elementos_[[#This Row],[GGCA]],"GGCA",IF(B19=Elementos_[[#This Row],[Cantidad LDF]],"LDF",IF(B19=Elementos_[[#This Row],[Cantidad LDF&amp;MR]],"LDF&amp;MR",IF(B19=Elementos_[[#This Row],[Cantidad RED LASE]],"LASE",IF(B19=Elementos_[[#This Row],[Cantidad LANIA]],"LANIA",IF(B19=Elementos_[[#This Row],[Cantidad SPA]],"SPA"," ")))))))))</f>
        <v>LNDV</v>
      </c>
      <c r="B1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10000</v>
      </c>
      <c r="C19" s="298">
        <v>17</v>
      </c>
      <c r="D19" s="190">
        <v>26</v>
      </c>
      <c r="E19" s="273" t="s">
        <v>2066</v>
      </c>
      <c r="F19" s="201" t="s">
        <v>183</v>
      </c>
      <c r="G19" s="192" t="s">
        <v>525</v>
      </c>
      <c r="H1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10000</v>
      </c>
      <c r="I19" s="194">
        <v>452</v>
      </c>
      <c r="J19" s="194">
        <f>+Elementos_[[#This Row],[Valor de referencia]]*Elementos_[[#This Row],[Cantidad]]</f>
        <v>4520000</v>
      </c>
      <c r="K19" s="166"/>
      <c r="L19" s="159">
        <f>+Elementos_[[#This Row],[Cantidad LANIP]]*Elementos_[[#This Row],[Valor de referencia]]</f>
        <v>0</v>
      </c>
      <c r="M19" s="270">
        <v>0</v>
      </c>
      <c r="N19" s="195">
        <f>+Elementos_[[#This Row],[Cantidad 
LDV]]*Elementos_[[#This Row],[Valor de referencia]]</f>
        <v>0</v>
      </c>
      <c r="O19" s="166">
        <v>10000</v>
      </c>
      <c r="P19" s="159">
        <f>+Elementos_[[#This Row],[Cantidad LNDV]]*Elementos_[[#This Row],[Valor de referencia]]</f>
        <v>4520000</v>
      </c>
      <c r="Q19" s="196"/>
      <c r="R19" s="159">
        <f>+Elementos_[[#This Row],[GGCA]]*Elementos_[[#This Row],[Valor de referencia]]</f>
        <v>0</v>
      </c>
      <c r="S19" s="166"/>
      <c r="T19" s="159">
        <f>+Elementos_[[#This Row],[Cantidad LDF]]*Elementos_[[#This Row],[Valor de referencia]]</f>
        <v>0</v>
      </c>
      <c r="U19" s="197"/>
      <c r="V19" s="159">
        <f>+Elementos_[[#This Row],[Cantidad LDF&amp;MR]]*Elementos_[[#This Row],[Valor de referencia]]</f>
        <v>0</v>
      </c>
      <c r="W19" s="166"/>
      <c r="X19" s="159">
        <f>+Elementos_[[#This Row],[Cantidad RED LASE]]*Elementos_[[#This Row],[Valor de referencia]]</f>
        <v>0</v>
      </c>
      <c r="Y19" s="166"/>
      <c r="Z19" s="159">
        <f>+Elementos_[[#This Row],[Cantidad LANIA]]*Elementos_[[#This Row],[Valor de referencia]]</f>
        <v>0</v>
      </c>
      <c r="AA19" s="196"/>
      <c r="AB19" s="159">
        <f>+Elementos_[[#This Row],[Cantidad SPA]]*Elementos_[[#This Row],[Valor de referencia]]</f>
        <v>0</v>
      </c>
      <c r="AC19" s="166" t="s">
        <v>2049</v>
      </c>
    </row>
    <row r="20" spans="1:29" ht="24" x14ac:dyDescent="0.2">
      <c r="A20" s="294" t="str">
        <f>IF(B20=Elementos_[[#This Row],[Cantidad LANIP]],"LANIP",IF(B20=Elementos_[[#This Row],[Cantidad 
LDV]],"LDV",IF(B20=Elementos_[[#This Row],[Cantidad LNDV]],"LNDV",IF(B20=Elementos_[[#This Row],[GGCA]],"GGCA",IF(B20=Elementos_[[#This Row],[Cantidad LDF]],"LDF",IF(B20=Elementos_[[#This Row],[Cantidad LDF&amp;MR]],"LDF&amp;MR",IF(B20=Elementos_[[#This Row],[Cantidad RED LASE]],"LASE",IF(B20=Elementos_[[#This Row],[Cantidad LANIA]],"LANIA",IF(B20=Elementos_[[#This Row],[Cantidad SPA]],"SPA"," ")))))))))</f>
        <v>LDV</v>
      </c>
      <c r="B2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C20" s="298">
        <v>18</v>
      </c>
      <c r="D20" s="190">
        <v>27</v>
      </c>
      <c r="E20" s="273" t="s">
        <v>2067</v>
      </c>
      <c r="F20" s="204" t="s">
        <v>183</v>
      </c>
      <c r="G20" s="192" t="s">
        <v>1391</v>
      </c>
      <c r="H2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v>
      </c>
      <c r="I20" s="194">
        <v>206108</v>
      </c>
      <c r="J20" s="194">
        <f>+Elementos_[[#This Row],[Valor de referencia]]*Elementos_[[#This Row],[Cantidad]]</f>
        <v>12366480</v>
      </c>
      <c r="K20" s="166"/>
      <c r="L20" s="159">
        <f>+Elementos_[[#This Row],[Cantidad LANIP]]*Elementos_[[#This Row],[Valor de referencia]]</f>
        <v>0</v>
      </c>
      <c r="M20" s="270">
        <v>50</v>
      </c>
      <c r="N20" s="195">
        <f>+Elementos_[[#This Row],[Cantidad 
LDV]]*Elementos_[[#This Row],[Valor de referencia]]</f>
        <v>10305400</v>
      </c>
      <c r="O20" s="166">
        <v>1</v>
      </c>
      <c r="P20" s="159">
        <f>+Elementos_[[#This Row],[Cantidad LNDV]]*Elementos_[[#This Row],[Valor de referencia]]</f>
        <v>206108</v>
      </c>
      <c r="Q20" s="196"/>
      <c r="R20" s="159">
        <f>+Elementos_[[#This Row],[GGCA]]*Elementos_[[#This Row],[Valor de referencia]]</f>
        <v>0</v>
      </c>
      <c r="S20" s="166">
        <v>4</v>
      </c>
      <c r="T20" s="159">
        <f>+Elementos_[[#This Row],[Cantidad LDF]]*Elementos_[[#This Row],[Valor de referencia]]</f>
        <v>824432</v>
      </c>
      <c r="U20" s="197">
        <v>3</v>
      </c>
      <c r="V20" s="159">
        <f>+Elementos_[[#This Row],[Cantidad LDF&amp;MR]]*Elementos_[[#This Row],[Valor de referencia]]</f>
        <v>618324</v>
      </c>
      <c r="W20" s="166"/>
      <c r="X20" s="159">
        <f>+Elementos_[[#This Row],[Cantidad RED LASE]]*Elementos_[[#This Row],[Valor de referencia]]</f>
        <v>0</v>
      </c>
      <c r="Y20" s="166">
        <v>2</v>
      </c>
      <c r="Z20" s="159">
        <f>+Elementos_[[#This Row],[Cantidad LANIA]]*Elementos_[[#This Row],[Valor de referencia]]</f>
        <v>412216</v>
      </c>
      <c r="AA20" s="196"/>
      <c r="AB20" s="159">
        <f>+Elementos_[[#This Row],[Cantidad SPA]]*Elementos_[[#This Row],[Valor de referencia]]</f>
        <v>0</v>
      </c>
      <c r="AC20" s="166" t="s">
        <v>2049</v>
      </c>
    </row>
    <row r="21" spans="1:29" ht="26.25" customHeight="1" x14ac:dyDescent="0.2">
      <c r="A21" s="294" t="str">
        <f>IF(B21=Elementos_[[#This Row],[Cantidad LANIP]],"LANIP",IF(B21=Elementos_[[#This Row],[Cantidad 
LDV]],"LDV",IF(B21=Elementos_[[#This Row],[Cantidad LNDV]],"LNDV",IF(B21=Elementos_[[#This Row],[GGCA]],"GGCA",IF(B21=Elementos_[[#This Row],[Cantidad LDF]],"LDF",IF(B21=Elementos_[[#This Row],[Cantidad LDF&amp;MR]],"LDF&amp;MR",IF(B21=Elementos_[[#This Row],[Cantidad RED LASE]],"LASE",IF(B21=Elementos_[[#This Row],[Cantidad LANIA]],"LANIA",IF(B21=Elementos_[[#This Row],[Cantidad SPA]],"SPA"," ")))))))))</f>
        <v>LNDV</v>
      </c>
      <c r="B2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21" s="298">
        <v>19</v>
      </c>
      <c r="D21" s="190">
        <v>28</v>
      </c>
      <c r="E21" s="273" t="s">
        <v>2068</v>
      </c>
      <c r="F21" s="204" t="s">
        <v>183</v>
      </c>
      <c r="G21" s="192" t="s">
        <v>2069</v>
      </c>
      <c r="H2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21" s="194">
        <v>239865</v>
      </c>
      <c r="J21" s="194">
        <f>+Elementos_[[#This Row],[Valor de referencia]]*Elementos_[[#This Row],[Cantidad]]</f>
        <v>479730</v>
      </c>
      <c r="K21" s="166"/>
      <c r="L21" s="159">
        <f>+Elementos_[[#This Row],[Cantidad LANIP]]*Elementos_[[#This Row],[Valor de referencia]]</f>
        <v>0</v>
      </c>
      <c r="M21" s="270">
        <v>0</v>
      </c>
      <c r="N21" s="195">
        <f>+Elementos_[[#This Row],[Cantidad 
LDV]]*Elementos_[[#This Row],[Valor de referencia]]</f>
        <v>0</v>
      </c>
      <c r="O21" s="166">
        <v>2</v>
      </c>
      <c r="P21" s="159">
        <f>+Elementos_[[#This Row],[Cantidad LNDV]]*Elementos_[[#This Row],[Valor de referencia]]</f>
        <v>479730</v>
      </c>
      <c r="Q21" s="196"/>
      <c r="R21" s="159">
        <f>+Elementos_[[#This Row],[GGCA]]*Elementos_[[#This Row],[Valor de referencia]]</f>
        <v>0</v>
      </c>
      <c r="S21" s="166"/>
      <c r="T21" s="159">
        <f>+Elementos_[[#This Row],[Cantidad LDF]]*Elementos_[[#This Row],[Valor de referencia]]</f>
        <v>0</v>
      </c>
      <c r="U21" s="197"/>
      <c r="V21" s="159">
        <f>+Elementos_[[#This Row],[Cantidad LDF&amp;MR]]*Elementos_[[#This Row],[Valor de referencia]]</f>
        <v>0</v>
      </c>
      <c r="W21" s="166"/>
      <c r="X21" s="159">
        <f>+Elementos_[[#This Row],[Cantidad RED LASE]]*Elementos_[[#This Row],[Valor de referencia]]</f>
        <v>0</v>
      </c>
      <c r="Y21" s="166"/>
      <c r="Z21" s="159">
        <f>+Elementos_[[#This Row],[Cantidad LANIA]]*Elementos_[[#This Row],[Valor de referencia]]</f>
        <v>0</v>
      </c>
      <c r="AA21" s="196"/>
      <c r="AB21" s="159">
        <f>+Elementos_[[#This Row],[Cantidad SPA]]*Elementos_[[#This Row],[Valor de referencia]]</f>
        <v>0</v>
      </c>
      <c r="AC21" s="166" t="s">
        <v>2049</v>
      </c>
    </row>
    <row r="22" spans="1:29" ht="36" x14ac:dyDescent="0.2">
      <c r="A22" s="294" t="str">
        <f>IF(B22=Elementos_[[#This Row],[Cantidad LANIP]],"LANIP",IF(B22=Elementos_[[#This Row],[Cantidad 
LDV]],"LDV",IF(B22=Elementos_[[#This Row],[Cantidad LNDV]],"LNDV",IF(B22=Elementos_[[#This Row],[GGCA]],"GGCA",IF(B22=Elementos_[[#This Row],[Cantidad LDF]],"LDF",IF(B22=Elementos_[[#This Row],[Cantidad LDF&amp;MR]],"LDF&amp;MR",IF(B22=Elementos_[[#This Row],[Cantidad RED LASE]],"LASE",IF(B22=Elementos_[[#This Row],[Cantidad LANIA]],"LANIA",IF(B22=Elementos_[[#This Row],[Cantidad SPA]],"SPA"," ")))))))))</f>
        <v>LDV</v>
      </c>
      <c r="B2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22" s="298">
        <v>20</v>
      </c>
      <c r="D22" s="190">
        <v>29</v>
      </c>
      <c r="E22" s="273" t="s">
        <v>2070</v>
      </c>
      <c r="F22" s="307" t="s">
        <v>2071</v>
      </c>
      <c r="G22" s="192" t="s">
        <v>2072</v>
      </c>
      <c r="H2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41</v>
      </c>
      <c r="I22" s="194">
        <v>40793</v>
      </c>
      <c r="J22" s="194">
        <f>+Elementos_[[#This Row],[Valor de referencia]]*Elementos_[[#This Row],[Cantidad]]</f>
        <v>1672513</v>
      </c>
      <c r="K22" s="166"/>
      <c r="L22" s="159">
        <f>+Elementos_[[#This Row],[Cantidad LANIP]]*Elementos_[[#This Row],[Valor de referencia]]</f>
        <v>0</v>
      </c>
      <c r="M22" s="270">
        <v>15</v>
      </c>
      <c r="N22" s="195">
        <f>+Elementos_[[#This Row],[Cantidad 
LDV]]*Elementos_[[#This Row],[Valor de referencia]]</f>
        <v>611895</v>
      </c>
      <c r="O22" s="166">
        <v>2</v>
      </c>
      <c r="P22" s="159">
        <f>+Elementos_[[#This Row],[Cantidad LNDV]]*Elementos_[[#This Row],[Valor de referencia]]</f>
        <v>81586</v>
      </c>
      <c r="Q22" s="196"/>
      <c r="R22" s="159">
        <f>+Elementos_[[#This Row],[GGCA]]*Elementos_[[#This Row],[Valor de referencia]]</f>
        <v>0</v>
      </c>
      <c r="S22" s="166">
        <v>12</v>
      </c>
      <c r="T22" s="159">
        <f>+Elementos_[[#This Row],[Cantidad LDF]]*Elementos_[[#This Row],[Valor de referencia]]</f>
        <v>489516</v>
      </c>
      <c r="U22" s="197">
        <v>12</v>
      </c>
      <c r="V22" s="159">
        <f>+Elementos_[[#This Row],[Cantidad LDF&amp;MR]]*Elementos_[[#This Row],[Valor de referencia]]</f>
        <v>489516</v>
      </c>
      <c r="W22" s="166"/>
      <c r="X22" s="159">
        <f>+Elementos_[[#This Row],[Cantidad RED LASE]]*Elementos_[[#This Row],[Valor de referencia]]</f>
        <v>0</v>
      </c>
      <c r="Y22" s="166"/>
      <c r="Z22" s="159">
        <f>+Elementos_[[#This Row],[Cantidad LANIA]]*Elementos_[[#This Row],[Valor de referencia]]</f>
        <v>0</v>
      </c>
      <c r="AA22" s="196"/>
      <c r="AB22" s="159">
        <f>+Elementos_[[#This Row],[Cantidad SPA]]*Elementos_[[#This Row],[Valor de referencia]]</f>
        <v>0</v>
      </c>
      <c r="AC22" s="166" t="s">
        <v>2049</v>
      </c>
    </row>
    <row r="23" spans="1:29" ht="35.25" customHeight="1" x14ac:dyDescent="0.2">
      <c r="A23" s="294" t="str">
        <f>IF(B23=Elementos_[[#This Row],[Cantidad LANIP]],"LANIP",IF(B23=Elementos_[[#This Row],[Cantidad 
LDV]],"LDV",IF(B23=Elementos_[[#This Row],[Cantidad LNDV]],"LNDV",IF(B23=Elementos_[[#This Row],[GGCA]],"GGCA",IF(B23=Elementos_[[#This Row],[Cantidad LDF]],"LDF",IF(B23=Elementos_[[#This Row],[Cantidad LDF&amp;MR]],"LDF&amp;MR",IF(B23=Elementos_[[#This Row],[Cantidad RED LASE]],"LASE",IF(B23=Elementos_[[#This Row],[Cantidad LANIA]],"LANIA",IF(B23=Elementos_[[#This Row],[Cantidad SPA]],"SPA"," ")))))))))</f>
        <v>LDV</v>
      </c>
      <c r="B2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23" s="298">
        <v>21</v>
      </c>
      <c r="D23" s="190">
        <v>30</v>
      </c>
      <c r="E23" s="273" t="s">
        <v>2073</v>
      </c>
      <c r="F23" s="201" t="s">
        <v>2074</v>
      </c>
      <c r="G23" s="192" t="s">
        <v>2075</v>
      </c>
      <c r="H2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I23" s="194">
        <v>522653</v>
      </c>
      <c r="J23" s="194">
        <f>+Elementos_[[#This Row],[Valor de referencia]]*Elementos_[[#This Row],[Cantidad]]</f>
        <v>15679590</v>
      </c>
      <c r="K23" s="166">
        <v>8</v>
      </c>
      <c r="L23" s="159">
        <f>+Elementos_[[#This Row],[Cantidad LANIP]]*Elementos_[[#This Row],[Valor de referencia]]</f>
        <v>4181224</v>
      </c>
      <c r="M23" s="270">
        <v>15</v>
      </c>
      <c r="N23" s="195">
        <f>+Elementos_[[#This Row],[Cantidad 
LDV]]*Elementos_[[#This Row],[Valor de referencia]]</f>
        <v>7839795</v>
      </c>
      <c r="O23" s="166">
        <v>4</v>
      </c>
      <c r="P23" s="159">
        <f>+Elementos_[[#This Row],[Cantidad LNDV]]*Elementos_[[#This Row],[Valor de referencia]]</f>
        <v>2090612</v>
      </c>
      <c r="Q23" s="196"/>
      <c r="R23" s="159">
        <f>+Elementos_[[#This Row],[GGCA]]*Elementos_[[#This Row],[Valor de referencia]]</f>
        <v>0</v>
      </c>
      <c r="S23" s="166">
        <v>1</v>
      </c>
      <c r="T23" s="159">
        <f>+Elementos_[[#This Row],[Cantidad LDF]]*Elementos_[[#This Row],[Valor de referencia]]</f>
        <v>522653</v>
      </c>
      <c r="U23" s="197"/>
      <c r="V23" s="159">
        <f>+Elementos_[[#This Row],[Cantidad LDF&amp;MR]]*Elementos_[[#This Row],[Valor de referencia]]</f>
        <v>0</v>
      </c>
      <c r="W23" s="166"/>
      <c r="X23" s="159">
        <f>+Elementos_[[#This Row],[Cantidad RED LASE]]*Elementos_[[#This Row],[Valor de referencia]]</f>
        <v>0</v>
      </c>
      <c r="Y23" s="166">
        <v>2</v>
      </c>
      <c r="Z23" s="159">
        <f>+Elementos_[[#This Row],[Cantidad LANIA]]*Elementos_[[#This Row],[Valor de referencia]]</f>
        <v>1045306</v>
      </c>
      <c r="AA23" s="196"/>
      <c r="AB23" s="159">
        <f>+Elementos_[[#This Row],[Cantidad SPA]]*Elementos_[[#This Row],[Valor de referencia]]</f>
        <v>0</v>
      </c>
      <c r="AC23" s="166" t="s">
        <v>2041</v>
      </c>
    </row>
    <row r="24" spans="1:29" ht="27" customHeight="1" x14ac:dyDescent="0.2">
      <c r="A24" s="294" t="str">
        <f>IF(B24=Elementos_[[#This Row],[Cantidad LANIP]],"LANIP",IF(B24=Elementos_[[#This Row],[Cantidad 
LDV]],"LDV",IF(B24=Elementos_[[#This Row],[Cantidad LNDV]],"LNDV",IF(B24=Elementos_[[#This Row],[GGCA]],"GGCA",IF(B24=Elementos_[[#This Row],[Cantidad LDF]],"LDF",IF(B24=Elementos_[[#This Row],[Cantidad LDF&amp;MR]],"LDF&amp;MR",IF(B24=Elementos_[[#This Row],[Cantidad RED LASE]],"LASE",IF(B24=Elementos_[[#This Row],[Cantidad LANIA]],"LANIA",IF(B24=Elementos_[[#This Row],[Cantidad SPA]],"SPA"," ")))))))))</f>
        <v>LNDV</v>
      </c>
      <c r="B2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45</v>
      </c>
      <c r="C24" s="298">
        <v>22</v>
      </c>
      <c r="D24" s="190">
        <v>31</v>
      </c>
      <c r="E24" s="273" t="s">
        <v>2076</v>
      </c>
      <c r="F24" s="201" t="s">
        <v>183</v>
      </c>
      <c r="G24" s="192" t="s">
        <v>525</v>
      </c>
      <c r="H2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79</v>
      </c>
      <c r="I24" s="194">
        <v>4517</v>
      </c>
      <c r="J24" s="194">
        <f>+Elementos_[[#This Row],[Valor de referencia]]*Elementos_[[#This Row],[Cantidad]]</f>
        <v>356843</v>
      </c>
      <c r="K24" s="166"/>
      <c r="L24" s="159">
        <f>+Elementos_[[#This Row],[Cantidad LANIP]]*Elementos_[[#This Row],[Valor de referencia]]</f>
        <v>0</v>
      </c>
      <c r="M24" s="270">
        <v>0</v>
      </c>
      <c r="N24" s="195">
        <f>+Elementos_[[#This Row],[Cantidad 
LDV]]*Elementos_[[#This Row],[Valor de referencia]]</f>
        <v>0</v>
      </c>
      <c r="O24" s="166">
        <v>45</v>
      </c>
      <c r="P24" s="159">
        <f>+Elementos_[[#This Row],[Cantidad LNDV]]*Elementos_[[#This Row],[Valor de referencia]]</f>
        <v>203265</v>
      </c>
      <c r="Q24" s="196"/>
      <c r="R24" s="159">
        <f>+Elementos_[[#This Row],[GGCA]]*Elementos_[[#This Row],[Valor de referencia]]</f>
        <v>0</v>
      </c>
      <c r="S24" s="166">
        <v>28</v>
      </c>
      <c r="T24" s="159">
        <f>+Elementos_[[#This Row],[Cantidad LDF]]*Elementos_[[#This Row],[Valor de referencia]]</f>
        <v>126476</v>
      </c>
      <c r="U24" s="197">
        <v>6</v>
      </c>
      <c r="V24" s="159">
        <f>+Elementos_[[#This Row],[Cantidad LDF&amp;MR]]*Elementos_[[#This Row],[Valor de referencia]]</f>
        <v>27102</v>
      </c>
      <c r="W24" s="166"/>
      <c r="X24" s="159">
        <f>+Elementos_[[#This Row],[Cantidad RED LASE]]*Elementos_[[#This Row],[Valor de referencia]]</f>
        <v>0</v>
      </c>
      <c r="Y24" s="166"/>
      <c r="Z24" s="159">
        <f>+Elementos_[[#This Row],[Cantidad LANIA]]*Elementos_[[#This Row],[Valor de referencia]]</f>
        <v>0</v>
      </c>
      <c r="AA24" s="196"/>
      <c r="AB24" s="159">
        <f>+Elementos_[[#This Row],[Cantidad SPA]]*Elementos_[[#This Row],[Valor de referencia]]</f>
        <v>0</v>
      </c>
      <c r="AC24" s="166" t="s">
        <v>2049</v>
      </c>
    </row>
    <row r="25" spans="1:29" ht="12.75" x14ac:dyDescent="0.2">
      <c r="A25" s="294" t="str">
        <f>IF(B25=Elementos_[[#This Row],[Cantidad LANIP]],"LANIP",IF(B25=Elementos_[[#This Row],[Cantidad 
LDV]],"LDV",IF(B25=Elementos_[[#This Row],[Cantidad LNDV]],"LNDV",IF(B25=Elementos_[[#This Row],[GGCA]],"GGCA",IF(B25=Elementos_[[#This Row],[Cantidad LDF]],"LDF",IF(B25=Elementos_[[#This Row],[Cantidad LDF&amp;MR]],"LDF&amp;MR",IF(B25=Elementos_[[#This Row],[Cantidad RED LASE]],"LASE",IF(B25=Elementos_[[#This Row],[Cantidad LANIA]],"LANIA",IF(B25=Elementos_[[#This Row],[Cantidad SPA]],"SPA"," ")))))))))</f>
        <v>LDF</v>
      </c>
      <c r="B2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34</v>
      </c>
      <c r="C25" s="298">
        <v>23</v>
      </c>
      <c r="D25" s="190">
        <v>32</v>
      </c>
      <c r="E25" s="275" t="s">
        <v>2077</v>
      </c>
      <c r="F25" s="201" t="s">
        <v>183</v>
      </c>
      <c r="G25" s="192" t="s">
        <v>525</v>
      </c>
      <c r="H2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46</v>
      </c>
      <c r="I25" s="194">
        <v>29155</v>
      </c>
      <c r="J25" s="194">
        <f>+Elementos_[[#This Row],[Valor de referencia]]*Elementos_[[#This Row],[Cantidad]]</f>
        <v>1341130</v>
      </c>
      <c r="K25" s="166"/>
      <c r="L25" s="159">
        <f>+Elementos_[[#This Row],[Cantidad LANIP]]*Elementos_[[#This Row],[Valor de referencia]]</f>
        <v>0</v>
      </c>
      <c r="M25" s="270">
        <v>0</v>
      </c>
      <c r="N25" s="195">
        <f>+Elementos_[[#This Row],[Cantidad 
LDV]]*Elementos_[[#This Row],[Valor de referencia]]</f>
        <v>0</v>
      </c>
      <c r="O25" s="166"/>
      <c r="P25" s="159">
        <f>+Elementos_[[#This Row],[Cantidad LNDV]]*Elementos_[[#This Row],[Valor de referencia]]</f>
        <v>0</v>
      </c>
      <c r="Q25" s="196"/>
      <c r="R25" s="159">
        <f>+Elementos_[[#This Row],[GGCA]]*Elementos_[[#This Row],[Valor de referencia]]</f>
        <v>0</v>
      </c>
      <c r="S25" s="166">
        <v>34</v>
      </c>
      <c r="T25" s="159">
        <f>+Elementos_[[#This Row],[Cantidad LDF]]*Elementos_[[#This Row],[Valor de referencia]]</f>
        <v>991270</v>
      </c>
      <c r="U25" s="197">
        <v>12</v>
      </c>
      <c r="V25" s="159">
        <f>+Elementos_[[#This Row],[Cantidad LDF&amp;MR]]*Elementos_[[#This Row],[Valor de referencia]]</f>
        <v>349860</v>
      </c>
      <c r="W25" s="166"/>
      <c r="X25" s="159">
        <f>+Elementos_[[#This Row],[Cantidad RED LASE]]*Elementos_[[#This Row],[Valor de referencia]]</f>
        <v>0</v>
      </c>
      <c r="Y25" s="166"/>
      <c r="Z25" s="159">
        <f>+Elementos_[[#This Row],[Cantidad LANIA]]*Elementos_[[#This Row],[Valor de referencia]]</f>
        <v>0</v>
      </c>
      <c r="AA25" s="196"/>
      <c r="AB25" s="159">
        <f>+Elementos_[[#This Row],[Cantidad SPA]]*Elementos_[[#This Row],[Valor de referencia]]</f>
        <v>0</v>
      </c>
      <c r="AC25" s="166" t="s">
        <v>2049</v>
      </c>
    </row>
    <row r="26" spans="1:29" ht="24" x14ac:dyDescent="0.2">
      <c r="A26" s="294" t="str">
        <f>IF(B26=Elementos_[[#This Row],[Cantidad LANIP]],"LANIP",IF(B26=Elementos_[[#This Row],[Cantidad 
LDV]],"LDV",IF(B26=Elementos_[[#This Row],[Cantidad LNDV]],"LNDV",IF(B26=Elementos_[[#This Row],[GGCA]],"GGCA",IF(B26=Elementos_[[#This Row],[Cantidad LDF]],"LDF",IF(B26=Elementos_[[#This Row],[Cantidad LDF&amp;MR]],"LDF&amp;MR",IF(B26=Elementos_[[#This Row],[Cantidad RED LASE]],"LASE",IF(B26=Elementos_[[#This Row],[Cantidad LANIA]],"LANIA",IF(B26=Elementos_[[#This Row],[Cantidad SPA]],"SPA"," ")))))))))</f>
        <v>LNDV</v>
      </c>
      <c r="B2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26" s="298">
        <v>24</v>
      </c>
      <c r="D26" s="190">
        <v>33</v>
      </c>
      <c r="E26" s="235" t="s">
        <v>2078</v>
      </c>
      <c r="F26" s="201" t="s">
        <v>2074</v>
      </c>
      <c r="G26" s="192" t="s">
        <v>2075</v>
      </c>
      <c r="H2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I26" s="194">
        <v>521947</v>
      </c>
      <c r="J26" s="194">
        <f>+Elementos_[[#This Row],[Valor de referencia]]*Elementos_[[#This Row],[Cantidad]]</f>
        <v>7307258</v>
      </c>
      <c r="K26" s="166"/>
      <c r="L26" s="159">
        <f>+Elementos_[[#This Row],[Cantidad LANIP]]*Elementos_[[#This Row],[Valor de referencia]]</f>
        <v>0</v>
      </c>
      <c r="M26" s="270">
        <v>0</v>
      </c>
      <c r="N26" s="195">
        <f>+Elementos_[[#This Row],[Cantidad 
LDV]]*Elementos_[[#This Row],[Valor de referencia]]</f>
        <v>0</v>
      </c>
      <c r="O26" s="166">
        <v>8</v>
      </c>
      <c r="P26" s="159">
        <f>+Elementos_[[#This Row],[Cantidad LNDV]]*Elementos_[[#This Row],[Valor de referencia]]</f>
        <v>4175576</v>
      </c>
      <c r="Q26" s="196"/>
      <c r="R26" s="159">
        <f>+Elementos_[[#This Row],[GGCA]]*Elementos_[[#This Row],[Valor de referencia]]</f>
        <v>0</v>
      </c>
      <c r="S26" s="166">
        <v>1</v>
      </c>
      <c r="T26" s="159">
        <f>+Elementos_[[#This Row],[Cantidad LDF]]*Elementos_[[#This Row],[Valor de referencia]]</f>
        <v>521947</v>
      </c>
      <c r="U26" s="197">
        <v>1</v>
      </c>
      <c r="V26" s="159">
        <f>+Elementos_[[#This Row],[Cantidad LDF&amp;MR]]*Elementos_[[#This Row],[Valor de referencia]]</f>
        <v>521947</v>
      </c>
      <c r="W26" s="166"/>
      <c r="X26" s="159">
        <f>+Elementos_[[#This Row],[Cantidad RED LASE]]*Elementos_[[#This Row],[Valor de referencia]]</f>
        <v>0</v>
      </c>
      <c r="Y26" s="166">
        <v>4</v>
      </c>
      <c r="Z26" s="159">
        <f>+Elementos_[[#This Row],[Cantidad LANIA]]*Elementos_[[#This Row],[Valor de referencia]]</f>
        <v>2087788</v>
      </c>
      <c r="AA26" s="196"/>
      <c r="AB26" s="159">
        <f>+Elementos_[[#This Row],[Cantidad SPA]]*Elementos_[[#This Row],[Valor de referencia]]</f>
        <v>0</v>
      </c>
      <c r="AC26" s="166" t="s">
        <v>2041</v>
      </c>
    </row>
    <row r="27" spans="1:29" ht="24" x14ac:dyDescent="0.2">
      <c r="A27" s="294" t="str">
        <f>IF(B27=Elementos_[[#This Row],[Cantidad LANIP]],"LANIP",IF(B27=Elementos_[[#This Row],[Cantidad 
LDV]],"LDV",IF(B27=Elementos_[[#This Row],[Cantidad LNDV]],"LNDV",IF(B27=Elementos_[[#This Row],[GGCA]],"GGCA",IF(B27=Elementos_[[#This Row],[Cantidad LDF]],"LDF",IF(B27=Elementos_[[#This Row],[Cantidad LDF&amp;MR]],"LDF&amp;MR",IF(B27=Elementos_[[#This Row],[Cantidad RED LASE]],"LASE",IF(B27=Elementos_[[#This Row],[Cantidad LANIA]],"LANIA",IF(B27=Elementos_[[#This Row],[Cantidad SPA]],"SPA"," ")))))))))</f>
        <v>LANIP</v>
      </c>
      <c r="B2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27" s="298">
        <v>25</v>
      </c>
      <c r="D27" s="190">
        <v>34</v>
      </c>
      <c r="E27" s="205" t="s">
        <v>2079</v>
      </c>
      <c r="F27" s="201" t="s">
        <v>2080</v>
      </c>
      <c r="G27" s="192" t="s">
        <v>2081</v>
      </c>
      <c r="H2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27" s="194">
        <v>1289441</v>
      </c>
      <c r="J27" s="194">
        <f>+Elementos_[[#This Row],[Valor de referencia]]*Elementos_[[#This Row],[Cantidad]]</f>
        <v>25788820</v>
      </c>
      <c r="K27" s="166">
        <v>8</v>
      </c>
      <c r="L27" s="159">
        <f>+Elementos_[[#This Row],[Cantidad LANIP]]*Elementos_[[#This Row],[Valor de referencia]]</f>
        <v>10315528</v>
      </c>
      <c r="M27" s="270"/>
      <c r="N27" s="195">
        <f>+Elementos_[[#This Row],[Cantidad 
LDV]]*Elementos_[[#This Row],[Valor de referencia]]</f>
        <v>0</v>
      </c>
      <c r="O27" s="166">
        <v>6</v>
      </c>
      <c r="P27" s="159">
        <f>+Elementos_[[#This Row],[Cantidad LNDV]]*Elementos_[[#This Row],[Valor de referencia]]</f>
        <v>7736646</v>
      </c>
      <c r="Q27" s="196"/>
      <c r="R27" s="159">
        <f>+Elementos_[[#This Row],[GGCA]]*Elementos_[[#This Row],[Valor de referencia]]</f>
        <v>0</v>
      </c>
      <c r="S27" s="166"/>
      <c r="T27" s="159">
        <f>+Elementos_[[#This Row],[Cantidad LDF]]*Elementos_[[#This Row],[Valor de referencia]]</f>
        <v>0</v>
      </c>
      <c r="U27" s="197"/>
      <c r="V27" s="159">
        <f>+Elementos_[[#This Row],[Cantidad LDF&amp;MR]]*Elementos_[[#This Row],[Valor de referencia]]</f>
        <v>0</v>
      </c>
      <c r="W27" s="166"/>
      <c r="X27" s="159">
        <f>+Elementos_[[#This Row],[Cantidad RED LASE]]*Elementos_[[#This Row],[Valor de referencia]]</f>
        <v>0</v>
      </c>
      <c r="Y27" s="166">
        <v>6</v>
      </c>
      <c r="Z27" s="159">
        <f>+Elementos_[[#This Row],[Cantidad LANIA]]*Elementos_[[#This Row],[Valor de referencia]]</f>
        <v>7736646</v>
      </c>
      <c r="AA27" s="196"/>
      <c r="AB27" s="159">
        <f>+Elementos_[[#This Row],[Cantidad SPA]]*Elementos_[[#This Row],[Valor de referencia]]</f>
        <v>0</v>
      </c>
      <c r="AC27" s="166" t="s">
        <v>2041</v>
      </c>
    </row>
    <row r="28" spans="1:29" ht="24" x14ac:dyDescent="0.2">
      <c r="A28" s="294" t="str">
        <f>IF(B28=Elementos_[[#This Row],[Cantidad LANIP]],"LANIP",IF(B28=Elementos_[[#This Row],[Cantidad 
LDV]],"LDV",IF(B28=Elementos_[[#This Row],[Cantidad LNDV]],"LNDV",IF(B28=Elementos_[[#This Row],[GGCA]],"GGCA",IF(B28=Elementos_[[#This Row],[Cantidad LDF]],"LDF",IF(B28=Elementos_[[#This Row],[Cantidad LDF&amp;MR]],"LDF&amp;MR",IF(B28=Elementos_[[#This Row],[Cantidad RED LASE]],"LASE",IF(B28=Elementos_[[#This Row],[Cantidad LANIA]],"LANIA",IF(B28=Elementos_[[#This Row],[Cantidad SPA]],"SPA"," ")))))))))</f>
        <v>LDF</v>
      </c>
      <c r="B2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38</v>
      </c>
      <c r="C28" s="298">
        <v>26</v>
      </c>
      <c r="D28" s="190">
        <v>35</v>
      </c>
      <c r="E28" s="273" t="s">
        <v>2082</v>
      </c>
      <c r="F28" s="201" t="s">
        <v>183</v>
      </c>
      <c r="G28" s="202" t="s">
        <v>525</v>
      </c>
      <c r="H2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66</v>
      </c>
      <c r="I28" s="194">
        <v>14175</v>
      </c>
      <c r="J28" s="194">
        <f>+Elementos_[[#This Row],[Valor de referencia]]*Elementos_[[#This Row],[Cantidad]]</f>
        <v>935550</v>
      </c>
      <c r="K28" s="166"/>
      <c r="L28" s="159">
        <f>+Elementos_[[#This Row],[Cantidad LANIP]]*Elementos_[[#This Row],[Valor de referencia]]</f>
        <v>0</v>
      </c>
      <c r="M28" s="270"/>
      <c r="N28" s="195">
        <f>+Elementos_[[#This Row],[Cantidad 
LDV]]*Elementos_[[#This Row],[Valor de referencia]]</f>
        <v>0</v>
      </c>
      <c r="O28" s="166"/>
      <c r="P28" s="159">
        <f>+Elementos_[[#This Row],[Cantidad LNDV]]*Elementos_[[#This Row],[Valor de referencia]]</f>
        <v>0</v>
      </c>
      <c r="Q28" s="196"/>
      <c r="R28" s="159">
        <f>+Elementos_[[#This Row],[GGCA]]*Elementos_[[#This Row],[Valor de referencia]]</f>
        <v>0</v>
      </c>
      <c r="S28" s="166">
        <v>38</v>
      </c>
      <c r="T28" s="159">
        <f>+Elementos_[[#This Row],[Cantidad LDF]]*Elementos_[[#This Row],[Valor de referencia]]</f>
        <v>538650</v>
      </c>
      <c r="U28" s="197">
        <v>10</v>
      </c>
      <c r="V28" s="159">
        <f>+Elementos_[[#This Row],[Cantidad LDF&amp;MR]]*Elementos_[[#This Row],[Valor de referencia]]</f>
        <v>141750</v>
      </c>
      <c r="W28" s="166">
        <v>18</v>
      </c>
      <c r="X28" s="159">
        <f>+Elementos_[[#This Row],[Cantidad RED LASE]]*Elementos_[[#This Row],[Valor de referencia]]</f>
        <v>255150</v>
      </c>
      <c r="Y28" s="166"/>
      <c r="Z28" s="159">
        <f>+Elementos_[[#This Row],[Cantidad LANIA]]*Elementos_[[#This Row],[Valor de referencia]]</f>
        <v>0</v>
      </c>
      <c r="AA28" s="196"/>
      <c r="AB28" s="159">
        <f>+Elementos_[[#This Row],[Cantidad SPA]]*Elementos_[[#This Row],[Valor de referencia]]</f>
        <v>0</v>
      </c>
      <c r="AC28" s="166" t="s">
        <v>2049</v>
      </c>
    </row>
    <row r="29" spans="1:29" ht="24" x14ac:dyDescent="0.2">
      <c r="A29" s="294" t="str">
        <f>IF(B29=Elementos_[[#This Row],[Cantidad LANIP]],"LANIP",IF(B29=Elementos_[[#This Row],[Cantidad 
LDV]],"LDV",IF(B29=Elementos_[[#This Row],[Cantidad LNDV]],"LNDV",IF(B29=Elementos_[[#This Row],[GGCA]],"GGCA",IF(B29=Elementos_[[#This Row],[Cantidad LDF]],"LDF",IF(B29=Elementos_[[#This Row],[Cantidad LDF&amp;MR]],"LDF&amp;MR",IF(B29=Elementos_[[#This Row],[Cantidad RED LASE]],"LASE",IF(B29=Elementos_[[#This Row],[Cantidad LANIA]],"LANIA",IF(B29=Elementos_[[#This Row],[Cantidad SPA]],"SPA"," ")))))))))</f>
        <v>SPA</v>
      </c>
      <c r="B2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200</v>
      </c>
      <c r="C29" s="298">
        <v>27</v>
      </c>
      <c r="D29" s="190">
        <v>36</v>
      </c>
      <c r="E29" s="235" t="s">
        <v>2083</v>
      </c>
      <c r="F29" s="206" t="s">
        <v>183</v>
      </c>
      <c r="G29" s="192" t="s">
        <v>525</v>
      </c>
      <c r="H2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296</v>
      </c>
      <c r="I29" s="194">
        <v>10895</v>
      </c>
      <c r="J29" s="194">
        <f>+Elementos_[[#This Row],[Valor de referencia]]*Elementos_[[#This Row],[Cantidad]]</f>
        <v>3224920</v>
      </c>
      <c r="K29" s="166">
        <v>2</v>
      </c>
      <c r="L29" s="159">
        <f>+Elementos_[[#This Row],[Cantidad LANIP]]*Elementos_[[#This Row],[Valor de referencia]]</f>
        <v>21790</v>
      </c>
      <c r="M29" s="270"/>
      <c r="N29" s="195">
        <f>+Elementos_[[#This Row],[Cantidad 
LDV]]*Elementos_[[#This Row],[Valor de referencia]]</f>
        <v>0</v>
      </c>
      <c r="O29" s="166"/>
      <c r="P29" s="159">
        <f>+Elementos_[[#This Row],[Cantidad LNDV]]*Elementos_[[#This Row],[Valor de referencia]]</f>
        <v>0</v>
      </c>
      <c r="Q29" s="196"/>
      <c r="R29" s="159">
        <f>+Elementos_[[#This Row],[GGCA]]*Elementos_[[#This Row],[Valor de referencia]]</f>
        <v>0</v>
      </c>
      <c r="S29" s="166">
        <v>58</v>
      </c>
      <c r="T29" s="194">
        <f>+Elementos_[[#This Row],[Cantidad LDF]]*Elementos_[[#This Row],[Valor de referencia]]</f>
        <v>631910</v>
      </c>
      <c r="U29" s="197">
        <v>8</v>
      </c>
      <c r="V29" s="194">
        <f>+Elementos_[[#This Row],[Cantidad LDF&amp;MR]]*Elementos_[[#This Row],[Valor de referencia]]</f>
        <v>87160</v>
      </c>
      <c r="W29" s="166">
        <v>18</v>
      </c>
      <c r="X29" s="194">
        <f>+Elementos_[[#This Row],[Cantidad RED LASE]]*Elementos_[[#This Row],[Valor de referencia]]</f>
        <v>196110</v>
      </c>
      <c r="Y29" s="166">
        <v>10</v>
      </c>
      <c r="Z29" s="194">
        <f>+Elementos_[[#This Row],[Cantidad LANIA]]*Elementos_[[#This Row],[Valor de referencia]]</f>
        <v>108950</v>
      </c>
      <c r="AA29" s="196">
        <v>200</v>
      </c>
      <c r="AB29" s="194">
        <f>+Elementos_[[#This Row],[Cantidad SPA]]*Elementos_[[#This Row],[Valor de referencia]]</f>
        <v>2179000</v>
      </c>
      <c r="AC29" s="166" t="s">
        <v>2049</v>
      </c>
    </row>
    <row r="30" spans="1:29" ht="24" x14ac:dyDescent="0.2">
      <c r="A30" s="294" t="str">
        <f>IF(B30=Elementos_[[#This Row],[Cantidad LANIP]],"LANIP",IF(B30=Elementos_[[#This Row],[Cantidad 
LDV]],"LDV",IF(B30=Elementos_[[#This Row],[Cantidad LNDV]],"LNDV",IF(B30=Elementos_[[#This Row],[GGCA]],"GGCA",IF(B30=Elementos_[[#This Row],[Cantidad LDF]],"LDF",IF(B30=Elementos_[[#This Row],[Cantidad LDF&amp;MR]],"LDF&amp;MR",IF(B30=Elementos_[[#This Row],[Cantidad RED LASE]],"LASE",IF(B30=Elementos_[[#This Row],[Cantidad LANIA]],"LANIA",IF(B30=Elementos_[[#This Row],[Cantidad SPA]],"SPA"," ")))))))))</f>
        <v>LANIA</v>
      </c>
      <c r="B3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0" s="298">
        <v>28</v>
      </c>
      <c r="D30" s="190">
        <v>37</v>
      </c>
      <c r="E30" s="276" t="s">
        <v>2084</v>
      </c>
      <c r="F30" s="206" t="s">
        <v>2085</v>
      </c>
      <c r="G30" s="192" t="s">
        <v>525</v>
      </c>
      <c r="H3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0" s="194">
        <v>751063</v>
      </c>
      <c r="J30" s="194">
        <f>+Elementos_[[#This Row],[Valor de referencia]]*Elementos_[[#This Row],[Cantidad]]</f>
        <v>1502126</v>
      </c>
      <c r="K30" s="166"/>
      <c r="L30" s="159">
        <f>+Elementos_[[#This Row],[Cantidad LANIP]]*Elementos_[[#This Row],[Valor de referencia]]</f>
        <v>0</v>
      </c>
      <c r="M30" s="270"/>
      <c r="N30" s="195">
        <f>+Elementos_[[#This Row],[Cantidad 
LDV]]*Elementos_[[#This Row],[Valor de referencia]]</f>
        <v>0</v>
      </c>
      <c r="O30" s="166"/>
      <c r="P30" s="159">
        <f>+Elementos_[[#This Row],[Cantidad LNDV]]*Elementos_[[#This Row],[Valor de referencia]]</f>
        <v>0</v>
      </c>
      <c r="Q30" s="196"/>
      <c r="R30" s="159">
        <f>+Elementos_[[#This Row],[GGCA]]*Elementos_[[#This Row],[Valor de referencia]]</f>
        <v>0</v>
      </c>
      <c r="S30" s="166"/>
      <c r="T30" s="159">
        <f>+Elementos_[[#This Row],[Cantidad LDF]]*Elementos_[[#This Row],[Valor de referencia]]</f>
        <v>0</v>
      </c>
      <c r="U30" s="197"/>
      <c r="V30" s="159">
        <f>+Elementos_[[#This Row],[Cantidad LDF&amp;MR]]*Elementos_[[#This Row],[Valor de referencia]]</f>
        <v>0</v>
      </c>
      <c r="W30" s="166"/>
      <c r="X30" s="159">
        <f>+Elementos_[[#This Row],[Cantidad RED LASE]]*Elementos_[[#This Row],[Valor de referencia]]</f>
        <v>0</v>
      </c>
      <c r="Y30" s="166">
        <v>2</v>
      </c>
      <c r="Z30" s="159">
        <f>+Elementos_[[#This Row],[Cantidad LANIA]]*Elementos_[[#This Row],[Valor de referencia]]</f>
        <v>1502126</v>
      </c>
      <c r="AA30" s="196"/>
      <c r="AB30" s="159">
        <f>+Elementos_[[#This Row],[Cantidad SPA]]*Elementos_[[#This Row],[Valor de referencia]]</f>
        <v>0</v>
      </c>
      <c r="AC30" s="166" t="s">
        <v>2049</v>
      </c>
    </row>
    <row r="31" spans="1:29" ht="48" x14ac:dyDescent="0.2">
      <c r="A31" s="294" t="str">
        <f>IF(B31=Elementos_[[#This Row],[Cantidad LANIP]],"LANIP",IF(B31=Elementos_[[#This Row],[Cantidad 
LDV]],"LDV",IF(B31=Elementos_[[#This Row],[Cantidad LNDV]],"LNDV",IF(B31=Elementos_[[#This Row],[GGCA]],"GGCA",IF(B31=Elementos_[[#This Row],[Cantidad LDF]],"LDF",IF(B31=Elementos_[[#This Row],[Cantidad LDF&amp;MR]],"LDF&amp;MR",IF(B31=Elementos_[[#This Row],[Cantidad RED LASE]],"LASE",IF(B31=Elementos_[[#This Row],[Cantidad LANIA]],"LANIA",IF(B31=Elementos_[[#This Row],[Cantidad SPA]],"SPA"," ")))))))))</f>
        <v>LANIP</v>
      </c>
      <c r="B3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C31" s="298">
        <v>29</v>
      </c>
      <c r="D31" s="190">
        <v>39</v>
      </c>
      <c r="E31" s="299" t="s">
        <v>2086</v>
      </c>
      <c r="F31" s="201" t="s">
        <v>2087</v>
      </c>
      <c r="G31" s="192" t="s">
        <v>525</v>
      </c>
      <c r="H3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I31" s="194">
        <v>81484</v>
      </c>
      <c r="J31" s="194">
        <f>+Elementos_[[#This Row],[Valor de referencia]]*Elementos_[[#This Row],[Cantidad]]</f>
        <v>2851940</v>
      </c>
      <c r="K31" s="166">
        <v>35</v>
      </c>
      <c r="L31" s="159">
        <f>+Elementos_[[#This Row],[Cantidad LANIP]]*Elementos_[[#This Row],[Valor de referencia]]</f>
        <v>2851940</v>
      </c>
      <c r="M31" s="270">
        <v>0</v>
      </c>
      <c r="N31" s="195">
        <f>+Elementos_[[#This Row],[Cantidad 
LDV]]*Elementos_[[#This Row],[Valor de referencia]]</f>
        <v>0</v>
      </c>
      <c r="O31" s="166"/>
      <c r="P31" s="159">
        <f>+Elementos_[[#This Row],[Cantidad LNDV]]*Elementos_[[#This Row],[Valor de referencia]]</f>
        <v>0</v>
      </c>
      <c r="Q31" s="196"/>
      <c r="R31" s="159">
        <f>+Elementos_[[#This Row],[GGCA]]*Elementos_[[#This Row],[Valor de referencia]]</f>
        <v>0</v>
      </c>
      <c r="S31" s="166"/>
      <c r="T31" s="159">
        <f>+Elementos_[[#This Row],[Cantidad LDF]]*Elementos_[[#This Row],[Valor de referencia]]</f>
        <v>0</v>
      </c>
      <c r="U31" s="197"/>
      <c r="V31" s="159">
        <f>+Elementos_[[#This Row],[Cantidad LDF&amp;MR]]*Elementos_[[#This Row],[Valor de referencia]]</f>
        <v>0</v>
      </c>
      <c r="W31" s="166"/>
      <c r="X31" s="159">
        <f>+Elementos_[[#This Row],[Cantidad RED LASE]]*Elementos_[[#This Row],[Valor de referencia]]</f>
        <v>0</v>
      </c>
      <c r="Y31" s="166"/>
      <c r="Z31" s="159">
        <f>+Elementos_[[#This Row],[Cantidad LANIA]]*Elementos_[[#This Row],[Valor de referencia]]</f>
        <v>0</v>
      </c>
      <c r="AA31" s="196"/>
      <c r="AB31" s="159">
        <f>+Elementos_[[#This Row],[Cantidad SPA]]*Elementos_[[#This Row],[Valor de referencia]]</f>
        <v>0</v>
      </c>
      <c r="AC31" s="166" t="s">
        <v>2041</v>
      </c>
    </row>
    <row r="32" spans="1:29" ht="36" x14ac:dyDescent="0.2">
      <c r="A32" s="294" t="str">
        <f>IF(B32=Elementos_[[#This Row],[Cantidad LANIP]],"LANIP",IF(B32=Elementos_[[#This Row],[Cantidad 
LDV]],"LDV",IF(B32=Elementos_[[#This Row],[Cantidad LNDV]],"LNDV",IF(B32=Elementos_[[#This Row],[GGCA]],"GGCA",IF(B32=Elementos_[[#This Row],[Cantidad LDF]],"LDF",IF(B32=Elementos_[[#This Row],[Cantidad LDF&amp;MR]],"LDF&amp;MR",IF(B32=Elementos_[[#This Row],[Cantidad RED LASE]],"LASE",IF(B32=Elementos_[[#This Row],[Cantidad LANIA]],"LANIA",IF(B32=Elementos_[[#This Row],[Cantidad SPA]],"SPA"," ")))))))))</f>
        <v>LDF</v>
      </c>
      <c r="B3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2" s="298">
        <v>30</v>
      </c>
      <c r="D32" s="190">
        <v>43</v>
      </c>
      <c r="E32" s="299" t="s">
        <v>2088</v>
      </c>
      <c r="F32" s="204" t="s">
        <v>2087</v>
      </c>
      <c r="G32" s="192" t="s">
        <v>525</v>
      </c>
      <c r="H3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2" s="194">
        <v>118248</v>
      </c>
      <c r="J32" s="194">
        <f>+Elementos_[[#This Row],[Valor de referencia]]*Elementos_[[#This Row],[Cantidad]]</f>
        <v>118248</v>
      </c>
      <c r="K32" s="166"/>
      <c r="L32" s="159">
        <f>+Elementos_[[#This Row],[Cantidad LANIP]]*Elementos_[[#This Row],[Valor de referencia]]</f>
        <v>0</v>
      </c>
      <c r="M32" s="270">
        <v>0</v>
      </c>
      <c r="N32" s="195">
        <f>+Elementos_[[#This Row],[Cantidad 
LDV]]*Elementos_[[#This Row],[Valor de referencia]]</f>
        <v>0</v>
      </c>
      <c r="O32" s="166"/>
      <c r="P32" s="159">
        <f>+Elementos_[[#This Row],[Cantidad LNDV]]*Elementos_[[#This Row],[Valor de referencia]]</f>
        <v>0</v>
      </c>
      <c r="Q32" s="196"/>
      <c r="R32" s="159">
        <f>+Elementos_[[#This Row],[GGCA]]*Elementos_[[#This Row],[Valor de referencia]]</f>
        <v>0</v>
      </c>
      <c r="S32" s="166">
        <v>1</v>
      </c>
      <c r="T32" s="159">
        <f>+Elementos_[[#This Row],[Cantidad LDF]]*Elementos_[[#This Row],[Valor de referencia]]</f>
        <v>118248</v>
      </c>
      <c r="U32" s="197"/>
      <c r="V32" s="159">
        <f>+Elementos_[[#This Row],[Cantidad LDF&amp;MR]]*Elementos_[[#This Row],[Valor de referencia]]</f>
        <v>0</v>
      </c>
      <c r="W32" s="166"/>
      <c r="X32" s="159">
        <f>+Elementos_[[#This Row],[Cantidad RED LASE]]*Elementos_[[#This Row],[Valor de referencia]]</f>
        <v>0</v>
      </c>
      <c r="Y32" s="166"/>
      <c r="Z32" s="159">
        <f>+Elementos_[[#This Row],[Cantidad LANIA]]*Elementos_[[#This Row],[Valor de referencia]]</f>
        <v>0</v>
      </c>
      <c r="AA32" s="196"/>
      <c r="AB32" s="159">
        <f>+Elementos_[[#This Row],[Cantidad SPA]]*Elementos_[[#This Row],[Valor de referencia]]</f>
        <v>0</v>
      </c>
      <c r="AC32" s="166" t="s">
        <v>2041</v>
      </c>
    </row>
    <row r="33" spans="1:29" ht="96" x14ac:dyDescent="0.2">
      <c r="A33" s="294" t="str">
        <f>IF(B33=Elementos_[[#This Row],[Cantidad LANIP]],"LANIP",IF(B33=Elementos_[[#This Row],[Cantidad 
LDV]],"LDV",IF(B33=Elementos_[[#This Row],[Cantidad LNDV]],"LNDV",IF(B33=Elementos_[[#This Row],[GGCA]],"GGCA",IF(B33=Elementos_[[#This Row],[Cantidad LDF]],"LDF",IF(B33=Elementos_[[#This Row],[Cantidad LDF&amp;MR]],"LDF&amp;MR",IF(B33=Elementos_[[#This Row],[Cantidad RED LASE]],"LASE",IF(B33=Elementos_[[#This Row],[Cantidad LANIA]],"LANIA",IF(B33=Elementos_[[#This Row],[Cantidad SPA]],"SPA"," ")))))))))</f>
        <v>LANIP</v>
      </c>
      <c r="B3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C33" s="298">
        <v>31</v>
      </c>
      <c r="D33" s="190">
        <v>45</v>
      </c>
      <c r="E33" s="273" t="s">
        <v>2089</v>
      </c>
      <c r="F33" s="201" t="s">
        <v>2087</v>
      </c>
      <c r="G33" s="192" t="s">
        <v>525</v>
      </c>
      <c r="H3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I33" s="194">
        <v>94486</v>
      </c>
      <c r="J33" s="194">
        <f>+Elementos_[[#This Row],[Valor de referencia]]*Elementos_[[#This Row],[Cantidad]]</f>
        <v>2362150</v>
      </c>
      <c r="K33" s="166">
        <v>25</v>
      </c>
      <c r="L33" s="159">
        <f>+Elementos_[[#This Row],[Cantidad LANIP]]*Elementos_[[#This Row],[Valor de referencia]]</f>
        <v>2362150</v>
      </c>
      <c r="M33" s="270">
        <v>0</v>
      </c>
      <c r="N33" s="195">
        <f>+Elementos_[[#This Row],[Cantidad 
LDV]]*Elementos_[[#This Row],[Valor de referencia]]</f>
        <v>0</v>
      </c>
      <c r="O33" s="166"/>
      <c r="P33" s="159">
        <f>+Elementos_[[#This Row],[Cantidad LNDV]]*Elementos_[[#This Row],[Valor de referencia]]</f>
        <v>0</v>
      </c>
      <c r="Q33" s="196"/>
      <c r="R33" s="159">
        <f>+Elementos_[[#This Row],[GGCA]]*Elementos_[[#This Row],[Valor de referencia]]</f>
        <v>0</v>
      </c>
      <c r="S33" s="166"/>
      <c r="T33" s="159">
        <f>+Elementos_[[#This Row],[Cantidad LDF]]*Elementos_[[#This Row],[Valor de referencia]]</f>
        <v>0</v>
      </c>
      <c r="U33" s="197"/>
      <c r="V33" s="159">
        <f>+Elementos_[[#This Row],[Cantidad LDF&amp;MR]]*Elementos_[[#This Row],[Valor de referencia]]</f>
        <v>0</v>
      </c>
      <c r="W33" s="166"/>
      <c r="X33" s="159">
        <f>+Elementos_[[#This Row],[Cantidad RED LASE]]*Elementos_[[#This Row],[Valor de referencia]]</f>
        <v>0</v>
      </c>
      <c r="Y33" s="166"/>
      <c r="Z33" s="159">
        <f>+Elementos_[[#This Row],[Cantidad LANIA]]*Elementos_[[#This Row],[Valor de referencia]]</f>
        <v>0</v>
      </c>
      <c r="AA33" s="196"/>
      <c r="AB33" s="159">
        <f>+Elementos_[[#This Row],[Cantidad SPA]]*Elementos_[[#This Row],[Valor de referencia]]</f>
        <v>0</v>
      </c>
      <c r="AC33" s="166" t="s">
        <v>2041</v>
      </c>
    </row>
    <row r="34" spans="1:29" ht="96" x14ac:dyDescent="0.2">
      <c r="A34" s="294" t="str">
        <f>IF(B34=Elementos_[[#This Row],[Cantidad LANIP]],"LANIP",IF(B34=Elementos_[[#This Row],[Cantidad 
LDV]],"LDV",IF(B34=Elementos_[[#This Row],[Cantidad LNDV]],"LNDV",IF(B34=Elementos_[[#This Row],[GGCA]],"GGCA",IF(B34=Elementos_[[#This Row],[Cantidad LDF]],"LDF",IF(B34=Elementos_[[#This Row],[Cantidad LDF&amp;MR]],"LDF&amp;MR",IF(B34=Elementos_[[#This Row],[Cantidad RED LASE]],"LASE",IF(B34=Elementos_[[#This Row],[Cantidad LANIA]],"LANIA",IF(B34=Elementos_[[#This Row],[Cantidad SPA]],"SPA"," ")))))))))</f>
        <v>LANIP</v>
      </c>
      <c r="B3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34" s="298">
        <v>32</v>
      </c>
      <c r="D34" s="190">
        <v>50</v>
      </c>
      <c r="E34" s="274" t="s">
        <v>2090</v>
      </c>
      <c r="F34" s="201" t="s">
        <v>2087</v>
      </c>
      <c r="G34" s="192" t="s">
        <v>525</v>
      </c>
      <c r="H3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34" s="194">
        <v>109540</v>
      </c>
      <c r="J34" s="194">
        <f>+Elementos_[[#This Row],[Valor de referencia]]*Elementos_[[#This Row],[Cantidad]]</f>
        <v>547700</v>
      </c>
      <c r="K34" s="166">
        <v>5</v>
      </c>
      <c r="L34" s="159">
        <f>+Elementos_[[#This Row],[Cantidad LANIP]]*Elementos_[[#This Row],[Valor de referencia]]</f>
        <v>547700</v>
      </c>
      <c r="M34" s="270">
        <v>0</v>
      </c>
      <c r="N34" s="195">
        <f>+Elementos_[[#This Row],[Cantidad 
LDV]]*Elementos_[[#This Row],[Valor de referencia]]</f>
        <v>0</v>
      </c>
      <c r="O34" s="166"/>
      <c r="P34" s="159">
        <f>+Elementos_[[#This Row],[Cantidad LNDV]]*Elementos_[[#This Row],[Valor de referencia]]</f>
        <v>0</v>
      </c>
      <c r="Q34" s="196"/>
      <c r="R34" s="159">
        <f>+Elementos_[[#This Row],[GGCA]]*Elementos_[[#This Row],[Valor de referencia]]</f>
        <v>0</v>
      </c>
      <c r="S34" s="166"/>
      <c r="T34" s="159">
        <f>+Elementos_[[#This Row],[Cantidad LDF]]*Elementos_[[#This Row],[Valor de referencia]]</f>
        <v>0</v>
      </c>
      <c r="U34" s="197"/>
      <c r="V34" s="159">
        <f>+Elementos_[[#This Row],[Cantidad LDF&amp;MR]]*Elementos_[[#This Row],[Valor de referencia]]</f>
        <v>0</v>
      </c>
      <c r="W34" s="166"/>
      <c r="X34" s="159">
        <f>+Elementos_[[#This Row],[Cantidad RED LASE]]*Elementos_[[#This Row],[Valor de referencia]]</f>
        <v>0</v>
      </c>
      <c r="Y34" s="166"/>
      <c r="Z34" s="159">
        <f>+Elementos_[[#This Row],[Cantidad LANIA]]*Elementos_[[#This Row],[Valor de referencia]]</f>
        <v>0</v>
      </c>
      <c r="AA34" s="196"/>
      <c r="AB34" s="159">
        <f>+Elementos_[[#This Row],[Cantidad SPA]]*Elementos_[[#This Row],[Valor de referencia]]</f>
        <v>0</v>
      </c>
      <c r="AC34" s="166" t="s">
        <v>2041</v>
      </c>
    </row>
    <row r="35" spans="1:29" ht="96" x14ac:dyDescent="0.2">
      <c r="A35" s="294" t="str">
        <f>IF(B35=Elementos_[[#This Row],[Cantidad LANIP]],"LANIP",IF(B35=Elementos_[[#This Row],[Cantidad 
LDV]],"LDV",IF(B35=Elementos_[[#This Row],[Cantidad LNDV]],"LNDV",IF(B35=Elementos_[[#This Row],[GGCA]],"GGCA",IF(B35=Elementos_[[#This Row],[Cantidad LDF]],"LDF",IF(B35=Elementos_[[#This Row],[Cantidad LDF&amp;MR]],"LDF&amp;MR",IF(B35=Elementos_[[#This Row],[Cantidad RED LASE]],"LASE",IF(B35=Elementos_[[#This Row],[Cantidad LANIA]],"LANIA",IF(B35=Elementos_[[#This Row],[Cantidad SPA]],"SPA"," ")))))))))</f>
        <v>LANIA</v>
      </c>
      <c r="B3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35" s="298">
        <v>33</v>
      </c>
      <c r="D35" s="190">
        <v>52</v>
      </c>
      <c r="E35" s="277" t="s">
        <v>2091</v>
      </c>
      <c r="F35" s="204" t="s">
        <v>2087</v>
      </c>
      <c r="G35" s="192" t="s">
        <v>2092</v>
      </c>
      <c r="H3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35" s="194">
        <v>149524</v>
      </c>
      <c r="J35" s="194">
        <f>+Elementos_[[#This Row],[Valor de referencia]]*Elementos_[[#This Row],[Cantidad]]</f>
        <v>2990480</v>
      </c>
      <c r="K35" s="166"/>
      <c r="L35" s="159">
        <f>+Elementos_[[#This Row],[Cantidad LANIP]]*Elementos_[[#This Row],[Valor de referencia]]</f>
        <v>0</v>
      </c>
      <c r="M35" s="270">
        <v>0</v>
      </c>
      <c r="N35" s="195">
        <f>+Elementos_[[#This Row],[Cantidad 
LDV]]*Elementos_[[#This Row],[Valor de referencia]]</f>
        <v>0</v>
      </c>
      <c r="O35" s="166"/>
      <c r="P35" s="159">
        <f>+Elementos_[[#This Row],[Cantidad LNDV]]*Elementos_[[#This Row],[Valor de referencia]]</f>
        <v>0</v>
      </c>
      <c r="Q35" s="196"/>
      <c r="R35" s="159">
        <f>+Elementos_[[#This Row],[GGCA]]*Elementos_[[#This Row],[Valor de referencia]]</f>
        <v>0</v>
      </c>
      <c r="S35" s="166"/>
      <c r="T35" s="159">
        <f>+Elementos_[[#This Row],[Cantidad LDF]]*Elementos_[[#This Row],[Valor de referencia]]</f>
        <v>0</v>
      </c>
      <c r="U35" s="197"/>
      <c r="V35" s="159">
        <f>+Elementos_[[#This Row],[Cantidad LDF&amp;MR]]*Elementos_[[#This Row],[Valor de referencia]]</f>
        <v>0</v>
      </c>
      <c r="W35" s="166"/>
      <c r="X35" s="159">
        <f>+Elementos_[[#This Row],[Cantidad RED LASE]]*Elementos_[[#This Row],[Valor de referencia]]</f>
        <v>0</v>
      </c>
      <c r="Y35" s="166">
        <v>20</v>
      </c>
      <c r="Z35" s="159">
        <f>+Elementos_[[#This Row],[Cantidad LANIA]]*Elementos_[[#This Row],[Valor de referencia]]</f>
        <v>2990480</v>
      </c>
      <c r="AA35" s="196"/>
      <c r="AB35" s="159">
        <f>+Elementos_[[#This Row],[Cantidad SPA]]*Elementos_[[#This Row],[Valor de referencia]]</f>
        <v>0</v>
      </c>
      <c r="AC35" s="166" t="s">
        <v>2041</v>
      </c>
    </row>
    <row r="36" spans="1:29" ht="96" x14ac:dyDescent="0.2">
      <c r="A36" s="294" t="str">
        <f>IF(B36=Elementos_[[#This Row],[Cantidad LANIP]],"LANIP",IF(B36=Elementos_[[#This Row],[Cantidad 
LDV]],"LDV",IF(B36=Elementos_[[#This Row],[Cantidad LNDV]],"LNDV",IF(B36=Elementos_[[#This Row],[GGCA]],"GGCA",IF(B36=Elementos_[[#This Row],[Cantidad LDF]],"LDF",IF(B36=Elementos_[[#This Row],[Cantidad LDF&amp;MR]],"LDF&amp;MR",IF(B36=Elementos_[[#This Row],[Cantidad RED LASE]],"LASE",IF(B36=Elementos_[[#This Row],[Cantidad LANIA]],"LANIA",IF(B36=Elementos_[[#This Row],[Cantidad SPA]],"SPA"," ")))))))))</f>
        <v>LANIA</v>
      </c>
      <c r="B3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36" s="298">
        <v>34</v>
      </c>
      <c r="D36" s="190">
        <v>53</v>
      </c>
      <c r="E36" s="277" t="s">
        <v>2093</v>
      </c>
      <c r="F36" s="207" t="s">
        <v>2087</v>
      </c>
      <c r="G36" s="192" t="s">
        <v>2092</v>
      </c>
      <c r="H3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36" s="194">
        <v>172431</v>
      </c>
      <c r="J36" s="194">
        <f>+Elementos_[[#This Row],[Valor de referencia]]*Elementos_[[#This Row],[Cantidad]]</f>
        <v>3448620</v>
      </c>
      <c r="K36" s="166"/>
      <c r="L36" s="159">
        <f>+Elementos_[[#This Row],[Cantidad LANIP]]*Elementos_[[#This Row],[Valor de referencia]]</f>
        <v>0</v>
      </c>
      <c r="M36" s="270">
        <v>0</v>
      </c>
      <c r="N36" s="195">
        <f>+Elementos_[[#This Row],[Cantidad 
LDV]]*Elementos_[[#This Row],[Valor de referencia]]</f>
        <v>0</v>
      </c>
      <c r="O36" s="166"/>
      <c r="P36" s="159">
        <f>+Elementos_[[#This Row],[Cantidad LNDV]]*Elementos_[[#This Row],[Valor de referencia]]</f>
        <v>0</v>
      </c>
      <c r="Q36" s="196"/>
      <c r="R36" s="159">
        <f>+Elementos_[[#This Row],[GGCA]]*Elementos_[[#This Row],[Valor de referencia]]</f>
        <v>0</v>
      </c>
      <c r="S36" s="166"/>
      <c r="T36" s="159">
        <f>+Elementos_[[#This Row],[Cantidad LDF]]*Elementos_[[#This Row],[Valor de referencia]]</f>
        <v>0</v>
      </c>
      <c r="U36" s="197"/>
      <c r="V36" s="159">
        <f>+Elementos_[[#This Row],[Cantidad LDF&amp;MR]]*Elementos_[[#This Row],[Valor de referencia]]</f>
        <v>0</v>
      </c>
      <c r="W36" s="166"/>
      <c r="X36" s="159">
        <f>+Elementos_[[#This Row],[Cantidad RED LASE]]*Elementos_[[#This Row],[Valor de referencia]]</f>
        <v>0</v>
      </c>
      <c r="Y36" s="166">
        <v>20</v>
      </c>
      <c r="Z36" s="159">
        <f>+Elementos_[[#This Row],[Cantidad LANIA]]*Elementos_[[#This Row],[Valor de referencia]]</f>
        <v>3448620</v>
      </c>
      <c r="AA36" s="196"/>
      <c r="AB36" s="159">
        <f>+Elementos_[[#This Row],[Cantidad SPA]]*Elementos_[[#This Row],[Valor de referencia]]</f>
        <v>0</v>
      </c>
      <c r="AC36" s="166" t="s">
        <v>2041</v>
      </c>
    </row>
    <row r="37" spans="1:29" ht="108" x14ac:dyDescent="0.2">
      <c r="A37" s="294" t="str">
        <f>IF(B37=Elementos_[[#This Row],[Cantidad LANIP]],"LANIP",IF(B37=Elementos_[[#This Row],[Cantidad 
LDV]],"LDV",IF(B37=Elementos_[[#This Row],[Cantidad LNDV]],"LNDV",IF(B37=Elementos_[[#This Row],[GGCA]],"GGCA",IF(B37=Elementos_[[#This Row],[Cantidad LDF]],"LDF",IF(B37=Elementos_[[#This Row],[Cantidad LDF&amp;MR]],"LDF&amp;MR",IF(B37=Elementos_[[#This Row],[Cantidad RED LASE]],"LASE",IF(B37=Elementos_[[#This Row],[Cantidad LANIA]],"LANIA",IF(B37=Elementos_[[#This Row],[Cantidad SPA]],"SPA"," ")))))))))</f>
        <v>LDF</v>
      </c>
      <c r="B3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7" s="298">
        <v>35</v>
      </c>
      <c r="D37" s="190">
        <v>54</v>
      </c>
      <c r="E37" s="278" t="s">
        <v>2094</v>
      </c>
      <c r="F37" s="208" t="s">
        <v>2087</v>
      </c>
      <c r="G37" s="192" t="s">
        <v>525</v>
      </c>
      <c r="H3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7" s="194">
        <v>362355</v>
      </c>
      <c r="J37" s="194">
        <f>+Elementos_[[#This Row],[Valor de referencia]]*Elementos_[[#This Row],[Cantidad]]</f>
        <v>362355</v>
      </c>
      <c r="K37" s="166"/>
      <c r="L37" s="159">
        <f>+Elementos_[[#This Row],[Cantidad LANIP]]*Elementos_[[#This Row],[Valor de referencia]]</f>
        <v>0</v>
      </c>
      <c r="M37" s="270">
        <v>0</v>
      </c>
      <c r="N37" s="195">
        <f>+Elementos_[[#This Row],[Cantidad 
LDV]]*Elementos_[[#This Row],[Valor de referencia]]</f>
        <v>0</v>
      </c>
      <c r="O37" s="166"/>
      <c r="P37" s="159">
        <f>+Elementos_[[#This Row],[Cantidad LNDV]]*Elementos_[[#This Row],[Valor de referencia]]</f>
        <v>0</v>
      </c>
      <c r="Q37" s="196"/>
      <c r="R37" s="159">
        <f>+Elementos_[[#This Row],[GGCA]]*Elementos_[[#This Row],[Valor de referencia]]</f>
        <v>0</v>
      </c>
      <c r="S37" s="166">
        <v>1</v>
      </c>
      <c r="T37" s="159">
        <f>+Elementos_[[#This Row],[Cantidad LDF]]*Elementos_[[#This Row],[Valor de referencia]]</f>
        <v>362355</v>
      </c>
      <c r="U37" s="197"/>
      <c r="V37" s="159">
        <f>+Elementos_[[#This Row],[Cantidad LDF&amp;MR]]*Elementos_[[#This Row],[Valor de referencia]]</f>
        <v>0</v>
      </c>
      <c r="W37" s="166"/>
      <c r="X37" s="159">
        <f>+Elementos_[[#This Row],[Cantidad RED LASE]]*Elementos_[[#This Row],[Valor de referencia]]</f>
        <v>0</v>
      </c>
      <c r="Y37" s="166"/>
      <c r="Z37" s="159">
        <f>+Elementos_[[#This Row],[Cantidad LANIA]]*Elementos_[[#This Row],[Valor de referencia]]</f>
        <v>0</v>
      </c>
      <c r="AA37" s="196"/>
      <c r="AB37" s="159">
        <f>+Elementos_[[#This Row],[Cantidad SPA]]*Elementos_[[#This Row],[Valor de referencia]]</f>
        <v>0</v>
      </c>
      <c r="AC37" s="166" t="s">
        <v>2041</v>
      </c>
    </row>
    <row r="38" spans="1:29" ht="12.75" x14ac:dyDescent="0.2">
      <c r="A38" s="294" t="str">
        <f>IF(B38=Elementos_[[#This Row],[Cantidad LANIP]],"LANIP",IF(B38=Elementos_[[#This Row],[Cantidad 
LDV]],"LDV",IF(B38=Elementos_[[#This Row],[Cantidad LNDV]],"LNDV",IF(B38=Elementos_[[#This Row],[GGCA]],"GGCA",IF(B38=Elementos_[[#This Row],[Cantidad LDF]],"LDF",IF(B38=Elementos_[[#This Row],[Cantidad LDF&amp;MR]],"LDF&amp;MR",IF(B38=Elementos_[[#This Row],[Cantidad RED LASE]],"LASE",IF(B38=Elementos_[[#This Row],[Cantidad LANIA]],"LANIA",IF(B38=Elementos_[[#This Row],[Cantidad SPA]],"SPA"," ")))))))))</f>
        <v>LDF</v>
      </c>
      <c r="B3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8" s="298">
        <v>36</v>
      </c>
      <c r="D38" s="190">
        <v>57</v>
      </c>
      <c r="E38" s="274" t="s">
        <v>2095</v>
      </c>
      <c r="F38" s="201" t="s">
        <v>183</v>
      </c>
      <c r="G38" s="202" t="s">
        <v>525</v>
      </c>
      <c r="H3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8" s="194">
        <v>67125</v>
      </c>
      <c r="J38" s="194">
        <f>+Elementos_[[#This Row],[Valor de referencia]]*Elementos_[[#This Row],[Cantidad]]</f>
        <v>134250</v>
      </c>
      <c r="K38" s="166"/>
      <c r="L38" s="159">
        <f>+Elementos_[[#This Row],[Cantidad LANIP]]*Elementos_[[#This Row],[Valor de referencia]]</f>
        <v>0</v>
      </c>
      <c r="M38" s="270">
        <v>0</v>
      </c>
      <c r="N38" s="195">
        <f>+Elementos_[[#This Row],[Cantidad 
LDV]]*Elementos_[[#This Row],[Valor de referencia]]</f>
        <v>0</v>
      </c>
      <c r="O38" s="166"/>
      <c r="P38" s="159">
        <f>+Elementos_[[#This Row],[Cantidad LNDV]]*Elementos_[[#This Row],[Valor de referencia]]</f>
        <v>0</v>
      </c>
      <c r="Q38" s="196"/>
      <c r="R38" s="159">
        <f>+Elementos_[[#This Row],[GGCA]]*Elementos_[[#This Row],[Valor de referencia]]</f>
        <v>0</v>
      </c>
      <c r="S38" s="166">
        <v>2</v>
      </c>
      <c r="T38" s="159">
        <f>+Elementos_[[#This Row],[Cantidad LDF]]*Elementos_[[#This Row],[Valor de referencia]]</f>
        <v>134250</v>
      </c>
      <c r="U38" s="197"/>
      <c r="V38" s="159">
        <f>+Elementos_[[#This Row],[Cantidad LDF&amp;MR]]*Elementos_[[#This Row],[Valor de referencia]]</f>
        <v>0</v>
      </c>
      <c r="W38" s="166"/>
      <c r="X38" s="159">
        <f>+Elementos_[[#This Row],[Cantidad RED LASE]]*Elementos_[[#This Row],[Valor de referencia]]</f>
        <v>0</v>
      </c>
      <c r="Y38" s="166"/>
      <c r="Z38" s="159">
        <f>+Elementos_[[#This Row],[Cantidad LANIA]]*Elementos_[[#This Row],[Valor de referencia]]</f>
        <v>0</v>
      </c>
      <c r="AA38" s="196"/>
      <c r="AB38" s="159">
        <f>+Elementos_[[#This Row],[Cantidad SPA]]*Elementos_[[#This Row],[Valor de referencia]]</f>
        <v>0</v>
      </c>
      <c r="AC38" s="166" t="s">
        <v>2049</v>
      </c>
    </row>
    <row r="39" spans="1:29" ht="24" x14ac:dyDescent="0.2">
      <c r="A39" s="294" t="str">
        <f>IF(B39=Elementos_[[#This Row],[Cantidad LANIP]],"LANIP",IF(B39=Elementos_[[#This Row],[Cantidad 
LDV]],"LDV",IF(B39=Elementos_[[#This Row],[Cantidad LNDV]],"LNDV",IF(B39=Elementos_[[#This Row],[GGCA]],"GGCA",IF(B39=Elementos_[[#This Row],[Cantidad LDF]],"LDF",IF(B39=Elementos_[[#This Row],[Cantidad LDF&amp;MR]],"LDF&amp;MR",IF(B39=Elementos_[[#This Row],[Cantidad RED LASE]],"LASE",IF(B39=Elementos_[[#This Row],[Cantidad LANIA]],"LANIA",IF(B39=Elementos_[[#This Row],[Cantidad SPA]],"SPA"," ")))))))))</f>
        <v>LANIA</v>
      </c>
      <c r="B3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9" s="298">
        <v>37</v>
      </c>
      <c r="D39" s="190">
        <v>58</v>
      </c>
      <c r="E39" s="299" t="s">
        <v>2096</v>
      </c>
      <c r="F39" s="201" t="s">
        <v>183</v>
      </c>
      <c r="G39" s="202" t="s">
        <v>525</v>
      </c>
      <c r="H3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39" s="194">
        <v>439753</v>
      </c>
      <c r="J39" s="194">
        <f>+Elementos_[[#This Row],[Valor de referencia]]*Elementos_[[#This Row],[Cantidad]]</f>
        <v>3518024</v>
      </c>
      <c r="K39" s="166"/>
      <c r="L39" s="159">
        <f>+Elementos_[[#This Row],[Cantidad LANIP]]*Elementos_[[#This Row],[Valor de referencia]]</f>
        <v>0</v>
      </c>
      <c r="M39" s="270"/>
      <c r="N39" s="195">
        <f>+Elementos_[[#This Row],[Cantidad 
LDV]]*Elementos_[[#This Row],[Valor de referencia]]</f>
        <v>0</v>
      </c>
      <c r="O39" s="166"/>
      <c r="P39" s="159">
        <f>+Elementos_[[#This Row],[Cantidad LNDV]]*Elementos_[[#This Row],[Valor de referencia]]</f>
        <v>0</v>
      </c>
      <c r="Q39" s="196"/>
      <c r="R39" s="159">
        <f>+Elementos_[[#This Row],[GGCA]]*Elementos_[[#This Row],[Valor de referencia]]</f>
        <v>0</v>
      </c>
      <c r="S39" s="166">
        <v>2</v>
      </c>
      <c r="T39" s="159">
        <f>+Elementos_[[#This Row],[Cantidad LDF]]*Elementos_[[#This Row],[Valor de referencia]]</f>
        <v>879506</v>
      </c>
      <c r="U39" s="197"/>
      <c r="V39" s="159">
        <f>+Elementos_[[#This Row],[Cantidad LDF&amp;MR]]*Elementos_[[#This Row],[Valor de referencia]]</f>
        <v>0</v>
      </c>
      <c r="W39" s="166"/>
      <c r="X39" s="159">
        <f>+Elementos_[[#This Row],[Cantidad RED LASE]]*Elementos_[[#This Row],[Valor de referencia]]</f>
        <v>0</v>
      </c>
      <c r="Y39" s="166">
        <v>6</v>
      </c>
      <c r="Z39" s="159">
        <f>+Elementos_[[#This Row],[Cantidad LANIA]]*Elementos_[[#This Row],[Valor de referencia]]</f>
        <v>2638518</v>
      </c>
      <c r="AA39" s="196"/>
      <c r="AB39" s="159">
        <f>+Elementos_[[#This Row],[Cantidad SPA]]*Elementos_[[#This Row],[Valor de referencia]]</f>
        <v>0</v>
      </c>
      <c r="AC39" s="166" t="s">
        <v>2049</v>
      </c>
    </row>
    <row r="40" spans="1:29" ht="36" x14ac:dyDescent="0.2">
      <c r="A40" s="294" t="str">
        <f>IF(B40=Elementos_[[#This Row],[Cantidad LANIP]],"LANIP",IF(B40=Elementos_[[#This Row],[Cantidad 
LDV]],"LDV",IF(B40=Elementos_[[#This Row],[Cantidad LNDV]],"LNDV",IF(B40=Elementos_[[#This Row],[GGCA]],"GGCA",IF(B40=Elementos_[[#This Row],[Cantidad LDF]],"LDF",IF(B40=Elementos_[[#This Row],[Cantidad LDF&amp;MR]],"LDF&amp;MR",IF(B40=Elementos_[[#This Row],[Cantidad RED LASE]],"LASE",IF(B40=Elementos_[[#This Row],[Cantidad LANIA]],"LANIA",IF(B40=Elementos_[[#This Row],[Cantidad SPA]],"SPA"," ")))))))))</f>
        <v>LANIA</v>
      </c>
      <c r="B4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40" s="298">
        <v>38</v>
      </c>
      <c r="D40" s="190">
        <v>59</v>
      </c>
      <c r="E40" s="299" t="s">
        <v>2097</v>
      </c>
      <c r="F40" s="201" t="s">
        <v>183</v>
      </c>
      <c r="G40" s="202" t="s">
        <v>525</v>
      </c>
      <c r="H4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40" s="194">
        <v>512555</v>
      </c>
      <c r="J40" s="194">
        <f>+Elementos_[[#This Row],[Valor de referencia]]*Elementos_[[#This Row],[Cantidad]]</f>
        <v>7688325</v>
      </c>
      <c r="K40" s="166">
        <v>5</v>
      </c>
      <c r="L40" s="159">
        <f>+Elementos_[[#This Row],[Cantidad LANIP]]*Elementos_[[#This Row],[Valor de referencia]]</f>
        <v>2562775</v>
      </c>
      <c r="M40" s="270"/>
      <c r="N40" s="195">
        <f>+Elementos_[[#This Row],[Cantidad 
LDV]]*Elementos_[[#This Row],[Valor de referencia]]</f>
        <v>0</v>
      </c>
      <c r="O40" s="166"/>
      <c r="P40" s="159">
        <f>+Elementos_[[#This Row],[Cantidad LNDV]]*Elementos_[[#This Row],[Valor de referencia]]</f>
        <v>0</v>
      </c>
      <c r="Q40" s="196"/>
      <c r="R40" s="159">
        <f>+Elementos_[[#This Row],[GGCA]]*Elementos_[[#This Row],[Valor de referencia]]</f>
        <v>0</v>
      </c>
      <c r="S40" s="166">
        <v>2</v>
      </c>
      <c r="T40" s="159">
        <f>+Elementos_[[#This Row],[Cantidad LDF]]*Elementos_[[#This Row],[Valor de referencia]]</f>
        <v>1025110</v>
      </c>
      <c r="U40" s="197">
        <v>2</v>
      </c>
      <c r="V40" s="159">
        <f>+Elementos_[[#This Row],[Cantidad LDF&amp;MR]]*Elementos_[[#This Row],[Valor de referencia]]</f>
        <v>1025110</v>
      </c>
      <c r="W40" s="166"/>
      <c r="X40" s="159">
        <f>+Elementos_[[#This Row],[Cantidad RED LASE]]*Elementos_[[#This Row],[Valor de referencia]]</f>
        <v>0</v>
      </c>
      <c r="Y40" s="166">
        <v>6</v>
      </c>
      <c r="Z40" s="159">
        <f>+Elementos_[[#This Row],[Cantidad LANIA]]*Elementos_[[#This Row],[Valor de referencia]]</f>
        <v>3075330</v>
      </c>
      <c r="AA40" s="196"/>
      <c r="AB40" s="159">
        <f>+Elementos_[[#This Row],[Cantidad SPA]]*Elementos_[[#This Row],[Valor de referencia]]</f>
        <v>0</v>
      </c>
      <c r="AC40" s="166" t="s">
        <v>2049</v>
      </c>
    </row>
    <row r="41" spans="1:29" ht="24" x14ac:dyDescent="0.2">
      <c r="A41" s="294" t="str">
        <f>IF(B41=Elementos_[[#This Row],[Cantidad LANIP]],"LANIP",IF(B41=Elementos_[[#This Row],[Cantidad 
LDV]],"LDV",IF(B41=Elementos_[[#This Row],[Cantidad LNDV]],"LNDV",IF(B41=Elementos_[[#This Row],[GGCA]],"GGCA",IF(B41=Elementos_[[#This Row],[Cantidad LDF]],"LDF",IF(B41=Elementos_[[#This Row],[Cantidad LDF&amp;MR]],"LDF&amp;MR",IF(B41=Elementos_[[#This Row],[Cantidad RED LASE]],"LASE",IF(B41=Elementos_[[#This Row],[Cantidad LANIA]],"LANIA",IF(B41=Elementos_[[#This Row],[Cantidad SPA]],"SPA"," ")))))))))</f>
        <v>LANIP</v>
      </c>
      <c r="B4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41" s="298">
        <v>39</v>
      </c>
      <c r="D41" s="190">
        <v>60</v>
      </c>
      <c r="E41" s="273" t="s">
        <v>2098</v>
      </c>
      <c r="F41" s="201" t="s">
        <v>183</v>
      </c>
      <c r="G41" s="192" t="s">
        <v>525</v>
      </c>
      <c r="H4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41" s="194">
        <v>313404</v>
      </c>
      <c r="J41" s="194">
        <f>+Elementos_[[#This Row],[Valor de referencia]]*Elementos_[[#This Row],[Cantidad]]</f>
        <v>1253616</v>
      </c>
      <c r="K41" s="166">
        <v>4</v>
      </c>
      <c r="L41" s="159">
        <f>+Elementos_[[#This Row],[Cantidad LANIP]]*Elementos_[[#This Row],[Valor de referencia]]</f>
        <v>1253616</v>
      </c>
      <c r="M41" s="270"/>
      <c r="N41" s="195">
        <f>+Elementos_[[#This Row],[Cantidad 
LDV]]*Elementos_[[#This Row],[Valor de referencia]]</f>
        <v>0</v>
      </c>
      <c r="O41" s="166"/>
      <c r="P41" s="159">
        <f>+Elementos_[[#This Row],[Cantidad LNDV]]*Elementos_[[#This Row],[Valor de referencia]]</f>
        <v>0</v>
      </c>
      <c r="Q41" s="196"/>
      <c r="R41" s="159">
        <f>+Elementos_[[#This Row],[GGCA]]*Elementos_[[#This Row],[Valor de referencia]]</f>
        <v>0</v>
      </c>
      <c r="S41" s="166"/>
      <c r="T41" s="159">
        <f>+Elementos_[[#This Row],[Cantidad LDF]]*Elementos_[[#This Row],[Valor de referencia]]</f>
        <v>0</v>
      </c>
      <c r="U41" s="197"/>
      <c r="V41" s="159">
        <f>+Elementos_[[#This Row],[Cantidad LDF&amp;MR]]*Elementos_[[#This Row],[Valor de referencia]]</f>
        <v>0</v>
      </c>
      <c r="W41" s="166"/>
      <c r="X41" s="159">
        <f>+Elementos_[[#This Row],[Cantidad RED LASE]]*Elementos_[[#This Row],[Valor de referencia]]</f>
        <v>0</v>
      </c>
      <c r="Y41" s="166"/>
      <c r="Z41" s="159">
        <f>+Elementos_[[#This Row],[Cantidad LANIA]]*Elementos_[[#This Row],[Valor de referencia]]</f>
        <v>0</v>
      </c>
      <c r="AA41" s="196"/>
      <c r="AB41" s="159">
        <f>+Elementos_[[#This Row],[Cantidad SPA]]*Elementos_[[#This Row],[Valor de referencia]]</f>
        <v>0</v>
      </c>
      <c r="AC41" s="166" t="s">
        <v>2049</v>
      </c>
    </row>
    <row r="42" spans="1:29" ht="36" x14ac:dyDescent="0.2">
      <c r="A42" s="294" t="str">
        <f>IF(B42=Elementos_[[#This Row],[Cantidad LANIP]],"LANIP",IF(B42=Elementos_[[#This Row],[Cantidad 
LDV]],"LDV",IF(B42=Elementos_[[#This Row],[Cantidad LNDV]],"LNDV",IF(B42=Elementos_[[#This Row],[GGCA]],"GGCA",IF(B42=Elementos_[[#This Row],[Cantidad LDF]],"LDF",IF(B42=Elementos_[[#This Row],[Cantidad LDF&amp;MR]],"LDF&amp;MR",IF(B42=Elementos_[[#This Row],[Cantidad RED LASE]],"LASE",IF(B42=Elementos_[[#This Row],[Cantidad LANIA]],"LANIA",IF(B42=Elementos_[[#This Row],[Cantidad SPA]],"SPA"," ")))))))))</f>
        <v>LANIA</v>
      </c>
      <c r="B4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42" s="298">
        <v>40</v>
      </c>
      <c r="D42" s="190">
        <v>61</v>
      </c>
      <c r="E42" s="273" t="s">
        <v>2099</v>
      </c>
      <c r="F42" s="204" t="s">
        <v>183</v>
      </c>
      <c r="G42" s="192" t="s">
        <v>525</v>
      </c>
      <c r="H4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40</v>
      </c>
      <c r="I42" s="194">
        <v>392712</v>
      </c>
      <c r="J42" s="194">
        <f>+Elementos_[[#This Row],[Valor de referencia]]*Elementos_[[#This Row],[Cantidad]]</f>
        <v>15708480</v>
      </c>
      <c r="K42" s="166">
        <v>2</v>
      </c>
      <c r="L42" s="159">
        <f>+Elementos_[[#This Row],[Cantidad LANIP]]*Elementos_[[#This Row],[Valor de referencia]]</f>
        <v>785424</v>
      </c>
      <c r="M42" s="270"/>
      <c r="N42" s="195">
        <f>+Elementos_[[#This Row],[Cantidad 
LDV]]*Elementos_[[#This Row],[Valor de referencia]]</f>
        <v>0</v>
      </c>
      <c r="O42" s="166"/>
      <c r="P42" s="159">
        <f>+Elementos_[[#This Row],[Cantidad LNDV]]*Elementos_[[#This Row],[Valor de referencia]]</f>
        <v>0</v>
      </c>
      <c r="Q42" s="196"/>
      <c r="R42" s="159">
        <f>+Elementos_[[#This Row],[GGCA]]*Elementos_[[#This Row],[Valor de referencia]]</f>
        <v>0</v>
      </c>
      <c r="S42" s="166">
        <v>2</v>
      </c>
      <c r="T42" s="194">
        <f>+Elementos_[[#This Row],[Cantidad LDF]]*Elementos_[[#This Row],[Valor de referencia]]</f>
        <v>785424</v>
      </c>
      <c r="U42" s="197"/>
      <c r="V42" s="194">
        <f>+Elementos_[[#This Row],[Cantidad LDF&amp;MR]]*Elementos_[[#This Row],[Valor de referencia]]</f>
        <v>0</v>
      </c>
      <c r="W42" s="166"/>
      <c r="X42" s="194">
        <f>+Elementos_[[#This Row],[Cantidad RED LASE]]*Elementos_[[#This Row],[Valor de referencia]]</f>
        <v>0</v>
      </c>
      <c r="Y42" s="166">
        <v>20</v>
      </c>
      <c r="Z42" s="194">
        <f>+Elementos_[[#This Row],[Cantidad LANIA]]*Elementos_[[#This Row],[Valor de referencia]]</f>
        <v>7854240</v>
      </c>
      <c r="AA42" s="196">
        <v>16</v>
      </c>
      <c r="AB42" s="194">
        <f>+Elementos_[[#This Row],[Cantidad SPA]]*Elementos_[[#This Row],[Valor de referencia]]</f>
        <v>6283392</v>
      </c>
      <c r="AC42" s="166" t="s">
        <v>2049</v>
      </c>
    </row>
    <row r="43" spans="1:29" ht="24" x14ac:dyDescent="0.2">
      <c r="A43" s="294" t="str">
        <f>IF(B43=Elementos_[[#This Row],[Cantidad LANIP]],"LANIP",IF(B43=Elementos_[[#This Row],[Cantidad 
LDV]],"LDV",IF(B43=Elementos_[[#This Row],[Cantidad LNDV]],"LNDV",IF(B43=Elementos_[[#This Row],[GGCA]],"GGCA",IF(B43=Elementos_[[#This Row],[Cantidad LDF]],"LDF",IF(B43=Elementos_[[#This Row],[Cantidad LDF&amp;MR]],"LDF&amp;MR",IF(B43=Elementos_[[#This Row],[Cantidad RED LASE]],"LASE",IF(B43=Elementos_[[#This Row],[Cantidad LANIA]],"LANIA",IF(B43=Elementos_[[#This Row],[Cantidad SPA]],"SPA"," ")))))))))</f>
        <v>LASE</v>
      </c>
      <c r="B4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43" s="298">
        <v>41</v>
      </c>
      <c r="D43" s="190">
        <v>62</v>
      </c>
      <c r="E43" s="273" t="s">
        <v>2100</v>
      </c>
      <c r="F43" s="201" t="s">
        <v>2101</v>
      </c>
      <c r="G43" s="192" t="s">
        <v>525</v>
      </c>
      <c r="H4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43" s="194">
        <v>63721</v>
      </c>
      <c r="J43" s="194">
        <f>+Elementos_[[#This Row],[Valor de referencia]]*Elementos_[[#This Row],[Cantidad]]</f>
        <v>1274420</v>
      </c>
      <c r="K43" s="166"/>
      <c r="L43" s="159">
        <f>+Elementos_[[#This Row],[Cantidad LANIP]]*Elementos_[[#This Row],[Valor de referencia]]</f>
        <v>0</v>
      </c>
      <c r="M43" s="270"/>
      <c r="N43" s="195">
        <f>+Elementos_[[#This Row],[Cantidad 
LDV]]*Elementos_[[#This Row],[Valor de referencia]]</f>
        <v>0</v>
      </c>
      <c r="O43" s="166"/>
      <c r="P43" s="159">
        <f>+Elementos_[[#This Row],[Cantidad LNDV]]*Elementos_[[#This Row],[Valor de referencia]]</f>
        <v>0</v>
      </c>
      <c r="Q43" s="196"/>
      <c r="R43" s="159">
        <f>+Elementos_[[#This Row],[GGCA]]*Elementos_[[#This Row],[Valor de referencia]]</f>
        <v>0</v>
      </c>
      <c r="S43" s="166">
        <v>2</v>
      </c>
      <c r="T43" s="159">
        <f>+Elementos_[[#This Row],[Cantidad LDF]]*Elementos_[[#This Row],[Valor de referencia]]</f>
        <v>127442</v>
      </c>
      <c r="U43" s="197">
        <v>1</v>
      </c>
      <c r="V43" s="159">
        <f>+Elementos_[[#This Row],[Cantidad LDF&amp;MR]]*Elementos_[[#This Row],[Valor de referencia]]</f>
        <v>63721</v>
      </c>
      <c r="W43" s="166">
        <v>12</v>
      </c>
      <c r="X43" s="159">
        <f>+Elementos_[[#This Row],[Cantidad RED LASE]]*Elementos_[[#This Row],[Valor de referencia]]</f>
        <v>764652</v>
      </c>
      <c r="Y43" s="166">
        <v>5</v>
      </c>
      <c r="Z43" s="159">
        <f>+Elementos_[[#This Row],[Cantidad LANIA]]*Elementos_[[#This Row],[Valor de referencia]]</f>
        <v>318605</v>
      </c>
      <c r="AA43" s="196"/>
      <c r="AB43" s="159">
        <f>+Elementos_[[#This Row],[Cantidad SPA]]*Elementos_[[#This Row],[Valor de referencia]]</f>
        <v>0</v>
      </c>
      <c r="AC43" s="166" t="s">
        <v>2049</v>
      </c>
    </row>
    <row r="44" spans="1:29" ht="24" x14ac:dyDescent="0.2">
      <c r="A44" s="294" t="str">
        <f>IF(B44=Elementos_[[#This Row],[Cantidad LANIP]],"LANIP",IF(B44=Elementos_[[#This Row],[Cantidad 
LDV]],"LDV",IF(B44=Elementos_[[#This Row],[Cantidad LNDV]],"LNDV",IF(B44=Elementos_[[#This Row],[GGCA]],"GGCA",IF(B44=Elementos_[[#This Row],[Cantidad LDF]],"LDF",IF(B44=Elementos_[[#This Row],[Cantidad LDF&amp;MR]],"LDF&amp;MR",IF(B44=Elementos_[[#This Row],[Cantidad RED LASE]],"LASE",IF(B44=Elementos_[[#This Row],[Cantidad LANIA]],"LANIA",IF(B44=Elementos_[[#This Row],[Cantidad SPA]],"SPA"," ")))))))))</f>
        <v>LANIA</v>
      </c>
      <c r="B4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44" s="298">
        <v>42</v>
      </c>
      <c r="D44" s="190">
        <v>63</v>
      </c>
      <c r="E44" s="299" t="s">
        <v>2102</v>
      </c>
      <c r="F44" s="204" t="s">
        <v>2103</v>
      </c>
      <c r="G44" s="192" t="s">
        <v>525</v>
      </c>
      <c r="H4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v>
      </c>
      <c r="I44" s="194">
        <v>436049</v>
      </c>
      <c r="J44" s="194">
        <f>+Elementos_[[#This Row],[Valor de referencia]]*Elementos_[[#This Row],[Cantidad]]</f>
        <v>3924441</v>
      </c>
      <c r="K44" s="166"/>
      <c r="L44" s="159">
        <f>+Elementos_[[#This Row],[Cantidad LANIP]]*Elementos_[[#This Row],[Valor de referencia]]</f>
        <v>0</v>
      </c>
      <c r="M44" s="270"/>
      <c r="N44" s="195">
        <f>+Elementos_[[#This Row],[Cantidad 
LDV]]*Elementos_[[#This Row],[Valor de referencia]]</f>
        <v>0</v>
      </c>
      <c r="O44" s="166"/>
      <c r="P44" s="159">
        <f>+Elementos_[[#This Row],[Cantidad LNDV]]*Elementos_[[#This Row],[Valor de referencia]]</f>
        <v>0</v>
      </c>
      <c r="Q44" s="196"/>
      <c r="R44" s="159">
        <f>+Elementos_[[#This Row],[GGCA]]*Elementos_[[#This Row],[Valor de referencia]]</f>
        <v>0</v>
      </c>
      <c r="S44" s="166">
        <v>4</v>
      </c>
      <c r="T44" s="159">
        <f>+Elementos_[[#This Row],[Cantidad LDF]]*Elementos_[[#This Row],[Valor de referencia]]</f>
        <v>1744196</v>
      </c>
      <c r="U44" s="197"/>
      <c r="V44" s="159">
        <f>+Elementos_[[#This Row],[Cantidad LDF&amp;MR]]*Elementos_[[#This Row],[Valor de referencia]]</f>
        <v>0</v>
      </c>
      <c r="W44" s="166"/>
      <c r="X44" s="159">
        <f>+Elementos_[[#This Row],[Cantidad RED LASE]]*Elementos_[[#This Row],[Valor de referencia]]</f>
        <v>0</v>
      </c>
      <c r="Y44" s="166">
        <v>5</v>
      </c>
      <c r="Z44" s="159">
        <f>+Elementos_[[#This Row],[Cantidad LANIA]]*Elementos_[[#This Row],[Valor de referencia]]</f>
        <v>2180245</v>
      </c>
      <c r="AA44" s="196"/>
      <c r="AB44" s="159">
        <f>+Elementos_[[#This Row],[Cantidad SPA]]*Elementos_[[#This Row],[Valor de referencia]]</f>
        <v>0</v>
      </c>
      <c r="AC44" s="166" t="s">
        <v>2041</v>
      </c>
    </row>
    <row r="45" spans="1:29" ht="36" x14ac:dyDescent="0.2">
      <c r="A45" s="294" t="str">
        <f>IF(B45=Elementos_[[#This Row],[Cantidad LANIP]],"LANIP",IF(B45=Elementos_[[#This Row],[Cantidad 
LDV]],"LDV",IF(B45=Elementos_[[#This Row],[Cantidad LNDV]],"LNDV",IF(B45=Elementos_[[#This Row],[GGCA]],"GGCA",IF(B45=Elementos_[[#This Row],[Cantidad LDF]],"LDF",IF(B45=Elementos_[[#This Row],[Cantidad LDF&amp;MR]],"LDF&amp;MR",IF(B45=Elementos_[[#This Row],[Cantidad RED LASE]],"LASE",IF(B45=Elementos_[[#This Row],[Cantidad LANIA]],"LANIA",IF(B45=Elementos_[[#This Row],[Cantidad SPA]],"SPA"," ")))))))))</f>
        <v>LANIP</v>
      </c>
      <c r="B4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C45" s="298">
        <v>43</v>
      </c>
      <c r="D45" s="190">
        <v>64</v>
      </c>
      <c r="E45" s="273" t="s">
        <v>2104</v>
      </c>
      <c r="F45" s="201" t="s">
        <v>2105</v>
      </c>
      <c r="G45" s="192" t="s">
        <v>525</v>
      </c>
      <c r="H4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40</v>
      </c>
      <c r="I45" s="194">
        <v>26385</v>
      </c>
      <c r="J45" s="194">
        <f>+Elementos_[[#This Row],[Valor de referencia]]*Elementos_[[#This Row],[Cantidad]]</f>
        <v>1055400</v>
      </c>
      <c r="K45" s="166">
        <v>13</v>
      </c>
      <c r="L45" s="159">
        <f>+Elementos_[[#This Row],[Cantidad LANIP]]*Elementos_[[#This Row],[Valor de referencia]]</f>
        <v>343005</v>
      </c>
      <c r="M45" s="270">
        <v>10</v>
      </c>
      <c r="N45" s="195">
        <f>+Elementos_[[#This Row],[Cantidad 
LDV]]*Elementos_[[#This Row],[Valor de referencia]]</f>
        <v>263850</v>
      </c>
      <c r="O45" s="166"/>
      <c r="P45" s="159">
        <f>+Elementos_[[#This Row],[Cantidad LNDV]]*Elementos_[[#This Row],[Valor de referencia]]</f>
        <v>0</v>
      </c>
      <c r="Q45" s="196"/>
      <c r="R45" s="159">
        <f>+Elementos_[[#This Row],[GGCA]]*Elementos_[[#This Row],[Valor de referencia]]</f>
        <v>0</v>
      </c>
      <c r="S45" s="166">
        <v>12</v>
      </c>
      <c r="T45" s="159">
        <f>+Elementos_[[#This Row],[Cantidad LDF]]*Elementos_[[#This Row],[Valor de referencia]]</f>
        <v>316620</v>
      </c>
      <c r="U45" s="197">
        <v>5</v>
      </c>
      <c r="V45" s="159">
        <f>+Elementos_[[#This Row],[Cantidad LDF&amp;MR]]*Elementos_[[#This Row],[Valor de referencia]]</f>
        <v>131925</v>
      </c>
      <c r="W45" s="166"/>
      <c r="X45" s="159">
        <f>+Elementos_[[#This Row],[Cantidad RED LASE]]*Elementos_[[#This Row],[Valor de referencia]]</f>
        <v>0</v>
      </c>
      <c r="Y45" s="166"/>
      <c r="Z45" s="159">
        <f>+Elementos_[[#This Row],[Cantidad LANIA]]*Elementos_[[#This Row],[Valor de referencia]]</f>
        <v>0</v>
      </c>
      <c r="AA45" s="196"/>
      <c r="AB45" s="159">
        <f>+Elementos_[[#This Row],[Cantidad SPA]]*Elementos_[[#This Row],[Valor de referencia]]</f>
        <v>0</v>
      </c>
      <c r="AC45" s="166" t="s">
        <v>2041</v>
      </c>
    </row>
    <row r="46" spans="1:29" ht="36" x14ac:dyDescent="0.2">
      <c r="A46" s="294" t="str">
        <f>IF(B46=Elementos_[[#This Row],[Cantidad LANIP]],"LANIP",IF(B46=Elementos_[[#This Row],[Cantidad 
LDV]],"LDV",IF(B46=Elementos_[[#This Row],[Cantidad LNDV]],"LNDV",IF(B46=Elementos_[[#This Row],[GGCA]],"GGCA",IF(B46=Elementos_[[#This Row],[Cantidad LDF]],"LDF",IF(B46=Elementos_[[#This Row],[Cantidad LDF&amp;MR]],"LDF&amp;MR",IF(B46=Elementos_[[#This Row],[Cantidad RED LASE]],"LASE",IF(B46=Elementos_[[#This Row],[Cantidad LANIA]],"LANIA",IF(B46=Elementos_[[#This Row],[Cantidad SPA]],"SPA"," ")))))))))</f>
        <v>LDF</v>
      </c>
      <c r="B4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C46" s="298">
        <v>44</v>
      </c>
      <c r="D46" s="190">
        <v>65</v>
      </c>
      <c r="E46" s="273" t="s">
        <v>2106</v>
      </c>
      <c r="F46" s="201" t="s">
        <v>2105</v>
      </c>
      <c r="G46" s="192" t="s">
        <v>525</v>
      </c>
      <c r="H4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26</v>
      </c>
      <c r="I46" s="194">
        <v>44996</v>
      </c>
      <c r="J46" s="194">
        <f>+Elementos_[[#This Row],[Valor de referencia]]*Elementos_[[#This Row],[Cantidad]]</f>
        <v>1169896</v>
      </c>
      <c r="K46" s="166">
        <v>3</v>
      </c>
      <c r="L46" s="159">
        <f>+Elementos_[[#This Row],[Cantidad LANIP]]*Elementos_[[#This Row],[Valor de referencia]]</f>
        <v>134988</v>
      </c>
      <c r="M46" s="270">
        <v>5</v>
      </c>
      <c r="N46" s="195">
        <f>+Elementos_[[#This Row],[Cantidad 
LDV]]*Elementos_[[#This Row],[Valor de referencia]]</f>
        <v>224980</v>
      </c>
      <c r="O46" s="166"/>
      <c r="P46" s="159">
        <f>+Elementos_[[#This Row],[Cantidad LNDV]]*Elementos_[[#This Row],[Valor de referencia]]</f>
        <v>0</v>
      </c>
      <c r="Q46" s="196"/>
      <c r="R46" s="159">
        <f>+Elementos_[[#This Row],[GGCA]]*Elementos_[[#This Row],[Valor de referencia]]</f>
        <v>0</v>
      </c>
      <c r="S46" s="166">
        <v>14</v>
      </c>
      <c r="T46" s="159">
        <f>+Elementos_[[#This Row],[Cantidad LDF]]*Elementos_[[#This Row],[Valor de referencia]]</f>
        <v>629944</v>
      </c>
      <c r="U46" s="197">
        <v>4</v>
      </c>
      <c r="V46" s="159">
        <f>+Elementos_[[#This Row],[Cantidad LDF&amp;MR]]*Elementos_[[#This Row],[Valor de referencia]]</f>
        <v>179984</v>
      </c>
      <c r="W46" s="166"/>
      <c r="X46" s="159">
        <f>+Elementos_[[#This Row],[Cantidad RED LASE]]*Elementos_[[#This Row],[Valor de referencia]]</f>
        <v>0</v>
      </c>
      <c r="Y46" s="166"/>
      <c r="Z46" s="159">
        <f>+Elementos_[[#This Row],[Cantidad LANIA]]*Elementos_[[#This Row],[Valor de referencia]]</f>
        <v>0</v>
      </c>
      <c r="AA46" s="196"/>
      <c r="AB46" s="159">
        <f>+Elementos_[[#This Row],[Cantidad SPA]]*Elementos_[[#This Row],[Valor de referencia]]</f>
        <v>0</v>
      </c>
      <c r="AC46" s="166" t="s">
        <v>2041</v>
      </c>
    </row>
    <row r="47" spans="1:29" ht="36" x14ac:dyDescent="0.2">
      <c r="A47" s="294" t="str">
        <f>IF(B47=Elementos_[[#This Row],[Cantidad LANIP]],"LANIP",IF(B47=Elementos_[[#This Row],[Cantidad 
LDV]],"LDV",IF(B47=Elementos_[[#This Row],[Cantidad LNDV]],"LNDV",IF(B47=Elementos_[[#This Row],[GGCA]],"GGCA",IF(B47=Elementos_[[#This Row],[Cantidad LDF]],"LDF",IF(B47=Elementos_[[#This Row],[Cantidad LDF&amp;MR]],"LDF&amp;MR",IF(B47=Elementos_[[#This Row],[Cantidad RED LASE]],"LASE",IF(B47=Elementos_[[#This Row],[Cantidad LANIA]],"LANIA",IF(B47=Elementos_[[#This Row],[Cantidad SPA]],"SPA"," ")))))))))</f>
        <v>LDF</v>
      </c>
      <c r="B4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47" s="298">
        <v>45</v>
      </c>
      <c r="D47" s="190">
        <v>66</v>
      </c>
      <c r="E47" s="308" t="s">
        <v>2107</v>
      </c>
      <c r="F47" s="204" t="s">
        <v>2105</v>
      </c>
      <c r="G47" s="202" t="s">
        <v>525</v>
      </c>
      <c r="H4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v>
      </c>
      <c r="I47" s="194">
        <v>74940</v>
      </c>
      <c r="J47" s="194">
        <f>+Elementos_[[#This Row],[Valor de referencia]]*Elementos_[[#This Row],[Cantidad]]</f>
        <v>524580</v>
      </c>
      <c r="K47" s="166">
        <v>3</v>
      </c>
      <c r="L47" s="159">
        <f>+Elementos_[[#This Row],[Cantidad LANIP]]*Elementos_[[#This Row],[Valor de referencia]]</f>
        <v>224820</v>
      </c>
      <c r="M47" s="270"/>
      <c r="N47" s="195">
        <f>+Elementos_[[#This Row],[Cantidad 
LDV]]*Elementos_[[#This Row],[Valor de referencia]]</f>
        <v>0</v>
      </c>
      <c r="O47" s="166"/>
      <c r="P47" s="159">
        <f>+Elementos_[[#This Row],[Cantidad LNDV]]*Elementos_[[#This Row],[Valor de referencia]]</f>
        <v>0</v>
      </c>
      <c r="Q47" s="196"/>
      <c r="R47" s="159">
        <f>+Elementos_[[#This Row],[GGCA]]*Elementos_[[#This Row],[Valor de referencia]]</f>
        <v>0</v>
      </c>
      <c r="S47" s="166">
        <v>4</v>
      </c>
      <c r="T47" s="159">
        <f>+Elementos_[[#This Row],[Cantidad LDF]]*Elementos_[[#This Row],[Valor de referencia]]</f>
        <v>299760</v>
      </c>
      <c r="U47" s="197"/>
      <c r="V47" s="159">
        <f>+Elementos_[[#This Row],[Cantidad LDF&amp;MR]]*Elementos_[[#This Row],[Valor de referencia]]</f>
        <v>0</v>
      </c>
      <c r="W47" s="166"/>
      <c r="X47" s="159">
        <f>+Elementos_[[#This Row],[Cantidad RED LASE]]*Elementos_[[#This Row],[Valor de referencia]]</f>
        <v>0</v>
      </c>
      <c r="Y47" s="166"/>
      <c r="Z47" s="159">
        <f>+Elementos_[[#This Row],[Cantidad LANIA]]*Elementos_[[#This Row],[Valor de referencia]]</f>
        <v>0</v>
      </c>
      <c r="AA47" s="196"/>
      <c r="AB47" s="159">
        <f>+Elementos_[[#This Row],[Cantidad SPA]]*Elementos_[[#This Row],[Valor de referencia]]</f>
        <v>0</v>
      </c>
      <c r="AC47" s="166" t="s">
        <v>2041</v>
      </c>
    </row>
    <row r="48" spans="1:29" ht="24" x14ac:dyDescent="0.2">
      <c r="A48" s="294" t="str">
        <f>IF(B48=Elementos_[[#This Row],[Cantidad LANIP]],"LANIP",IF(B48=Elementos_[[#This Row],[Cantidad 
LDV]],"LDV",IF(B48=Elementos_[[#This Row],[Cantidad LNDV]],"LNDV",IF(B48=Elementos_[[#This Row],[GGCA]],"GGCA",IF(B48=Elementos_[[#This Row],[Cantidad LDF]],"LDF",IF(B48=Elementos_[[#This Row],[Cantidad LDF&amp;MR]],"LDF&amp;MR",IF(B48=Elementos_[[#This Row],[Cantidad RED LASE]],"LASE",IF(B48=Elementos_[[#This Row],[Cantidad LANIA]],"LANIA",IF(B48=Elementos_[[#This Row],[Cantidad SPA]],"SPA"," ")))))))))</f>
        <v>LANIP</v>
      </c>
      <c r="B4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C48" s="298">
        <v>46</v>
      </c>
      <c r="D48" s="190">
        <v>67</v>
      </c>
      <c r="E48" s="273" t="s">
        <v>2108</v>
      </c>
      <c r="F48" s="201" t="s">
        <v>2105</v>
      </c>
      <c r="G48" s="192" t="s">
        <v>525</v>
      </c>
      <c r="H4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I48" s="194">
        <v>96202</v>
      </c>
      <c r="J48" s="194">
        <f>+Elementos_[[#This Row],[Valor de referencia]]*Elementos_[[#This Row],[Cantidad]]</f>
        <v>2405050</v>
      </c>
      <c r="K48" s="166">
        <v>18</v>
      </c>
      <c r="L48" s="159">
        <f>+Elementos_[[#This Row],[Cantidad LANIP]]*Elementos_[[#This Row],[Valor de referencia]]</f>
        <v>1731636</v>
      </c>
      <c r="M48" s="270"/>
      <c r="N48" s="195">
        <f>+Elementos_[[#This Row],[Cantidad 
LDV]]*Elementos_[[#This Row],[Valor de referencia]]</f>
        <v>0</v>
      </c>
      <c r="O48" s="166"/>
      <c r="P48" s="159">
        <f>+Elementos_[[#This Row],[Cantidad LNDV]]*Elementos_[[#This Row],[Valor de referencia]]</f>
        <v>0</v>
      </c>
      <c r="Q48" s="196"/>
      <c r="R48" s="159">
        <f>+Elementos_[[#This Row],[GGCA]]*Elementos_[[#This Row],[Valor de referencia]]</f>
        <v>0</v>
      </c>
      <c r="S48" s="166"/>
      <c r="T48" s="159">
        <f>+Elementos_[[#This Row],[Cantidad LDF]]*Elementos_[[#This Row],[Valor de referencia]]</f>
        <v>0</v>
      </c>
      <c r="U48" s="197">
        <v>3</v>
      </c>
      <c r="V48" s="159">
        <f>+Elementos_[[#This Row],[Cantidad LDF&amp;MR]]*Elementos_[[#This Row],[Valor de referencia]]</f>
        <v>288606</v>
      </c>
      <c r="W48" s="166"/>
      <c r="X48" s="159">
        <f>+Elementos_[[#This Row],[Cantidad RED LASE]]*Elementos_[[#This Row],[Valor de referencia]]</f>
        <v>0</v>
      </c>
      <c r="Y48" s="166">
        <v>4</v>
      </c>
      <c r="Z48" s="159">
        <f>+Elementos_[[#This Row],[Cantidad LANIA]]*Elementos_[[#This Row],[Valor de referencia]]</f>
        <v>384808</v>
      </c>
      <c r="AA48" s="196"/>
      <c r="AB48" s="159">
        <f>+Elementos_[[#This Row],[Cantidad SPA]]*Elementos_[[#This Row],[Valor de referencia]]</f>
        <v>0</v>
      </c>
      <c r="AC48" s="166" t="s">
        <v>2041</v>
      </c>
    </row>
    <row r="49" spans="1:29" ht="24" x14ac:dyDescent="0.2">
      <c r="A49" s="294" t="str">
        <f>IF(B49=Elementos_[[#This Row],[Cantidad LANIP]],"LANIP",IF(B49=Elementos_[[#This Row],[Cantidad 
LDV]],"LDV",IF(B49=Elementos_[[#This Row],[Cantidad LNDV]],"LNDV",IF(B49=Elementos_[[#This Row],[GGCA]],"GGCA",IF(B49=Elementos_[[#This Row],[Cantidad LDF]],"LDF",IF(B49=Elementos_[[#This Row],[Cantidad LDF&amp;MR]],"LDF&amp;MR",IF(B49=Elementos_[[#This Row],[Cantidad RED LASE]],"LASE",IF(B49=Elementos_[[#This Row],[Cantidad LANIA]],"LANIA",IF(B49=Elementos_[[#This Row],[Cantidad SPA]],"SPA"," ")))))))))</f>
        <v>LANIP</v>
      </c>
      <c r="B4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17</v>
      </c>
      <c r="C49" s="298">
        <v>47</v>
      </c>
      <c r="D49" s="190">
        <v>68</v>
      </c>
      <c r="E49" s="273" t="s">
        <v>2109</v>
      </c>
      <c r="F49" s="201" t="s">
        <v>2105</v>
      </c>
      <c r="G49" s="202" t="s">
        <v>525</v>
      </c>
      <c r="H4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43</v>
      </c>
      <c r="I49" s="194">
        <v>74681</v>
      </c>
      <c r="J49" s="194">
        <f>+Elementos_[[#This Row],[Valor de referencia]]*Elementos_[[#This Row],[Cantidad]]</f>
        <v>3211283</v>
      </c>
      <c r="K49" s="166">
        <v>17</v>
      </c>
      <c r="L49" s="159">
        <f>+Elementos_[[#This Row],[Cantidad LANIP]]*Elementos_[[#This Row],[Valor de referencia]]</f>
        <v>1269577</v>
      </c>
      <c r="M49" s="270">
        <v>10</v>
      </c>
      <c r="N49" s="195">
        <f>+Elementos_[[#This Row],[Cantidad 
LDV]]*Elementos_[[#This Row],[Valor de referencia]]</f>
        <v>746810</v>
      </c>
      <c r="O49" s="166"/>
      <c r="P49" s="159">
        <f>+Elementos_[[#This Row],[Cantidad LNDV]]*Elementos_[[#This Row],[Valor de referencia]]</f>
        <v>0</v>
      </c>
      <c r="Q49" s="196"/>
      <c r="R49" s="159">
        <f>+Elementos_[[#This Row],[GGCA]]*Elementos_[[#This Row],[Valor de referencia]]</f>
        <v>0</v>
      </c>
      <c r="S49" s="166">
        <v>3</v>
      </c>
      <c r="T49" s="159">
        <f>+Elementos_[[#This Row],[Cantidad LDF]]*Elementos_[[#This Row],[Valor de referencia]]</f>
        <v>224043</v>
      </c>
      <c r="U49" s="197">
        <v>5</v>
      </c>
      <c r="V49" s="159">
        <f>+Elementos_[[#This Row],[Cantidad LDF&amp;MR]]*Elementos_[[#This Row],[Valor de referencia]]</f>
        <v>373405</v>
      </c>
      <c r="W49" s="166"/>
      <c r="X49" s="159">
        <f>+Elementos_[[#This Row],[Cantidad RED LASE]]*Elementos_[[#This Row],[Valor de referencia]]</f>
        <v>0</v>
      </c>
      <c r="Y49" s="166">
        <v>8</v>
      </c>
      <c r="Z49" s="159">
        <f>+Elementos_[[#This Row],[Cantidad LANIA]]*Elementos_[[#This Row],[Valor de referencia]]</f>
        <v>597448</v>
      </c>
      <c r="AA49" s="196"/>
      <c r="AB49" s="159">
        <f>+Elementos_[[#This Row],[Cantidad SPA]]*Elementos_[[#This Row],[Valor de referencia]]</f>
        <v>0</v>
      </c>
      <c r="AC49" s="166" t="s">
        <v>2041</v>
      </c>
    </row>
    <row r="50" spans="1:29" ht="24" x14ac:dyDescent="0.2">
      <c r="A50" s="294" t="str">
        <f>IF(B50=Elementos_[[#This Row],[Cantidad LANIP]],"LANIP",IF(B50=Elementos_[[#This Row],[Cantidad 
LDV]],"LDV",IF(B50=Elementos_[[#This Row],[Cantidad LNDV]],"LNDV",IF(B50=Elementos_[[#This Row],[GGCA]],"GGCA",IF(B50=Elementos_[[#This Row],[Cantidad LDF]],"LDF",IF(B50=Elementos_[[#This Row],[Cantidad LDF&amp;MR]],"LDF&amp;MR",IF(B50=Elementos_[[#This Row],[Cantidad RED LASE]],"LASE",IF(B50=Elementos_[[#This Row],[Cantidad LANIA]],"LANIA",IF(B50=Elementos_[[#This Row],[Cantidad SPA]],"SPA"," ")))))))))</f>
        <v>LDF</v>
      </c>
      <c r="B5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v>
      </c>
      <c r="C50" s="298">
        <v>48</v>
      </c>
      <c r="D50" s="190">
        <v>69</v>
      </c>
      <c r="E50" s="273" t="s">
        <v>2110</v>
      </c>
      <c r="F50" s="204" t="s">
        <v>624</v>
      </c>
      <c r="G50" s="192" t="s">
        <v>525</v>
      </c>
      <c r="H5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v>
      </c>
      <c r="I50" s="194">
        <v>52241</v>
      </c>
      <c r="J50" s="194">
        <f>+Elementos_[[#This Row],[Valor de referencia]]*Elementos_[[#This Row],[Cantidad]]</f>
        <v>3134460</v>
      </c>
      <c r="K50" s="166"/>
      <c r="L50" s="159">
        <f>+Elementos_[[#This Row],[Cantidad LANIP]]*Elementos_[[#This Row],[Valor de referencia]]</f>
        <v>0</v>
      </c>
      <c r="M50" s="270">
        <v>0</v>
      </c>
      <c r="N50" s="195">
        <f>+Elementos_[[#This Row],[Cantidad 
LDV]]*Elementos_[[#This Row],[Valor de referencia]]</f>
        <v>0</v>
      </c>
      <c r="O50" s="166"/>
      <c r="P50" s="159">
        <f>+Elementos_[[#This Row],[Cantidad LNDV]]*Elementos_[[#This Row],[Valor de referencia]]</f>
        <v>0</v>
      </c>
      <c r="Q50" s="196"/>
      <c r="R50" s="159">
        <f>+Elementos_[[#This Row],[GGCA]]*Elementos_[[#This Row],[Valor de referencia]]</f>
        <v>0</v>
      </c>
      <c r="S50" s="166">
        <v>60</v>
      </c>
      <c r="T50" s="159">
        <f>+Elementos_[[#This Row],[Cantidad LDF]]*Elementos_[[#This Row],[Valor de referencia]]</f>
        <v>3134460</v>
      </c>
      <c r="U50" s="197"/>
      <c r="V50" s="159">
        <f>+Elementos_[[#This Row],[Cantidad LDF&amp;MR]]*Elementos_[[#This Row],[Valor de referencia]]</f>
        <v>0</v>
      </c>
      <c r="W50" s="166"/>
      <c r="X50" s="159">
        <f>+Elementos_[[#This Row],[Cantidad RED LASE]]*Elementos_[[#This Row],[Valor de referencia]]</f>
        <v>0</v>
      </c>
      <c r="Y50" s="166"/>
      <c r="Z50" s="159">
        <f>+Elementos_[[#This Row],[Cantidad LANIA]]*Elementos_[[#This Row],[Valor de referencia]]</f>
        <v>0</v>
      </c>
      <c r="AA50" s="196"/>
      <c r="AB50" s="159">
        <f>+Elementos_[[#This Row],[Cantidad SPA]]*Elementos_[[#This Row],[Valor de referencia]]</f>
        <v>0</v>
      </c>
      <c r="AC50" s="166" t="s">
        <v>2049</v>
      </c>
    </row>
    <row r="51" spans="1:29" ht="12.75" x14ac:dyDescent="0.2">
      <c r="A51" s="294" t="str">
        <f>IF(B51=Elementos_[[#This Row],[Cantidad LANIP]],"LANIP",IF(B51=Elementos_[[#This Row],[Cantidad 
LDV]],"LDV",IF(B51=Elementos_[[#This Row],[Cantidad LNDV]],"LNDV",IF(B51=Elementos_[[#This Row],[GGCA]],"GGCA",IF(B51=Elementos_[[#This Row],[Cantidad LDF]],"LDF",IF(B51=Elementos_[[#This Row],[Cantidad LDF&amp;MR]],"LDF&amp;MR",IF(B51=Elementos_[[#This Row],[Cantidad RED LASE]],"LASE",IF(B51=Elementos_[[#This Row],[Cantidad LANIA]],"LANIA",IF(B51=Elementos_[[#This Row],[Cantidad SPA]],"SPA"," ")))))))))</f>
        <v>LANIP</v>
      </c>
      <c r="B5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51" s="298">
        <v>49</v>
      </c>
      <c r="D51" s="190">
        <v>71</v>
      </c>
      <c r="E51" s="273" t="s">
        <v>2111</v>
      </c>
      <c r="F51" s="201" t="s">
        <v>183</v>
      </c>
      <c r="G51" s="192" t="s">
        <v>525</v>
      </c>
      <c r="H5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51" s="194">
        <v>236987</v>
      </c>
      <c r="J51" s="194">
        <f>+Elementos_[[#This Row],[Valor de referencia]]*Elementos_[[#This Row],[Cantidad]]</f>
        <v>236987</v>
      </c>
      <c r="K51" s="166">
        <v>1</v>
      </c>
      <c r="L51" s="159">
        <f>+Elementos_[[#This Row],[Cantidad LANIP]]*Elementos_[[#This Row],[Valor de referencia]]</f>
        <v>236987</v>
      </c>
      <c r="M51" s="270"/>
      <c r="N51" s="195">
        <f>+Elementos_[[#This Row],[Cantidad 
LDV]]*Elementos_[[#This Row],[Valor de referencia]]</f>
        <v>0</v>
      </c>
      <c r="O51" s="166"/>
      <c r="P51" s="159">
        <f>+Elementos_[[#This Row],[Cantidad LNDV]]*Elementos_[[#This Row],[Valor de referencia]]</f>
        <v>0</v>
      </c>
      <c r="Q51" s="196"/>
      <c r="R51" s="159">
        <f>+Elementos_[[#This Row],[GGCA]]*Elementos_[[#This Row],[Valor de referencia]]</f>
        <v>0</v>
      </c>
      <c r="S51" s="166"/>
      <c r="T51" s="159">
        <f>+Elementos_[[#This Row],[Cantidad LDF]]*Elementos_[[#This Row],[Valor de referencia]]</f>
        <v>0</v>
      </c>
      <c r="U51" s="197"/>
      <c r="V51" s="159">
        <f>+Elementos_[[#This Row],[Cantidad LDF&amp;MR]]*Elementos_[[#This Row],[Valor de referencia]]</f>
        <v>0</v>
      </c>
      <c r="W51" s="166"/>
      <c r="X51" s="159">
        <f>+Elementos_[[#This Row],[Cantidad RED LASE]]*Elementos_[[#This Row],[Valor de referencia]]</f>
        <v>0</v>
      </c>
      <c r="Y51" s="166"/>
      <c r="Z51" s="159">
        <f>+Elementos_[[#This Row],[Cantidad LANIA]]*Elementos_[[#This Row],[Valor de referencia]]</f>
        <v>0</v>
      </c>
      <c r="AA51" s="196"/>
      <c r="AB51" s="159">
        <f>+Elementos_[[#This Row],[Cantidad SPA]]*Elementos_[[#This Row],[Valor de referencia]]</f>
        <v>0</v>
      </c>
      <c r="AC51" s="166" t="s">
        <v>2049</v>
      </c>
    </row>
    <row r="52" spans="1:29" ht="36" x14ac:dyDescent="0.2">
      <c r="A52" s="294" t="str">
        <f>IF(B52=Elementos_[[#This Row],[Cantidad LANIP]],"LANIP",IF(B52=Elementos_[[#This Row],[Cantidad 
LDV]],"LDV",IF(B52=Elementos_[[#This Row],[Cantidad LNDV]],"LNDV",IF(B52=Elementos_[[#This Row],[GGCA]],"GGCA",IF(B52=Elementos_[[#This Row],[Cantidad LDF]],"LDF",IF(B52=Elementos_[[#This Row],[Cantidad LDF&amp;MR]],"LDF&amp;MR",IF(B52=Elementos_[[#This Row],[Cantidad RED LASE]],"LASE",IF(B52=Elementos_[[#This Row],[Cantidad LANIA]],"LANIA",IF(B52=Elementos_[[#This Row],[Cantidad SPA]],"SPA"," ")))))))))</f>
        <v>LDF</v>
      </c>
      <c r="B5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52" s="298">
        <v>50</v>
      </c>
      <c r="D52" s="190">
        <v>72</v>
      </c>
      <c r="E52" s="273" t="s">
        <v>2112</v>
      </c>
      <c r="F52" s="204" t="s">
        <v>2113</v>
      </c>
      <c r="G52" s="192" t="s">
        <v>1726</v>
      </c>
      <c r="H5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52" s="194">
        <v>1185776</v>
      </c>
      <c r="J52" s="194">
        <f>+Elementos_[[#This Row],[Valor de referencia]]*Elementos_[[#This Row],[Cantidad]]</f>
        <v>1185776</v>
      </c>
      <c r="K52" s="166"/>
      <c r="L52" s="159">
        <f>+Elementos_[[#This Row],[Cantidad LANIP]]*Elementos_[[#This Row],[Valor de referencia]]</f>
        <v>0</v>
      </c>
      <c r="M52" s="270">
        <v>0</v>
      </c>
      <c r="N52" s="195">
        <f>+Elementos_[[#This Row],[Cantidad 
LDV]]*Elementos_[[#This Row],[Valor de referencia]]</f>
        <v>0</v>
      </c>
      <c r="O52" s="166"/>
      <c r="P52" s="159">
        <f>+Elementos_[[#This Row],[Cantidad LNDV]]*Elementos_[[#This Row],[Valor de referencia]]</f>
        <v>0</v>
      </c>
      <c r="Q52" s="196"/>
      <c r="R52" s="159">
        <f>+Elementos_[[#This Row],[GGCA]]*Elementos_[[#This Row],[Valor de referencia]]</f>
        <v>0</v>
      </c>
      <c r="S52" s="166">
        <v>1</v>
      </c>
      <c r="T52" s="159">
        <f>+Elementos_[[#This Row],[Cantidad LDF]]*Elementos_[[#This Row],[Valor de referencia]]</f>
        <v>1185776</v>
      </c>
      <c r="U52" s="197"/>
      <c r="V52" s="159">
        <f>+Elementos_[[#This Row],[Cantidad LDF&amp;MR]]*Elementos_[[#This Row],[Valor de referencia]]</f>
        <v>0</v>
      </c>
      <c r="W52" s="166"/>
      <c r="X52" s="159">
        <f>+Elementos_[[#This Row],[Cantidad RED LASE]]*Elementos_[[#This Row],[Valor de referencia]]</f>
        <v>0</v>
      </c>
      <c r="Y52" s="166"/>
      <c r="Z52" s="159">
        <f>+Elementos_[[#This Row],[Cantidad LANIA]]*Elementos_[[#This Row],[Valor de referencia]]</f>
        <v>0</v>
      </c>
      <c r="AA52" s="196"/>
      <c r="AB52" s="159">
        <f>+Elementos_[[#This Row],[Cantidad SPA]]*Elementos_[[#This Row],[Valor de referencia]]</f>
        <v>0</v>
      </c>
      <c r="AC52" s="166" t="s">
        <v>2041</v>
      </c>
    </row>
    <row r="53" spans="1:29" ht="24" x14ac:dyDescent="0.2">
      <c r="A53" s="294" t="str">
        <f>IF(B53=Elementos_[[#This Row],[Cantidad LANIP]],"LANIP",IF(B53=Elementos_[[#This Row],[Cantidad 
LDV]],"LDV",IF(B53=Elementos_[[#This Row],[Cantidad LNDV]],"LNDV",IF(B53=Elementos_[[#This Row],[GGCA]],"GGCA",IF(B53=Elementos_[[#This Row],[Cantidad LDF]],"LDF",IF(B53=Elementos_[[#This Row],[Cantidad LDF&amp;MR]],"LDF&amp;MR",IF(B53=Elementos_[[#This Row],[Cantidad RED LASE]],"LASE",IF(B53=Elementos_[[#This Row],[Cantidad LANIA]],"LANIA",IF(B53=Elementos_[[#This Row],[Cantidad SPA]],"SPA"," ")))))))))</f>
        <v>LANIA</v>
      </c>
      <c r="B5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53" s="298">
        <v>51</v>
      </c>
      <c r="D53" s="190">
        <v>73</v>
      </c>
      <c r="E53" s="273" t="s">
        <v>2114</v>
      </c>
      <c r="F53" s="201" t="s">
        <v>183</v>
      </c>
      <c r="G53" s="202" t="s">
        <v>525</v>
      </c>
      <c r="H5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53" s="194">
        <v>102280</v>
      </c>
      <c r="J53" s="194">
        <f>+Elementos_[[#This Row],[Valor de referencia]]*Elementos_[[#This Row],[Cantidad]]</f>
        <v>1022800</v>
      </c>
      <c r="K53" s="166"/>
      <c r="L53" s="159">
        <f>+Elementos_[[#This Row],[Cantidad LANIP]]*Elementos_[[#This Row],[Valor de referencia]]</f>
        <v>0</v>
      </c>
      <c r="M53" s="270">
        <v>0</v>
      </c>
      <c r="N53" s="195">
        <f>+Elementos_[[#This Row],[Cantidad 
LDV]]*Elementos_[[#This Row],[Valor de referencia]]</f>
        <v>0</v>
      </c>
      <c r="O53" s="166">
        <v>4</v>
      </c>
      <c r="P53" s="159">
        <f>+Elementos_[[#This Row],[Cantidad LNDV]]*Elementos_[[#This Row],[Valor de referencia]]</f>
        <v>409120</v>
      </c>
      <c r="Q53" s="196"/>
      <c r="R53" s="159">
        <f>+Elementos_[[#This Row],[GGCA]]*Elementos_[[#This Row],[Valor de referencia]]</f>
        <v>0</v>
      </c>
      <c r="S53" s="166"/>
      <c r="T53" s="159">
        <f>+Elementos_[[#This Row],[Cantidad LDF]]*Elementos_[[#This Row],[Valor de referencia]]</f>
        <v>0</v>
      </c>
      <c r="U53" s="197">
        <v>1</v>
      </c>
      <c r="V53" s="159">
        <f>+Elementos_[[#This Row],[Cantidad LDF&amp;MR]]*Elementos_[[#This Row],[Valor de referencia]]</f>
        <v>102280</v>
      </c>
      <c r="W53" s="166"/>
      <c r="X53" s="159">
        <f>+Elementos_[[#This Row],[Cantidad RED LASE]]*Elementos_[[#This Row],[Valor de referencia]]</f>
        <v>0</v>
      </c>
      <c r="Y53" s="166">
        <v>5</v>
      </c>
      <c r="Z53" s="159">
        <f>+Elementos_[[#This Row],[Cantidad LANIA]]*Elementos_[[#This Row],[Valor de referencia]]</f>
        <v>511400</v>
      </c>
      <c r="AA53" s="196"/>
      <c r="AB53" s="159">
        <f>+Elementos_[[#This Row],[Cantidad SPA]]*Elementos_[[#This Row],[Valor de referencia]]</f>
        <v>0</v>
      </c>
      <c r="AC53" s="166" t="s">
        <v>2049</v>
      </c>
    </row>
    <row r="54" spans="1:29" ht="36" x14ac:dyDescent="0.2">
      <c r="A54" s="294" t="str">
        <f>IF(B54=Elementos_[[#This Row],[Cantidad LANIP]],"LANIP",IF(B54=Elementos_[[#This Row],[Cantidad 
LDV]],"LDV",IF(B54=Elementos_[[#This Row],[Cantidad LNDV]],"LNDV",IF(B54=Elementos_[[#This Row],[GGCA]],"GGCA",IF(B54=Elementos_[[#This Row],[Cantidad LDF]],"LDF",IF(B54=Elementos_[[#This Row],[Cantidad LDF&amp;MR]],"LDF&amp;MR",IF(B54=Elementos_[[#This Row],[Cantidad RED LASE]],"LASE",IF(B54=Elementos_[[#This Row],[Cantidad LANIA]],"LANIA",IF(B54=Elementos_[[#This Row],[Cantidad SPA]],"SPA"," ")))))))))</f>
        <v>LDV</v>
      </c>
      <c r="B5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C54" s="298">
        <v>52</v>
      </c>
      <c r="D54" s="190">
        <v>74</v>
      </c>
      <c r="E54" s="273" t="s">
        <v>2115</v>
      </c>
      <c r="F54" s="201" t="s">
        <v>2116</v>
      </c>
      <c r="G54" s="192" t="s">
        <v>2117</v>
      </c>
      <c r="H5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44</v>
      </c>
      <c r="I54" s="194">
        <v>825055</v>
      </c>
      <c r="J54" s="194">
        <f>+Elementos_[[#This Row],[Valor de referencia]]*Elementos_[[#This Row],[Cantidad]]</f>
        <v>36302420</v>
      </c>
      <c r="K54" s="166">
        <v>2</v>
      </c>
      <c r="L54" s="159">
        <f>+Elementos_[[#This Row],[Cantidad LANIP]]*Elementos_[[#This Row],[Valor de referencia]]</f>
        <v>1650110</v>
      </c>
      <c r="M54" s="270">
        <v>25</v>
      </c>
      <c r="N54" s="195">
        <f>+Elementos_[[#This Row],[Cantidad 
LDV]]*Elementos_[[#This Row],[Valor de referencia]]</f>
        <v>20626375</v>
      </c>
      <c r="O54" s="166">
        <v>3</v>
      </c>
      <c r="P54" s="159">
        <f>+Elementos_[[#This Row],[Cantidad LNDV]]*Elementos_[[#This Row],[Valor de referencia]]</f>
        <v>2475165</v>
      </c>
      <c r="Q54" s="196"/>
      <c r="R54" s="159">
        <f>+Elementos_[[#This Row],[GGCA]]*Elementos_[[#This Row],[Valor de referencia]]</f>
        <v>0</v>
      </c>
      <c r="S54" s="166">
        <v>5</v>
      </c>
      <c r="T54" s="159">
        <f>+Elementos_[[#This Row],[Cantidad LDF]]*Elementos_[[#This Row],[Valor de referencia]]</f>
        <v>4125275</v>
      </c>
      <c r="U54" s="197">
        <v>9</v>
      </c>
      <c r="V54" s="159">
        <f>+Elementos_[[#This Row],[Cantidad LDF&amp;MR]]*Elementos_[[#This Row],[Valor de referencia]]</f>
        <v>7425495</v>
      </c>
      <c r="W54" s="166"/>
      <c r="X54" s="159">
        <f>+Elementos_[[#This Row],[Cantidad RED LASE]]*Elementos_[[#This Row],[Valor de referencia]]</f>
        <v>0</v>
      </c>
      <c r="Y54" s="166"/>
      <c r="Z54" s="159">
        <f>+Elementos_[[#This Row],[Cantidad LANIA]]*Elementos_[[#This Row],[Valor de referencia]]</f>
        <v>0</v>
      </c>
      <c r="AA54" s="196"/>
      <c r="AB54" s="159">
        <f>+Elementos_[[#This Row],[Cantidad SPA]]*Elementos_[[#This Row],[Valor de referencia]]</f>
        <v>0</v>
      </c>
      <c r="AC54" s="166" t="s">
        <v>2041</v>
      </c>
    </row>
    <row r="55" spans="1:29" ht="36" x14ac:dyDescent="0.2">
      <c r="A55" s="294" t="str">
        <f>IF(B55=Elementos_[[#This Row],[Cantidad LANIP]],"LANIP",IF(B55=Elementos_[[#This Row],[Cantidad 
LDV]],"LDV",IF(B55=Elementos_[[#This Row],[Cantidad LNDV]],"LNDV",IF(B55=Elementos_[[#This Row],[GGCA]],"GGCA",IF(B55=Elementos_[[#This Row],[Cantidad LDF]],"LDF",IF(B55=Elementos_[[#This Row],[Cantidad LDF&amp;MR]],"LDF&amp;MR",IF(B55=Elementos_[[#This Row],[Cantidad RED LASE]],"LASE",IF(B55=Elementos_[[#This Row],[Cantidad LANIA]],"LANIA",IF(B55=Elementos_[[#This Row],[Cantidad SPA]],"SPA"," ")))))))))</f>
        <v>LANIP</v>
      </c>
      <c r="B5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55" s="298">
        <v>53</v>
      </c>
      <c r="D55" s="190">
        <v>75</v>
      </c>
      <c r="E55" s="273" t="s">
        <v>2118</v>
      </c>
      <c r="F55" s="201" t="s">
        <v>2119</v>
      </c>
      <c r="G55" s="192" t="s">
        <v>2117</v>
      </c>
      <c r="H5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I55" s="194">
        <v>911180</v>
      </c>
      <c r="J55" s="194">
        <f>+Elementos_[[#This Row],[Valor de referencia]]*Elementos_[[#This Row],[Cantidad]]</f>
        <v>22779500</v>
      </c>
      <c r="K55" s="166">
        <v>12</v>
      </c>
      <c r="L55" s="159">
        <f>+Elementos_[[#This Row],[Cantidad LANIP]]*Elementos_[[#This Row],[Valor de referencia]]</f>
        <v>10934160</v>
      </c>
      <c r="M55" s="270"/>
      <c r="N55" s="195">
        <f>+Elementos_[[#This Row],[Cantidad 
LDV]]*Elementos_[[#This Row],[Valor de referencia]]</f>
        <v>0</v>
      </c>
      <c r="O55" s="166">
        <v>3</v>
      </c>
      <c r="P55" s="159">
        <f>+Elementos_[[#This Row],[Cantidad LNDV]]*Elementos_[[#This Row],[Valor de referencia]]</f>
        <v>2733540</v>
      </c>
      <c r="Q55" s="196"/>
      <c r="R55" s="159">
        <f>+Elementos_[[#This Row],[GGCA]]*Elementos_[[#This Row],[Valor de referencia]]</f>
        <v>0</v>
      </c>
      <c r="S55" s="166">
        <v>5</v>
      </c>
      <c r="T55" s="159">
        <f>+Elementos_[[#This Row],[Cantidad LDF]]*Elementos_[[#This Row],[Valor de referencia]]</f>
        <v>4555900</v>
      </c>
      <c r="U55" s="197">
        <v>5</v>
      </c>
      <c r="V55" s="159">
        <f>+Elementos_[[#This Row],[Cantidad LDF&amp;MR]]*Elementos_[[#This Row],[Valor de referencia]]</f>
        <v>4555900</v>
      </c>
      <c r="W55" s="166"/>
      <c r="X55" s="159">
        <f>+Elementos_[[#This Row],[Cantidad RED LASE]]*Elementos_[[#This Row],[Valor de referencia]]</f>
        <v>0</v>
      </c>
      <c r="Y55" s="166"/>
      <c r="Z55" s="159">
        <f>+Elementos_[[#This Row],[Cantidad LANIA]]*Elementos_[[#This Row],[Valor de referencia]]</f>
        <v>0</v>
      </c>
      <c r="AA55" s="196"/>
      <c r="AB55" s="159">
        <f>+Elementos_[[#This Row],[Cantidad SPA]]*Elementos_[[#This Row],[Valor de referencia]]</f>
        <v>0</v>
      </c>
      <c r="AC55" s="166" t="s">
        <v>2041</v>
      </c>
    </row>
    <row r="56" spans="1:29" ht="36" x14ac:dyDescent="0.2">
      <c r="A56" s="294" t="str">
        <f>IF(B56=Elementos_[[#This Row],[Cantidad LANIP]],"LANIP",IF(B56=Elementos_[[#This Row],[Cantidad 
LDV]],"LDV",IF(B56=Elementos_[[#This Row],[Cantidad LNDV]],"LNDV",IF(B56=Elementos_[[#This Row],[GGCA]],"GGCA",IF(B56=Elementos_[[#This Row],[Cantidad LDF]],"LDF",IF(B56=Elementos_[[#This Row],[Cantidad LDF&amp;MR]],"LDF&amp;MR",IF(B56=Elementos_[[#This Row],[Cantidad RED LASE]],"LASE",IF(B56=Elementos_[[#This Row],[Cantidad LANIA]],"LANIA",IF(B56=Elementos_[[#This Row],[Cantidad SPA]],"SPA"," ")))))))))</f>
        <v>LANIP</v>
      </c>
      <c r="B5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56" s="298">
        <v>54</v>
      </c>
      <c r="D56" s="190">
        <v>76</v>
      </c>
      <c r="E56" s="273" t="s">
        <v>2120</v>
      </c>
      <c r="F56" s="201" t="s">
        <v>2121</v>
      </c>
      <c r="G56" s="192" t="s">
        <v>2047</v>
      </c>
      <c r="H5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56" s="194">
        <v>2567340</v>
      </c>
      <c r="J56" s="194">
        <f>+Elementos_[[#This Row],[Valor de referencia]]*Elementos_[[#This Row],[Cantidad]]</f>
        <v>10269360</v>
      </c>
      <c r="K56" s="166">
        <v>2</v>
      </c>
      <c r="L56" s="159">
        <f>+Elementos_[[#This Row],[Cantidad LANIP]]*Elementos_[[#This Row],[Valor de referencia]]</f>
        <v>5134680</v>
      </c>
      <c r="M56" s="270"/>
      <c r="N56" s="195">
        <f>+Elementos_[[#This Row],[Cantidad 
LDV]]*Elementos_[[#This Row],[Valor de referencia]]</f>
        <v>0</v>
      </c>
      <c r="O56" s="166"/>
      <c r="P56" s="159">
        <f>+Elementos_[[#This Row],[Cantidad LNDV]]*Elementos_[[#This Row],[Valor de referencia]]</f>
        <v>0</v>
      </c>
      <c r="Q56" s="196"/>
      <c r="R56" s="159">
        <f>+Elementos_[[#This Row],[GGCA]]*Elementos_[[#This Row],[Valor de referencia]]</f>
        <v>0</v>
      </c>
      <c r="S56" s="166">
        <v>1</v>
      </c>
      <c r="T56" s="159">
        <f>+Elementos_[[#This Row],[Cantidad LDF]]*Elementos_[[#This Row],[Valor de referencia]]</f>
        <v>2567340</v>
      </c>
      <c r="U56" s="197">
        <v>1</v>
      </c>
      <c r="V56" s="159">
        <f>+Elementos_[[#This Row],[Cantidad LDF&amp;MR]]*Elementos_[[#This Row],[Valor de referencia]]</f>
        <v>2567340</v>
      </c>
      <c r="W56" s="166"/>
      <c r="X56" s="159">
        <f>+Elementos_[[#This Row],[Cantidad RED LASE]]*Elementos_[[#This Row],[Valor de referencia]]</f>
        <v>0</v>
      </c>
      <c r="Y56" s="166"/>
      <c r="Z56" s="159">
        <f>+Elementos_[[#This Row],[Cantidad LANIA]]*Elementos_[[#This Row],[Valor de referencia]]</f>
        <v>0</v>
      </c>
      <c r="AA56" s="196"/>
      <c r="AB56" s="159">
        <f>+Elementos_[[#This Row],[Cantidad SPA]]*Elementos_[[#This Row],[Valor de referencia]]</f>
        <v>0</v>
      </c>
      <c r="AC56" s="166" t="s">
        <v>2041</v>
      </c>
    </row>
    <row r="57" spans="1:29" ht="36" x14ac:dyDescent="0.2">
      <c r="A57" s="294" t="str">
        <f>IF(B57=Elementos_[[#This Row],[Cantidad LANIP]],"LANIP",IF(B57=Elementos_[[#This Row],[Cantidad 
LDV]],"LDV",IF(B57=Elementos_[[#This Row],[Cantidad LNDV]],"LNDV",IF(B57=Elementos_[[#This Row],[GGCA]],"GGCA",IF(B57=Elementos_[[#This Row],[Cantidad LDF]],"LDF",IF(B57=Elementos_[[#This Row],[Cantidad LDF&amp;MR]],"LDF&amp;MR",IF(B57=Elementos_[[#This Row],[Cantidad RED LASE]],"LASE",IF(B57=Elementos_[[#This Row],[Cantidad LANIA]],"LANIA",IF(B57=Elementos_[[#This Row],[Cantidad SPA]],"SPA"," ")))))))))</f>
        <v>LDV</v>
      </c>
      <c r="B5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57" s="298">
        <v>55</v>
      </c>
      <c r="D57" s="190">
        <v>77</v>
      </c>
      <c r="E57" s="273" t="s">
        <v>2122</v>
      </c>
      <c r="F57" s="201" t="s">
        <v>2123</v>
      </c>
      <c r="G57" s="192" t="s">
        <v>2117</v>
      </c>
      <c r="H5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56</v>
      </c>
      <c r="I57" s="194">
        <v>1508591</v>
      </c>
      <c r="J57" s="194">
        <f>+Elementos_[[#This Row],[Valor de referencia]]*Elementos_[[#This Row],[Cantidad]]</f>
        <v>84481096</v>
      </c>
      <c r="K57" s="166">
        <v>10</v>
      </c>
      <c r="L57" s="159">
        <f>+Elementos_[[#This Row],[Cantidad LANIP]]*Elementos_[[#This Row],[Valor de referencia]]</f>
        <v>15085910</v>
      </c>
      <c r="M57" s="270">
        <v>30</v>
      </c>
      <c r="N57" s="195">
        <f>+Elementos_[[#This Row],[Cantidad 
LDV]]*Elementos_[[#This Row],[Valor de referencia]]</f>
        <v>45257730</v>
      </c>
      <c r="O57" s="166"/>
      <c r="P57" s="159">
        <f>+Elementos_[[#This Row],[Cantidad LNDV]]*Elementos_[[#This Row],[Valor de referencia]]</f>
        <v>0</v>
      </c>
      <c r="Q57" s="196"/>
      <c r="R57" s="159">
        <f>+Elementos_[[#This Row],[GGCA]]*Elementos_[[#This Row],[Valor de referencia]]</f>
        <v>0</v>
      </c>
      <c r="S57" s="166">
        <v>3</v>
      </c>
      <c r="T57" s="159">
        <f>+Elementos_[[#This Row],[Cantidad LDF]]*Elementos_[[#This Row],[Valor de referencia]]</f>
        <v>4525773</v>
      </c>
      <c r="U57" s="197">
        <v>3</v>
      </c>
      <c r="V57" s="159">
        <f>+Elementos_[[#This Row],[Cantidad LDF&amp;MR]]*Elementos_[[#This Row],[Valor de referencia]]</f>
        <v>4525773</v>
      </c>
      <c r="W57" s="166"/>
      <c r="X57" s="159">
        <f>+Elementos_[[#This Row],[Cantidad RED LASE]]*Elementos_[[#This Row],[Valor de referencia]]</f>
        <v>0</v>
      </c>
      <c r="Y57" s="166">
        <v>10</v>
      </c>
      <c r="Z57" s="159">
        <f>+Elementos_[[#This Row],[Cantidad LANIA]]*Elementos_[[#This Row],[Valor de referencia]]</f>
        <v>15085910</v>
      </c>
      <c r="AA57" s="196"/>
      <c r="AB57" s="159">
        <f>+Elementos_[[#This Row],[Cantidad SPA]]*Elementos_[[#This Row],[Valor de referencia]]</f>
        <v>0</v>
      </c>
      <c r="AC57" s="166" t="s">
        <v>2041</v>
      </c>
    </row>
    <row r="58" spans="1:29" ht="24" x14ac:dyDescent="0.2">
      <c r="A58" s="294" t="str">
        <f>IF(B58=Elementos_[[#This Row],[Cantidad LANIP]],"LANIP",IF(B58=Elementos_[[#This Row],[Cantidad 
LDV]],"LDV",IF(B58=Elementos_[[#This Row],[Cantidad LNDV]],"LNDV",IF(B58=Elementos_[[#This Row],[GGCA]],"GGCA",IF(B58=Elementos_[[#This Row],[Cantidad LDF]],"LDF",IF(B58=Elementos_[[#This Row],[Cantidad LDF&amp;MR]],"LDF&amp;MR",IF(B58=Elementos_[[#This Row],[Cantidad RED LASE]],"LASE",IF(B58=Elementos_[[#This Row],[Cantidad LANIA]],"LANIA",IF(B58=Elementos_[[#This Row],[Cantidad SPA]],"SPA"," ")))))))))</f>
        <v>SPA</v>
      </c>
      <c r="B5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120</v>
      </c>
      <c r="C58" s="298">
        <v>56</v>
      </c>
      <c r="D58" s="190">
        <v>78</v>
      </c>
      <c r="E58" s="299" t="s">
        <v>2124</v>
      </c>
      <c r="F58" s="201" t="s">
        <v>2125</v>
      </c>
      <c r="G58" s="192" t="s">
        <v>2054</v>
      </c>
      <c r="H5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155</v>
      </c>
      <c r="I58" s="194">
        <v>83326</v>
      </c>
      <c r="J58" s="194">
        <f>+Elementos_[[#This Row],[Valor de referencia]]*Elementos_[[#This Row],[Cantidad]]</f>
        <v>12915530</v>
      </c>
      <c r="K58" s="166"/>
      <c r="L58" s="159">
        <f>+Elementos_[[#This Row],[Cantidad LANIP]]*Elementos_[[#This Row],[Valor de referencia]]</f>
        <v>0</v>
      </c>
      <c r="M58" s="270">
        <v>0</v>
      </c>
      <c r="N58" s="195">
        <f>+Elementos_[[#This Row],[Cantidad 
LDV]]*Elementos_[[#This Row],[Valor de referencia]]</f>
        <v>0</v>
      </c>
      <c r="O58" s="166">
        <v>1</v>
      </c>
      <c r="P58" s="159">
        <f>+Elementos_[[#This Row],[Cantidad LNDV]]*Elementos_[[#This Row],[Valor de referencia]]</f>
        <v>83326</v>
      </c>
      <c r="Q58" s="196"/>
      <c r="R58" s="159">
        <f>+Elementos_[[#This Row],[GGCA]]*Elementos_[[#This Row],[Valor de referencia]]</f>
        <v>0</v>
      </c>
      <c r="S58" s="166">
        <v>20</v>
      </c>
      <c r="T58" s="194">
        <f>+Elementos_[[#This Row],[Cantidad LDF]]*Elementos_[[#This Row],[Valor de referencia]]</f>
        <v>1666520</v>
      </c>
      <c r="U58" s="197">
        <v>2</v>
      </c>
      <c r="V58" s="194">
        <f>+Elementos_[[#This Row],[Cantidad LDF&amp;MR]]*Elementos_[[#This Row],[Valor de referencia]]</f>
        <v>166652</v>
      </c>
      <c r="W58" s="166"/>
      <c r="X58" s="194">
        <f>+Elementos_[[#This Row],[Cantidad RED LASE]]*Elementos_[[#This Row],[Valor de referencia]]</f>
        <v>0</v>
      </c>
      <c r="Y58" s="166">
        <v>12</v>
      </c>
      <c r="Z58" s="194">
        <f>+Elementos_[[#This Row],[Cantidad LANIA]]*Elementos_[[#This Row],[Valor de referencia]]</f>
        <v>999912</v>
      </c>
      <c r="AA58" s="196">
        <v>120</v>
      </c>
      <c r="AB58" s="194">
        <f>+Elementos_[[#This Row],[Cantidad SPA]]*Elementos_[[#This Row],[Valor de referencia]]</f>
        <v>9999120</v>
      </c>
      <c r="AC58" s="166" t="s">
        <v>2049</v>
      </c>
    </row>
    <row r="59" spans="1:29" ht="12.75" x14ac:dyDescent="0.2">
      <c r="A59" s="294" t="str">
        <f>IF(B59=Elementos_[[#This Row],[Cantidad LANIP]],"LANIP",IF(B59=Elementos_[[#This Row],[Cantidad 
LDV]],"LDV",IF(B59=Elementos_[[#This Row],[Cantidad LNDV]],"LNDV",IF(B59=Elementos_[[#This Row],[GGCA]],"GGCA",IF(B59=Elementos_[[#This Row],[Cantidad LDF]],"LDF",IF(B59=Elementos_[[#This Row],[Cantidad LDF&amp;MR]],"LDF&amp;MR",IF(B59=Elementos_[[#This Row],[Cantidad RED LASE]],"LASE",IF(B59=Elementos_[[#This Row],[Cantidad LANIA]],"LANIA",IF(B59=Elementos_[[#This Row],[Cantidad SPA]],"SPA"," ")))))))))</f>
        <v>LDF</v>
      </c>
      <c r="B5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59" s="298">
        <v>57</v>
      </c>
      <c r="D59" s="190">
        <v>81</v>
      </c>
      <c r="E59" s="412" t="s">
        <v>2126</v>
      </c>
      <c r="F59" s="200" t="s">
        <v>183</v>
      </c>
      <c r="G59" s="192" t="s">
        <v>2054</v>
      </c>
      <c r="H5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59" s="194">
        <v>14042</v>
      </c>
      <c r="J59" s="194">
        <f>+Elementos_[[#This Row],[Valor de referencia]]*Elementos_[[#This Row],[Cantidad]]</f>
        <v>14042</v>
      </c>
      <c r="K59" s="166"/>
      <c r="L59" s="159">
        <f>+Elementos_[[#This Row],[Cantidad LANIP]]*Elementos_[[#This Row],[Valor de referencia]]</f>
        <v>0</v>
      </c>
      <c r="M59" s="270">
        <v>0</v>
      </c>
      <c r="N59" s="195">
        <f>+Elementos_[[#This Row],[Cantidad 
LDV]]*Elementos_[[#This Row],[Valor de referencia]]</f>
        <v>0</v>
      </c>
      <c r="O59" s="166"/>
      <c r="P59" s="159">
        <f>+Elementos_[[#This Row],[Cantidad LNDV]]*Elementos_[[#This Row],[Valor de referencia]]</f>
        <v>0</v>
      </c>
      <c r="Q59" s="196"/>
      <c r="R59" s="159">
        <f>+Elementos_[[#This Row],[GGCA]]*Elementos_[[#This Row],[Valor de referencia]]</f>
        <v>0</v>
      </c>
      <c r="S59" s="166">
        <v>1</v>
      </c>
      <c r="T59" s="159">
        <f>+Elementos_[[#This Row],[Cantidad LDF]]*Elementos_[[#This Row],[Valor de referencia]]</f>
        <v>14042</v>
      </c>
      <c r="U59" s="197"/>
      <c r="V59" s="159">
        <f>+Elementos_[[#This Row],[Cantidad LDF&amp;MR]]*Elementos_[[#This Row],[Valor de referencia]]</f>
        <v>0</v>
      </c>
      <c r="W59" s="166"/>
      <c r="X59" s="159">
        <f>+Elementos_[[#This Row],[Cantidad RED LASE]]*Elementos_[[#This Row],[Valor de referencia]]</f>
        <v>0</v>
      </c>
      <c r="Y59" s="166"/>
      <c r="Z59" s="159">
        <f>+Elementos_[[#This Row],[Cantidad LANIA]]*Elementos_[[#This Row],[Valor de referencia]]</f>
        <v>0</v>
      </c>
      <c r="AA59" s="196"/>
      <c r="AB59" s="159">
        <f>+Elementos_[[#This Row],[Cantidad SPA]]*Elementos_[[#This Row],[Valor de referencia]]</f>
        <v>0</v>
      </c>
      <c r="AC59" s="166" t="s">
        <v>2049</v>
      </c>
    </row>
    <row r="60" spans="1:29" ht="36" x14ac:dyDescent="0.2">
      <c r="A60" s="294" t="str">
        <f>IF(B60=Elementos_[[#This Row],[Cantidad LANIP]],"LANIP",IF(B60=Elementos_[[#This Row],[Cantidad 
LDV]],"LDV",IF(B60=Elementos_[[#This Row],[Cantidad LNDV]],"LNDV",IF(B60=Elementos_[[#This Row],[GGCA]],"GGCA",IF(B60=Elementos_[[#This Row],[Cantidad LDF]],"LDF",IF(B60=Elementos_[[#This Row],[Cantidad LDF&amp;MR]],"LDF&amp;MR",IF(B60=Elementos_[[#This Row],[Cantidad RED LASE]],"LASE",IF(B60=Elementos_[[#This Row],[Cantidad LANIA]],"LANIA",IF(B60=Elementos_[[#This Row],[Cantidad SPA]],"SPA"," ")))))))))</f>
        <v>LNDV</v>
      </c>
      <c r="B6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60" s="298">
        <v>58</v>
      </c>
      <c r="D60" s="190">
        <v>83</v>
      </c>
      <c r="E60" s="273" t="s">
        <v>2127</v>
      </c>
      <c r="F60" s="201" t="s">
        <v>2128</v>
      </c>
      <c r="G60" s="192" t="s">
        <v>2081</v>
      </c>
      <c r="H6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60" s="194">
        <v>943177</v>
      </c>
      <c r="J60" s="194">
        <f>+Elementos_[[#This Row],[Valor de referencia]]*Elementos_[[#This Row],[Cantidad]]</f>
        <v>943177</v>
      </c>
      <c r="K60" s="166"/>
      <c r="L60" s="159">
        <f>+Elementos_[[#This Row],[Cantidad LANIP]]*Elementos_[[#This Row],[Valor de referencia]]</f>
        <v>0</v>
      </c>
      <c r="M60" s="270">
        <v>0</v>
      </c>
      <c r="N60" s="195">
        <f>+Elementos_[[#This Row],[Cantidad 
LDV]]*Elementos_[[#This Row],[Valor de referencia]]</f>
        <v>0</v>
      </c>
      <c r="O60" s="166">
        <v>1</v>
      </c>
      <c r="P60" s="159">
        <f>+Elementos_[[#This Row],[Cantidad LNDV]]*Elementos_[[#This Row],[Valor de referencia]]</f>
        <v>943177</v>
      </c>
      <c r="Q60" s="196"/>
      <c r="R60" s="159">
        <f>+Elementos_[[#This Row],[GGCA]]*Elementos_[[#This Row],[Valor de referencia]]</f>
        <v>0</v>
      </c>
      <c r="S60" s="166"/>
      <c r="T60" s="159">
        <f>+Elementos_[[#This Row],[Cantidad LDF]]*Elementos_[[#This Row],[Valor de referencia]]</f>
        <v>0</v>
      </c>
      <c r="U60" s="197"/>
      <c r="V60" s="159">
        <f>+Elementos_[[#This Row],[Cantidad LDF&amp;MR]]*Elementos_[[#This Row],[Valor de referencia]]</f>
        <v>0</v>
      </c>
      <c r="W60" s="166"/>
      <c r="X60" s="159">
        <f>+Elementos_[[#This Row],[Cantidad RED LASE]]*Elementos_[[#This Row],[Valor de referencia]]</f>
        <v>0</v>
      </c>
      <c r="Y60" s="166"/>
      <c r="Z60" s="159">
        <f>+Elementos_[[#This Row],[Cantidad LANIA]]*Elementos_[[#This Row],[Valor de referencia]]</f>
        <v>0</v>
      </c>
      <c r="AA60" s="196"/>
      <c r="AB60" s="159">
        <f>+Elementos_[[#This Row],[Cantidad SPA]]*Elementos_[[#This Row],[Valor de referencia]]</f>
        <v>0</v>
      </c>
      <c r="AC60" s="166" t="s">
        <v>2041</v>
      </c>
    </row>
    <row r="61" spans="1:29" ht="36" x14ac:dyDescent="0.2">
      <c r="A61" s="294" t="str">
        <f>IF(B61=Elementos_[[#This Row],[Cantidad LANIP]],"LANIP",IF(B61=Elementos_[[#This Row],[Cantidad 
LDV]],"LDV",IF(B61=Elementos_[[#This Row],[Cantidad LNDV]],"LNDV",IF(B61=Elementos_[[#This Row],[GGCA]],"GGCA",IF(B61=Elementos_[[#This Row],[Cantidad LDF]],"LDF",IF(B61=Elementos_[[#This Row],[Cantidad LDF&amp;MR]],"LDF&amp;MR",IF(B61=Elementos_[[#This Row],[Cantidad RED LASE]],"LASE",IF(B61=Elementos_[[#This Row],[Cantidad LANIA]],"LANIA",IF(B61=Elementos_[[#This Row],[Cantidad SPA]],"SPA"," ")))))))))</f>
        <v>LNDV</v>
      </c>
      <c r="B6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61" s="298">
        <v>59</v>
      </c>
      <c r="D61" s="190">
        <v>84</v>
      </c>
      <c r="E61" s="273" t="s">
        <v>2129</v>
      </c>
      <c r="F61" s="201" t="s">
        <v>2130</v>
      </c>
      <c r="G61" s="192" t="s">
        <v>2081</v>
      </c>
      <c r="H6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61" s="194">
        <v>1963932</v>
      </c>
      <c r="J61" s="194">
        <f>+Elementos_[[#This Row],[Valor de referencia]]*Elementos_[[#This Row],[Cantidad]]</f>
        <v>1963932</v>
      </c>
      <c r="K61" s="166"/>
      <c r="L61" s="159">
        <f>+Elementos_[[#This Row],[Cantidad LANIP]]*Elementos_[[#This Row],[Valor de referencia]]</f>
        <v>0</v>
      </c>
      <c r="M61" s="270">
        <v>0</v>
      </c>
      <c r="N61" s="195">
        <f>+Elementos_[[#This Row],[Cantidad 
LDV]]*Elementos_[[#This Row],[Valor de referencia]]</f>
        <v>0</v>
      </c>
      <c r="O61" s="166">
        <v>1</v>
      </c>
      <c r="P61" s="159">
        <f>+Elementos_[[#This Row],[Cantidad LNDV]]*Elementos_[[#This Row],[Valor de referencia]]</f>
        <v>1963932</v>
      </c>
      <c r="Q61" s="196"/>
      <c r="R61" s="159">
        <f>+Elementos_[[#This Row],[GGCA]]*Elementos_[[#This Row],[Valor de referencia]]</f>
        <v>0</v>
      </c>
      <c r="S61" s="166"/>
      <c r="T61" s="159">
        <f>+Elementos_[[#This Row],[Cantidad LDF]]*Elementos_[[#This Row],[Valor de referencia]]</f>
        <v>0</v>
      </c>
      <c r="U61" s="197"/>
      <c r="V61" s="159">
        <f>+Elementos_[[#This Row],[Cantidad LDF&amp;MR]]*Elementos_[[#This Row],[Valor de referencia]]</f>
        <v>0</v>
      </c>
      <c r="W61" s="166"/>
      <c r="X61" s="159">
        <f>+Elementos_[[#This Row],[Cantidad RED LASE]]*Elementos_[[#This Row],[Valor de referencia]]</f>
        <v>0</v>
      </c>
      <c r="Y61" s="166"/>
      <c r="Z61" s="159">
        <f>+Elementos_[[#This Row],[Cantidad LANIA]]*Elementos_[[#This Row],[Valor de referencia]]</f>
        <v>0</v>
      </c>
      <c r="AA61" s="196"/>
      <c r="AB61" s="159">
        <f>+Elementos_[[#This Row],[Cantidad SPA]]*Elementos_[[#This Row],[Valor de referencia]]</f>
        <v>0</v>
      </c>
      <c r="AC61" s="166" t="s">
        <v>2041</v>
      </c>
    </row>
    <row r="62" spans="1:29" ht="36" x14ac:dyDescent="0.2">
      <c r="A62" s="294" t="str">
        <f>IF(B62=Elementos_[[#This Row],[Cantidad LANIP]],"LANIP",IF(B62=Elementos_[[#This Row],[Cantidad 
LDV]],"LDV",IF(B62=Elementos_[[#This Row],[Cantidad LNDV]],"LNDV",IF(B62=Elementos_[[#This Row],[GGCA]],"GGCA",IF(B62=Elementos_[[#This Row],[Cantidad LDF]],"LDF",IF(B62=Elementos_[[#This Row],[Cantidad LDF&amp;MR]],"LDF&amp;MR",IF(B62=Elementos_[[#This Row],[Cantidad RED LASE]],"LASE",IF(B62=Elementos_[[#This Row],[Cantidad LANIA]],"LANIA",IF(B62=Elementos_[[#This Row],[Cantidad SPA]],"SPA"," ")))))))))</f>
        <v>LANIP</v>
      </c>
      <c r="B6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62" s="298">
        <v>60</v>
      </c>
      <c r="D62" s="190">
        <v>85</v>
      </c>
      <c r="E62" s="235" t="s">
        <v>2131</v>
      </c>
      <c r="F62" s="209" t="s">
        <v>2132</v>
      </c>
      <c r="G62" s="192" t="s">
        <v>2133</v>
      </c>
      <c r="H6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62" s="194">
        <v>1550178</v>
      </c>
      <c r="J62" s="194">
        <f>+Elementos_[[#This Row],[Valor de referencia]]*Elementos_[[#This Row],[Cantidad]]</f>
        <v>3100356</v>
      </c>
      <c r="K62" s="166">
        <v>2</v>
      </c>
      <c r="L62" s="159">
        <f>+Elementos_[[#This Row],[Cantidad LANIP]]*Elementos_[[#This Row],[Valor de referencia]]</f>
        <v>3100356</v>
      </c>
      <c r="M62" s="270">
        <v>0</v>
      </c>
      <c r="N62" s="195">
        <f>+Elementos_[[#This Row],[Cantidad 
LDV]]*Elementos_[[#This Row],[Valor de referencia]]</f>
        <v>0</v>
      </c>
      <c r="O62" s="166"/>
      <c r="P62" s="159">
        <f>+Elementos_[[#This Row],[Cantidad LNDV]]*Elementos_[[#This Row],[Valor de referencia]]</f>
        <v>0</v>
      </c>
      <c r="Q62" s="196"/>
      <c r="R62" s="159">
        <f>+Elementos_[[#This Row],[GGCA]]*Elementos_[[#This Row],[Valor de referencia]]</f>
        <v>0</v>
      </c>
      <c r="S62" s="166"/>
      <c r="T62" s="159">
        <f>+Elementos_[[#This Row],[Cantidad LDF]]*Elementos_[[#This Row],[Valor de referencia]]</f>
        <v>0</v>
      </c>
      <c r="U62" s="197"/>
      <c r="V62" s="159">
        <f>+Elementos_[[#This Row],[Cantidad LDF&amp;MR]]*Elementos_[[#This Row],[Valor de referencia]]</f>
        <v>0</v>
      </c>
      <c r="W62" s="166"/>
      <c r="X62" s="159">
        <f>+Elementos_[[#This Row],[Cantidad RED LASE]]*Elementos_[[#This Row],[Valor de referencia]]</f>
        <v>0</v>
      </c>
      <c r="Y62" s="166"/>
      <c r="Z62" s="159">
        <f>+Elementos_[[#This Row],[Cantidad LANIA]]*Elementos_[[#This Row],[Valor de referencia]]</f>
        <v>0</v>
      </c>
      <c r="AA62" s="196"/>
      <c r="AB62" s="159">
        <f>+Elementos_[[#This Row],[Cantidad SPA]]*Elementos_[[#This Row],[Valor de referencia]]</f>
        <v>0</v>
      </c>
      <c r="AC62" s="166" t="s">
        <v>2041</v>
      </c>
    </row>
    <row r="63" spans="1:29" ht="36" x14ac:dyDescent="0.2">
      <c r="A63" s="294" t="str">
        <f>IF(B63=Elementos_[[#This Row],[Cantidad LANIP]],"LANIP",IF(B63=Elementos_[[#This Row],[Cantidad 
LDV]],"LDV",IF(B63=Elementos_[[#This Row],[Cantidad LNDV]],"LNDV",IF(B63=Elementos_[[#This Row],[GGCA]],"GGCA",IF(B63=Elementos_[[#This Row],[Cantidad LDF]],"LDF",IF(B63=Elementos_[[#This Row],[Cantidad LDF&amp;MR]],"LDF&amp;MR",IF(B63=Elementos_[[#This Row],[Cantidad RED LASE]],"LASE",IF(B63=Elementos_[[#This Row],[Cantidad LANIA]],"LANIA",IF(B63=Elementos_[[#This Row],[Cantidad SPA]],"SPA"," ")))))))))</f>
        <v>SPA</v>
      </c>
      <c r="B6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63" s="298">
        <v>61</v>
      </c>
      <c r="D63" s="190">
        <v>86</v>
      </c>
      <c r="E63" s="273" t="s">
        <v>2134</v>
      </c>
      <c r="F63" s="204" t="s">
        <v>2135</v>
      </c>
      <c r="G63" s="192" t="s">
        <v>2136</v>
      </c>
      <c r="H6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63" s="194">
        <v>2046468</v>
      </c>
      <c r="J63" s="194">
        <f>+Elementos_[[#This Row],[Valor de referencia]]*Elementos_[[#This Row],[Cantidad]]</f>
        <v>26604084</v>
      </c>
      <c r="K63" s="166">
        <v>5</v>
      </c>
      <c r="L63" s="159">
        <f>+Elementos_[[#This Row],[Cantidad LANIP]]*Elementos_[[#This Row],[Valor de referencia]]</f>
        <v>10232340</v>
      </c>
      <c r="M63" s="270">
        <v>0</v>
      </c>
      <c r="N63" s="195">
        <f>+Elementos_[[#This Row],[Cantidad 
LDV]]*Elementos_[[#This Row],[Valor de referencia]]</f>
        <v>0</v>
      </c>
      <c r="O63" s="166"/>
      <c r="P63" s="159">
        <f>+Elementos_[[#This Row],[Cantidad LNDV]]*Elementos_[[#This Row],[Valor de referencia]]</f>
        <v>0</v>
      </c>
      <c r="Q63" s="196"/>
      <c r="R63" s="159">
        <f>+Elementos_[[#This Row],[GGCA]]*Elementos_[[#This Row],[Valor de referencia]]</f>
        <v>0</v>
      </c>
      <c r="S63" s="166"/>
      <c r="T63" s="194">
        <f>+Elementos_[[#This Row],[Cantidad LDF]]*Elementos_[[#This Row],[Valor de referencia]]</f>
        <v>0</v>
      </c>
      <c r="U63" s="197"/>
      <c r="V63" s="194">
        <f>+Elementos_[[#This Row],[Cantidad LDF&amp;MR]]*Elementos_[[#This Row],[Valor de referencia]]</f>
        <v>0</v>
      </c>
      <c r="W63" s="166"/>
      <c r="X63" s="194">
        <f>+Elementos_[[#This Row],[Cantidad RED LASE]]*Elementos_[[#This Row],[Valor de referencia]]</f>
        <v>0</v>
      </c>
      <c r="Y63" s="166"/>
      <c r="Z63" s="194">
        <f>+Elementos_[[#This Row],[Cantidad LANIA]]*Elementos_[[#This Row],[Valor de referencia]]</f>
        <v>0</v>
      </c>
      <c r="AA63" s="196">
        <v>8</v>
      </c>
      <c r="AB63" s="194">
        <f>+Elementos_[[#This Row],[Cantidad SPA]]*Elementos_[[#This Row],[Valor de referencia]]</f>
        <v>16371744</v>
      </c>
      <c r="AC63" s="166" t="s">
        <v>2041</v>
      </c>
    </row>
    <row r="64" spans="1:29" ht="36" x14ac:dyDescent="0.2">
      <c r="A64" s="294" t="str">
        <f>IF(B64=Elementos_[[#This Row],[Cantidad LANIP]],"LANIP",IF(B64=Elementos_[[#This Row],[Cantidad 
LDV]],"LDV",IF(B64=Elementos_[[#This Row],[Cantidad LNDV]],"LNDV",IF(B64=Elementos_[[#This Row],[GGCA]],"GGCA",IF(B64=Elementos_[[#This Row],[Cantidad LDF]],"LDF",IF(B64=Elementos_[[#This Row],[Cantidad LDF&amp;MR]],"LDF&amp;MR",IF(B64=Elementos_[[#This Row],[Cantidad RED LASE]],"LASE",IF(B64=Elementos_[[#This Row],[Cantidad LANIA]],"LANIA",IF(B64=Elementos_[[#This Row],[Cantidad SPA]],"SPA"," ")))))))))</f>
        <v>SPA</v>
      </c>
      <c r="B6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64" s="298">
        <v>62</v>
      </c>
      <c r="D64" s="190">
        <v>87</v>
      </c>
      <c r="E64" s="273" t="s">
        <v>2137</v>
      </c>
      <c r="F64" s="204" t="s">
        <v>2138</v>
      </c>
      <c r="G64" s="192" t="s">
        <v>2136</v>
      </c>
      <c r="H6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I64" s="194">
        <v>1631789</v>
      </c>
      <c r="J64" s="194">
        <f>+Elementos_[[#This Row],[Valor de referencia]]*Elementos_[[#This Row],[Cantidad]]</f>
        <v>22845046</v>
      </c>
      <c r="K64" s="166"/>
      <c r="L64" s="159">
        <f>+Elementos_[[#This Row],[Cantidad LANIP]]*Elementos_[[#This Row],[Valor de referencia]]</f>
        <v>0</v>
      </c>
      <c r="M64" s="270">
        <v>0</v>
      </c>
      <c r="N64" s="195">
        <f>+Elementos_[[#This Row],[Cantidad 
LDV]]*Elementos_[[#This Row],[Valor de referencia]]</f>
        <v>0</v>
      </c>
      <c r="O64" s="166">
        <v>1</v>
      </c>
      <c r="P64" s="159">
        <f>+Elementos_[[#This Row],[Cantidad LNDV]]*Elementos_[[#This Row],[Valor de referencia]]</f>
        <v>1631789</v>
      </c>
      <c r="Q64" s="196"/>
      <c r="R64" s="159">
        <f>+Elementos_[[#This Row],[GGCA]]*Elementos_[[#This Row],[Valor de referencia]]</f>
        <v>0</v>
      </c>
      <c r="S64" s="166"/>
      <c r="T64" s="194">
        <f>+Elementos_[[#This Row],[Cantidad LDF]]*Elementos_[[#This Row],[Valor de referencia]]</f>
        <v>0</v>
      </c>
      <c r="U64" s="197">
        <v>3</v>
      </c>
      <c r="V64" s="194">
        <f>+Elementos_[[#This Row],[Cantidad LDF&amp;MR]]*Elementos_[[#This Row],[Valor de referencia]]</f>
        <v>4895367</v>
      </c>
      <c r="W64" s="166"/>
      <c r="X64" s="194">
        <f>+Elementos_[[#This Row],[Cantidad RED LASE]]*Elementos_[[#This Row],[Valor de referencia]]</f>
        <v>0</v>
      </c>
      <c r="Y64" s="166"/>
      <c r="Z64" s="194">
        <f>+Elementos_[[#This Row],[Cantidad LANIA]]*Elementos_[[#This Row],[Valor de referencia]]</f>
        <v>0</v>
      </c>
      <c r="AA64" s="196">
        <v>10</v>
      </c>
      <c r="AB64" s="194">
        <f>+Elementos_[[#This Row],[Cantidad SPA]]*Elementos_[[#This Row],[Valor de referencia]]</f>
        <v>16317890</v>
      </c>
      <c r="AC64" s="166" t="s">
        <v>2041</v>
      </c>
    </row>
    <row r="65" spans="1:29" ht="36" x14ac:dyDescent="0.2">
      <c r="A65" s="294" t="str">
        <f>IF(B65=Elementos_[[#This Row],[Cantidad LANIP]],"LANIP",IF(B65=Elementos_[[#This Row],[Cantidad 
LDV]],"LDV",IF(B65=Elementos_[[#This Row],[Cantidad LNDV]],"LNDV",IF(B65=Elementos_[[#This Row],[GGCA]],"GGCA",IF(B65=Elementos_[[#This Row],[Cantidad LDF]],"LDF",IF(B65=Elementos_[[#This Row],[Cantidad LDF&amp;MR]],"LDF&amp;MR",IF(B65=Elementos_[[#This Row],[Cantidad RED LASE]],"LASE",IF(B65=Elementos_[[#This Row],[Cantidad LANIA]],"LANIA",IF(B65=Elementos_[[#This Row],[Cantidad SPA]],"SPA"," ")))))))))</f>
        <v>SPA</v>
      </c>
      <c r="B6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65" s="298">
        <v>63</v>
      </c>
      <c r="D65" s="190">
        <v>88</v>
      </c>
      <c r="E65" s="273" t="s">
        <v>2139</v>
      </c>
      <c r="F65" s="204" t="s">
        <v>2140</v>
      </c>
      <c r="G65" s="192" t="s">
        <v>2136</v>
      </c>
      <c r="H6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I65" s="194">
        <v>1256440</v>
      </c>
      <c r="J65" s="194">
        <f>+Elementos_[[#This Row],[Valor de referencia]]*Elementos_[[#This Row],[Cantidad]]</f>
        <v>17590160</v>
      </c>
      <c r="K65" s="166"/>
      <c r="L65" s="159">
        <f>+Elementos_[[#This Row],[Cantidad LANIP]]*Elementos_[[#This Row],[Valor de referencia]]</f>
        <v>0</v>
      </c>
      <c r="M65" s="270">
        <v>2</v>
      </c>
      <c r="N65" s="195">
        <f>+Elementos_[[#This Row],[Cantidad 
LDV]]*Elementos_[[#This Row],[Valor de referencia]]</f>
        <v>2512880</v>
      </c>
      <c r="O65" s="166">
        <v>1</v>
      </c>
      <c r="P65" s="159">
        <f>+Elementos_[[#This Row],[Cantidad LNDV]]*Elementos_[[#This Row],[Valor de referencia]]</f>
        <v>1256440</v>
      </c>
      <c r="Q65" s="196"/>
      <c r="R65" s="159">
        <f>+Elementos_[[#This Row],[GGCA]]*Elementos_[[#This Row],[Valor de referencia]]</f>
        <v>0</v>
      </c>
      <c r="S65" s="166"/>
      <c r="T65" s="194">
        <f>+Elementos_[[#This Row],[Cantidad LDF]]*Elementos_[[#This Row],[Valor de referencia]]</f>
        <v>0</v>
      </c>
      <c r="U65" s="197"/>
      <c r="V65" s="194">
        <f>+Elementos_[[#This Row],[Cantidad LDF&amp;MR]]*Elementos_[[#This Row],[Valor de referencia]]</f>
        <v>0</v>
      </c>
      <c r="W65" s="166"/>
      <c r="X65" s="194">
        <f>+Elementos_[[#This Row],[Cantidad RED LASE]]*Elementos_[[#This Row],[Valor de referencia]]</f>
        <v>0</v>
      </c>
      <c r="Y65" s="166">
        <v>1</v>
      </c>
      <c r="Z65" s="194">
        <f>+Elementos_[[#This Row],[Cantidad LANIA]]*Elementos_[[#This Row],[Valor de referencia]]</f>
        <v>1256440</v>
      </c>
      <c r="AA65" s="196">
        <v>10</v>
      </c>
      <c r="AB65" s="194">
        <f>+Elementos_[[#This Row],[Cantidad SPA]]*Elementos_[[#This Row],[Valor de referencia]]</f>
        <v>12564400</v>
      </c>
      <c r="AC65" s="166" t="s">
        <v>2041</v>
      </c>
    </row>
    <row r="66" spans="1:29" ht="24" x14ac:dyDescent="0.2">
      <c r="A66" s="294" t="str">
        <f>IF(B66=Elementos_[[#This Row],[Cantidad LANIP]],"LANIP",IF(B66=Elementos_[[#This Row],[Cantidad 
LDV]],"LDV",IF(B66=Elementos_[[#This Row],[Cantidad LNDV]],"LNDV",IF(B66=Elementos_[[#This Row],[GGCA]],"GGCA",IF(B66=Elementos_[[#This Row],[Cantidad LDF]],"LDF",IF(B66=Elementos_[[#This Row],[Cantidad LDF&amp;MR]],"LDF&amp;MR",IF(B66=Elementos_[[#This Row],[Cantidad RED LASE]],"LASE",IF(B66=Elementos_[[#This Row],[Cantidad LANIA]],"LANIA",IF(B66=Elementos_[[#This Row],[Cantidad SPA]],"SPA"," ")))))))))</f>
        <v>LDV</v>
      </c>
      <c r="B6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C66" s="298">
        <v>64</v>
      </c>
      <c r="D66" s="190">
        <v>89</v>
      </c>
      <c r="E66" s="273" t="s">
        <v>2141</v>
      </c>
      <c r="F66" s="201" t="s">
        <v>2142</v>
      </c>
      <c r="G66" s="202" t="s">
        <v>2143</v>
      </c>
      <c r="H6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33</v>
      </c>
      <c r="I66" s="194">
        <v>1041469</v>
      </c>
      <c r="J66" s="194">
        <f>+Elementos_[[#This Row],[Valor de referencia]]*Elementos_[[#This Row],[Cantidad]]</f>
        <v>34368477</v>
      </c>
      <c r="K66" s="166"/>
      <c r="L66" s="159">
        <f>+Elementos_[[#This Row],[Cantidad LANIP]]*Elementos_[[#This Row],[Valor de referencia]]</f>
        <v>0</v>
      </c>
      <c r="M66" s="270">
        <v>13</v>
      </c>
      <c r="N66" s="195">
        <f>+Elementos_[[#This Row],[Cantidad 
LDV]]*Elementos_[[#This Row],[Valor de referencia]]</f>
        <v>13539097</v>
      </c>
      <c r="O66" s="166">
        <v>2</v>
      </c>
      <c r="P66" s="159">
        <f>+Elementos_[[#This Row],[Cantidad LNDV]]*Elementos_[[#This Row],[Valor de referencia]]</f>
        <v>2082938</v>
      </c>
      <c r="Q66" s="196"/>
      <c r="R66" s="159">
        <f>+Elementos_[[#This Row],[GGCA]]*Elementos_[[#This Row],[Valor de referencia]]</f>
        <v>0</v>
      </c>
      <c r="S66" s="166">
        <v>8</v>
      </c>
      <c r="T66" s="194">
        <f>+Elementos_[[#This Row],[Cantidad LDF]]*Elementos_[[#This Row],[Valor de referencia]]</f>
        <v>8331752</v>
      </c>
      <c r="U66" s="197"/>
      <c r="V66" s="194">
        <f>+Elementos_[[#This Row],[Cantidad LDF&amp;MR]]*Elementos_[[#This Row],[Valor de referencia]]</f>
        <v>0</v>
      </c>
      <c r="W66" s="166"/>
      <c r="X66" s="194">
        <f>+Elementos_[[#This Row],[Cantidad RED LASE]]*Elementos_[[#This Row],[Valor de referencia]]</f>
        <v>0</v>
      </c>
      <c r="Y66" s="166"/>
      <c r="Z66" s="194">
        <f>+Elementos_[[#This Row],[Cantidad LANIA]]*Elementos_[[#This Row],[Valor de referencia]]</f>
        <v>0</v>
      </c>
      <c r="AA66" s="196">
        <v>10</v>
      </c>
      <c r="AB66" s="194">
        <f>+Elementos_[[#This Row],[Cantidad SPA]]*Elementos_[[#This Row],[Valor de referencia]]</f>
        <v>10414690</v>
      </c>
      <c r="AC66" s="166" t="s">
        <v>2041</v>
      </c>
    </row>
    <row r="67" spans="1:29" ht="36" x14ac:dyDescent="0.2">
      <c r="A67" s="294" t="str">
        <f>IF(B67=Elementos_[[#This Row],[Cantidad LANIP]],"LANIP",IF(B67=Elementos_[[#This Row],[Cantidad 
LDV]],"LDV",IF(B67=Elementos_[[#This Row],[Cantidad LNDV]],"LNDV",IF(B67=Elementos_[[#This Row],[GGCA]],"GGCA",IF(B67=Elementos_[[#This Row],[Cantidad LDF]],"LDF",IF(B67=Elementos_[[#This Row],[Cantidad LDF&amp;MR]],"LDF&amp;MR",IF(B67=Elementos_[[#This Row],[Cantidad RED LASE]],"LASE",IF(B67=Elementos_[[#This Row],[Cantidad LANIA]],"LANIA",IF(B67=Elementos_[[#This Row],[Cantidad SPA]],"SPA"," ")))))))))</f>
        <v>LDV</v>
      </c>
      <c r="B6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67" s="298">
        <v>65</v>
      </c>
      <c r="D67" s="190">
        <v>90</v>
      </c>
      <c r="E67" s="273" t="s">
        <v>2144</v>
      </c>
      <c r="F67" s="204" t="s">
        <v>2145</v>
      </c>
      <c r="G67" s="210" t="s">
        <v>2146</v>
      </c>
      <c r="H6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67" s="194">
        <v>2680689</v>
      </c>
      <c r="J67" s="194">
        <f>+Elementos_[[#This Row],[Valor de referencia]]*Elementos_[[#This Row],[Cantidad]]</f>
        <v>5361378</v>
      </c>
      <c r="K67" s="166"/>
      <c r="L67" s="159">
        <f>+Elementos_[[#This Row],[Cantidad LANIP]]*Elementos_[[#This Row],[Valor de referencia]]</f>
        <v>0</v>
      </c>
      <c r="M67" s="270">
        <v>1</v>
      </c>
      <c r="N67" s="195">
        <f>+Elementos_[[#This Row],[Cantidad 
LDV]]*Elementos_[[#This Row],[Valor de referencia]]</f>
        <v>2680689</v>
      </c>
      <c r="O67" s="166">
        <v>1</v>
      </c>
      <c r="P67" s="159">
        <f>+Elementos_[[#This Row],[Cantidad LNDV]]*Elementos_[[#This Row],[Valor de referencia]]</f>
        <v>2680689</v>
      </c>
      <c r="Q67" s="196"/>
      <c r="R67" s="159">
        <f>+Elementos_[[#This Row],[GGCA]]*Elementos_[[#This Row],[Valor de referencia]]</f>
        <v>0</v>
      </c>
      <c r="S67" s="166"/>
      <c r="T67" s="159">
        <f>+Elementos_[[#This Row],[Cantidad LDF]]*Elementos_[[#This Row],[Valor de referencia]]</f>
        <v>0</v>
      </c>
      <c r="U67" s="197"/>
      <c r="V67" s="159">
        <f>+Elementos_[[#This Row],[Cantidad LDF&amp;MR]]*Elementos_[[#This Row],[Valor de referencia]]</f>
        <v>0</v>
      </c>
      <c r="W67" s="166"/>
      <c r="X67" s="159">
        <f>+Elementos_[[#This Row],[Cantidad RED LASE]]*Elementos_[[#This Row],[Valor de referencia]]</f>
        <v>0</v>
      </c>
      <c r="Y67" s="166"/>
      <c r="Z67" s="159">
        <f>+Elementos_[[#This Row],[Cantidad LANIA]]*Elementos_[[#This Row],[Valor de referencia]]</f>
        <v>0</v>
      </c>
      <c r="AA67" s="196"/>
      <c r="AB67" s="159">
        <f>+Elementos_[[#This Row],[Cantidad SPA]]*Elementos_[[#This Row],[Valor de referencia]]</f>
        <v>0</v>
      </c>
      <c r="AC67" s="406" t="s">
        <v>101</v>
      </c>
    </row>
    <row r="68" spans="1:29" ht="36" x14ac:dyDescent="0.2">
      <c r="A68" s="294" t="str">
        <f>IF(B68=Elementos_[[#This Row],[Cantidad LANIP]],"LANIP",IF(B68=Elementos_[[#This Row],[Cantidad 
LDV]],"LDV",IF(B68=Elementos_[[#This Row],[Cantidad LNDV]],"LNDV",IF(B68=Elementos_[[#This Row],[GGCA]],"GGCA",IF(B68=Elementos_[[#This Row],[Cantidad LDF]],"LDF",IF(B68=Elementos_[[#This Row],[Cantidad LDF&amp;MR]],"LDF&amp;MR",IF(B68=Elementos_[[#This Row],[Cantidad RED LASE]],"LASE",IF(B68=Elementos_[[#This Row],[Cantidad LANIA]],"LANIA",IF(B68=Elementos_[[#This Row],[Cantidad SPA]],"SPA"," ")))))))))</f>
        <v>LANIA</v>
      </c>
      <c r="B6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68" s="298">
        <v>66</v>
      </c>
      <c r="D68" s="190">
        <v>92</v>
      </c>
      <c r="E68" s="279" t="s">
        <v>2147</v>
      </c>
      <c r="F68" s="201" t="s">
        <v>2148</v>
      </c>
      <c r="G68" s="202" t="s">
        <v>2149</v>
      </c>
      <c r="H6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68" s="194">
        <v>2532050</v>
      </c>
      <c r="J68" s="194">
        <f>+Elementos_[[#This Row],[Valor de referencia]]*Elementos_[[#This Row],[Cantidad]]</f>
        <v>12660250</v>
      </c>
      <c r="K68" s="166"/>
      <c r="L68" s="159">
        <f>+Elementos_[[#This Row],[Cantidad LANIP]]*Elementos_[[#This Row],[Valor de referencia]]</f>
        <v>0</v>
      </c>
      <c r="M68" s="270">
        <v>0</v>
      </c>
      <c r="N68" s="195">
        <f>+Elementos_[[#This Row],[Cantidad 
LDV]]*Elementos_[[#This Row],[Valor de referencia]]</f>
        <v>0</v>
      </c>
      <c r="O68" s="166"/>
      <c r="P68" s="159">
        <f>+Elementos_[[#This Row],[Cantidad LNDV]]*Elementos_[[#This Row],[Valor de referencia]]</f>
        <v>0</v>
      </c>
      <c r="Q68" s="196"/>
      <c r="R68" s="159">
        <f>+Elementos_[[#This Row],[GGCA]]*Elementos_[[#This Row],[Valor de referencia]]</f>
        <v>0</v>
      </c>
      <c r="S68" s="166"/>
      <c r="T68" s="159">
        <f>+Elementos_[[#This Row],[Cantidad LDF]]*Elementos_[[#This Row],[Valor de referencia]]</f>
        <v>0</v>
      </c>
      <c r="U68" s="197"/>
      <c r="V68" s="159">
        <f>+Elementos_[[#This Row],[Cantidad LDF&amp;MR]]*Elementos_[[#This Row],[Valor de referencia]]</f>
        <v>0</v>
      </c>
      <c r="W68" s="166"/>
      <c r="X68" s="159">
        <f>+Elementos_[[#This Row],[Cantidad RED LASE]]*Elementos_[[#This Row],[Valor de referencia]]</f>
        <v>0</v>
      </c>
      <c r="Y68" s="166">
        <v>5</v>
      </c>
      <c r="Z68" s="159">
        <f>+Elementos_[[#This Row],[Cantidad LANIA]]*Elementos_[[#This Row],[Valor de referencia]]</f>
        <v>12660250</v>
      </c>
      <c r="AA68" s="196"/>
      <c r="AB68" s="159">
        <f>+Elementos_[[#This Row],[Cantidad SPA]]*Elementos_[[#This Row],[Valor de referencia]]</f>
        <v>0</v>
      </c>
      <c r="AC68" s="166" t="s">
        <v>2041</v>
      </c>
    </row>
    <row r="69" spans="1:29" ht="12.75" x14ac:dyDescent="0.2">
      <c r="A69" s="294" t="str">
        <f>IF(B69=Elementos_[[#This Row],[Cantidad LANIP]],"LANIP",IF(B69=Elementos_[[#This Row],[Cantidad 
LDV]],"LDV",IF(B69=Elementos_[[#This Row],[Cantidad LNDV]],"LNDV",IF(B69=Elementos_[[#This Row],[GGCA]],"GGCA",IF(B69=Elementos_[[#This Row],[Cantidad LDF]],"LDF",IF(B69=Elementos_[[#This Row],[Cantidad LDF&amp;MR]],"LDF&amp;MR",IF(B69=Elementos_[[#This Row],[Cantidad RED LASE]],"LASE",IF(B69=Elementos_[[#This Row],[Cantidad LANIA]],"LANIA",IF(B69=Elementos_[[#This Row],[Cantidad SPA]],"SPA"," ")))))))))</f>
        <v>SPA</v>
      </c>
      <c r="B6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69" s="298">
        <v>67</v>
      </c>
      <c r="D69" s="190">
        <v>93</v>
      </c>
      <c r="E69" s="273" t="s">
        <v>2150</v>
      </c>
      <c r="F69" s="201" t="s">
        <v>183</v>
      </c>
      <c r="G69" s="202" t="s">
        <v>2151</v>
      </c>
      <c r="H6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41</v>
      </c>
      <c r="I69" s="194">
        <v>47600</v>
      </c>
      <c r="J69" s="194">
        <f>+Elementos_[[#This Row],[Valor de referencia]]*Elementos_[[#This Row],[Cantidad]]</f>
        <v>1951600</v>
      </c>
      <c r="K69" s="166">
        <v>9</v>
      </c>
      <c r="L69" s="159">
        <f>+Elementos_[[#This Row],[Cantidad LANIP]]*Elementos_[[#This Row],[Valor de referencia]]</f>
        <v>428400</v>
      </c>
      <c r="M69" s="270">
        <v>0</v>
      </c>
      <c r="N69" s="195">
        <f>+Elementos_[[#This Row],[Cantidad 
LDV]]*Elementos_[[#This Row],[Valor de referencia]]</f>
        <v>0</v>
      </c>
      <c r="O69" s="166"/>
      <c r="P69" s="159">
        <f>+Elementos_[[#This Row],[Cantidad LNDV]]*Elementos_[[#This Row],[Valor de referencia]]</f>
        <v>0</v>
      </c>
      <c r="Q69" s="196"/>
      <c r="R69" s="159">
        <f>+Elementos_[[#This Row],[GGCA]]*Elementos_[[#This Row],[Valor de referencia]]</f>
        <v>0</v>
      </c>
      <c r="S69" s="166">
        <v>12</v>
      </c>
      <c r="T69" s="194">
        <f>+Elementos_[[#This Row],[Cantidad LDF]]*Elementos_[[#This Row],[Valor de referencia]]</f>
        <v>571200</v>
      </c>
      <c r="U69" s="197"/>
      <c r="V69" s="194">
        <f>+Elementos_[[#This Row],[Cantidad LDF&amp;MR]]*Elementos_[[#This Row],[Valor de referencia]]</f>
        <v>0</v>
      </c>
      <c r="W69" s="166"/>
      <c r="X69" s="194">
        <f>+Elementos_[[#This Row],[Cantidad RED LASE]]*Elementos_[[#This Row],[Valor de referencia]]</f>
        <v>0</v>
      </c>
      <c r="Y69" s="166"/>
      <c r="Z69" s="194">
        <f>+Elementos_[[#This Row],[Cantidad LANIA]]*Elementos_[[#This Row],[Valor de referencia]]</f>
        <v>0</v>
      </c>
      <c r="AA69" s="196">
        <v>20</v>
      </c>
      <c r="AB69" s="194">
        <f>+Elementos_[[#This Row],[Cantidad SPA]]*Elementos_[[#This Row],[Valor de referencia]]</f>
        <v>952000</v>
      </c>
      <c r="AC69" s="166" t="s">
        <v>2049</v>
      </c>
    </row>
    <row r="70" spans="1:29" ht="12.75" x14ac:dyDescent="0.2">
      <c r="A70" s="294" t="str">
        <f>IF(B70=Elementos_[[#This Row],[Cantidad LANIP]],"LANIP",IF(B70=Elementos_[[#This Row],[Cantidad 
LDV]],"LDV",IF(B70=Elementos_[[#This Row],[Cantidad LNDV]],"LNDV",IF(B70=Elementos_[[#This Row],[GGCA]],"GGCA",IF(B70=Elementos_[[#This Row],[Cantidad LDF]],"LDF",IF(B70=Elementos_[[#This Row],[Cantidad LDF&amp;MR]],"LDF&amp;MR",IF(B70=Elementos_[[#This Row],[Cantidad RED LASE]],"LASE",IF(B70=Elementos_[[#This Row],[Cantidad LANIA]],"LANIA",IF(B70=Elementos_[[#This Row],[Cantidad SPA]],"SPA"," ")))))))))</f>
        <v>LASE</v>
      </c>
      <c r="B7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70" s="298">
        <v>68</v>
      </c>
      <c r="D70" s="190">
        <v>94</v>
      </c>
      <c r="E70" s="205" t="s">
        <v>2152</v>
      </c>
      <c r="F70" s="201" t="s">
        <v>454</v>
      </c>
      <c r="G70" s="202" t="s">
        <v>2054</v>
      </c>
      <c r="H7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70" s="194">
        <v>114744</v>
      </c>
      <c r="J70" s="194">
        <f>+Elementos_[[#This Row],[Valor de referencia]]*Elementos_[[#This Row],[Cantidad]]</f>
        <v>2065392</v>
      </c>
      <c r="K70" s="166"/>
      <c r="L70" s="159">
        <f>+Elementos_[[#This Row],[Cantidad LANIP]]*Elementos_[[#This Row],[Valor de referencia]]</f>
        <v>0</v>
      </c>
      <c r="M70" s="270">
        <v>0</v>
      </c>
      <c r="N70" s="195">
        <f>+Elementos_[[#This Row],[Cantidad 
LDV]]*Elementos_[[#This Row],[Valor de referencia]]</f>
        <v>0</v>
      </c>
      <c r="O70" s="166"/>
      <c r="P70" s="159">
        <f>+Elementos_[[#This Row],[Cantidad LNDV]]*Elementos_[[#This Row],[Valor de referencia]]</f>
        <v>0</v>
      </c>
      <c r="Q70" s="196"/>
      <c r="R70" s="159">
        <f>+Elementos_[[#This Row],[GGCA]]*Elementos_[[#This Row],[Valor de referencia]]</f>
        <v>0</v>
      </c>
      <c r="S70" s="166">
        <v>8</v>
      </c>
      <c r="T70" s="159">
        <f>+Elementos_[[#This Row],[Cantidad LDF]]*Elementos_[[#This Row],[Valor de referencia]]</f>
        <v>917952</v>
      </c>
      <c r="U70" s="197"/>
      <c r="V70" s="159">
        <f>+Elementos_[[#This Row],[Cantidad LDF&amp;MR]]*Elementos_[[#This Row],[Valor de referencia]]</f>
        <v>0</v>
      </c>
      <c r="W70" s="166">
        <v>10</v>
      </c>
      <c r="X70" s="159">
        <f>+Elementos_[[#This Row],[Cantidad RED LASE]]*Elementos_[[#This Row],[Valor de referencia]]</f>
        <v>1147440</v>
      </c>
      <c r="Y70" s="166"/>
      <c r="Z70" s="159">
        <f>+Elementos_[[#This Row],[Cantidad LANIA]]*Elementos_[[#This Row],[Valor de referencia]]</f>
        <v>0</v>
      </c>
      <c r="AA70" s="196"/>
      <c r="AB70" s="159">
        <f>+Elementos_[[#This Row],[Cantidad SPA]]*Elementos_[[#This Row],[Valor de referencia]]</f>
        <v>0</v>
      </c>
      <c r="AC70" s="166" t="s">
        <v>2049</v>
      </c>
    </row>
    <row r="71" spans="1:29" ht="12.75" x14ac:dyDescent="0.2">
      <c r="A71" s="294" t="str">
        <f>IF(B71=Elementos_[[#This Row],[Cantidad LANIP]],"LANIP",IF(B71=Elementos_[[#This Row],[Cantidad 
LDV]],"LDV",IF(B71=Elementos_[[#This Row],[Cantidad LNDV]],"LNDV",IF(B71=Elementos_[[#This Row],[GGCA]],"GGCA",IF(B71=Elementos_[[#This Row],[Cantidad LDF]],"LDF",IF(B71=Elementos_[[#This Row],[Cantidad LDF&amp;MR]],"LDF&amp;MR",IF(B71=Elementos_[[#This Row],[Cantidad RED LASE]],"LASE",IF(B71=Elementos_[[#This Row],[Cantidad LANIA]],"LANIA",IF(B71=Elementos_[[#This Row],[Cantidad SPA]],"SPA"," ")))))))))</f>
        <v>SPA</v>
      </c>
      <c r="B7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300</v>
      </c>
      <c r="C71" s="298">
        <v>69</v>
      </c>
      <c r="D71" s="190">
        <v>95</v>
      </c>
      <c r="E71" s="273" t="s">
        <v>2153</v>
      </c>
      <c r="F71" s="204" t="s">
        <v>183</v>
      </c>
      <c r="G71" s="192" t="s">
        <v>2154</v>
      </c>
      <c r="H7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348</v>
      </c>
      <c r="I71" s="194">
        <v>14875</v>
      </c>
      <c r="J71" s="194">
        <f>+Elementos_[[#This Row],[Valor de referencia]]*Elementos_[[#This Row],[Cantidad]]</f>
        <v>5176500</v>
      </c>
      <c r="K71" s="166">
        <v>20</v>
      </c>
      <c r="L71" s="159">
        <f>+Elementos_[[#This Row],[Cantidad LANIP]]*Elementos_[[#This Row],[Valor de referencia]]</f>
        <v>297500</v>
      </c>
      <c r="M71" s="270">
        <v>0</v>
      </c>
      <c r="N71" s="195">
        <f>+Elementos_[[#This Row],[Cantidad 
LDV]]*Elementos_[[#This Row],[Valor de referencia]]</f>
        <v>0</v>
      </c>
      <c r="O71" s="166"/>
      <c r="P71" s="159">
        <f>+Elementos_[[#This Row],[Cantidad LNDV]]*Elementos_[[#This Row],[Valor de referencia]]</f>
        <v>0</v>
      </c>
      <c r="Q71" s="196"/>
      <c r="R71" s="159">
        <f>+Elementos_[[#This Row],[GGCA]]*Elementos_[[#This Row],[Valor de referencia]]</f>
        <v>0</v>
      </c>
      <c r="S71" s="166">
        <v>8</v>
      </c>
      <c r="T71" s="194">
        <f>+Elementos_[[#This Row],[Cantidad LDF]]*Elementos_[[#This Row],[Valor de referencia]]</f>
        <v>119000</v>
      </c>
      <c r="U71" s="197"/>
      <c r="V71" s="194">
        <f>+Elementos_[[#This Row],[Cantidad LDF&amp;MR]]*Elementos_[[#This Row],[Valor de referencia]]</f>
        <v>0</v>
      </c>
      <c r="W71" s="166"/>
      <c r="X71" s="194">
        <f>+Elementos_[[#This Row],[Cantidad RED LASE]]*Elementos_[[#This Row],[Valor de referencia]]</f>
        <v>0</v>
      </c>
      <c r="Y71" s="166">
        <v>20</v>
      </c>
      <c r="Z71" s="194">
        <f>+Elementos_[[#This Row],[Cantidad LANIA]]*Elementos_[[#This Row],[Valor de referencia]]</f>
        <v>297500</v>
      </c>
      <c r="AA71" s="196">
        <v>300</v>
      </c>
      <c r="AB71" s="194">
        <f>+Elementos_[[#This Row],[Cantidad SPA]]*Elementos_[[#This Row],[Valor de referencia]]</f>
        <v>4462500</v>
      </c>
      <c r="AC71" s="166" t="s">
        <v>2049</v>
      </c>
    </row>
    <row r="72" spans="1:29" ht="12.75" x14ac:dyDescent="0.2">
      <c r="A72" s="294" t="str">
        <f>IF(B72=Elementos_[[#This Row],[Cantidad LANIP]],"LANIP",IF(B72=Elementos_[[#This Row],[Cantidad 
LDV]],"LDV",IF(B72=Elementos_[[#This Row],[Cantidad LNDV]],"LNDV",IF(B72=Elementos_[[#This Row],[GGCA]],"GGCA",IF(B72=Elementos_[[#This Row],[Cantidad LDF]],"LDF",IF(B72=Elementos_[[#This Row],[Cantidad LDF&amp;MR]],"LDF&amp;MR",IF(B72=Elementos_[[#This Row],[Cantidad RED LASE]],"LASE",IF(B72=Elementos_[[#This Row],[Cantidad LANIA]],"LANIA",IF(B72=Elementos_[[#This Row],[Cantidad SPA]],"SPA"," ")))))))))</f>
        <v>SPA</v>
      </c>
      <c r="B7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72" s="298">
        <v>70</v>
      </c>
      <c r="D72" s="190">
        <v>96</v>
      </c>
      <c r="E72" s="273" t="s">
        <v>2155</v>
      </c>
      <c r="F72" s="204" t="s">
        <v>183</v>
      </c>
      <c r="G72" s="192" t="s">
        <v>2054</v>
      </c>
      <c r="H7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39</v>
      </c>
      <c r="I72" s="194">
        <v>37677</v>
      </c>
      <c r="J72" s="194">
        <f>+Elementos_[[#This Row],[Valor de referencia]]*Elementos_[[#This Row],[Cantidad]]</f>
        <v>1469403</v>
      </c>
      <c r="K72" s="166">
        <v>4</v>
      </c>
      <c r="L72" s="159">
        <f>+Elementos_[[#This Row],[Cantidad LANIP]]*Elementos_[[#This Row],[Valor de referencia]]</f>
        <v>150708</v>
      </c>
      <c r="M72" s="270">
        <v>0</v>
      </c>
      <c r="N72" s="195">
        <f>+Elementos_[[#This Row],[Cantidad 
LDV]]*Elementos_[[#This Row],[Valor de referencia]]</f>
        <v>0</v>
      </c>
      <c r="O72" s="166"/>
      <c r="P72" s="159">
        <f>+Elementos_[[#This Row],[Cantidad LNDV]]*Elementos_[[#This Row],[Valor de referencia]]</f>
        <v>0</v>
      </c>
      <c r="Q72" s="196"/>
      <c r="R72" s="159">
        <f>+Elementos_[[#This Row],[GGCA]]*Elementos_[[#This Row],[Valor de referencia]]</f>
        <v>0</v>
      </c>
      <c r="S72" s="166">
        <v>8</v>
      </c>
      <c r="T72" s="194">
        <f>+Elementos_[[#This Row],[Cantidad LDF]]*Elementos_[[#This Row],[Valor de referencia]]</f>
        <v>301416</v>
      </c>
      <c r="U72" s="197"/>
      <c r="V72" s="194">
        <f>+Elementos_[[#This Row],[Cantidad LDF&amp;MR]]*Elementos_[[#This Row],[Valor de referencia]]</f>
        <v>0</v>
      </c>
      <c r="W72" s="166"/>
      <c r="X72" s="194">
        <f>+Elementos_[[#This Row],[Cantidad RED LASE]]*Elementos_[[#This Row],[Valor de referencia]]</f>
        <v>0</v>
      </c>
      <c r="Y72" s="166">
        <f>5+2</f>
        <v>7</v>
      </c>
      <c r="Z72" s="194">
        <f>+Elementos_[[#This Row],[Cantidad LANIA]]*Elementos_[[#This Row],[Valor de referencia]]</f>
        <v>263739</v>
      </c>
      <c r="AA72" s="196">
        <v>20</v>
      </c>
      <c r="AB72" s="194">
        <f>+Elementos_[[#This Row],[Cantidad SPA]]*Elementos_[[#This Row],[Valor de referencia]]</f>
        <v>753540</v>
      </c>
      <c r="AC72" s="166" t="s">
        <v>2049</v>
      </c>
    </row>
    <row r="73" spans="1:29" ht="12.75" x14ac:dyDescent="0.2">
      <c r="A73" s="294" t="str">
        <f>IF(B73=Elementos_[[#This Row],[Cantidad LANIP]],"LANIP",IF(B73=Elementos_[[#This Row],[Cantidad 
LDV]],"LDV",IF(B73=Elementos_[[#This Row],[Cantidad LNDV]],"LNDV",IF(B73=Elementos_[[#This Row],[GGCA]],"GGCA",IF(B73=Elementos_[[#This Row],[Cantidad LDF]],"LDF",IF(B73=Elementos_[[#This Row],[Cantidad LDF&amp;MR]],"LDF&amp;MR",IF(B73=Elementos_[[#This Row],[Cantidad RED LASE]],"LASE",IF(B73=Elementos_[[#This Row],[Cantidad LANIA]],"LANIA",IF(B73=Elementos_[[#This Row],[Cantidad SPA]],"SPA"," ")))))))))</f>
        <v>LDF</v>
      </c>
      <c r="B7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73" s="298">
        <v>71</v>
      </c>
      <c r="D73" s="190">
        <v>97</v>
      </c>
      <c r="E73" s="273" t="s">
        <v>2156</v>
      </c>
      <c r="F73" s="201" t="s">
        <v>183</v>
      </c>
      <c r="G73" s="202" t="s">
        <v>2054</v>
      </c>
      <c r="H7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73" s="194">
        <v>114623</v>
      </c>
      <c r="J73" s="194">
        <f>+Elementos_[[#This Row],[Valor de referencia]]*Elementos_[[#This Row],[Cantidad]]</f>
        <v>1375476</v>
      </c>
      <c r="K73" s="166"/>
      <c r="L73" s="159">
        <f>+Elementos_[[#This Row],[Cantidad LANIP]]*Elementos_[[#This Row],[Valor de referencia]]</f>
        <v>0</v>
      </c>
      <c r="M73" s="270">
        <v>0</v>
      </c>
      <c r="N73" s="195">
        <f>+Elementos_[[#This Row],[Cantidad 
LDV]]*Elementos_[[#This Row],[Valor de referencia]]</f>
        <v>0</v>
      </c>
      <c r="O73" s="166"/>
      <c r="P73" s="159">
        <f>+Elementos_[[#This Row],[Cantidad LNDV]]*Elementos_[[#This Row],[Valor de referencia]]</f>
        <v>0</v>
      </c>
      <c r="Q73" s="196"/>
      <c r="R73" s="159">
        <f>+Elementos_[[#This Row],[GGCA]]*Elementos_[[#This Row],[Valor de referencia]]</f>
        <v>0</v>
      </c>
      <c r="S73" s="166">
        <v>6</v>
      </c>
      <c r="T73" s="159">
        <f>+Elementos_[[#This Row],[Cantidad LDF]]*Elementos_[[#This Row],[Valor de referencia]]</f>
        <v>687738</v>
      </c>
      <c r="U73" s="197"/>
      <c r="V73" s="159">
        <f>+Elementos_[[#This Row],[Cantidad LDF&amp;MR]]*Elementos_[[#This Row],[Valor de referencia]]</f>
        <v>0</v>
      </c>
      <c r="W73" s="166"/>
      <c r="X73" s="159">
        <f>+Elementos_[[#This Row],[Cantidad RED LASE]]*Elementos_[[#This Row],[Valor de referencia]]</f>
        <v>0</v>
      </c>
      <c r="Y73" s="166">
        <v>6</v>
      </c>
      <c r="Z73" s="159">
        <f>+Elementos_[[#This Row],[Cantidad LANIA]]*Elementos_[[#This Row],[Valor de referencia]]</f>
        <v>687738</v>
      </c>
      <c r="AA73" s="196"/>
      <c r="AB73" s="159">
        <f>+Elementos_[[#This Row],[Cantidad SPA]]*Elementos_[[#This Row],[Valor de referencia]]</f>
        <v>0</v>
      </c>
      <c r="AC73" s="166" t="s">
        <v>2049</v>
      </c>
    </row>
    <row r="74" spans="1:29" ht="12.75" x14ac:dyDescent="0.2">
      <c r="A74" s="294" t="str">
        <f>IF(B74=Elementos_[[#This Row],[Cantidad LANIP]],"LANIP",IF(B74=Elementos_[[#This Row],[Cantidad 
LDV]],"LDV",IF(B74=Elementos_[[#This Row],[Cantidad LNDV]],"LNDV",IF(B74=Elementos_[[#This Row],[GGCA]],"GGCA",IF(B74=Elementos_[[#This Row],[Cantidad LDF]],"LDF",IF(B74=Elementos_[[#This Row],[Cantidad LDF&amp;MR]],"LDF&amp;MR",IF(B74=Elementos_[[#This Row],[Cantidad RED LASE]],"LASE",IF(B74=Elementos_[[#This Row],[Cantidad LANIA]],"LANIA",IF(B74=Elementos_[[#This Row],[Cantidad SPA]],"SPA"," ")))))))))</f>
        <v>LDF</v>
      </c>
      <c r="B7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74" s="298">
        <v>72</v>
      </c>
      <c r="D74" s="190">
        <v>98</v>
      </c>
      <c r="E74" s="273" t="s">
        <v>2157</v>
      </c>
      <c r="F74" s="201" t="s">
        <v>183</v>
      </c>
      <c r="G74" s="202" t="s">
        <v>2158</v>
      </c>
      <c r="H7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74" s="194">
        <v>75436</v>
      </c>
      <c r="J74" s="194">
        <f>+Elementos_[[#This Row],[Valor de referencia]]*Elementos_[[#This Row],[Cantidad]]</f>
        <v>452616</v>
      </c>
      <c r="K74" s="166"/>
      <c r="L74" s="159">
        <f>+Elementos_[[#This Row],[Cantidad LANIP]]*Elementos_[[#This Row],[Valor de referencia]]</f>
        <v>0</v>
      </c>
      <c r="M74" s="270">
        <v>0</v>
      </c>
      <c r="N74" s="195">
        <f>+Elementos_[[#This Row],[Cantidad 
LDV]]*Elementos_[[#This Row],[Valor de referencia]]</f>
        <v>0</v>
      </c>
      <c r="O74" s="166"/>
      <c r="P74" s="159">
        <f>+Elementos_[[#This Row],[Cantidad LNDV]]*Elementos_[[#This Row],[Valor de referencia]]</f>
        <v>0</v>
      </c>
      <c r="Q74" s="196"/>
      <c r="R74" s="159">
        <f>+Elementos_[[#This Row],[GGCA]]*Elementos_[[#This Row],[Valor de referencia]]</f>
        <v>0</v>
      </c>
      <c r="S74" s="166">
        <v>6</v>
      </c>
      <c r="T74" s="159">
        <f>+Elementos_[[#This Row],[Cantidad LDF]]*Elementos_[[#This Row],[Valor de referencia]]</f>
        <v>452616</v>
      </c>
      <c r="U74" s="197"/>
      <c r="V74" s="159">
        <f>+Elementos_[[#This Row],[Cantidad LDF&amp;MR]]*Elementos_[[#This Row],[Valor de referencia]]</f>
        <v>0</v>
      </c>
      <c r="W74" s="166"/>
      <c r="X74" s="159">
        <f>+Elementos_[[#This Row],[Cantidad RED LASE]]*Elementos_[[#This Row],[Valor de referencia]]</f>
        <v>0</v>
      </c>
      <c r="Y74" s="166"/>
      <c r="Z74" s="159">
        <f>+Elementos_[[#This Row],[Cantidad LANIA]]*Elementos_[[#This Row],[Valor de referencia]]</f>
        <v>0</v>
      </c>
      <c r="AA74" s="196"/>
      <c r="AB74" s="159">
        <f>+Elementos_[[#This Row],[Cantidad SPA]]*Elementos_[[#This Row],[Valor de referencia]]</f>
        <v>0</v>
      </c>
      <c r="AC74" s="166" t="s">
        <v>2049</v>
      </c>
    </row>
    <row r="75" spans="1:29" ht="12.75" x14ac:dyDescent="0.2">
      <c r="A75" s="294" t="str">
        <f>IF(B75=Elementos_[[#This Row],[Cantidad LANIP]],"LANIP",IF(B75=Elementos_[[#This Row],[Cantidad 
LDV]],"LDV",IF(B75=Elementos_[[#This Row],[Cantidad LNDV]],"LNDV",IF(B75=Elementos_[[#This Row],[GGCA]],"GGCA",IF(B75=Elementos_[[#This Row],[Cantidad LDF]],"LDF",IF(B75=Elementos_[[#This Row],[Cantidad LDF&amp;MR]],"LDF&amp;MR",IF(B75=Elementos_[[#This Row],[Cantidad RED LASE]],"LASE",IF(B75=Elementos_[[#This Row],[Cantidad LANIA]],"LANIA",IF(B75=Elementos_[[#This Row],[Cantidad SPA]],"SPA"," ")))))))))</f>
        <v>LASE</v>
      </c>
      <c r="B7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v>
      </c>
      <c r="C75" s="298">
        <v>73</v>
      </c>
      <c r="D75" s="190">
        <v>99</v>
      </c>
      <c r="E75" s="273" t="s">
        <v>2159</v>
      </c>
      <c r="F75" s="201" t="s">
        <v>183</v>
      </c>
      <c r="G75" s="202" t="s">
        <v>2054</v>
      </c>
      <c r="H7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70</v>
      </c>
      <c r="I75" s="194">
        <v>28373</v>
      </c>
      <c r="J75" s="194">
        <f>+Elementos_[[#This Row],[Valor de referencia]]*Elementos_[[#This Row],[Cantidad]]</f>
        <v>1986110</v>
      </c>
      <c r="K75" s="166"/>
      <c r="L75" s="159">
        <f>+Elementos_[[#This Row],[Cantidad LANIP]]*Elementos_[[#This Row],[Valor de referencia]]</f>
        <v>0</v>
      </c>
      <c r="M75" s="270">
        <v>0</v>
      </c>
      <c r="N75" s="195">
        <f>+Elementos_[[#This Row],[Cantidad 
LDV]]*Elementos_[[#This Row],[Valor de referencia]]</f>
        <v>0</v>
      </c>
      <c r="O75" s="166"/>
      <c r="P75" s="159">
        <f>+Elementos_[[#This Row],[Cantidad LNDV]]*Elementos_[[#This Row],[Valor de referencia]]</f>
        <v>0</v>
      </c>
      <c r="Q75" s="196"/>
      <c r="R75" s="159">
        <f>+Elementos_[[#This Row],[GGCA]]*Elementos_[[#This Row],[Valor de referencia]]</f>
        <v>0</v>
      </c>
      <c r="S75" s="166">
        <v>10</v>
      </c>
      <c r="T75" s="159">
        <f>+Elementos_[[#This Row],[Cantidad LDF]]*Elementos_[[#This Row],[Valor de referencia]]</f>
        <v>283730</v>
      </c>
      <c r="U75" s="197"/>
      <c r="V75" s="159">
        <f>+Elementos_[[#This Row],[Cantidad LDF&amp;MR]]*Elementos_[[#This Row],[Valor de referencia]]</f>
        <v>0</v>
      </c>
      <c r="W75" s="166">
        <v>60</v>
      </c>
      <c r="X75" s="159">
        <f>+Elementos_[[#This Row],[Cantidad RED LASE]]*Elementos_[[#This Row],[Valor de referencia]]</f>
        <v>1702380</v>
      </c>
      <c r="Y75" s="166"/>
      <c r="Z75" s="159">
        <f>+Elementos_[[#This Row],[Cantidad LANIA]]*Elementos_[[#This Row],[Valor de referencia]]</f>
        <v>0</v>
      </c>
      <c r="AA75" s="196"/>
      <c r="AB75" s="159">
        <f>+Elementos_[[#This Row],[Cantidad SPA]]*Elementos_[[#This Row],[Valor de referencia]]</f>
        <v>0</v>
      </c>
      <c r="AC75" s="166" t="s">
        <v>2049</v>
      </c>
    </row>
    <row r="76" spans="1:29" ht="24" x14ac:dyDescent="0.2">
      <c r="A76" s="294" t="str">
        <f>IF(B76=Elementos_[[#This Row],[Cantidad LANIP]],"LANIP",IF(B76=Elementos_[[#This Row],[Cantidad 
LDV]],"LDV",IF(B76=Elementos_[[#This Row],[Cantidad LNDV]],"LNDV",IF(B76=Elementos_[[#This Row],[GGCA]],"GGCA",IF(B76=Elementos_[[#This Row],[Cantidad LDF]],"LDF",IF(B76=Elementos_[[#This Row],[Cantidad LDF&amp;MR]],"LDF&amp;MR",IF(B76=Elementos_[[#This Row],[Cantidad RED LASE]],"LASE",IF(B76=Elementos_[[#This Row],[Cantidad LANIA]],"LANIA",IF(B76=Elementos_[[#This Row],[Cantidad SPA]],"SPA"," ")))))))))</f>
        <v>SPA</v>
      </c>
      <c r="B7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33</v>
      </c>
      <c r="C76" s="298">
        <v>74</v>
      </c>
      <c r="D76" s="190">
        <v>100</v>
      </c>
      <c r="E76" s="273" t="s">
        <v>2160</v>
      </c>
      <c r="F76" s="204" t="s">
        <v>183</v>
      </c>
      <c r="G76" s="192" t="s">
        <v>2154</v>
      </c>
      <c r="H7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48</v>
      </c>
      <c r="I76" s="194">
        <v>27701</v>
      </c>
      <c r="J76" s="194">
        <f>+Elementos_[[#This Row],[Valor de referencia]]*Elementos_[[#This Row],[Cantidad]]</f>
        <v>1329648</v>
      </c>
      <c r="K76" s="166">
        <v>5</v>
      </c>
      <c r="L76" s="159">
        <f>+Elementos_[[#This Row],[Cantidad LANIP]]*Elementos_[[#This Row],[Valor de referencia]]</f>
        <v>138505</v>
      </c>
      <c r="M76" s="270">
        <v>0</v>
      </c>
      <c r="N76" s="195">
        <f>+Elementos_[[#This Row],[Cantidad 
LDV]]*Elementos_[[#This Row],[Valor de referencia]]</f>
        <v>0</v>
      </c>
      <c r="O76" s="166"/>
      <c r="P76" s="159">
        <f>+Elementos_[[#This Row],[Cantidad LNDV]]*Elementos_[[#This Row],[Valor de referencia]]</f>
        <v>0</v>
      </c>
      <c r="Q76" s="196"/>
      <c r="R76" s="159">
        <f>+Elementos_[[#This Row],[GGCA]]*Elementos_[[#This Row],[Valor de referencia]]</f>
        <v>0</v>
      </c>
      <c r="S76" s="166">
        <v>10</v>
      </c>
      <c r="T76" s="194">
        <f>+Elementos_[[#This Row],[Cantidad LDF]]*Elementos_[[#This Row],[Valor de referencia]]</f>
        <v>277010</v>
      </c>
      <c r="U76" s="197"/>
      <c r="V76" s="194">
        <f>+Elementos_[[#This Row],[Cantidad LDF&amp;MR]]*Elementos_[[#This Row],[Valor de referencia]]</f>
        <v>0</v>
      </c>
      <c r="W76" s="166"/>
      <c r="X76" s="194">
        <f>+Elementos_[[#This Row],[Cantidad RED LASE]]*Elementos_[[#This Row],[Valor de referencia]]</f>
        <v>0</v>
      </c>
      <c r="Y76" s="166"/>
      <c r="Z76" s="194">
        <f>+Elementos_[[#This Row],[Cantidad LANIA]]*Elementos_[[#This Row],[Valor de referencia]]</f>
        <v>0</v>
      </c>
      <c r="AA76" s="196">
        <v>33</v>
      </c>
      <c r="AB76" s="194">
        <f>+Elementos_[[#This Row],[Cantidad SPA]]*Elementos_[[#This Row],[Valor de referencia]]</f>
        <v>914133</v>
      </c>
      <c r="AC76" s="166" t="s">
        <v>2049</v>
      </c>
    </row>
    <row r="77" spans="1:29" ht="12.75" x14ac:dyDescent="0.2">
      <c r="A77" s="294" t="str">
        <f>IF(B77=Elementos_[[#This Row],[Cantidad LANIP]],"LANIP",IF(B77=Elementos_[[#This Row],[Cantidad 
LDV]],"LDV",IF(B77=Elementos_[[#This Row],[Cantidad LNDV]],"LNDV",IF(B77=Elementos_[[#This Row],[GGCA]],"GGCA",IF(B77=Elementos_[[#This Row],[Cantidad LDF]],"LDF",IF(B77=Elementos_[[#This Row],[Cantidad LDF&amp;MR]],"LDF&amp;MR",IF(B77=Elementos_[[#This Row],[Cantidad RED LASE]],"LASE",IF(B77=Elementos_[[#This Row],[Cantidad LANIA]],"LANIA",IF(B77=Elementos_[[#This Row],[Cantidad SPA]],"SPA"," ")))))))))</f>
        <v>LASE</v>
      </c>
      <c r="B7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120</v>
      </c>
      <c r="C77" s="298">
        <v>75</v>
      </c>
      <c r="D77" s="190">
        <v>101</v>
      </c>
      <c r="E77" s="273" t="s">
        <v>2161</v>
      </c>
      <c r="F77" s="191" t="s">
        <v>183</v>
      </c>
      <c r="G77" s="202" t="s">
        <v>2162</v>
      </c>
      <c r="H7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136</v>
      </c>
      <c r="I77" s="194">
        <v>59500</v>
      </c>
      <c r="J77" s="194">
        <f>+Elementos_[[#This Row],[Valor de referencia]]*Elementos_[[#This Row],[Cantidad]]</f>
        <v>8092000</v>
      </c>
      <c r="K77" s="166"/>
      <c r="L77" s="159">
        <f>+Elementos_[[#This Row],[Cantidad LANIP]]*Elementos_[[#This Row],[Valor de referencia]]</f>
        <v>0</v>
      </c>
      <c r="M77" s="270">
        <v>0</v>
      </c>
      <c r="N77" s="195">
        <f>+Elementos_[[#This Row],[Cantidad 
LDV]]*Elementos_[[#This Row],[Valor de referencia]]</f>
        <v>0</v>
      </c>
      <c r="O77" s="166"/>
      <c r="P77" s="159">
        <f>+Elementos_[[#This Row],[Cantidad LNDV]]*Elementos_[[#This Row],[Valor de referencia]]</f>
        <v>0</v>
      </c>
      <c r="Q77" s="196"/>
      <c r="R77" s="159">
        <f>+Elementos_[[#This Row],[GGCA]]*Elementos_[[#This Row],[Valor de referencia]]</f>
        <v>0</v>
      </c>
      <c r="S77" s="166">
        <v>6</v>
      </c>
      <c r="T77" s="159">
        <f>+Elementos_[[#This Row],[Cantidad LDF]]*Elementos_[[#This Row],[Valor de referencia]]</f>
        <v>357000</v>
      </c>
      <c r="U77" s="197"/>
      <c r="V77" s="159">
        <f>+Elementos_[[#This Row],[Cantidad LDF&amp;MR]]*Elementos_[[#This Row],[Valor de referencia]]</f>
        <v>0</v>
      </c>
      <c r="W77" s="166">
        <v>120</v>
      </c>
      <c r="X77" s="159">
        <f>+Elementos_[[#This Row],[Cantidad RED LASE]]*Elementos_[[#This Row],[Valor de referencia]]</f>
        <v>7140000</v>
      </c>
      <c r="Y77" s="166">
        <v>10</v>
      </c>
      <c r="Z77" s="159">
        <f>+Elementos_[[#This Row],[Cantidad LANIA]]*Elementos_[[#This Row],[Valor de referencia]]</f>
        <v>595000</v>
      </c>
      <c r="AA77" s="196"/>
      <c r="AB77" s="159">
        <f>+Elementos_[[#This Row],[Cantidad SPA]]*Elementos_[[#This Row],[Valor de referencia]]</f>
        <v>0</v>
      </c>
      <c r="AC77" s="166" t="s">
        <v>2049</v>
      </c>
    </row>
    <row r="78" spans="1:29" ht="12.75" x14ac:dyDescent="0.2">
      <c r="A78" s="294" t="str">
        <f>IF(B78=Elementos_[[#This Row],[Cantidad LANIP]],"LANIP",IF(B78=Elementos_[[#This Row],[Cantidad 
LDV]],"LDV",IF(B78=Elementos_[[#This Row],[Cantidad LNDV]],"LNDV",IF(B78=Elementos_[[#This Row],[GGCA]],"GGCA",IF(B78=Elementos_[[#This Row],[Cantidad LDF]],"LDF",IF(B78=Elementos_[[#This Row],[Cantidad LDF&amp;MR]],"LDF&amp;MR",IF(B78=Elementos_[[#This Row],[Cantidad RED LASE]],"LASE",IF(B78=Elementos_[[#This Row],[Cantidad LANIA]],"LANIA",IF(B78=Elementos_[[#This Row],[Cantidad SPA]],"SPA"," ")))))))))</f>
        <v>SPA</v>
      </c>
      <c r="B7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78" s="298">
        <v>76</v>
      </c>
      <c r="D78" s="190">
        <v>103</v>
      </c>
      <c r="E78" s="211" t="s">
        <v>2163</v>
      </c>
      <c r="F78" s="212" t="s">
        <v>183</v>
      </c>
      <c r="G78" s="192" t="s">
        <v>2054</v>
      </c>
      <c r="H7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78" s="194">
        <v>96627</v>
      </c>
      <c r="J78" s="194">
        <f>+Elementos_[[#This Row],[Valor de referencia]]*Elementos_[[#This Row],[Cantidad]]</f>
        <v>1449405</v>
      </c>
      <c r="K78" s="166"/>
      <c r="L78" s="159">
        <f>+Elementos_[[#This Row],[Cantidad LANIP]]*Elementos_[[#This Row],[Valor de referencia]]</f>
        <v>0</v>
      </c>
      <c r="M78" s="270">
        <v>0</v>
      </c>
      <c r="N78" s="195">
        <f>+Elementos_[[#This Row],[Cantidad 
LDV]]*Elementos_[[#This Row],[Valor de referencia]]</f>
        <v>0</v>
      </c>
      <c r="O78" s="166"/>
      <c r="P78" s="159">
        <f>+Elementos_[[#This Row],[Cantidad LNDV]]*Elementos_[[#This Row],[Valor de referencia]]</f>
        <v>0</v>
      </c>
      <c r="Q78" s="196"/>
      <c r="R78" s="159">
        <f>+Elementos_[[#This Row],[GGCA]]*Elementos_[[#This Row],[Valor de referencia]]</f>
        <v>0</v>
      </c>
      <c r="S78" s="166"/>
      <c r="T78" s="194">
        <f>+Elementos_[[#This Row],[Cantidad LDF]]*Elementos_[[#This Row],[Valor de referencia]]</f>
        <v>0</v>
      </c>
      <c r="U78" s="197"/>
      <c r="V78" s="194">
        <f>+Elementos_[[#This Row],[Cantidad LDF&amp;MR]]*Elementos_[[#This Row],[Valor de referencia]]</f>
        <v>0</v>
      </c>
      <c r="W78" s="166"/>
      <c r="X78" s="194">
        <f>+Elementos_[[#This Row],[Cantidad RED LASE]]*Elementos_[[#This Row],[Valor de referencia]]</f>
        <v>0</v>
      </c>
      <c r="Y78" s="166"/>
      <c r="Z78" s="194">
        <f>+Elementos_[[#This Row],[Cantidad LANIA]]*Elementos_[[#This Row],[Valor de referencia]]</f>
        <v>0</v>
      </c>
      <c r="AA78" s="196">
        <v>15</v>
      </c>
      <c r="AB78" s="194">
        <f>+Elementos_[[#This Row],[Cantidad SPA]]*Elementos_[[#This Row],[Valor de referencia]]</f>
        <v>1449405</v>
      </c>
      <c r="AC78" s="166" t="s">
        <v>2049</v>
      </c>
    </row>
    <row r="79" spans="1:29" ht="24" x14ac:dyDescent="0.2">
      <c r="A79" s="294" t="str">
        <f>IF(B79=Elementos_[[#This Row],[Cantidad LANIP]],"LANIP",IF(B79=Elementos_[[#This Row],[Cantidad 
LDV]],"LDV",IF(B79=Elementos_[[#This Row],[Cantidad LNDV]],"LNDV",IF(B79=Elementos_[[#This Row],[GGCA]],"GGCA",IF(B79=Elementos_[[#This Row],[Cantidad LDF]],"LDF",IF(B79=Elementos_[[#This Row],[Cantidad LDF&amp;MR]],"LDF&amp;MR",IF(B79=Elementos_[[#This Row],[Cantidad RED LASE]],"LASE",IF(B79=Elementos_[[#This Row],[Cantidad LANIA]],"LANIA",IF(B79=Elementos_[[#This Row],[Cantidad SPA]],"SPA"," ")))))))))</f>
        <v>SPA</v>
      </c>
      <c r="B7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C79" s="298">
        <v>77</v>
      </c>
      <c r="D79" s="190">
        <v>104</v>
      </c>
      <c r="E79" s="235" t="s">
        <v>2164</v>
      </c>
      <c r="F79" s="213" t="s">
        <v>183</v>
      </c>
      <c r="G79" s="192" t="s">
        <v>2165</v>
      </c>
      <c r="H7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82</v>
      </c>
      <c r="I79" s="194">
        <v>64750</v>
      </c>
      <c r="J79" s="194">
        <f>+Elementos_[[#This Row],[Valor de referencia]]*Elementos_[[#This Row],[Cantidad]]</f>
        <v>5309500</v>
      </c>
      <c r="K79" s="166">
        <v>8</v>
      </c>
      <c r="L79" s="159">
        <f>+Elementos_[[#This Row],[Cantidad LANIP]]*Elementos_[[#This Row],[Valor de referencia]]</f>
        <v>518000</v>
      </c>
      <c r="M79" s="270">
        <v>0</v>
      </c>
      <c r="N79" s="195">
        <f>+Elementos_[[#This Row],[Cantidad 
LDV]]*Elementos_[[#This Row],[Valor de referencia]]</f>
        <v>0</v>
      </c>
      <c r="O79" s="166">
        <v>20</v>
      </c>
      <c r="P79" s="159">
        <f>+Elementos_[[#This Row],[Cantidad LNDV]]*Elementos_[[#This Row],[Valor de referencia]]</f>
        <v>1295000</v>
      </c>
      <c r="Q79" s="196"/>
      <c r="R79" s="159">
        <f>+Elementos_[[#This Row],[GGCA]]*Elementos_[[#This Row],[Valor de referencia]]</f>
        <v>0</v>
      </c>
      <c r="S79" s="166">
        <v>4</v>
      </c>
      <c r="T79" s="194">
        <f>+Elementos_[[#This Row],[Cantidad LDF]]*Elementos_[[#This Row],[Valor de referencia]]</f>
        <v>259000</v>
      </c>
      <c r="U79" s="197"/>
      <c r="V79" s="194">
        <f>+Elementos_[[#This Row],[Cantidad LDF&amp;MR]]*Elementos_[[#This Row],[Valor de referencia]]</f>
        <v>0</v>
      </c>
      <c r="W79" s="166"/>
      <c r="X79" s="194">
        <f>+Elementos_[[#This Row],[Cantidad RED LASE]]*Elementos_[[#This Row],[Valor de referencia]]</f>
        <v>0</v>
      </c>
      <c r="Y79" s="166"/>
      <c r="Z79" s="194">
        <f>+Elementos_[[#This Row],[Cantidad LANIA]]*Elementos_[[#This Row],[Valor de referencia]]</f>
        <v>0</v>
      </c>
      <c r="AA79" s="196">
        <v>50</v>
      </c>
      <c r="AB79" s="194">
        <f>+Elementos_[[#This Row],[Cantidad SPA]]*Elementos_[[#This Row],[Valor de referencia]]</f>
        <v>3237500</v>
      </c>
      <c r="AC79" s="166" t="s">
        <v>2049</v>
      </c>
    </row>
    <row r="80" spans="1:29" ht="24" x14ac:dyDescent="0.2">
      <c r="A80" s="294" t="str">
        <f>IF(B80=Elementos_[[#This Row],[Cantidad LANIP]],"LANIP",IF(B80=Elementos_[[#This Row],[Cantidad 
LDV]],"LDV",IF(B80=Elementos_[[#This Row],[Cantidad LNDV]],"LNDV",IF(B80=Elementos_[[#This Row],[GGCA]],"GGCA",IF(B80=Elementos_[[#This Row],[Cantidad LDF]],"LDF",IF(B80=Elementos_[[#This Row],[Cantidad LDF&amp;MR]],"LDF&amp;MR",IF(B80=Elementos_[[#This Row],[Cantidad RED LASE]],"LASE",IF(B80=Elementos_[[#This Row],[Cantidad LANIA]],"LANIA",IF(B80=Elementos_[[#This Row],[Cantidad SPA]],"SPA"," ")))))))))</f>
        <v>SPA</v>
      </c>
      <c r="B8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C80" s="298">
        <v>78</v>
      </c>
      <c r="D80" s="190">
        <v>105</v>
      </c>
      <c r="E80" s="205" t="s">
        <v>2166</v>
      </c>
      <c r="F80" s="200" t="s">
        <v>183</v>
      </c>
      <c r="G80" s="192" t="s">
        <v>2165</v>
      </c>
      <c r="H8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131</v>
      </c>
      <c r="I80" s="194">
        <v>124092</v>
      </c>
      <c r="J80" s="194">
        <f>+Elementos_[[#This Row],[Valor de referencia]]*Elementos_[[#This Row],[Cantidad]]</f>
        <v>16256052</v>
      </c>
      <c r="K80" s="166"/>
      <c r="L80" s="159">
        <f>+Elementos_[[#This Row],[Cantidad LANIP]]*Elementos_[[#This Row],[Valor de referencia]]</f>
        <v>0</v>
      </c>
      <c r="M80" s="270">
        <v>48</v>
      </c>
      <c r="N80" s="195">
        <f>+Elementos_[[#This Row],[Cantidad 
LDV]]*Elementos_[[#This Row],[Valor de referencia]]</f>
        <v>5956416</v>
      </c>
      <c r="O80" s="166">
        <v>20</v>
      </c>
      <c r="P80" s="159">
        <f>+Elementos_[[#This Row],[Cantidad LNDV]]*Elementos_[[#This Row],[Valor de referencia]]</f>
        <v>2481840</v>
      </c>
      <c r="Q80" s="196"/>
      <c r="R80" s="159">
        <f>+Elementos_[[#This Row],[GGCA]]*Elementos_[[#This Row],[Valor de referencia]]</f>
        <v>0</v>
      </c>
      <c r="S80" s="166">
        <v>13</v>
      </c>
      <c r="T80" s="194">
        <f>+Elementos_[[#This Row],[Cantidad LDF]]*Elementos_[[#This Row],[Valor de referencia]]</f>
        <v>1613196</v>
      </c>
      <c r="U80" s="197"/>
      <c r="V80" s="194">
        <f>+Elementos_[[#This Row],[Cantidad LDF&amp;MR]]*Elementos_[[#This Row],[Valor de referencia]]</f>
        <v>0</v>
      </c>
      <c r="W80" s="166"/>
      <c r="X80" s="194">
        <f>+Elementos_[[#This Row],[Cantidad RED LASE]]*Elementos_[[#This Row],[Valor de referencia]]</f>
        <v>0</v>
      </c>
      <c r="Y80" s="166"/>
      <c r="Z80" s="194">
        <f>+Elementos_[[#This Row],[Cantidad LANIA]]*Elementos_[[#This Row],[Valor de referencia]]</f>
        <v>0</v>
      </c>
      <c r="AA80" s="196">
        <v>50</v>
      </c>
      <c r="AB80" s="194">
        <f>+Elementos_[[#This Row],[Cantidad SPA]]*Elementos_[[#This Row],[Valor de referencia]]</f>
        <v>6204600</v>
      </c>
      <c r="AC80" s="166" t="s">
        <v>2049</v>
      </c>
    </row>
    <row r="81" spans="1:29" ht="24" x14ac:dyDescent="0.2">
      <c r="A81" s="294" t="str">
        <f>IF(B81=Elementos_[[#This Row],[Cantidad LANIP]],"LANIP",IF(B81=Elementos_[[#This Row],[Cantidad 
LDV]],"LDV",IF(B81=Elementos_[[#This Row],[Cantidad LNDV]],"LNDV",IF(B81=Elementos_[[#This Row],[GGCA]],"GGCA",IF(B81=Elementos_[[#This Row],[Cantidad LDF]],"LDF",IF(B81=Elementos_[[#This Row],[Cantidad LDF&amp;MR]],"LDF&amp;MR",IF(B81=Elementos_[[#This Row],[Cantidad RED LASE]],"LASE",IF(B81=Elementos_[[#This Row],[Cantidad LANIA]],"LANIA",IF(B81=Elementos_[[#This Row],[Cantidad SPA]],"SPA"," ")))))))))</f>
        <v>LNDV</v>
      </c>
      <c r="B8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C81" s="298">
        <v>79</v>
      </c>
      <c r="D81" s="190">
        <v>106</v>
      </c>
      <c r="E81" s="273" t="s">
        <v>2167</v>
      </c>
      <c r="F81" s="204" t="s">
        <v>183</v>
      </c>
      <c r="G81" s="192" t="s">
        <v>2165</v>
      </c>
      <c r="H8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92</v>
      </c>
      <c r="I81" s="194">
        <v>272666</v>
      </c>
      <c r="J81" s="194">
        <f>+Elementos_[[#This Row],[Valor de referencia]]*Elementos_[[#This Row],[Cantidad]]</f>
        <v>25085272</v>
      </c>
      <c r="K81" s="166"/>
      <c r="L81" s="159">
        <f>+Elementos_[[#This Row],[Cantidad LANIP]]*Elementos_[[#This Row],[Valor de referencia]]</f>
        <v>0</v>
      </c>
      <c r="M81" s="270">
        <v>36</v>
      </c>
      <c r="N81" s="195">
        <f>+Elementos_[[#This Row],[Cantidad 
LDV]]*Elementos_[[#This Row],[Valor de referencia]]</f>
        <v>9815976</v>
      </c>
      <c r="O81" s="166">
        <v>50</v>
      </c>
      <c r="P81" s="159">
        <f>+Elementos_[[#This Row],[Cantidad LNDV]]*Elementos_[[#This Row],[Valor de referencia]]</f>
        <v>13633300</v>
      </c>
      <c r="Q81" s="196"/>
      <c r="R81" s="159">
        <f>+Elementos_[[#This Row],[GGCA]]*Elementos_[[#This Row],[Valor de referencia]]</f>
        <v>0</v>
      </c>
      <c r="S81" s="166">
        <v>6</v>
      </c>
      <c r="T81" s="159">
        <f>+Elementos_[[#This Row],[Cantidad LDF]]*Elementos_[[#This Row],[Valor de referencia]]</f>
        <v>1635996</v>
      </c>
      <c r="U81" s="197"/>
      <c r="V81" s="159">
        <f>+Elementos_[[#This Row],[Cantidad LDF&amp;MR]]*Elementos_[[#This Row],[Valor de referencia]]</f>
        <v>0</v>
      </c>
      <c r="W81" s="166"/>
      <c r="X81" s="159">
        <f>+Elementos_[[#This Row],[Cantidad RED LASE]]*Elementos_[[#This Row],[Valor de referencia]]</f>
        <v>0</v>
      </c>
      <c r="Y81" s="166"/>
      <c r="Z81" s="159">
        <f>+Elementos_[[#This Row],[Cantidad LANIA]]*Elementos_[[#This Row],[Valor de referencia]]</f>
        <v>0</v>
      </c>
      <c r="AA81" s="196"/>
      <c r="AB81" s="159">
        <f>+Elementos_[[#This Row],[Cantidad SPA]]*Elementos_[[#This Row],[Valor de referencia]]</f>
        <v>0</v>
      </c>
      <c r="AC81" s="166" t="s">
        <v>2049</v>
      </c>
    </row>
    <row r="82" spans="1:29" ht="12.75" x14ac:dyDescent="0.2">
      <c r="A82" s="294" t="str">
        <f>IF(B82=Elementos_[[#This Row],[Cantidad LANIP]],"LANIP",IF(B82=Elementos_[[#This Row],[Cantidad 
LDV]],"LDV",IF(B82=Elementos_[[#This Row],[Cantidad LNDV]],"LNDV",IF(B82=Elementos_[[#This Row],[GGCA]],"GGCA",IF(B82=Elementos_[[#This Row],[Cantidad LDF]],"LDF",IF(B82=Elementos_[[#This Row],[Cantidad LDF&amp;MR]],"LDF&amp;MR",IF(B82=Elementos_[[#This Row],[Cantidad RED LASE]],"LASE",IF(B82=Elementos_[[#This Row],[Cantidad LANIA]],"LANIA",IF(B82=Elementos_[[#This Row],[Cantidad SPA]],"SPA"," ")))))))))</f>
        <v>LDF</v>
      </c>
      <c r="B8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82" s="298">
        <v>80</v>
      </c>
      <c r="D82" s="190">
        <v>108</v>
      </c>
      <c r="E82" s="277" t="s">
        <v>2168</v>
      </c>
      <c r="F82" s="205" t="s">
        <v>183</v>
      </c>
      <c r="G82" s="192" t="s">
        <v>2169</v>
      </c>
      <c r="H8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82" s="194">
        <v>52653</v>
      </c>
      <c r="J82" s="194">
        <f>+Elementos_[[#This Row],[Valor de referencia]]*Elementos_[[#This Row],[Cantidad]]</f>
        <v>105306</v>
      </c>
      <c r="K82" s="166"/>
      <c r="L82" s="159">
        <f>+Elementos_[[#This Row],[Cantidad LANIP]]*Elementos_[[#This Row],[Valor de referencia]]</f>
        <v>0</v>
      </c>
      <c r="M82" s="270">
        <v>0</v>
      </c>
      <c r="N82" s="195">
        <f>+Elementos_[[#This Row],[Cantidad 
LDV]]*Elementos_[[#This Row],[Valor de referencia]]</f>
        <v>0</v>
      </c>
      <c r="O82" s="166"/>
      <c r="P82" s="159">
        <f>+Elementos_[[#This Row],[Cantidad LNDV]]*Elementos_[[#This Row],[Valor de referencia]]</f>
        <v>0</v>
      </c>
      <c r="Q82" s="196"/>
      <c r="R82" s="159">
        <f>+Elementos_[[#This Row],[GGCA]]*Elementos_[[#This Row],[Valor de referencia]]</f>
        <v>0</v>
      </c>
      <c r="S82" s="166">
        <v>1</v>
      </c>
      <c r="T82" s="159">
        <f>+Elementos_[[#This Row],[Cantidad LDF]]*Elementos_[[#This Row],[Valor de referencia]]</f>
        <v>52653</v>
      </c>
      <c r="U82" s="197"/>
      <c r="V82" s="159">
        <f>+Elementos_[[#This Row],[Cantidad LDF&amp;MR]]*Elementos_[[#This Row],[Valor de referencia]]</f>
        <v>0</v>
      </c>
      <c r="W82" s="166"/>
      <c r="X82" s="159">
        <f>+Elementos_[[#This Row],[Cantidad RED LASE]]*Elementos_[[#This Row],[Valor de referencia]]</f>
        <v>0</v>
      </c>
      <c r="Y82" s="166">
        <v>1</v>
      </c>
      <c r="Z82" s="159">
        <f>+Elementos_[[#This Row],[Cantidad LANIA]]*Elementos_[[#This Row],[Valor de referencia]]</f>
        <v>52653</v>
      </c>
      <c r="AA82" s="196"/>
      <c r="AB82" s="159">
        <f>+Elementos_[[#This Row],[Cantidad SPA]]*Elementos_[[#This Row],[Valor de referencia]]</f>
        <v>0</v>
      </c>
      <c r="AC82" s="166" t="s">
        <v>2049</v>
      </c>
    </row>
    <row r="83" spans="1:29" ht="24" x14ac:dyDescent="0.2">
      <c r="A83" s="294" t="str">
        <f>IF(B83=Elementos_[[#This Row],[Cantidad LANIP]],"LANIP",IF(B83=Elementos_[[#This Row],[Cantidad 
LDV]],"LDV",IF(B83=Elementos_[[#This Row],[Cantidad LNDV]],"LNDV",IF(B83=Elementos_[[#This Row],[GGCA]],"GGCA",IF(B83=Elementos_[[#This Row],[Cantidad LDF]],"LDF",IF(B83=Elementos_[[#This Row],[Cantidad LDF&amp;MR]],"LDF&amp;MR",IF(B83=Elementos_[[#This Row],[Cantidad RED LASE]],"LASE",IF(B83=Elementos_[[#This Row],[Cantidad LANIA]],"LANIA",IF(B83=Elementos_[[#This Row],[Cantidad SPA]],"SPA"," ")))))))))</f>
        <v>LDF&amp;MR</v>
      </c>
      <c r="B8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83" s="298">
        <v>81</v>
      </c>
      <c r="D83" s="190">
        <v>111</v>
      </c>
      <c r="E83" s="277" t="s">
        <v>2170</v>
      </c>
      <c r="F83" s="200" t="s">
        <v>2171</v>
      </c>
      <c r="G83" s="199" t="s">
        <v>525</v>
      </c>
      <c r="H8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83" s="194">
        <v>149821</v>
      </c>
      <c r="J83" s="194">
        <f>+Elementos_[[#This Row],[Valor de referencia]]*Elementos_[[#This Row],[Cantidad]]</f>
        <v>1947673</v>
      </c>
      <c r="K83" s="166"/>
      <c r="L83" s="159">
        <f>+Elementos_[[#This Row],[Cantidad LANIP]]*Elementos_[[#This Row],[Valor de referencia]]</f>
        <v>0</v>
      </c>
      <c r="M83" s="270">
        <v>0</v>
      </c>
      <c r="N83" s="195">
        <f>+Elementos_[[#This Row],[Cantidad 
LDV]]*Elementos_[[#This Row],[Valor de referencia]]</f>
        <v>0</v>
      </c>
      <c r="O83" s="166"/>
      <c r="P83" s="159">
        <f>+Elementos_[[#This Row],[Cantidad LNDV]]*Elementos_[[#This Row],[Valor de referencia]]</f>
        <v>0</v>
      </c>
      <c r="Q83" s="196"/>
      <c r="R83" s="159">
        <f>+Elementos_[[#This Row],[GGCA]]*Elementos_[[#This Row],[Valor de referencia]]</f>
        <v>0</v>
      </c>
      <c r="S83" s="166">
        <v>3</v>
      </c>
      <c r="T83" s="159">
        <f>+Elementos_[[#This Row],[Cantidad LDF]]*Elementos_[[#This Row],[Valor de referencia]]</f>
        <v>449463</v>
      </c>
      <c r="U83" s="197">
        <v>10</v>
      </c>
      <c r="V83" s="159">
        <f>+Elementos_[[#This Row],[Cantidad LDF&amp;MR]]*Elementos_[[#This Row],[Valor de referencia]]</f>
        <v>1498210</v>
      </c>
      <c r="W83" s="166"/>
      <c r="X83" s="159">
        <f>+Elementos_[[#This Row],[Cantidad RED LASE]]*Elementos_[[#This Row],[Valor de referencia]]</f>
        <v>0</v>
      </c>
      <c r="Y83" s="166"/>
      <c r="Z83" s="159">
        <f>+Elementos_[[#This Row],[Cantidad LANIA]]*Elementos_[[#This Row],[Valor de referencia]]</f>
        <v>0</v>
      </c>
      <c r="AA83" s="196"/>
      <c r="AB83" s="159">
        <f>+Elementos_[[#This Row],[Cantidad SPA]]*Elementos_[[#This Row],[Valor de referencia]]</f>
        <v>0</v>
      </c>
      <c r="AC83" s="166" t="s">
        <v>2049</v>
      </c>
    </row>
    <row r="84" spans="1:29" ht="36" x14ac:dyDescent="0.2">
      <c r="A84" s="294" t="str">
        <f>IF(B84=Elementos_[[#This Row],[Cantidad LANIP]],"LANIP",IF(B84=Elementos_[[#This Row],[Cantidad 
LDV]],"LDV",IF(B84=Elementos_[[#This Row],[Cantidad LNDV]],"LNDV",IF(B84=Elementos_[[#This Row],[GGCA]],"GGCA",IF(B84=Elementos_[[#This Row],[Cantidad LDF]],"LDF",IF(B84=Elementos_[[#This Row],[Cantidad LDF&amp;MR]],"LDF&amp;MR",IF(B84=Elementos_[[#This Row],[Cantidad RED LASE]],"LASE",IF(B84=Elementos_[[#This Row],[Cantidad LANIA]],"LANIA",IF(B84=Elementos_[[#This Row],[Cantidad SPA]],"SPA"," ")))))))))</f>
        <v>LANIA</v>
      </c>
      <c r="B8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84" s="298">
        <v>82</v>
      </c>
      <c r="D84" s="190">
        <v>112</v>
      </c>
      <c r="E84" s="411" t="s">
        <v>2172</v>
      </c>
      <c r="F84" s="204" t="s">
        <v>2173</v>
      </c>
      <c r="G84" s="192" t="s">
        <v>525</v>
      </c>
      <c r="H8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84" s="194">
        <v>2256790</v>
      </c>
      <c r="J84" s="194">
        <f>+Elementos_[[#This Row],[Valor de referencia]]*Elementos_[[#This Row],[Cantidad]]</f>
        <v>2256790</v>
      </c>
      <c r="K84" s="166"/>
      <c r="L84" s="159">
        <f>+Elementos_[[#This Row],[Cantidad LANIP]]*Elementos_[[#This Row],[Valor de referencia]]</f>
        <v>0</v>
      </c>
      <c r="M84" s="270">
        <v>0</v>
      </c>
      <c r="N84" s="195">
        <f>+Elementos_[[#This Row],[Cantidad 
LDV]]*Elementos_[[#This Row],[Valor de referencia]]</f>
        <v>0</v>
      </c>
      <c r="O84" s="166"/>
      <c r="P84" s="159">
        <f>+Elementos_[[#This Row],[Cantidad LNDV]]*Elementos_[[#This Row],[Valor de referencia]]</f>
        <v>0</v>
      </c>
      <c r="Q84" s="196"/>
      <c r="R84" s="159">
        <f>+Elementos_[[#This Row],[GGCA]]*Elementos_[[#This Row],[Valor de referencia]]</f>
        <v>0</v>
      </c>
      <c r="S84" s="166"/>
      <c r="T84" s="159">
        <f>+Elementos_[[#This Row],[Cantidad LDF]]*Elementos_[[#This Row],[Valor de referencia]]</f>
        <v>0</v>
      </c>
      <c r="U84" s="197"/>
      <c r="V84" s="159">
        <f>+Elementos_[[#This Row],[Cantidad LDF&amp;MR]]*Elementos_[[#This Row],[Valor de referencia]]</f>
        <v>0</v>
      </c>
      <c r="W84" s="166"/>
      <c r="X84" s="159">
        <f>+Elementos_[[#This Row],[Cantidad RED LASE]]*Elementos_[[#This Row],[Valor de referencia]]</f>
        <v>0</v>
      </c>
      <c r="Y84" s="166">
        <v>1</v>
      </c>
      <c r="Z84" s="159">
        <f>+Elementos_[[#This Row],[Cantidad LANIA]]*Elementos_[[#This Row],[Valor de referencia]]</f>
        <v>2256790</v>
      </c>
      <c r="AA84" s="196"/>
      <c r="AB84" s="159">
        <f>+Elementos_[[#This Row],[Cantidad SPA]]*Elementos_[[#This Row],[Valor de referencia]]</f>
        <v>0</v>
      </c>
      <c r="AC84" s="166" t="s">
        <v>2041</v>
      </c>
    </row>
    <row r="85" spans="1:29" ht="24" x14ac:dyDescent="0.2">
      <c r="A85" s="294" t="str">
        <f>IF(B85=Elementos_[[#This Row],[Cantidad LANIP]],"LANIP",IF(B85=Elementos_[[#This Row],[Cantidad 
LDV]],"LDV",IF(B85=Elementos_[[#This Row],[Cantidad LNDV]],"LNDV",IF(B85=Elementos_[[#This Row],[GGCA]],"GGCA",IF(B85=Elementos_[[#This Row],[Cantidad LDF]],"LDF",IF(B85=Elementos_[[#This Row],[Cantidad LDF&amp;MR]],"LDF&amp;MR",IF(B85=Elementos_[[#This Row],[Cantidad RED LASE]],"LASE",IF(B85=Elementos_[[#This Row],[Cantidad LANIA]],"LANIA",IF(B85=Elementos_[[#This Row],[Cantidad SPA]],"SPA"," ")))))))))</f>
        <v>LANIP</v>
      </c>
      <c r="B8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85" s="298">
        <v>83</v>
      </c>
      <c r="D85" s="190">
        <v>113</v>
      </c>
      <c r="E85" s="273" t="s">
        <v>2174</v>
      </c>
      <c r="F85" s="204" t="s">
        <v>183</v>
      </c>
      <c r="G85" s="192" t="s">
        <v>525</v>
      </c>
      <c r="H8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85" s="194">
        <v>1586100</v>
      </c>
      <c r="J85" s="194">
        <f>+Elementos_[[#This Row],[Valor de referencia]]*Elementos_[[#This Row],[Cantidad]]</f>
        <v>4758300</v>
      </c>
      <c r="K85" s="166">
        <v>3</v>
      </c>
      <c r="L85" s="159">
        <f>+Elementos_[[#This Row],[Cantidad LANIP]]*Elementos_[[#This Row],[Valor de referencia]]</f>
        <v>4758300</v>
      </c>
      <c r="M85" s="270">
        <v>0</v>
      </c>
      <c r="N85" s="195">
        <f>+Elementos_[[#This Row],[Cantidad 
LDV]]*Elementos_[[#This Row],[Valor de referencia]]</f>
        <v>0</v>
      </c>
      <c r="O85" s="166"/>
      <c r="P85" s="159">
        <f>+Elementos_[[#This Row],[Cantidad LNDV]]*Elementos_[[#This Row],[Valor de referencia]]</f>
        <v>0</v>
      </c>
      <c r="Q85" s="196"/>
      <c r="R85" s="159">
        <f>+Elementos_[[#This Row],[GGCA]]*Elementos_[[#This Row],[Valor de referencia]]</f>
        <v>0</v>
      </c>
      <c r="S85" s="166"/>
      <c r="T85" s="159">
        <f>+Elementos_[[#This Row],[Cantidad LDF]]*Elementos_[[#This Row],[Valor de referencia]]</f>
        <v>0</v>
      </c>
      <c r="U85" s="197"/>
      <c r="V85" s="159">
        <f>+Elementos_[[#This Row],[Cantidad LDF&amp;MR]]*Elementos_[[#This Row],[Valor de referencia]]</f>
        <v>0</v>
      </c>
      <c r="W85" s="166"/>
      <c r="X85" s="159">
        <f>+Elementos_[[#This Row],[Cantidad RED LASE]]*Elementos_[[#This Row],[Valor de referencia]]</f>
        <v>0</v>
      </c>
      <c r="Y85" s="166"/>
      <c r="Z85" s="159">
        <f>+Elementos_[[#This Row],[Cantidad LANIA]]*Elementos_[[#This Row],[Valor de referencia]]</f>
        <v>0</v>
      </c>
      <c r="AA85" s="196"/>
      <c r="AB85" s="159">
        <f>+Elementos_[[#This Row],[Cantidad SPA]]*Elementos_[[#This Row],[Valor de referencia]]</f>
        <v>0</v>
      </c>
      <c r="AC85" s="166" t="s">
        <v>2049</v>
      </c>
    </row>
    <row r="86" spans="1:29" ht="24" x14ac:dyDescent="0.2">
      <c r="A86" s="294" t="str">
        <f>IF(B86=Elementos_[[#This Row],[Cantidad LANIP]],"LANIP",IF(B86=Elementos_[[#This Row],[Cantidad 
LDV]],"LDV",IF(B86=Elementos_[[#This Row],[Cantidad LNDV]],"LNDV",IF(B86=Elementos_[[#This Row],[GGCA]],"GGCA",IF(B86=Elementos_[[#This Row],[Cantidad LDF]],"LDF",IF(B86=Elementos_[[#This Row],[Cantidad LDF&amp;MR]],"LDF&amp;MR",IF(B86=Elementos_[[#This Row],[Cantidad RED LASE]],"LASE",IF(B86=Elementos_[[#This Row],[Cantidad LANIA]],"LANIA",IF(B86=Elementos_[[#This Row],[Cantidad SPA]],"SPA"," ")))))))))</f>
        <v>LANIP</v>
      </c>
      <c r="B8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86" s="298">
        <v>84</v>
      </c>
      <c r="D86" s="190">
        <v>114</v>
      </c>
      <c r="E86" s="235" t="s">
        <v>2175</v>
      </c>
      <c r="F86" s="206" t="s">
        <v>2176</v>
      </c>
      <c r="G86" s="192" t="s">
        <v>525</v>
      </c>
      <c r="H8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86" s="194">
        <v>203944</v>
      </c>
      <c r="J86" s="194">
        <f>+Elementos_[[#This Row],[Valor de referencia]]*Elementos_[[#This Row],[Cantidad]]</f>
        <v>1223664</v>
      </c>
      <c r="K86" s="166">
        <v>4</v>
      </c>
      <c r="L86" s="159">
        <f>+Elementos_[[#This Row],[Cantidad LANIP]]*Elementos_[[#This Row],[Valor de referencia]]</f>
        <v>815776</v>
      </c>
      <c r="M86" s="270">
        <v>0</v>
      </c>
      <c r="N86" s="195">
        <f>+Elementos_[[#This Row],[Cantidad 
LDV]]*Elementos_[[#This Row],[Valor de referencia]]</f>
        <v>0</v>
      </c>
      <c r="O86" s="166"/>
      <c r="P86" s="159">
        <f>+Elementos_[[#This Row],[Cantidad LNDV]]*Elementos_[[#This Row],[Valor de referencia]]</f>
        <v>0</v>
      </c>
      <c r="Q86" s="196"/>
      <c r="R86" s="159">
        <f>+Elementos_[[#This Row],[GGCA]]*Elementos_[[#This Row],[Valor de referencia]]</f>
        <v>0</v>
      </c>
      <c r="S86" s="166"/>
      <c r="T86" s="159">
        <f>+Elementos_[[#This Row],[Cantidad LDF]]*Elementos_[[#This Row],[Valor de referencia]]</f>
        <v>0</v>
      </c>
      <c r="U86" s="197"/>
      <c r="V86" s="159">
        <f>+Elementos_[[#This Row],[Cantidad LDF&amp;MR]]*Elementos_[[#This Row],[Valor de referencia]]</f>
        <v>0</v>
      </c>
      <c r="W86" s="166"/>
      <c r="X86" s="159">
        <f>+Elementos_[[#This Row],[Cantidad RED LASE]]*Elementos_[[#This Row],[Valor de referencia]]</f>
        <v>0</v>
      </c>
      <c r="Y86" s="166">
        <v>2</v>
      </c>
      <c r="Z86" s="159">
        <f>+Elementos_[[#This Row],[Cantidad LANIA]]*Elementos_[[#This Row],[Valor de referencia]]</f>
        <v>407888</v>
      </c>
      <c r="AA86" s="196"/>
      <c r="AB86" s="159">
        <f>+Elementos_[[#This Row],[Cantidad SPA]]*Elementos_[[#This Row],[Valor de referencia]]</f>
        <v>0</v>
      </c>
      <c r="AC86" s="166" t="s">
        <v>2041</v>
      </c>
    </row>
    <row r="87" spans="1:29" ht="24" x14ac:dyDescent="0.2">
      <c r="A87" s="294" t="str">
        <f>IF(B87=Elementos_[[#This Row],[Cantidad LANIP]],"LANIP",IF(B87=Elementos_[[#This Row],[Cantidad 
LDV]],"LDV",IF(B87=Elementos_[[#This Row],[Cantidad LNDV]],"LNDV",IF(B87=Elementos_[[#This Row],[GGCA]],"GGCA",IF(B87=Elementos_[[#This Row],[Cantidad LDF]],"LDF",IF(B87=Elementos_[[#This Row],[Cantidad LDF&amp;MR]],"LDF&amp;MR",IF(B87=Elementos_[[#This Row],[Cantidad RED LASE]],"LASE",IF(B87=Elementos_[[#This Row],[Cantidad LANIA]],"LANIA",IF(B87=Elementos_[[#This Row],[Cantidad SPA]],"SPA"," ")))))))))</f>
        <v>LASE</v>
      </c>
      <c r="B8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87" s="298">
        <v>85</v>
      </c>
      <c r="D87" s="190">
        <v>115</v>
      </c>
      <c r="E87" s="273" t="s">
        <v>2177</v>
      </c>
      <c r="F87" s="204" t="s">
        <v>622</v>
      </c>
      <c r="G87" s="192" t="s">
        <v>1726</v>
      </c>
      <c r="H8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87" s="194">
        <v>14637</v>
      </c>
      <c r="J87" s="194">
        <f>+Elementos_[[#This Row],[Valor de referencia]]*Elementos_[[#This Row],[Cantidad]]</f>
        <v>292740</v>
      </c>
      <c r="K87" s="166"/>
      <c r="L87" s="159">
        <f>+Elementos_[[#This Row],[Cantidad LANIP]]*Elementos_[[#This Row],[Valor de referencia]]</f>
        <v>0</v>
      </c>
      <c r="M87" s="270">
        <v>0</v>
      </c>
      <c r="N87" s="195">
        <f>+Elementos_[[#This Row],[Cantidad 
LDV]]*Elementos_[[#This Row],[Valor de referencia]]</f>
        <v>0</v>
      </c>
      <c r="O87" s="166"/>
      <c r="P87" s="159">
        <f>+Elementos_[[#This Row],[Cantidad LNDV]]*Elementos_[[#This Row],[Valor de referencia]]</f>
        <v>0</v>
      </c>
      <c r="Q87" s="196"/>
      <c r="R87" s="159">
        <f>+Elementos_[[#This Row],[GGCA]]*Elementos_[[#This Row],[Valor de referencia]]</f>
        <v>0</v>
      </c>
      <c r="S87" s="166">
        <v>6</v>
      </c>
      <c r="T87" s="159">
        <f>+Elementos_[[#This Row],[Cantidad LDF]]*Elementos_[[#This Row],[Valor de referencia]]</f>
        <v>87822</v>
      </c>
      <c r="U87" s="197"/>
      <c r="V87" s="159">
        <f>+Elementos_[[#This Row],[Cantidad LDF&amp;MR]]*Elementos_[[#This Row],[Valor de referencia]]</f>
        <v>0</v>
      </c>
      <c r="W87" s="166">
        <v>12</v>
      </c>
      <c r="X87" s="159">
        <f>+Elementos_[[#This Row],[Cantidad RED LASE]]*Elementos_[[#This Row],[Valor de referencia]]</f>
        <v>175644</v>
      </c>
      <c r="Y87" s="166">
        <v>2</v>
      </c>
      <c r="Z87" s="159">
        <f>+Elementos_[[#This Row],[Cantidad LANIA]]*Elementos_[[#This Row],[Valor de referencia]]</f>
        <v>29274</v>
      </c>
      <c r="AA87" s="196"/>
      <c r="AB87" s="159">
        <f>+Elementos_[[#This Row],[Cantidad SPA]]*Elementos_[[#This Row],[Valor de referencia]]</f>
        <v>0</v>
      </c>
      <c r="AC87" s="166" t="s">
        <v>2049</v>
      </c>
    </row>
    <row r="88" spans="1:29" ht="24" x14ac:dyDescent="0.2">
      <c r="A88" s="294" t="str">
        <f>IF(B88=Elementos_[[#This Row],[Cantidad LANIP]],"LANIP",IF(B88=Elementos_[[#This Row],[Cantidad 
LDV]],"LDV",IF(B88=Elementos_[[#This Row],[Cantidad LNDV]],"LNDV",IF(B88=Elementos_[[#This Row],[GGCA]],"GGCA",IF(B88=Elementos_[[#This Row],[Cantidad LDF]],"LDF",IF(B88=Elementos_[[#This Row],[Cantidad LDF&amp;MR]],"LDF&amp;MR",IF(B88=Elementos_[[#This Row],[Cantidad RED LASE]],"LASE",IF(B88=Elementos_[[#This Row],[Cantidad LANIA]],"LANIA",IF(B88=Elementos_[[#This Row],[Cantidad SPA]],"SPA"," ")))))))))</f>
        <v>LASE</v>
      </c>
      <c r="B8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88" s="298">
        <v>86</v>
      </c>
      <c r="D88" s="190">
        <v>116</v>
      </c>
      <c r="E88" s="272" t="s">
        <v>2178</v>
      </c>
      <c r="F88" s="200" t="s">
        <v>622</v>
      </c>
      <c r="G88" s="192" t="s">
        <v>1726</v>
      </c>
      <c r="H8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88" s="194">
        <v>23562</v>
      </c>
      <c r="J88" s="194">
        <f>+Elementos_[[#This Row],[Valor de referencia]]*Elementos_[[#This Row],[Cantidad]]</f>
        <v>471240</v>
      </c>
      <c r="K88" s="166"/>
      <c r="L88" s="159">
        <f>+Elementos_[[#This Row],[Cantidad LANIP]]*Elementos_[[#This Row],[Valor de referencia]]</f>
        <v>0</v>
      </c>
      <c r="M88" s="270">
        <v>0</v>
      </c>
      <c r="N88" s="195">
        <f>+Elementos_[[#This Row],[Cantidad 
LDV]]*Elementos_[[#This Row],[Valor de referencia]]</f>
        <v>0</v>
      </c>
      <c r="O88" s="166"/>
      <c r="P88" s="159">
        <f>+Elementos_[[#This Row],[Cantidad LNDV]]*Elementos_[[#This Row],[Valor de referencia]]</f>
        <v>0</v>
      </c>
      <c r="Q88" s="196"/>
      <c r="R88" s="159">
        <f>+Elementos_[[#This Row],[GGCA]]*Elementos_[[#This Row],[Valor de referencia]]</f>
        <v>0</v>
      </c>
      <c r="S88" s="166">
        <v>6</v>
      </c>
      <c r="T88" s="159">
        <f>+Elementos_[[#This Row],[Cantidad LDF]]*Elementos_[[#This Row],[Valor de referencia]]</f>
        <v>141372</v>
      </c>
      <c r="U88" s="197"/>
      <c r="V88" s="159">
        <f>+Elementos_[[#This Row],[Cantidad LDF&amp;MR]]*Elementos_[[#This Row],[Valor de referencia]]</f>
        <v>0</v>
      </c>
      <c r="W88" s="166">
        <v>12</v>
      </c>
      <c r="X88" s="159">
        <f>+Elementos_[[#This Row],[Cantidad RED LASE]]*Elementos_[[#This Row],[Valor de referencia]]</f>
        <v>282744</v>
      </c>
      <c r="Y88" s="166">
        <v>2</v>
      </c>
      <c r="Z88" s="159">
        <f>+Elementos_[[#This Row],[Cantidad LANIA]]*Elementos_[[#This Row],[Valor de referencia]]</f>
        <v>47124</v>
      </c>
      <c r="AA88" s="196"/>
      <c r="AB88" s="159">
        <f>+Elementos_[[#This Row],[Cantidad SPA]]*Elementos_[[#This Row],[Valor de referencia]]</f>
        <v>0</v>
      </c>
      <c r="AC88" s="166" t="s">
        <v>2049</v>
      </c>
    </row>
    <row r="89" spans="1:29" ht="24" x14ac:dyDescent="0.2">
      <c r="A89" s="294" t="str">
        <f>IF(B89=Elementos_[[#This Row],[Cantidad LANIP]],"LANIP",IF(B89=Elementos_[[#This Row],[Cantidad 
LDV]],"LDV",IF(B89=Elementos_[[#This Row],[Cantidad LNDV]],"LNDV",IF(B89=Elementos_[[#This Row],[GGCA]],"GGCA",IF(B89=Elementos_[[#This Row],[Cantidad LDF]],"LDF",IF(B89=Elementos_[[#This Row],[Cantidad LDF&amp;MR]],"LDF&amp;MR",IF(B89=Elementos_[[#This Row],[Cantidad RED LASE]],"LASE",IF(B89=Elementos_[[#This Row],[Cantidad LANIA]],"LANIA",IF(B89=Elementos_[[#This Row],[Cantidad SPA]],"SPA"," ")))))))))</f>
        <v>LASE</v>
      </c>
      <c r="B8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89" s="298">
        <v>87</v>
      </c>
      <c r="D89" s="190">
        <v>117</v>
      </c>
      <c r="E89" s="273" t="s">
        <v>2179</v>
      </c>
      <c r="F89" s="204" t="s">
        <v>622</v>
      </c>
      <c r="G89" s="192" t="s">
        <v>1726</v>
      </c>
      <c r="H8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89" s="194">
        <v>29512</v>
      </c>
      <c r="J89" s="194">
        <f>+Elementos_[[#This Row],[Valor de referencia]]*Elementos_[[#This Row],[Cantidad]]</f>
        <v>590240</v>
      </c>
      <c r="K89" s="166"/>
      <c r="L89" s="159">
        <f>+Elementos_[[#This Row],[Cantidad LANIP]]*Elementos_[[#This Row],[Valor de referencia]]</f>
        <v>0</v>
      </c>
      <c r="M89" s="270">
        <v>0</v>
      </c>
      <c r="N89" s="195">
        <f>+Elementos_[[#This Row],[Cantidad 
LDV]]*Elementos_[[#This Row],[Valor de referencia]]</f>
        <v>0</v>
      </c>
      <c r="O89" s="166"/>
      <c r="P89" s="159">
        <f>+Elementos_[[#This Row],[Cantidad LNDV]]*Elementos_[[#This Row],[Valor de referencia]]</f>
        <v>0</v>
      </c>
      <c r="Q89" s="196"/>
      <c r="R89" s="159">
        <f>+Elementos_[[#This Row],[GGCA]]*Elementos_[[#This Row],[Valor de referencia]]</f>
        <v>0</v>
      </c>
      <c r="S89" s="166">
        <v>6</v>
      </c>
      <c r="T89" s="159">
        <f>+Elementos_[[#This Row],[Cantidad LDF]]*Elementos_[[#This Row],[Valor de referencia]]</f>
        <v>177072</v>
      </c>
      <c r="U89" s="197"/>
      <c r="V89" s="159">
        <f>+Elementos_[[#This Row],[Cantidad LDF&amp;MR]]*Elementos_[[#This Row],[Valor de referencia]]</f>
        <v>0</v>
      </c>
      <c r="W89" s="166">
        <v>12</v>
      </c>
      <c r="X89" s="159">
        <f>+Elementos_[[#This Row],[Cantidad RED LASE]]*Elementos_[[#This Row],[Valor de referencia]]</f>
        <v>354144</v>
      </c>
      <c r="Y89" s="166">
        <v>2</v>
      </c>
      <c r="Z89" s="159">
        <f>+Elementos_[[#This Row],[Cantidad LANIA]]*Elementos_[[#This Row],[Valor de referencia]]</f>
        <v>59024</v>
      </c>
      <c r="AA89" s="196"/>
      <c r="AB89" s="159">
        <f>+Elementos_[[#This Row],[Cantidad SPA]]*Elementos_[[#This Row],[Valor de referencia]]</f>
        <v>0</v>
      </c>
      <c r="AC89" s="166" t="s">
        <v>2049</v>
      </c>
    </row>
    <row r="90" spans="1:29" ht="24" x14ac:dyDescent="0.2">
      <c r="A90" s="294" t="str">
        <f>IF(B90=Elementos_[[#This Row],[Cantidad LANIP]],"LANIP",IF(B90=Elementos_[[#This Row],[Cantidad 
LDV]],"LDV",IF(B90=Elementos_[[#This Row],[Cantidad LNDV]],"LNDV",IF(B90=Elementos_[[#This Row],[GGCA]],"GGCA",IF(B90=Elementos_[[#This Row],[Cantidad LDF]],"LDF",IF(B90=Elementos_[[#This Row],[Cantidad LDF&amp;MR]],"LDF&amp;MR",IF(B90=Elementos_[[#This Row],[Cantidad RED LASE]],"LASE",IF(B90=Elementos_[[#This Row],[Cantidad LANIA]],"LANIA",IF(B90=Elementos_[[#This Row],[Cantidad SPA]],"SPA"," ")))))))))</f>
        <v>LDF</v>
      </c>
      <c r="B9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90" s="298">
        <v>88</v>
      </c>
      <c r="D90" s="190">
        <v>118</v>
      </c>
      <c r="E90" s="273" t="s">
        <v>2180</v>
      </c>
      <c r="F90" s="204" t="s">
        <v>624</v>
      </c>
      <c r="G90" s="192" t="s">
        <v>2181</v>
      </c>
      <c r="H9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90" s="194">
        <v>347659</v>
      </c>
      <c r="J90" s="194">
        <f>+Elementos_[[#This Row],[Valor de referencia]]*Elementos_[[#This Row],[Cantidad]]</f>
        <v>347659</v>
      </c>
      <c r="K90" s="166"/>
      <c r="L90" s="159">
        <f>+Elementos_[[#This Row],[Cantidad LANIP]]*Elementos_[[#This Row],[Valor de referencia]]</f>
        <v>0</v>
      </c>
      <c r="M90" s="270">
        <v>0</v>
      </c>
      <c r="N90" s="195">
        <f>+Elementos_[[#This Row],[Cantidad 
LDV]]*Elementos_[[#This Row],[Valor de referencia]]</f>
        <v>0</v>
      </c>
      <c r="O90" s="166"/>
      <c r="P90" s="159">
        <f>+Elementos_[[#This Row],[Cantidad LNDV]]*Elementos_[[#This Row],[Valor de referencia]]</f>
        <v>0</v>
      </c>
      <c r="Q90" s="196"/>
      <c r="R90" s="159">
        <f>+Elementos_[[#This Row],[GGCA]]*Elementos_[[#This Row],[Valor de referencia]]</f>
        <v>0</v>
      </c>
      <c r="S90" s="166">
        <v>1</v>
      </c>
      <c r="T90" s="159">
        <f>+Elementos_[[#This Row],[Cantidad LDF]]*Elementos_[[#This Row],[Valor de referencia]]</f>
        <v>347659</v>
      </c>
      <c r="U90" s="197"/>
      <c r="V90" s="159">
        <f>+Elementos_[[#This Row],[Cantidad LDF&amp;MR]]*Elementos_[[#This Row],[Valor de referencia]]</f>
        <v>0</v>
      </c>
      <c r="W90" s="166"/>
      <c r="X90" s="159">
        <f>+Elementos_[[#This Row],[Cantidad RED LASE]]*Elementos_[[#This Row],[Valor de referencia]]</f>
        <v>0</v>
      </c>
      <c r="Y90" s="166"/>
      <c r="Z90" s="159">
        <f>+Elementos_[[#This Row],[Cantidad LANIA]]*Elementos_[[#This Row],[Valor de referencia]]</f>
        <v>0</v>
      </c>
      <c r="AA90" s="196"/>
      <c r="AB90" s="159">
        <f>+Elementos_[[#This Row],[Cantidad SPA]]*Elementos_[[#This Row],[Valor de referencia]]</f>
        <v>0</v>
      </c>
      <c r="AC90" s="166" t="s">
        <v>2049</v>
      </c>
    </row>
    <row r="91" spans="1:29" ht="24" x14ac:dyDescent="0.2">
      <c r="A91" s="294" t="str">
        <f>IF(B91=Elementos_[[#This Row],[Cantidad LANIP]],"LANIP",IF(B91=Elementos_[[#This Row],[Cantidad 
LDV]],"LDV",IF(B91=Elementos_[[#This Row],[Cantidad LNDV]],"LNDV",IF(B91=Elementos_[[#This Row],[GGCA]],"GGCA",IF(B91=Elementos_[[#This Row],[Cantidad LDF]],"LDF",IF(B91=Elementos_[[#This Row],[Cantidad LDF&amp;MR]],"LDF&amp;MR",IF(B91=Elementos_[[#This Row],[Cantidad RED LASE]],"LASE",IF(B91=Elementos_[[#This Row],[Cantidad LANIA]],"LANIA",IF(B91=Elementos_[[#This Row],[Cantidad SPA]],"SPA"," ")))))))))</f>
        <v>LANIA</v>
      </c>
      <c r="B9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91" s="298">
        <v>89</v>
      </c>
      <c r="D91" s="190">
        <v>120</v>
      </c>
      <c r="E91" s="273" t="s">
        <v>2182</v>
      </c>
      <c r="F91" s="315" t="s">
        <v>2183</v>
      </c>
      <c r="G91" s="192" t="s">
        <v>1726</v>
      </c>
      <c r="H9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91" s="194">
        <v>11524476</v>
      </c>
      <c r="J91" s="194">
        <f>+Elementos_[[#This Row],[Valor de referencia]]*Elementos_[[#This Row],[Cantidad]]</f>
        <v>11524476</v>
      </c>
      <c r="K91" s="166"/>
      <c r="L91" s="159">
        <f>+Elementos_[[#This Row],[Cantidad LANIP]]*Elementos_[[#This Row],[Valor de referencia]]</f>
        <v>0</v>
      </c>
      <c r="M91" s="270">
        <v>0</v>
      </c>
      <c r="N91" s="195">
        <f>+Elementos_[[#This Row],[Cantidad 
LDV]]*Elementos_[[#This Row],[Valor de referencia]]</f>
        <v>0</v>
      </c>
      <c r="O91" s="166"/>
      <c r="P91" s="159">
        <f>+Elementos_[[#This Row],[Cantidad LNDV]]*Elementos_[[#This Row],[Valor de referencia]]</f>
        <v>0</v>
      </c>
      <c r="Q91" s="196"/>
      <c r="R91" s="159">
        <f>+Elementos_[[#This Row],[GGCA]]*Elementos_[[#This Row],[Valor de referencia]]</f>
        <v>0</v>
      </c>
      <c r="S91" s="166"/>
      <c r="T91" s="159">
        <f>+Elementos_[[#This Row],[Cantidad LDF]]*Elementos_[[#This Row],[Valor de referencia]]</f>
        <v>0</v>
      </c>
      <c r="U91" s="197"/>
      <c r="V91" s="159">
        <f>+Elementos_[[#This Row],[Cantidad LDF&amp;MR]]*Elementos_[[#This Row],[Valor de referencia]]</f>
        <v>0</v>
      </c>
      <c r="W91" s="166"/>
      <c r="X91" s="159">
        <f>+Elementos_[[#This Row],[Cantidad RED LASE]]*Elementos_[[#This Row],[Valor de referencia]]</f>
        <v>0</v>
      </c>
      <c r="Y91" s="166">
        <v>1</v>
      </c>
      <c r="Z91" s="159">
        <f>+Elementos_[[#This Row],[Cantidad LANIA]]*Elementos_[[#This Row],[Valor de referencia]]</f>
        <v>11524476</v>
      </c>
      <c r="AA91" s="196"/>
      <c r="AB91" s="159">
        <f>+Elementos_[[#This Row],[Cantidad SPA]]*Elementos_[[#This Row],[Valor de referencia]]</f>
        <v>0</v>
      </c>
      <c r="AC91" s="166" t="s">
        <v>2041</v>
      </c>
    </row>
    <row r="92" spans="1:29" ht="24" x14ac:dyDescent="0.2">
      <c r="A92" s="294" t="str">
        <f>IF(B92=Elementos_[[#This Row],[Cantidad LANIP]],"LANIP",IF(B92=Elementos_[[#This Row],[Cantidad 
LDV]],"LDV",IF(B92=Elementos_[[#This Row],[Cantidad LNDV]],"LNDV",IF(B92=Elementos_[[#This Row],[GGCA]],"GGCA",IF(B92=Elementos_[[#This Row],[Cantidad LDF]],"LDF",IF(B92=Elementos_[[#This Row],[Cantidad LDF&amp;MR]],"LDF&amp;MR",IF(B92=Elementos_[[#This Row],[Cantidad RED LASE]],"LASE",IF(B92=Elementos_[[#This Row],[Cantidad LANIA]],"LANIA",IF(B92=Elementos_[[#This Row],[Cantidad SPA]],"SPA"," ")))))))))</f>
        <v>LASE</v>
      </c>
      <c r="B9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C92" s="298">
        <v>90</v>
      </c>
      <c r="D92" s="190">
        <v>123</v>
      </c>
      <c r="E92" s="273" t="s">
        <v>2184</v>
      </c>
      <c r="F92" s="201" t="s">
        <v>183</v>
      </c>
      <c r="G92" s="202" t="s">
        <v>525</v>
      </c>
      <c r="H9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v>
      </c>
      <c r="I92" s="194">
        <v>851816</v>
      </c>
      <c r="J92" s="194">
        <f>+Elementos_[[#This Row],[Valor de referencia]]*Elementos_[[#This Row],[Cantidad]]</f>
        <v>51108960</v>
      </c>
      <c r="K92" s="166">
        <v>10</v>
      </c>
      <c r="L92" s="159">
        <f>+Elementos_[[#This Row],[Cantidad LANIP]]*Elementos_[[#This Row],[Valor de referencia]]</f>
        <v>8518160</v>
      </c>
      <c r="M92" s="270">
        <v>0</v>
      </c>
      <c r="N92" s="195">
        <f>+Elementos_[[#This Row],[Cantidad 
LDV]]*Elementos_[[#This Row],[Valor de referencia]]</f>
        <v>0</v>
      </c>
      <c r="O92" s="166"/>
      <c r="P92" s="159">
        <f>+Elementos_[[#This Row],[Cantidad LNDV]]*Elementos_[[#This Row],[Valor de referencia]]</f>
        <v>0</v>
      </c>
      <c r="Q92" s="196"/>
      <c r="R92" s="159">
        <f>+Elementos_[[#This Row],[GGCA]]*Elementos_[[#This Row],[Valor de referencia]]</f>
        <v>0</v>
      </c>
      <c r="S92" s="166"/>
      <c r="T92" s="159">
        <f>+Elementos_[[#This Row],[Cantidad LDF]]*Elementos_[[#This Row],[Valor de referencia]]</f>
        <v>0</v>
      </c>
      <c r="U92" s="197"/>
      <c r="V92" s="159">
        <f>+Elementos_[[#This Row],[Cantidad LDF&amp;MR]]*Elementos_[[#This Row],[Valor de referencia]]</f>
        <v>0</v>
      </c>
      <c r="W92" s="166">
        <v>50</v>
      </c>
      <c r="X92" s="159">
        <f>+Elementos_[[#This Row],[Cantidad RED LASE]]*Elementos_[[#This Row],[Valor de referencia]]</f>
        <v>42590800</v>
      </c>
      <c r="Y92" s="166"/>
      <c r="Z92" s="159">
        <f>+Elementos_[[#This Row],[Cantidad LANIA]]*Elementos_[[#This Row],[Valor de referencia]]</f>
        <v>0</v>
      </c>
      <c r="AA92" s="196"/>
      <c r="AB92" s="159">
        <f>+Elementos_[[#This Row],[Cantidad SPA]]*Elementos_[[#This Row],[Valor de referencia]]</f>
        <v>0</v>
      </c>
      <c r="AC92" s="166" t="s">
        <v>2049</v>
      </c>
    </row>
    <row r="93" spans="1:29" ht="24" x14ac:dyDescent="0.2">
      <c r="A93" s="294" t="str">
        <f>IF(B93=Elementos_[[#This Row],[Cantidad LANIP]],"LANIP",IF(B93=Elementos_[[#This Row],[Cantidad 
LDV]],"LDV",IF(B93=Elementos_[[#This Row],[Cantidad LNDV]],"LNDV",IF(B93=Elementos_[[#This Row],[GGCA]],"GGCA",IF(B93=Elementos_[[#This Row],[Cantidad LDF]],"LDF",IF(B93=Elementos_[[#This Row],[Cantidad LDF&amp;MR]],"LDF&amp;MR",IF(B93=Elementos_[[#This Row],[Cantidad RED LASE]],"LASE",IF(B93=Elementos_[[#This Row],[Cantidad LANIA]],"LANIA",IF(B93=Elementos_[[#This Row],[Cantidad SPA]],"SPA"," ")))))))))</f>
        <v>LANIP</v>
      </c>
      <c r="B9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93" s="298">
        <v>91</v>
      </c>
      <c r="D93" s="190">
        <v>124</v>
      </c>
      <c r="E93" s="273" t="s">
        <v>2185</v>
      </c>
      <c r="F93" s="204" t="s">
        <v>2186</v>
      </c>
      <c r="G93" s="192" t="s">
        <v>1391</v>
      </c>
      <c r="H9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93" s="194">
        <v>980621</v>
      </c>
      <c r="J93" s="194">
        <f>+Elementos_[[#This Row],[Valor de referencia]]*Elementos_[[#This Row],[Cantidad]]</f>
        <v>2941863</v>
      </c>
      <c r="K93" s="166">
        <v>3</v>
      </c>
      <c r="L93" s="159">
        <f>+Elementos_[[#This Row],[Cantidad LANIP]]*Elementos_[[#This Row],[Valor de referencia]]</f>
        <v>2941863</v>
      </c>
      <c r="M93" s="270">
        <v>0</v>
      </c>
      <c r="N93" s="195">
        <f>+Elementos_[[#This Row],[Cantidad 
LDV]]*Elementos_[[#This Row],[Valor de referencia]]</f>
        <v>0</v>
      </c>
      <c r="O93" s="166"/>
      <c r="P93" s="159">
        <f>+Elementos_[[#This Row],[Cantidad LNDV]]*Elementos_[[#This Row],[Valor de referencia]]</f>
        <v>0</v>
      </c>
      <c r="Q93" s="196"/>
      <c r="R93" s="159">
        <f>+Elementos_[[#This Row],[GGCA]]*Elementos_[[#This Row],[Valor de referencia]]</f>
        <v>0</v>
      </c>
      <c r="S93" s="166"/>
      <c r="T93" s="159">
        <f>+Elementos_[[#This Row],[Cantidad LDF]]*Elementos_[[#This Row],[Valor de referencia]]</f>
        <v>0</v>
      </c>
      <c r="U93" s="197"/>
      <c r="V93" s="159">
        <f>+Elementos_[[#This Row],[Cantidad LDF&amp;MR]]*Elementos_[[#This Row],[Valor de referencia]]</f>
        <v>0</v>
      </c>
      <c r="W93" s="166"/>
      <c r="X93" s="159">
        <f>+Elementos_[[#This Row],[Cantidad RED LASE]]*Elementos_[[#This Row],[Valor de referencia]]</f>
        <v>0</v>
      </c>
      <c r="Y93" s="166"/>
      <c r="Z93" s="159">
        <f>+Elementos_[[#This Row],[Cantidad LANIA]]*Elementos_[[#This Row],[Valor de referencia]]</f>
        <v>0</v>
      </c>
      <c r="AA93" s="196"/>
      <c r="AB93" s="159">
        <f>+Elementos_[[#This Row],[Cantidad SPA]]*Elementos_[[#This Row],[Valor de referencia]]</f>
        <v>0</v>
      </c>
      <c r="AC93" s="166" t="s">
        <v>2041</v>
      </c>
    </row>
    <row r="94" spans="1:29" ht="24" x14ac:dyDescent="0.2">
      <c r="A94" s="294" t="str">
        <f>IF(B94=Elementos_[[#This Row],[Cantidad LANIP]],"LANIP",IF(B94=Elementos_[[#This Row],[Cantidad 
LDV]],"LDV",IF(B94=Elementos_[[#This Row],[Cantidad LNDV]],"LNDV",IF(B94=Elementos_[[#This Row],[GGCA]],"GGCA",IF(B94=Elementos_[[#This Row],[Cantidad LDF]],"LDF",IF(B94=Elementos_[[#This Row],[Cantidad LDF&amp;MR]],"LDF&amp;MR",IF(B94=Elementos_[[#This Row],[Cantidad RED LASE]],"LASE",IF(B94=Elementos_[[#This Row],[Cantidad LANIA]],"LANIA",IF(B94=Elementos_[[#This Row],[Cantidad SPA]],"SPA"," ")))))))))</f>
        <v>LANIP</v>
      </c>
      <c r="B9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94" s="298">
        <v>92</v>
      </c>
      <c r="D94" s="190">
        <v>125</v>
      </c>
      <c r="E94" s="273" t="s">
        <v>2187</v>
      </c>
      <c r="F94" s="214" t="s">
        <v>2188</v>
      </c>
      <c r="G94" s="192" t="s">
        <v>525</v>
      </c>
      <c r="H9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94" s="194">
        <v>168395</v>
      </c>
      <c r="J94" s="194">
        <f>+Elementos_[[#This Row],[Valor de referencia]]*Elementos_[[#This Row],[Cantidad]]</f>
        <v>168395</v>
      </c>
      <c r="K94" s="166">
        <v>1</v>
      </c>
      <c r="L94" s="159">
        <f>+Elementos_[[#This Row],[Cantidad LANIP]]*Elementos_[[#This Row],[Valor de referencia]]</f>
        <v>168395</v>
      </c>
      <c r="M94" s="270">
        <v>0</v>
      </c>
      <c r="N94" s="195">
        <f>+Elementos_[[#This Row],[Cantidad 
LDV]]*Elementos_[[#This Row],[Valor de referencia]]</f>
        <v>0</v>
      </c>
      <c r="O94" s="166"/>
      <c r="P94" s="159">
        <f>+Elementos_[[#This Row],[Cantidad LNDV]]*Elementos_[[#This Row],[Valor de referencia]]</f>
        <v>0</v>
      </c>
      <c r="Q94" s="196"/>
      <c r="R94" s="159">
        <f>+Elementos_[[#This Row],[GGCA]]*Elementos_[[#This Row],[Valor de referencia]]</f>
        <v>0</v>
      </c>
      <c r="S94" s="166"/>
      <c r="T94" s="159">
        <f>+Elementos_[[#This Row],[Cantidad LDF]]*Elementos_[[#This Row],[Valor de referencia]]</f>
        <v>0</v>
      </c>
      <c r="U94" s="197"/>
      <c r="V94" s="159">
        <f>+Elementos_[[#This Row],[Cantidad LDF&amp;MR]]*Elementos_[[#This Row],[Valor de referencia]]</f>
        <v>0</v>
      </c>
      <c r="W94" s="166"/>
      <c r="X94" s="159">
        <f>+Elementos_[[#This Row],[Cantidad RED LASE]]*Elementos_[[#This Row],[Valor de referencia]]</f>
        <v>0</v>
      </c>
      <c r="Y94" s="166"/>
      <c r="Z94" s="159">
        <f>+Elementos_[[#This Row],[Cantidad LANIA]]*Elementos_[[#This Row],[Valor de referencia]]</f>
        <v>0</v>
      </c>
      <c r="AA94" s="196"/>
      <c r="AB94" s="159">
        <f>+Elementos_[[#This Row],[Cantidad SPA]]*Elementos_[[#This Row],[Valor de referencia]]</f>
        <v>0</v>
      </c>
      <c r="AC94" s="166" t="s">
        <v>2041</v>
      </c>
    </row>
    <row r="95" spans="1:29" ht="24" x14ac:dyDescent="0.2">
      <c r="A95" s="294" t="str">
        <f>IF(B95=Elementos_[[#This Row],[Cantidad LANIP]],"LANIP",IF(B95=Elementos_[[#This Row],[Cantidad 
LDV]],"LDV",IF(B95=Elementos_[[#This Row],[Cantidad LNDV]],"LNDV",IF(B95=Elementos_[[#This Row],[GGCA]],"GGCA",IF(B95=Elementos_[[#This Row],[Cantidad LDF]],"LDF",IF(B95=Elementos_[[#This Row],[Cantidad LDF&amp;MR]],"LDF&amp;MR",IF(B95=Elementos_[[#This Row],[Cantidad RED LASE]],"LASE",IF(B95=Elementos_[[#This Row],[Cantidad LANIA]],"LANIA",IF(B95=Elementos_[[#This Row],[Cantidad SPA]],"SPA"," ")))))))))</f>
        <v>LANIP</v>
      </c>
      <c r="B9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95" s="298">
        <v>93</v>
      </c>
      <c r="D95" s="190">
        <v>126</v>
      </c>
      <c r="E95" s="273" t="s">
        <v>2189</v>
      </c>
      <c r="F95" s="214" t="s">
        <v>2190</v>
      </c>
      <c r="G95" s="192" t="s">
        <v>2136</v>
      </c>
      <c r="H9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95" s="194">
        <v>1273123</v>
      </c>
      <c r="J95" s="194">
        <f>+Elementos_[[#This Row],[Valor de referencia]]*Elementos_[[#This Row],[Cantidad]]</f>
        <v>5092492</v>
      </c>
      <c r="K95" s="166">
        <v>3</v>
      </c>
      <c r="L95" s="159">
        <f>+Elementos_[[#This Row],[Cantidad LANIP]]*Elementos_[[#This Row],[Valor de referencia]]</f>
        <v>3819369</v>
      </c>
      <c r="M95" s="270">
        <v>0</v>
      </c>
      <c r="N95" s="195">
        <f>+Elementos_[[#This Row],[Cantidad 
LDV]]*Elementos_[[#This Row],[Valor de referencia]]</f>
        <v>0</v>
      </c>
      <c r="O95" s="166">
        <v>1</v>
      </c>
      <c r="P95" s="159">
        <f>+Elementos_[[#This Row],[Cantidad LNDV]]*Elementos_[[#This Row],[Valor de referencia]]</f>
        <v>1273123</v>
      </c>
      <c r="Q95" s="196"/>
      <c r="R95" s="159">
        <f>+Elementos_[[#This Row],[GGCA]]*Elementos_[[#This Row],[Valor de referencia]]</f>
        <v>0</v>
      </c>
      <c r="S95" s="166"/>
      <c r="T95" s="159">
        <f>+Elementos_[[#This Row],[Cantidad LDF]]*Elementos_[[#This Row],[Valor de referencia]]</f>
        <v>0</v>
      </c>
      <c r="U95" s="197"/>
      <c r="V95" s="159">
        <f>+Elementos_[[#This Row],[Cantidad LDF&amp;MR]]*Elementos_[[#This Row],[Valor de referencia]]</f>
        <v>0</v>
      </c>
      <c r="W95" s="166"/>
      <c r="X95" s="159">
        <f>+Elementos_[[#This Row],[Cantidad RED LASE]]*Elementos_[[#This Row],[Valor de referencia]]</f>
        <v>0</v>
      </c>
      <c r="Y95" s="166"/>
      <c r="Z95" s="159">
        <f>+Elementos_[[#This Row],[Cantidad LANIA]]*Elementos_[[#This Row],[Valor de referencia]]</f>
        <v>0</v>
      </c>
      <c r="AA95" s="196"/>
      <c r="AB95" s="159">
        <f>+Elementos_[[#This Row],[Cantidad SPA]]*Elementos_[[#This Row],[Valor de referencia]]</f>
        <v>0</v>
      </c>
      <c r="AC95" s="166" t="s">
        <v>2041</v>
      </c>
    </row>
    <row r="96" spans="1:29" ht="12.75" x14ac:dyDescent="0.2">
      <c r="A96" s="294" t="str">
        <f>IF(B96=Elementos_[[#This Row],[Cantidad LANIP]],"LANIP",IF(B96=Elementos_[[#This Row],[Cantidad 
LDV]],"LDV",IF(B96=Elementos_[[#This Row],[Cantidad LNDV]],"LNDV",IF(B96=Elementos_[[#This Row],[GGCA]],"GGCA",IF(B96=Elementos_[[#This Row],[Cantidad LDF]],"LDF",IF(B96=Elementos_[[#This Row],[Cantidad LDF&amp;MR]],"LDF&amp;MR",IF(B96=Elementos_[[#This Row],[Cantidad RED LASE]],"LASE",IF(B96=Elementos_[[#This Row],[Cantidad LANIA]],"LANIA",IF(B96=Elementos_[[#This Row],[Cantidad SPA]],"SPA"," ")))))))))</f>
        <v>LNDV</v>
      </c>
      <c r="B9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96" s="298">
        <v>94</v>
      </c>
      <c r="D96" s="190">
        <v>127</v>
      </c>
      <c r="E96" s="277" t="s">
        <v>2191</v>
      </c>
      <c r="F96" s="201" t="s">
        <v>183</v>
      </c>
      <c r="G96" s="192" t="s">
        <v>2136</v>
      </c>
      <c r="H9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96" s="194">
        <v>932037</v>
      </c>
      <c r="J96" s="194">
        <f>+Elementos_[[#This Row],[Valor de referencia]]*Elementos_[[#This Row],[Cantidad]]</f>
        <v>2796111</v>
      </c>
      <c r="K96" s="166"/>
      <c r="L96" s="159">
        <f>+Elementos_[[#This Row],[Cantidad LANIP]]*Elementos_[[#This Row],[Valor de referencia]]</f>
        <v>0</v>
      </c>
      <c r="M96" s="270">
        <v>0</v>
      </c>
      <c r="N96" s="195">
        <f>+Elementos_[[#This Row],[Cantidad 
LDV]]*Elementos_[[#This Row],[Valor de referencia]]</f>
        <v>0</v>
      </c>
      <c r="O96" s="166">
        <v>3</v>
      </c>
      <c r="P96" s="159">
        <f>+Elementos_[[#This Row],[Cantidad LNDV]]*Elementos_[[#This Row],[Valor de referencia]]</f>
        <v>2796111</v>
      </c>
      <c r="Q96" s="196"/>
      <c r="R96" s="159">
        <f>+Elementos_[[#This Row],[GGCA]]*Elementos_[[#This Row],[Valor de referencia]]</f>
        <v>0</v>
      </c>
      <c r="S96" s="166"/>
      <c r="T96" s="159">
        <f>+Elementos_[[#This Row],[Cantidad LDF]]*Elementos_[[#This Row],[Valor de referencia]]</f>
        <v>0</v>
      </c>
      <c r="U96" s="197"/>
      <c r="V96" s="159">
        <f>+Elementos_[[#This Row],[Cantidad LDF&amp;MR]]*Elementos_[[#This Row],[Valor de referencia]]</f>
        <v>0</v>
      </c>
      <c r="W96" s="166"/>
      <c r="X96" s="159">
        <f>+Elementos_[[#This Row],[Cantidad RED LASE]]*Elementos_[[#This Row],[Valor de referencia]]</f>
        <v>0</v>
      </c>
      <c r="Y96" s="166"/>
      <c r="Z96" s="159">
        <f>+Elementos_[[#This Row],[Cantidad LANIA]]*Elementos_[[#This Row],[Valor de referencia]]</f>
        <v>0</v>
      </c>
      <c r="AA96" s="196"/>
      <c r="AB96" s="159">
        <f>+Elementos_[[#This Row],[Cantidad SPA]]*Elementos_[[#This Row],[Valor de referencia]]</f>
        <v>0</v>
      </c>
      <c r="AC96" s="166" t="s">
        <v>2049</v>
      </c>
    </row>
    <row r="97" spans="1:29" ht="24" x14ac:dyDescent="0.2">
      <c r="A97" s="294" t="str">
        <f>IF(B97=Elementos_[[#This Row],[Cantidad LANIP]],"LANIP",IF(B97=Elementos_[[#This Row],[Cantidad 
LDV]],"LDV",IF(B97=Elementos_[[#This Row],[Cantidad LNDV]],"LNDV",IF(B97=Elementos_[[#This Row],[GGCA]],"GGCA",IF(B97=Elementos_[[#This Row],[Cantidad LDF]],"LDF",IF(B97=Elementos_[[#This Row],[Cantidad LDF&amp;MR]],"LDF&amp;MR",IF(B97=Elementos_[[#This Row],[Cantidad RED LASE]],"LASE",IF(B97=Elementos_[[#This Row],[Cantidad LANIA]],"LANIA",IF(B97=Elementos_[[#This Row],[Cantidad SPA]],"SPA"," ")))))))))</f>
        <v>LANIP</v>
      </c>
      <c r="B9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97" s="298">
        <v>95</v>
      </c>
      <c r="D97" s="190">
        <v>128</v>
      </c>
      <c r="E97" s="273" t="s">
        <v>2192</v>
      </c>
      <c r="F97" s="215" t="s">
        <v>2193</v>
      </c>
      <c r="G97" s="192" t="s">
        <v>2136</v>
      </c>
      <c r="H9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65</v>
      </c>
      <c r="I97" s="194">
        <v>891025</v>
      </c>
      <c r="J97" s="194">
        <f>+Elementos_[[#This Row],[Valor de referencia]]*Elementos_[[#This Row],[Cantidad]]</f>
        <v>57916625</v>
      </c>
      <c r="K97" s="166">
        <v>30</v>
      </c>
      <c r="L97" s="159">
        <f>+Elementos_[[#This Row],[Cantidad LANIP]]*Elementos_[[#This Row],[Valor de referencia]]</f>
        <v>26730750</v>
      </c>
      <c r="M97" s="270">
        <v>10</v>
      </c>
      <c r="N97" s="195">
        <f>+Elementos_[[#This Row],[Cantidad 
LDV]]*Elementos_[[#This Row],[Valor de referencia]]</f>
        <v>8910250</v>
      </c>
      <c r="O97" s="166">
        <v>10</v>
      </c>
      <c r="P97" s="159">
        <f>+Elementos_[[#This Row],[Cantidad LNDV]]*Elementos_[[#This Row],[Valor de referencia]]</f>
        <v>8910250</v>
      </c>
      <c r="Q97" s="196"/>
      <c r="R97" s="159">
        <f>+Elementos_[[#This Row],[GGCA]]*Elementos_[[#This Row],[Valor de referencia]]</f>
        <v>0</v>
      </c>
      <c r="S97" s="166">
        <v>5</v>
      </c>
      <c r="T97" s="159">
        <f>+Elementos_[[#This Row],[Cantidad LDF]]*Elementos_[[#This Row],[Valor de referencia]]</f>
        <v>4455125</v>
      </c>
      <c r="U97" s="197"/>
      <c r="V97" s="159">
        <f>+Elementos_[[#This Row],[Cantidad LDF&amp;MR]]*Elementos_[[#This Row],[Valor de referencia]]</f>
        <v>0</v>
      </c>
      <c r="W97" s="166"/>
      <c r="X97" s="159">
        <f>+Elementos_[[#This Row],[Cantidad RED LASE]]*Elementos_[[#This Row],[Valor de referencia]]</f>
        <v>0</v>
      </c>
      <c r="Y97" s="166">
        <v>10</v>
      </c>
      <c r="Z97" s="159">
        <f>+Elementos_[[#This Row],[Cantidad LANIA]]*Elementos_[[#This Row],[Valor de referencia]]</f>
        <v>8910250</v>
      </c>
      <c r="AA97" s="196"/>
      <c r="AB97" s="159">
        <f>+Elementos_[[#This Row],[Cantidad SPA]]*Elementos_[[#This Row],[Valor de referencia]]</f>
        <v>0</v>
      </c>
      <c r="AC97" s="166" t="s">
        <v>2041</v>
      </c>
    </row>
    <row r="98" spans="1:29" ht="24" x14ac:dyDescent="0.2">
      <c r="A98" s="294" t="str">
        <f>IF(B98=Elementos_[[#This Row],[Cantidad LANIP]],"LANIP",IF(B98=Elementos_[[#This Row],[Cantidad 
LDV]],"LDV",IF(B98=Elementos_[[#This Row],[Cantidad LNDV]],"LNDV",IF(B98=Elementos_[[#This Row],[GGCA]],"GGCA",IF(B98=Elementos_[[#This Row],[Cantidad LDF]],"LDF",IF(B98=Elementos_[[#This Row],[Cantidad LDF&amp;MR]],"LDF&amp;MR",IF(B98=Elementos_[[#This Row],[Cantidad RED LASE]],"LASE",IF(B98=Elementos_[[#This Row],[Cantidad LANIA]],"LANIA",IF(B98=Elementos_[[#This Row],[Cantidad SPA]],"SPA"," ")))))))))</f>
        <v>LDV</v>
      </c>
      <c r="B9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98" s="298">
        <v>96</v>
      </c>
      <c r="D98" s="190">
        <v>129</v>
      </c>
      <c r="E98" s="273" t="s">
        <v>2194</v>
      </c>
      <c r="F98" s="201" t="s">
        <v>2195</v>
      </c>
      <c r="G98" s="192" t="s">
        <v>2196</v>
      </c>
      <c r="H9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62</v>
      </c>
      <c r="I98" s="194">
        <v>337688</v>
      </c>
      <c r="J98" s="194">
        <f>+Elementos_[[#This Row],[Valor de referencia]]*Elementos_[[#This Row],[Cantidad]]</f>
        <v>20936656</v>
      </c>
      <c r="K98" s="166"/>
      <c r="L98" s="159">
        <f>+Elementos_[[#This Row],[Cantidad LANIP]]*Elementos_[[#This Row],[Valor de referencia]]</f>
        <v>0</v>
      </c>
      <c r="M98" s="270">
        <v>30</v>
      </c>
      <c r="N98" s="195">
        <f>+Elementos_[[#This Row],[Cantidad 
LDV]]*Elementos_[[#This Row],[Valor de referencia]]</f>
        <v>10130640</v>
      </c>
      <c r="O98" s="166">
        <v>21</v>
      </c>
      <c r="P98" s="159">
        <f>+Elementos_[[#This Row],[Cantidad LNDV]]*Elementos_[[#This Row],[Valor de referencia]]</f>
        <v>7091448</v>
      </c>
      <c r="Q98" s="196"/>
      <c r="R98" s="159">
        <f>+Elementos_[[#This Row],[GGCA]]*Elementos_[[#This Row],[Valor de referencia]]</f>
        <v>0</v>
      </c>
      <c r="S98" s="166">
        <v>8</v>
      </c>
      <c r="T98" s="159">
        <f>+Elementos_[[#This Row],[Cantidad LDF]]*Elementos_[[#This Row],[Valor de referencia]]</f>
        <v>2701504</v>
      </c>
      <c r="U98" s="197">
        <v>2</v>
      </c>
      <c r="V98" s="159">
        <f>+Elementos_[[#This Row],[Cantidad LDF&amp;MR]]*Elementos_[[#This Row],[Valor de referencia]]</f>
        <v>675376</v>
      </c>
      <c r="W98" s="166"/>
      <c r="X98" s="159">
        <f>+Elementos_[[#This Row],[Cantidad RED LASE]]*Elementos_[[#This Row],[Valor de referencia]]</f>
        <v>0</v>
      </c>
      <c r="Y98" s="166">
        <v>1</v>
      </c>
      <c r="Z98" s="159">
        <f>+Elementos_[[#This Row],[Cantidad LANIA]]*Elementos_[[#This Row],[Valor de referencia]]</f>
        <v>337688</v>
      </c>
      <c r="AA98" s="196"/>
      <c r="AB98" s="159">
        <f>+Elementos_[[#This Row],[Cantidad SPA]]*Elementos_[[#This Row],[Valor de referencia]]</f>
        <v>0</v>
      </c>
      <c r="AC98" s="166" t="s">
        <v>2041</v>
      </c>
    </row>
    <row r="99" spans="1:29" ht="48" x14ac:dyDescent="0.2">
      <c r="A99" s="294" t="str">
        <f>IF(B99=Elementos_[[#This Row],[Cantidad LANIP]],"LANIP",IF(B99=Elementos_[[#This Row],[Cantidad 
LDV]],"LDV",IF(B99=Elementos_[[#This Row],[Cantidad LNDV]],"LNDV",IF(B99=Elementos_[[#This Row],[GGCA]],"GGCA",IF(B99=Elementos_[[#This Row],[Cantidad LDF]],"LDF",IF(B99=Elementos_[[#This Row],[Cantidad LDF&amp;MR]],"LDF&amp;MR",IF(B99=Elementos_[[#This Row],[Cantidad RED LASE]],"LASE",IF(B99=Elementos_[[#This Row],[Cantidad LANIA]],"LANIA",IF(B99=Elementos_[[#This Row],[Cantidad SPA]],"SPA"," ")))))))))</f>
        <v>LDF</v>
      </c>
      <c r="B9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99" s="298">
        <v>97</v>
      </c>
      <c r="D99" s="190">
        <v>130</v>
      </c>
      <c r="E99" s="277" t="s">
        <v>2197</v>
      </c>
      <c r="F99" s="204" t="s">
        <v>2198</v>
      </c>
      <c r="G99" s="192" t="s">
        <v>525</v>
      </c>
      <c r="H9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99" s="194">
        <v>21473</v>
      </c>
      <c r="J99" s="194">
        <f>+Elementos_[[#This Row],[Valor de referencia]]*Elementos_[[#This Row],[Cantidad]]</f>
        <v>21473</v>
      </c>
      <c r="K99" s="166"/>
      <c r="L99" s="159">
        <f>+Elementos_[[#This Row],[Cantidad LANIP]]*Elementos_[[#This Row],[Valor de referencia]]</f>
        <v>0</v>
      </c>
      <c r="M99" s="270">
        <v>0</v>
      </c>
      <c r="N99" s="195">
        <f>+Elementos_[[#This Row],[Cantidad 
LDV]]*Elementos_[[#This Row],[Valor de referencia]]</f>
        <v>0</v>
      </c>
      <c r="O99" s="166"/>
      <c r="P99" s="159">
        <f>+Elementos_[[#This Row],[Cantidad LNDV]]*Elementos_[[#This Row],[Valor de referencia]]</f>
        <v>0</v>
      </c>
      <c r="Q99" s="196"/>
      <c r="R99" s="159">
        <f>+Elementos_[[#This Row],[GGCA]]*Elementos_[[#This Row],[Valor de referencia]]</f>
        <v>0</v>
      </c>
      <c r="S99" s="166">
        <v>1</v>
      </c>
      <c r="T99" s="159">
        <f>+Elementos_[[#This Row],[Cantidad LDF]]*Elementos_[[#This Row],[Valor de referencia]]</f>
        <v>21473</v>
      </c>
      <c r="U99" s="197"/>
      <c r="V99" s="159">
        <f>+Elementos_[[#This Row],[Cantidad LDF&amp;MR]]*Elementos_[[#This Row],[Valor de referencia]]</f>
        <v>0</v>
      </c>
      <c r="W99" s="166"/>
      <c r="X99" s="159">
        <f>+Elementos_[[#This Row],[Cantidad RED LASE]]*Elementos_[[#This Row],[Valor de referencia]]</f>
        <v>0</v>
      </c>
      <c r="Y99" s="166"/>
      <c r="Z99" s="159">
        <f>+Elementos_[[#This Row],[Cantidad LANIA]]*Elementos_[[#This Row],[Valor de referencia]]</f>
        <v>0</v>
      </c>
      <c r="AA99" s="196"/>
      <c r="AB99" s="159">
        <f>+Elementos_[[#This Row],[Cantidad SPA]]*Elementos_[[#This Row],[Valor de referencia]]</f>
        <v>0</v>
      </c>
      <c r="AC99" s="166" t="s">
        <v>2041</v>
      </c>
    </row>
    <row r="100" spans="1:29" ht="24" x14ac:dyDescent="0.2">
      <c r="A100" s="294" t="str">
        <f>IF(B100=Elementos_[[#This Row],[Cantidad LANIP]],"LANIP",IF(B100=Elementos_[[#This Row],[Cantidad 
LDV]],"LDV",IF(B100=Elementos_[[#This Row],[Cantidad LNDV]],"LNDV",IF(B100=Elementos_[[#This Row],[GGCA]],"GGCA",IF(B100=Elementos_[[#This Row],[Cantidad LDF]],"LDF",IF(B100=Elementos_[[#This Row],[Cantidad LDF&amp;MR]],"LDF&amp;MR",IF(B100=Elementos_[[#This Row],[Cantidad RED LASE]],"LASE",IF(B100=Elementos_[[#This Row],[Cantidad LANIA]],"LANIA",IF(B100=Elementos_[[#This Row],[Cantidad SPA]],"SPA"," ")))))))))</f>
        <v>LDF</v>
      </c>
      <c r="B10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C100" s="298">
        <v>98</v>
      </c>
      <c r="D100" s="190">
        <v>131</v>
      </c>
      <c r="E100" s="205" t="s">
        <v>2199</v>
      </c>
      <c r="F100" s="216" t="s">
        <v>183</v>
      </c>
      <c r="G100" s="202" t="s">
        <v>525</v>
      </c>
      <c r="H10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100" s="194">
        <v>36043</v>
      </c>
      <c r="J100" s="194">
        <f>+Elementos_[[#This Row],[Valor de referencia]]*Elementos_[[#This Row],[Cantidad]]</f>
        <v>648774</v>
      </c>
      <c r="K100" s="166"/>
      <c r="L100" s="159">
        <f>+Elementos_[[#This Row],[Cantidad LANIP]]*Elementos_[[#This Row],[Valor de referencia]]</f>
        <v>0</v>
      </c>
      <c r="M100" s="270">
        <v>0</v>
      </c>
      <c r="N100" s="195">
        <f>+Elementos_[[#This Row],[Cantidad 
LDV]]*Elementos_[[#This Row],[Valor de referencia]]</f>
        <v>0</v>
      </c>
      <c r="O100" s="166"/>
      <c r="P100" s="159">
        <f>+Elementos_[[#This Row],[Cantidad LNDV]]*Elementos_[[#This Row],[Valor de referencia]]</f>
        <v>0</v>
      </c>
      <c r="Q100" s="196"/>
      <c r="R100" s="159">
        <f>+Elementos_[[#This Row],[GGCA]]*Elementos_[[#This Row],[Valor de referencia]]</f>
        <v>0</v>
      </c>
      <c r="S100" s="166">
        <v>18</v>
      </c>
      <c r="T100" s="159">
        <f>+Elementos_[[#This Row],[Cantidad LDF]]*Elementos_[[#This Row],[Valor de referencia]]</f>
        <v>648774</v>
      </c>
      <c r="U100" s="197"/>
      <c r="V100" s="159">
        <f>+Elementos_[[#This Row],[Cantidad LDF&amp;MR]]*Elementos_[[#This Row],[Valor de referencia]]</f>
        <v>0</v>
      </c>
      <c r="W100" s="166"/>
      <c r="X100" s="159">
        <f>+Elementos_[[#This Row],[Cantidad RED LASE]]*Elementos_[[#This Row],[Valor de referencia]]</f>
        <v>0</v>
      </c>
      <c r="Y100" s="166"/>
      <c r="Z100" s="159">
        <f>+Elementos_[[#This Row],[Cantidad LANIA]]*Elementos_[[#This Row],[Valor de referencia]]</f>
        <v>0</v>
      </c>
      <c r="AA100" s="196"/>
      <c r="AB100" s="159">
        <f>+Elementos_[[#This Row],[Cantidad SPA]]*Elementos_[[#This Row],[Valor de referencia]]</f>
        <v>0</v>
      </c>
      <c r="AC100" s="166" t="s">
        <v>2049</v>
      </c>
    </row>
    <row r="101" spans="1:29" ht="24" x14ac:dyDescent="0.2">
      <c r="A101" s="294" t="str">
        <f>IF(B101=Elementos_[[#This Row],[Cantidad LANIP]],"LANIP",IF(B101=Elementos_[[#This Row],[Cantidad 
LDV]],"LDV",IF(B101=Elementos_[[#This Row],[Cantidad LNDV]],"LNDV",IF(B101=Elementos_[[#This Row],[GGCA]],"GGCA",IF(B101=Elementos_[[#This Row],[Cantidad LDF]],"LDF",IF(B101=Elementos_[[#This Row],[Cantidad LDF&amp;MR]],"LDF&amp;MR",IF(B101=Elementos_[[#This Row],[Cantidad RED LASE]],"LASE",IF(B101=Elementos_[[#This Row],[Cantidad LANIA]],"LANIA",IF(B101=Elementos_[[#This Row],[Cantidad SPA]],"SPA"," ")))))))))</f>
        <v>LDF</v>
      </c>
      <c r="B10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C101" s="298">
        <v>99</v>
      </c>
      <c r="D101" s="190">
        <v>132</v>
      </c>
      <c r="E101" s="235" t="s">
        <v>2200</v>
      </c>
      <c r="F101" s="217" t="s">
        <v>183</v>
      </c>
      <c r="G101" s="192" t="s">
        <v>525</v>
      </c>
      <c r="H10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101" s="194">
        <v>83792</v>
      </c>
      <c r="J101" s="194">
        <f>+Elementos_[[#This Row],[Valor de referencia]]*Elementos_[[#This Row],[Cantidad]]</f>
        <v>1508256</v>
      </c>
      <c r="K101" s="166"/>
      <c r="L101" s="159">
        <f>+Elementos_[[#This Row],[Cantidad LANIP]]*Elementos_[[#This Row],[Valor de referencia]]</f>
        <v>0</v>
      </c>
      <c r="M101" s="270">
        <v>0</v>
      </c>
      <c r="N101" s="195">
        <f>+Elementos_[[#This Row],[Cantidad 
LDV]]*Elementos_[[#This Row],[Valor de referencia]]</f>
        <v>0</v>
      </c>
      <c r="O101" s="166"/>
      <c r="P101" s="159">
        <f>+Elementos_[[#This Row],[Cantidad LNDV]]*Elementos_[[#This Row],[Valor de referencia]]</f>
        <v>0</v>
      </c>
      <c r="Q101" s="196"/>
      <c r="R101" s="159">
        <f>+Elementos_[[#This Row],[GGCA]]*Elementos_[[#This Row],[Valor de referencia]]</f>
        <v>0</v>
      </c>
      <c r="S101" s="166">
        <v>18</v>
      </c>
      <c r="T101" s="159">
        <f>+Elementos_[[#This Row],[Cantidad LDF]]*Elementos_[[#This Row],[Valor de referencia]]</f>
        <v>1508256</v>
      </c>
      <c r="U101" s="197"/>
      <c r="V101" s="159">
        <f>+Elementos_[[#This Row],[Cantidad LDF&amp;MR]]*Elementos_[[#This Row],[Valor de referencia]]</f>
        <v>0</v>
      </c>
      <c r="W101" s="166"/>
      <c r="X101" s="159">
        <f>+Elementos_[[#This Row],[Cantidad RED LASE]]*Elementos_[[#This Row],[Valor de referencia]]</f>
        <v>0</v>
      </c>
      <c r="Y101" s="166"/>
      <c r="Z101" s="159">
        <f>+Elementos_[[#This Row],[Cantidad LANIA]]*Elementos_[[#This Row],[Valor de referencia]]</f>
        <v>0</v>
      </c>
      <c r="AA101" s="196"/>
      <c r="AB101" s="159">
        <f>+Elementos_[[#This Row],[Cantidad SPA]]*Elementos_[[#This Row],[Valor de referencia]]</f>
        <v>0</v>
      </c>
      <c r="AC101" s="166" t="s">
        <v>2049</v>
      </c>
    </row>
    <row r="102" spans="1:29" ht="24" x14ac:dyDescent="0.2">
      <c r="A102" s="294" t="str">
        <f>IF(B102=Elementos_[[#This Row],[Cantidad LANIP]],"LANIP",IF(B102=Elementos_[[#This Row],[Cantidad 
LDV]],"LDV",IF(B102=Elementos_[[#This Row],[Cantidad LNDV]],"LNDV",IF(B102=Elementos_[[#This Row],[GGCA]],"GGCA",IF(B102=Elementos_[[#This Row],[Cantidad LDF]],"LDF",IF(B102=Elementos_[[#This Row],[Cantidad LDF&amp;MR]],"LDF&amp;MR",IF(B102=Elementos_[[#This Row],[Cantidad RED LASE]],"LASE",IF(B102=Elementos_[[#This Row],[Cantidad LANIA]],"LANIA",IF(B102=Elementos_[[#This Row],[Cantidad SPA]],"SPA"," ")))))))))</f>
        <v>LDF</v>
      </c>
      <c r="B10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102" s="298">
        <v>100</v>
      </c>
      <c r="D102" s="190">
        <v>135</v>
      </c>
      <c r="E102" s="277" t="s">
        <v>2201</v>
      </c>
      <c r="F102" s="204" t="s">
        <v>183</v>
      </c>
      <c r="G102" s="192" t="s">
        <v>525</v>
      </c>
      <c r="H10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102" s="194">
        <v>173315</v>
      </c>
      <c r="J102" s="194">
        <f>+Elementos_[[#This Row],[Valor de referencia]]*Elementos_[[#This Row],[Cantidad]]</f>
        <v>519945</v>
      </c>
      <c r="K102" s="166"/>
      <c r="L102" s="159">
        <f>+Elementos_[[#This Row],[Cantidad LANIP]]*Elementos_[[#This Row],[Valor de referencia]]</f>
        <v>0</v>
      </c>
      <c r="M102" s="270">
        <v>0</v>
      </c>
      <c r="N102" s="195">
        <f>+Elementos_[[#This Row],[Cantidad 
LDV]]*Elementos_[[#This Row],[Valor de referencia]]</f>
        <v>0</v>
      </c>
      <c r="O102" s="166"/>
      <c r="P102" s="159">
        <f>+Elementos_[[#This Row],[Cantidad LNDV]]*Elementos_[[#This Row],[Valor de referencia]]</f>
        <v>0</v>
      </c>
      <c r="Q102" s="196"/>
      <c r="R102" s="159">
        <f>+Elementos_[[#This Row],[GGCA]]*Elementos_[[#This Row],[Valor de referencia]]</f>
        <v>0</v>
      </c>
      <c r="S102" s="166">
        <v>3</v>
      </c>
      <c r="T102" s="159">
        <f>+Elementos_[[#This Row],[Cantidad LDF]]*Elementos_[[#This Row],[Valor de referencia]]</f>
        <v>519945</v>
      </c>
      <c r="U102" s="197"/>
      <c r="V102" s="159">
        <f>+Elementos_[[#This Row],[Cantidad LDF&amp;MR]]*Elementos_[[#This Row],[Valor de referencia]]</f>
        <v>0</v>
      </c>
      <c r="W102" s="166"/>
      <c r="X102" s="159">
        <f>+Elementos_[[#This Row],[Cantidad RED LASE]]*Elementos_[[#This Row],[Valor de referencia]]</f>
        <v>0</v>
      </c>
      <c r="Y102" s="166"/>
      <c r="Z102" s="159">
        <f>+Elementos_[[#This Row],[Cantidad LANIA]]*Elementos_[[#This Row],[Valor de referencia]]</f>
        <v>0</v>
      </c>
      <c r="AA102" s="196"/>
      <c r="AB102" s="159">
        <f>+Elementos_[[#This Row],[Cantidad SPA]]*Elementos_[[#This Row],[Valor de referencia]]</f>
        <v>0</v>
      </c>
      <c r="AC102" s="166" t="s">
        <v>2049</v>
      </c>
    </row>
    <row r="103" spans="1:29" ht="24" x14ac:dyDescent="0.2">
      <c r="A103" s="294" t="str">
        <f>IF(B103=Elementos_[[#This Row],[Cantidad LANIP]],"LANIP",IF(B103=Elementos_[[#This Row],[Cantidad 
LDV]],"LDV",IF(B103=Elementos_[[#This Row],[Cantidad LNDV]],"LNDV",IF(B103=Elementos_[[#This Row],[GGCA]],"GGCA",IF(B103=Elementos_[[#This Row],[Cantidad LDF]],"LDF",IF(B103=Elementos_[[#This Row],[Cantidad LDF&amp;MR]],"LDF&amp;MR",IF(B103=Elementos_[[#This Row],[Cantidad RED LASE]],"LASE",IF(B103=Elementos_[[#This Row],[Cantidad LANIA]],"LANIA",IF(B103=Elementos_[[#This Row],[Cantidad SPA]],"SPA"," ")))))))))</f>
        <v>LANIA</v>
      </c>
      <c r="B10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103" s="298">
        <v>101</v>
      </c>
      <c r="D103" s="190">
        <v>136</v>
      </c>
      <c r="E103" s="277" t="s">
        <v>2202</v>
      </c>
      <c r="F103" s="214" t="s">
        <v>2203</v>
      </c>
      <c r="G103" s="192" t="s">
        <v>525</v>
      </c>
      <c r="H10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103" s="194">
        <v>192185</v>
      </c>
      <c r="J103" s="194">
        <f>+Elementos_[[#This Row],[Valor de referencia]]*Elementos_[[#This Row],[Cantidad]]</f>
        <v>2306220</v>
      </c>
      <c r="K103" s="166"/>
      <c r="L103" s="159">
        <f>+Elementos_[[#This Row],[Cantidad LANIP]]*Elementos_[[#This Row],[Valor de referencia]]</f>
        <v>0</v>
      </c>
      <c r="M103" s="270"/>
      <c r="N103" s="195">
        <f>+Elementos_[[#This Row],[Cantidad 
LDV]]*Elementos_[[#This Row],[Valor de referencia]]</f>
        <v>0</v>
      </c>
      <c r="O103" s="166"/>
      <c r="P103" s="159">
        <f>+Elementos_[[#This Row],[Cantidad LNDV]]*Elementos_[[#This Row],[Valor de referencia]]</f>
        <v>0</v>
      </c>
      <c r="Q103" s="196"/>
      <c r="R103" s="159">
        <f>+Elementos_[[#This Row],[GGCA]]*Elementos_[[#This Row],[Valor de referencia]]</f>
        <v>0</v>
      </c>
      <c r="S103" s="166">
        <v>4</v>
      </c>
      <c r="T103" s="159">
        <f>+Elementos_[[#This Row],[Cantidad LDF]]*Elementos_[[#This Row],[Valor de referencia]]</f>
        <v>768740</v>
      </c>
      <c r="U103" s="197"/>
      <c r="V103" s="159">
        <f>+Elementos_[[#This Row],[Cantidad LDF&amp;MR]]*Elementos_[[#This Row],[Valor de referencia]]</f>
        <v>0</v>
      </c>
      <c r="W103" s="166"/>
      <c r="X103" s="159">
        <f>+Elementos_[[#This Row],[Cantidad RED LASE]]*Elementos_[[#This Row],[Valor de referencia]]</f>
        <v>0</v>
      </c>
      <c r="Y103" s="166">
        <v>8</v>
      </c>
      <c r="Z103" s="159">
        <f>+Elementos_[[#This Row],[Cantidad LANIA]]*Elementos_[[#This Row],[Valor de referencia]]</f>
        <v>1537480</v>
      </c>
      <c r="AA103" s="196"/>
      <c r="AB103" s="159">
        <f>+Elementos_[[#This Row],[Cantidad SPA]]*Elementos_[[#This Row],[Valor de referencia]]</f>
        <v>0</v>
      </c>
      <c r="AC103" s="166" t="s">
        <v>2049</v>
      </c>
    </row>
    <row r="104" spans="1:29" ht="60" x14ac:dyDescent="0.2">
      <c r="A104" s="294" t="str">
        <f>IF(B104=Elementos_[[#This Row],[Cantidad LANIP]],"LANIP",IF(B104=Elementos_[[#This Row],[Cantidad 
LDV]],"LDV",IF(B104=Elementos_[[#This Row],[Cantidad LNDV]],"LNDV",IF(B104=Elementos_[[#This Row],[GGCA]],"GGCA",IF(B104=Elementos_[[#This Row],[Cantidad LDF]],"LDF",IF(B104=Elementos_[[#This Row],[Cantidad LDF&amp;MR]],"LDF&amp;MR",IF(B104=Elementos_[[#This Row],[Cantidad RED LASE]],"LASE",IF(B104=Elementos_[[#This Row],[Cantidad LANIA]],"LANIA",IF(B104=Elementos_[[#This Row],[Cantidad SPA]],"SPA"," ")))))))))</f>
        <v>LANIP</v>
      </c>
      <c r="B10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104" s="298">
        <v>102</v>
      </c>
      <c r="D104" s="190">
        <v>137</v>
      </c>
      <c r="E104" s="273" t="s">
        <v>2204</v>
      </c>
      <c r="F104" s="217" t="s">
        <v>2205</v>
      </c>
      <c r="G104" s="192" t="s">
        <v>525</v>
      </c>
      <c r="H10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104" s="194">
        <v>5281514</v>
      </c>
      <c r="J104" s="194">
        <f>+Elementos_[[#This Row],[Valor de referencia]]*Elementos_[[#This Row],[Cantidad]]</f>
        <v>5281514</v>
      </c>
      <c r="K104" s="166">
        <v>1</v>
      </c>
      <c r="L104" s="159">
        <f>+Elementos_[[#This Row],[Cantidad LANIP]]*Elementos_[[#This Row],[Valor de referencia]]</f>
        <v>5281514</v>
      </c>
      <c r="M104" s="270">
        <v>0</v>
      </c>
      <c r="N104" s="195">
        <f>+Elementos_[[#This Row],[Cantidad 
LDV]]*Elementos_[[#This Row],[Valor de referencia]]</f>
        <v>0</v>
      </c>
      <c r="O104" s="166"/>
      <c r="P104" s="159">
        <f>+Elementos_[[#This Row],[Cantidad LNDV]]*Elementos_[[#This Row],[Valor de referencia]]</f>
        <v>0</v>
      </c>
      <c r="Q104" s="196"/>
      <c r="R104" s="159">
        <f>+Elementos_[[#This Row],[GGCA]]*Elementos_[[#This Row],[Valor de referencia]]</f>
        <v>0</v>
      </c>
      <c r="S104" s="166"/>
      <c r="T104" s="159">
        <f>+Elementos_[[#This Row],[Cantidad LDF]]*Elementos_[[#This Row],[Valor de referencia]]</f>
        <v>0</v>
      </c>
      <c r="U104" s="197"/>
      <c r="V104" s="159">
        <f>+Elementos_[[#This Row],[Cantidad LDF&amp;MR]]*Elementos_[[#This Row],[Valor de referencia]]</f>
        <v>0</v>
      </c>
      <c r="W104" s="166"/>
      <c r="X104" s="159">
        <f>+Elementos_[[#This Row],[Cantidad RED LASE]]*Elementos_[[#This Row],[Valor de referencia]]</f>
        <v>0</v>
      </c>
      <c r="Y104" s="196"/>
      <c r="Z104" s="159">
        <f>+Elementos_[[#This Row],[Cantidad LANIA]]*Elementos_[[#This Row],[Valor de referencia]]</f>
        <v>0</v>
      </c>
      <c r="AA104" s="196"/>
      <c r="AB104" s="159">
        <f>+Elementos_[[#This Row],[Cantidad SPA]]*Elementos_[[#This Row],[Valor de referencia]]</f>
        <v>0</v>
      </c>
      <c r="AC104" s="166" t="s">
        <v>2049</v>
      </c>
    </row>
    <row r="105" spans="1:29" ht="24" x14ac:dyDescent="0.2">
      <c r="A105" s="294" t="str">
        <f>IF(B105=Elementos_[[#This Row],[Cantidad LANIP]],"LANIP",IF(B105=Elementos_[[#This Row],[Cantidad 
LDV]],"LDV",IF(B105=Elementos_[[#This Row],[Cantidad LNDV]],"LNDV",IF(B105=Elementos_[[#This Row],[GGCA]],"GGCA",IF(B105=Elementos_[[#This Row],[Cantidad LDF]],"LDF",IF(B105=Elementos_[[#This Row],[Cantidad LDF&amp;MR]],"LDF&amp;MR",IF(B105=Elementos_[[#This Row],[Cantidad RED LASE]],"LASE",IF(B105=Elementos_[[#This Row],[Cantidad LANIA]],"LANIA",IF(B105=Elementos_[[#This Row],[Cantidad SPA]],"SPA"," ")))))))))</f>
        <v>LDF</v>
      </c>
      <c r="B10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05" s="298">
        <v>103</v>
      </c>
      <c r="D105" s="190">
        <v>138</v>
      </c>
      <c r="E105" s="274" t="s">
        <v>2206</v>
      </c>
      <c r="F105" s="213" t="s">
        <v>183</v>
      </c>
      <c r="G105" s="192" t="s">
        <v>2064</v>
      </c>
      <c r="H10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I105" s="194">
        <v>70099</v>
      </c>
      <c r="J105" s="194">
        <f>+Elementos_[[#This Row],[Valor de referencia]]*Elementos_[[#This Row],[Cantidad]]</f>
        <v>981386</v>
      </c>
      <c r="K105" s="166"/>
      <c r="L105" s="159">
        <f>+Elementos_[[#This Row],[Cantidad LANIP]]*Elementos_[[#This Row],[Valor de referencia]]</f>
        <v>0</v>
      </c>
      <c r="M105" s="270"/>
      <c r="N105" s="195">
        <f>+Elementos_[[#This Row],[Cantidad 
LDV]]*Elementos_[[#This Row],[Valor de referencia]]</f>
        <v>0</v>
      </c>
      <c r="O105" s="166">
        <v>4</v>
      </c>
      <c r="P105" s="159">
        <f>+Elementos_[[#This Row],[Cantidad LNDV]]*Elementos_[[#This Row],[Valor de referencia]]</f>
        <v>280396</v>
      </c>
      <c r="Q105" s="196"/>
      <c r="R105" s="159">
        <f>+Elementos_[[#This Row],[GGCA]]*Elementos_[[#This Row],[Valor de referencia]]</f>
        <v>0</v>
      </c>
      <c r="S105" s="166">
        <v>10</v>
      </c>
      <c r="T105" s="159">
        <f>+Elementos_[[#This Row],[Cantidad LDF]]*Elementos_[[#This Row],[Valor de referencia]]</f>
        <v>700990</v>
      </c>
      <c r="U105" s="197"/>
      <c r="V105" s="159">
        <f>+Elementos_[[#This Row],[Cantidad LDF&amp;MR]]*Elementos_[[#This Row],[Valor de referencia]]</f>
        <v>0</v>
      </c>
      <c r="W105" s="166"/>
      <c r="X105" s="159">
        <f>+Elementos_[[#This Row],[Cantidad RED LASE]]*Elementos_[[#This Row],[Valor de referencia]]</f>
        <v>0</v>
      </c>
      <c r="Y105" s="196"/>
      <c r="Z105" s="159">
        <f>+Elementos_[[#This Row],[Cantidad LANIA]]*Elementos_[[#This Row],[Valor de referencia]]</f>
        <v>0</v>
      </c>
      <c r="AA105" s="196"/>
      <c r="AB105" s="159">
        <f>+Elementos_[[#This Row],[Cantidad SPA]]*Elementos_[[#This Row],[Valor de referencia]]</f>
        <v>0</v>
      </c>
      <c r="AC105" s="166" t="s">
        <v>2049</v>
      </c>
    </row>
    <row r="106" spans="1:29" ht="36" x14ac:dyDescent="0.2">
      <c r="A106" s="294" t="str">
        <f>IF(B106=Elementos_[[#This Row],[Cantidad LANIP]],"LANIP",IF(B106=Elementos_[[#This Row],[Cantidad 
LDV]],"LDV",IF(B106=Elementos_[[#This Row],[Cantidad LNDV]],"LNDV",IF(B106=Elementos_[[#This Row],[GGCA]],"GGCA",IF(B106=Elementos_[[#This Row],[Cantidad LDF]],"LDF",IF(B106=Elementos_[[#This Row],[Cantidad LDF&amp;MR]],"LDF&amp;MR",IF(B106=Elementos_[[#This Row],[Cantidad RED LASE]],"LASE",IF(B106=Elementos_[[#This Row],[Cantidad LANIA]],"LANIA",IF(B106=Elementos_[[#This Row],[Cantidad SPA]],"SPA"," ")))))))))</f>
        <v>LDF</v>
      </c>
      <c r="B10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06" s="298">
        <v>104</v>
      </c>
      <c r="D106" s="190">
        <v>139</v>
      </c>
      <c r="E106" s="273" t="s">
        <v>2207</v>
      </c>
      <c r="F106" s="201" t="s">
        <v>183</v>
      </c>
      <c r="G106" s="202" t="s">
        <v>525</v>
      </c>
      <c r="H10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106" s="194">
        <v>152105</v>
      </c>
      <c r="J106" s="194">
        <f>+Elementos_[[#This Row],[Valor de referencia]]*Elementos_[[#This Row],[Cantidad]]</f>
        <v>1216840</v>
      </c>
      <c r="K106" s="166"/>
      <c r="L106" s="159">
        <f>+Elementos_[[#This Row],[Cantidad LANIP]]*Elementos_[[#This Row],[Valor de referencia]]</f>
        <v>0</v>
      </c>
      <c r="M106" s="270">
        <v>0</v>
      </c>
      <c r="N106" s="195">
        <f>+Elementos_[[#This Row],[Cantidad 
LDV]]*Elementos_[[#This Row],[Valor de referencia]]</f>
        <v>0</v>
      </c>
      <c r="O106" s="166"/>
      <c r="P106" s="159">
        <f>+Elementos_[[#This Row],[Cantidad LNDV]]*Elementos_[[#This Row],[Valor de referencia]]</f>
        <v>0</v>
      </c>
      <c r="Q106" s="196"/>
      <c r="R106" s="159">
        <f>+Elementos_[[#This Row],[GGCA]]*Elementos_[[#This Row],[Valor de referencia]]</f>
        <v>0</v>
      </c>
      <c r="S106" s="166">
        <v>4</v>
      </c>
      <c r="T106" s="159">
        <f>+Elementos_[[#This Row],[Cantidad LDF]]*Elementos_[[#This Row],[Valor de referencia]]</f>
        <v>608420</v>
      </c>
      <c r="U106" s="197"/>
      <c r="V106" s="159">
        <f>+Elementos_[[#This Row],[Cantidad LDF&amp;MR]]*Elementos_[[#This Row],[Valor de referencia]]</f>
        <v>0</v>
      </c>
      <c r="W106" s="166"/>
      <c r="X106" s="159">
        <f>+Elementos_[[#This Row],[Cantidad RED LASE]]*Elementos_[[#This Row],[Valor de referencia]]</f>
        <v>0</v>
      </c>
      <c r="Y106" s="196">
        <v>4</v>
      </c>
      <c r="Z106" s="159">
        <f>+Elementos_[[#This Row],[Cantidad LANIA]]*Elementos_[[#This Row],[Valor de referencia]]</f>
        <v>608420</v>
      </c>
      <c r="AA106" s="196"/>
      <c r="AB106" s="159">
        <f>+Elementos_[[#This Row],[Cantidad SPA]]*Elementos_[[#This Row],[Valor de referencia]]</f>
        <v>0</v>
      </c>
      <c r="AC106" s="166" t="s">
        <v>2049</v>
      </c>
    </row>
    <row r="107" spans="1:29" ht="24" x14ac:dyDescent="0.2">
      <c r="A107" s="294" t="str">
        <f>IF(B107=Elementos_[[#This Row],[Cantidad LANIP]],"LANIP",IF(B107=Elementos_[[#This Row],[Cantidad 
LDV]],"LDV",IF(B107=Elementos_[[#This Row],[Cantidad LNDV]],"LNDV",IF(B107=Elementos_[[#This Row],[GGCA]],"GGCA",IF(B107=Elementos_[[#This Row],[Cantidad LDF]],"LDF",IF(B107=Elementos_[[#This Row],[Cantidad LDF&amp;MR]],"LDF&amp;MR",IF(B107=Elementos_[[#This Row],[Cantidad RED LASE]],"LASE",IF(B107=Elementos_[[#This Row],[Cantidad LANIA]],"LANIA",IF(B107=Elementos_[[#This Row],[Cantidad SPA]],"SPA"," ")))))))))</f>
        <v>LDF</v>
      </c>
      <c r="B10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107" s="298">
        <v>105</v>
      </c>
      <c r="D107" s="190">
        <v>140</v>
      </c>
      <c r="E107" s="205" t="s">
        <v>2208</v>
      </c>
      <c r="F107" s="201" t="s">
        <v>2209</v>
      </c>
      <c r="G107" s="202" t="s">
        <v>525</v>
      </c>
      <c r="H10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107" s="194">
        <v>260240</v>
      </c>
      <c r="J107" s="194">
        <f>+Elementos_[[#This Row],[Valor de referencia]]*Elementos_[[#This Row],[Cantidad]]</f>
        <v>1040960</v>
      </c>
      <c r="K107" s="166">
        <v>1</v>
      </c>
      <c r="L107" s="159">
        <f>+Elementos_[[#This Row],[Cantidad LANIP]]*Elementos_[[#This Row],[Valor de referencia]]</f>
        <v>260240</v>
      </c>
      <c r="M107" s="270">
        <v>0</v>
      </c>
      <c r="N107" s="195">
        <f>+Elementos_[[#This Row],[Cantidad 
LDV]]*Elementos_[[#This Row],[Valor de referencia]]</f>
        <v>0</v>
      </c>
      <c r="O107" s="166"/>
      <c r="P107" s="159">
        <f>+Elementos_[[#This Row],[Cantidad LNDV]]*Elementos_[[#This Row],[Valor de referencia]]</f>
        <v>0</v>
      </c>
      <c r="Q107" s="196"/>
      <c r="R107" s="159">
        <f>+Elementos_[[#This Row],[GGCA]]*Elementos_[[#This Row],[Valor de referencia]]</f>
        <v>0</v>
      </c>
      <c r="S107" s="166">
        <v>3</v>
      </c>
      <c r="T107" s="159">
        <f>+Elementos_[[#This Row],[Cantidad LDF]]*Elementos_[[#This Row],[Valor de referencia]]</f>
        <v>780720</v>
      </c>
      <c r="U107" s="197"/>
      <c r="V107" s="159">
        <f>+Elementos_[[#This Row],[Cantidad LDF&amp;MR]]*Elementos_[[#This Row],[Valor de referencia]]</f>
        <v>0</v>
      </c>
      <c r="W107" s="166"/>
      <c r="X107" s="159">
        <f>+Elementos_[[#This Row],[Cantidad RED LASE]]*Elementos_[[#This Row],[Valor de referencia]]</f>
        <v>0</v>
      </c>
      <c r="Y107" s="196"/>
      <c r="Z107" s="159">
        <f>+Elementos_[[#This Row],[Cantidad LANIA]]*Elementos_[[#This Row],[Valor de referencia]]</f>
        <v>0</v>
      </c>
      <c r="AA107" s="196"/>
      <c r="AB107" s="159">
        <f>+Elementos_[[#This Row],[Cantidad SPA]]*Elementos_[[#This Row],[Valor de referencia]]</f>
        <v>0</v>
      </c>
      <c r="AC107" s="166" t="s">
        <v>2049</v>
      </c>
    </row>
    <row r="108" spans="1:29" ht="36" x14ac:dyDescent="0.2">
      <c r="A108" s="294" t="str">
        <f>IF(B108=Elementos_[[#This Row],[Cantidad LANIP]],"LANIP",IF(B108=Elementos_[[#This Row],[Cantidad 
LDV]],"LDV",IF(B108=Elementos_[[#This Row],[Cantidad LNDV]],"LNDV",IF(B108=Elementos_[[#This Row],[GGCA]],"GGCA",IF(B108=Elementos_[[#This Row],[Cantidad LDF]],"LDF",IF(B108=Elementos_[[#This Row],[Cantidad LDF&amp;MR]],"LDF&amp;MR",IF(B108=Elementos_[[#This Row],[Cantidad RED LASE]],"LASE",IF(B108=Elementos_[[#This Row],[Cantidad LANIA]],"LANIA",IF(B108=Elementos_[[#This Row],[Cantidad SPA]],"SPA"," ")))))))))</f>
        <v>LDF</v>
      </c>
      <c r="B10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108" s="298">
        <v>106</v>
      </c>
      <c r="D108" s="190">
        <v>141</v>
      </c>
      <c r="E108" s="313" t="s">
        <v>2210</v>
      </c>
      <c r="F108" s="204" t="s">
        <v>2209</v>
      </c>
      <c r="G108" s="192" t="s">
        <v>525</v>
      </c>
      <c r="H10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108" s="194">
        <v>147181</v>
      </c>
      <c r="J108" s="194">
        <f>+Elementos_[[#This Row],[Valor de referencia]]*Elementos_[[#This Row],[Cantidad]]</f>
        <v>441543</v>
      </c>
      <c r="K108" s="166"/>
      <c r="L108" s="159">
        <f>+Elementos_[[#This Row],[Cantidad LANIP]]*Elementos_[[#This Row],[Valor de referencia]]</f>
        <v>0</v>
      </c>
      <c r="M108" s="270"/>
      <c r="N108" s="195">
        <f>+Elementos_[[#This Row],[Cantidad 
LDV]]*Elementos_[[#This Row],[Valor de referencia]]</f>
        <v>0</v>
      </c>
      <c r="O108" s="166"/>
      <c r="P108" s="159">
        <f>+Elementos_[[#This Row],[Cantidad LNDV]]*Elementos_[[#This Row],[Valor de referencia]]</f>
        <v>0</v>
      </c>
      <c r="Q108" s="196"/>
      <c r="R108" s="159">
        <f>+Elementos_[[#This Row],[GGCA]]*Elementos_[[#This Row],[Valor de referencia]]</f>
        <v>0</v>
      </c>
      <c r="S108" s="166">
        <v>3</v>
      </c>
      <c r="T108" s="159">
        <f>+Elementos_[[#This Row],[Cantidad LDF]]*Elementos_[[#This Row],[Valor de referencia]]</f>
        <v>441543</v>
      </c>
      <c r="U108" s="197"/>
      <c r="V108" s="159">
        <f>+Elementos_[[#This Row],[Cantidad LDF&amp;MR]]*Elementos_[[#This Row],[Valor de referencia]]</f>
        <v>0</v>
      </c>
      <c r="W108" s="166"/>
      <c r="X108" s="159">
        <f>+Elementos_[[#This Row],[Cantidad RED LASE]]*Elementos_[[#This Row],[Valor de referencia]]</f>
        <v>0</v>
      </c>
      <c r="Y108" s="196"/>
      <c r="Z108" s="159">
        <f>+Elementos_[[#This Row],[Cantidad LANIA]]*Elementos_[[#This Row],[Valor de referencia]]</f>
        <v>0</v>
      </c>
      <c r="AA108" s="196"/>
      <c r="AB108" s="159">
        <f>+Elementos_[[#This Row],[Cantidad SPA]]*Elementos_[[#This Row],[Valor de referencia]]</f>
        <v>0</v>
      </c>
      <c r="AC108" s="166" t="s">
        <v>2049</v>
      </c>
    </row>
    <row r="109" spans="1:29" ht="60" x14ac:dyDescent="0.2">
      <c r="A109" s="294" t="str">
        <f>IF(B109=Elementos_[[#This Row],[Cantidad LANIP]],"LANIP",IF(B109=Elementos_[[#This Row],[Cantidad 
LDV]],"LDV",IF(B109=Elementos_[[#This Row],[Cantidad LNDV]],"LNDV",IF(B109=Elementos_[[#This Row],[GGCA]],"GGCA",IF(B109=Elementos_[[#This Row],[Cantidad LDF]],"LDF",IF(B109=Elementos_[[#This Row],[Cantidad LDF&amp;MR]],"LDF&amp;MR",IF(B109=Elementos_[[#This Row],[Cantidad RED LASE]],"LASE",IF(B109=Elementos_[[#This Row],[Cantidad LANIA]],"LANIA",IF(B109=Elementos_[[#This Row],[Cantidad SPA]],"SPA"," ")))))))))</f>
        <v>LDF&amp;MR</v>
      </c>
      <c r="B10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C109" s="298">
        <v>107</v>
      </c>
      <c r="D109" s="190">
        <v>142</v>
      </c>
      <c r="E109" s="273" t="s">
        <v>2211</v>
      </c>
      <c r="F109" s="204" t="s">
        <v>2212</v>
      </c>
      <c r="G109" s="192" t="s">
        <v>525</v>
      </c>
      <c r="H10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19</v>
      </c>
      <c r="I109" s="194">
        <v>286720</v>
      </c>
      <c r="J109" s="194">
        <f>+Elementos_[[#This Row],[Valor de referencia]]*Elementos_[[#This Row],[Cantidad]]</f>
        <v>5447680</v>
      </c>
      <c r="K109" s="166"/>
      <c r="L109" s="159">
        <f>+Elementos_[[#This Row],[Cantidad LANIP]]*Elementos_[[#This Row],[Valor de referencia]]</f>
        <v>0</v>
      </c>
      <c r="M109" s="270"/>
      <c r="N109" s="195">
        <f>+Elementos_[[#This Row],[Cantidad 
LDV]]*Elementos_[[#This Row],[Valor de referencia]]</f>
        <v>0</v>
      </c>
      <c r="O109" s="166">
        <v>6</v>
      </c>
      <c r="P109" s="159">
        <f>+Elementos_[[#This Row],[Cantidad LNDV]]*Elementos_[[#This Row],[Valor de referencia]]</f>
        <v>1720320</v>
      </c>
      <c r="Q109" s="196"/>
      <c r="R109" s="159">
        <f>+Elementos_[[#This Row],[GGCA]]*Elementos_[[#This Row],[Valor de referencia]]</f>
        <v>0</v>
      </c>
      <c r="S109" s="166"/>
      <c r="T109" s="159">
        <f>+Elementos_[[#This Row],[Cantidad LDF]]*Elementos_[[#This Row],[Valor de referencia]]</f>
        <v>0</v>
      </c>
      <c r="U109" s="197">
        <v>13</v>
      </c>
      <c r="V109" s="159">
        <f>+Elementos_[[#This Row],[Cantidad LDF&amp;MR]]*Elementos_[[#This Row],[Valor de referencia]]</f>
        <v>3727360</v>
      </c>
      <c r="W109" s="166"/>
      <c r="X109" s="159">
        <f>+Elementos_[[#This Row],[Cantidad RED LASE]]*Elementos_[[#This Row],[Valor de referencia]]</f>
        <v>0</v>
      </c>
      <c r="Y109" s="196"/>
      <c r="Z109" s="159">
        <f>+Elementos_[[#This Row],[Cantidad LANIA]]*Elementos_[[#This Row],[Valor de referencia]]</f>
        <v>0</v>
      </c>
      <c r="AA109" s="196"/>
      <c r="AB109" s="159">
        <f>+Elementos_[[#This Row],[Cantidad SPA]]*Elementos_[[#This Row],[Valor de referencia]]</f>
        <v>0</v>
      </c>
      <c r="AC109" s="166" t="s">
        <v>2049</v>
      </c>
    </row>
    <row r="110" spans="1:29" ht="48" x14ac:dyDescent="0.2">
      <c r="A110" s="294" t="str">
        <f>IF(B110=Elementos_[[#This Row],[Cantidad LANIP]],"LANIP",IF(B110=Elementos_[[#This Row],[Cantidad 
LDV]],"LDV",IF(B110=Elementos_[[#This Row],[Cantidad LNDV]],"LNDV",IF(B110=Elementos_[[#This Row],[GGCA]],"GGCA",IF(B110=Elementos_[[#This Row],[Cantidad LDF]],"LDF",IF(B110=Elementos_[[#This Row],[Cantidad LDF&amp;MR]],"LDF&amp;MR",IF(B110=Elementos_[[#This Row],[Cantidad RED LASE]],"LASE",IF(B110=Elementos_[[#This Row],[Cantidad LANIA]],"LANIA",IF(B110=Elementos_[[#This Row],[Cantidad SPA]],"SPA"," ")))))))))</f>
        <v>LDF</v>
      </c>
      <c r="B11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110" s="298">
        <v>108</v>
      </c>
      <c r="D110" s="190">
        <v>143</v>
      </c>
      <c r="E110" s="273" t="s">
        <v>2213</v>
      </c>
      <c r="F110" s="204" t="s">
        <v>183</v>
      </c>
      <c r="G110" s="192" t="s">
        <v>525</v>
      </c>
      <c r="H11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110" s="194">
        <v>190185</v>
      </c>
      <c r="J110" s="194">
        <f>+Elementos_[[#This Row],[Valor de referencia]]*Elementos_[[#This Row],[Cantidad]]</f>
        <v>2852775</v>
      </c>
      <c r="K110" s="166"/>
      <c r="L110" s="159">
        <f>+Elementos_[[#This Row],[Cantidad LANIP]]*Elementos_[[#This Row],[Valor de referencia]]</f>
        <v>0</v>
      </c>
      <c r="M110" s="270"/>
      <c r="N110" s="195">
        <f>+Elementos_[[#This Row],[Cantidad 
LDV]]*Elementos_[[#This Row],[Valor de referencia]]</f>
        <v>0</v>
      </c>
      <c r="O110" s="166"/>
      <c r="P110" s="159">
        <f>+Elementos_[[#This Row],[Cantidad LNDV]]*Elementos_[[#This Row],[Valor de referencia]]</f>
        <v>0</v>
      </c>
      <c r="Q110" s="196"/>
      <c r="R110" s="159">
        <f>+Elementos_[[#This Row],[GGCA]]*Elementos_[[#This Row],[Valor de referencia]]</f>
        <v>0</v>
      </c>
      <c r="S110" s="166">
        <v>15</v>
      </c>
      <c r="T110" s="159">
        <f>+Elementos_[[#This Row],[Cantidad LDF]]*Elementos_[[#This Row],[Valor de referencia]]</f>
        <v>2852775</v>
      </c>
      <c r="U110" s="197"/>
      <c r="V110" s="159">
        <f>+Elementos_[[#This Row],[Cantidad LDF&amp;MR]]*Elementos_[[#This Row],[Valor de referencia]]</f>
        <v>0</v>
      </c>
      <c r="W110" s="166"/>
      <c r="X110" s="159">
        <f>+Elementos_[[#This Row],[Cantidad RED LASE]]*Elementos_[[#This Row],[Valor de referencia]]</f>
        <v>0</v>
      </c>
      <c r="Y110" s="196"/>
      <c r="Z110" s="159">
        <f>+Elementos_[[#This Row],[Cantidad LANIA]]*Elementos_[[#This Row],[Valor de referencia]]</f>
        <v>0</v>
      </c>
      <c r="AA110" s="196"/>
      <c r="AB110" s="159">
        <f>+Elementos_[[#This Row],[Cantidad SPA]]*Elementos_[[#This Row],[Valor de referencia]]</f>
        <v>0</v>
      </c>
      <c r="AC110" s="166" t="s">
        <v>2049</v>
      </c>
    </row>
    <row r="111" spans="1:29" ht="19.5" customHeight="1" x14ac:dyDescent="0.2">
      <c r="A111" s="294" t="str">
        <f>IF(B111=Elementos_[[#This Row],[Cantidad LANIP]],"LANIP",IF(B111=Elementos_[[#This Row],[Cantidad 
LDV]],"LDV",IF(B111=Elementos_[[#This Row],[Cantidad LNDV]],"LNDV",IF(B111=Elementos_[[#This Row],[GGCA]],"GGCA",IF(B111=Elementos_[[#This Row],[Cantidad LDF]],"LDF",IF(B111=Elementos_[[#This Row],[Cantidad LDF&amp;MR]],"LDF&amp;MR",IF(B111=Elementos_[[#This Row],[Cantidad RED LASE]],"LASE",IF(B111=Elementos_[[#This Row],[Cantidad LANIA]],"LANIA",IF(B111=Elementos_[[#This Row],[Cantidad SPA]],"SPA"," ")))))))))</f>
        <v>LDV</v>
      </c>
      <c r="B11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111" s="298">
        <v>109</v>
      </c>
      <c r="D111" s="190">
        <v>144</v>
      </c>
      <c r="E111" s="273" t="s">
        <v>2214</v>
      </c>
      <c r="F111" s="201" t="s">
        <v>183</v>
      </c>
      <c r="G111" s="192" t="s">
        <v>525</v>
      </c>
      <c r="H11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22</v>
      </c>
      <c r="I111" s="194">
        <v>882603</v>
      </c>
      <c r="J111" s="194">
        <f>+Elementos_[[#This Row],[Valor de referencia]]*Elementos_[[#This Row],[Cantidad]]</f>
        <v>19417266</v>
      </c>
      <c r="K111" s="166"/>
      <c r="L111" s="159">
        <f>+Elementos_[[#This Row],[Cantidad LANIP]]*Elementos_[[#This Row],[Valor de referencia]]</f>
        <v>0</v>
      </c>
      <c r="M111" s="270">
        <v>20</v>
      </c>
      <c r="N111" s="195">
        <f>+Elementos_[[#This Row],[Cantidad 
LDV]]*Elementos_[[#This Row],[Valor de referencia]]</f>
        <v>17652060</v>
      </c>
      <c r="O111" s="166"/>
      <c r="P111" s="159">
        <f>+Elementos_[[#This Row],[Cantidad LNDV]]*Elementos_[[#This Row],[Valor de referencia]]</f>
        <v>0</v>
      </c>
      <c r="Q111" s="196"/>
      <c r="R111" s="159">
        <f>+Elementos_[[#This Row],[GGCA]]*Elementos_[[#This Row],[Valor de referencia]]</f>
        <v>0</v>
      </c>
      <c r="S111" s="166">
        <v>2</v>
      </c>
      <c r="T111" s="159">
        <f>+Elementos_[[#This Row],[Cantidad LDF]]*Elementos_[[#This Row],[Valor de referencia]]</f>
        <v>1765206</v>
      </c>
      <c r="U111" s="197"/>
      <c r="V111" s="159">
        <f>+Elementos_[[#This Row],[Cantidad LDF&amp;MR]]*Elementos_[[#This Row],[Valor de referencia]]</f>
        <v>0</v>
      </c>
      <c r="W111" s="166"/>
      <c r="X111" s="159">
        <f>+Elementos_[[#This Row],[Cantidad RED LASE]]*Elementos_[[#This Row],[Valor de referencia]]</f>
        <v>0</v>
      </c>
      <c r="Y111" s="196"/>
      <c r="Z111" s="159">
        <f>+Elementos_[[#This Row],[Cantidad LANIA]]*Elementos_[[#This Row],[Valor de referencia]]</f>
        <v>0</v>
      </c>
      <c r="AA111" s="196"/>
      <c r="AB111" s="159">
        <f>+Elementos_[[#This Row],[Cantidad SPA]]*Elementos_[[#This Row],[Valor de referencia]]</f>
        <v>0</v>
      </c>
      <c r="AC111" s="166" t="s">
        <v>2049</v>
      </c>
    </row>
    <row r="112" spans="1:29" ht="84" x14ac:dyDescent="0.2">
      <c r="A112" s="294" t="str">
        <f>IF(B112=Elementos_[[#This Row],[Cantidad LANIP]],"LANIP",IF(B112=Elementos_[[#This Row],[Cantidad 
LDV]],"LDV",IF(B112=Elementos_[[#This Row],[Cantidad LNDV]],"LNDV",IF(B112=Elementos_[[#This Row],[GGCA]],"GGCA",IF(B112=Elementos_[[#This Row],[Cantidad LDF]],"LDF",IF(B112=Elementos_[[#This Row],[Cantidad LDF&amp;MR]],"LDF&amp;MR",IF(B112=Elementos_[[#This Row],[Cantidad RED LASE]],"LASE",IF(B112=Elementos_[[#This Row],[Cantidad LANIA]],"LANIA",IF(B112=Elementos_[[#This Row],[Cantidad SPA]],"SPA"," ")))))))))</f>
        <v>LDV</v>
      </c>
      <c r="B11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12" s="298">
        <v>110</v>
      </c>
      <c r="D112" s="190">
        <v>145</v>
      </c>
      <c r="E112" s="274" t="s">
        <v>2215</v>
      </c>
      <c r="F112" s="201" t="s">
        <v>2216</v>
      </c>
      <c r="G112" s="192" t="s">
        <v>525</v>
      </c>
      <c r="H11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19</v>
      </c>
      <c r="I112" s="194">
        <v>695787</v>
      </c>
      <c r="J112" s="194">
        <f>+Elementos_[[#This Row],[Valor de referencia]]*Elementos_[[#This Row],[Cantidad]]</f>
        <v>13219953</v>
      </c>
      <c r="K112" s="166"/>
      <c r="L112" s="159">
        <f>+Elementos_[[#This Row],[Cantidad LANIP]]*Elementos_[[#This Row],[Valor de referencia]]</f>
        <v>0</v>
      </c>
      <c r="M112" s="270">
        <v>10</v>
      </c>
      <c r="N112" s="195">
        <f>+Elementos_[[#This Row],[Cantidad 
LDV]]*Elementos_[[#This Row],[Valor de referencia]]</f>
        <v>6957870</v>
      </c>
      <c r="O112" s="166">
        <v>1</v>
      </c>
      <c r="P112" s="159">
        <f>+Elementos_[[#This Row],[Cantidad LNDV]]*Elementos_[[#This Row],[Valor de referencia]]</f>
        <v>695787</v>
      </c>
      <c r="Q112" s="196"/>
      <c r="R112" s="159">
        <f>+Elementos_[[#This Row],[GGCA]]*Elementos_[[#This Row],[Valor de referencia]]</f>
        <v>0</v>
      </c>
      <c r="S112" s="166">
        <v>4</v>
      </c>
      <c r="T112" s="159">
        <f>+Elementos_[[#This Row],[Cantidad LDF]]*Elementos_[[#This Row],[Valor de referencia]]</f>
        <v>2783148</v>
      </c>
      <c r="U112" s="197">
        <v>2</v>
      </c>
      <c r="V112" s="159">
        <f>+Elementos_[[#This Row],[Cantidad LDF&amp;MR]]*Elementos_[[#This Row],[Valor de referencia]]</f>
        <v>1391574</v>
      </c>
      <c r="W112" s="166"/>
      <c r="X112" s="159">
        <f>+Elementos_[[#This Row],[Cantidad RED LASE]]*Elementos_[[#This Row],[Valor de referencia]]</f>
        <v>0</v>
      </c>
      <c r="Y112" s="196">
        <v>2</v>
      </c>
      <c r="Z112" s="159">
        <f>+Elementos_[[#This Row],[Cantidad LANIA]]*Elementos_[[#This Row],[Valor de referencia]]</f>
        <v>1391574</v>
      </c>
      <c r="AA112" s="196"/>
      <c r="AB112" s="159">
        <f>+Elementos_[[#This Row],[Cantidad SPA]]*Elementos_[[#This Row],[Valor de referencia]]</f>
        <v>0</v>
      </c>
      <c r="AC112" s="166" t="s">
        <v>2041</v>
      </c>
    </row>
    <row r="113" spans="1:29" ht="24" x14ac:dyDescent="0.2">
      <c r="A113" s="294" t="str">
        <f>IF(B113=Elementos_[[#This Row],[Cantidad LANIP]],"LANIP",IF(B113=Elementos_[[#This Row],[Cantidad 
LDV]],"LDV",IF(B113=Elementos_[[#This Row],[Cantidad LNDV]],"LNDV",IF(B113=Elementos_[[#This Row],[GGCA]],"GGCA",IF(B113=Elementos_[[#This Row],[Cantidad LDF]],"LDF",IF(B113=Elementos_[[#This Row],[Cantidad LDF&amp;MR]],"LDF&amp;MR",IF(B113=Elementos_[[#This Row],[Cantidad RED LASE]],"LASE",IF(B113=Elementos_[[#This Row],[Cantidad LANIA]],"LANIA",IF(B113=Elementos_[[#This Row],[Cantidad SPA]],"SPA"," ")))))))))</f>
        <v>LANIA</v>
      </c>
      <c r="B11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13" s="298">
        <v>111</v>
      </c>
      <c r="D113" s="190">
        <v>148</v>
      </c>
      <c r="E113" s="273" t="s">
        <v>2217</v>
      </c>
      <c r="F113" s="200" t="s">
        <v>2218</v>
      </c>
      <c r="G113" s="192" t="s">
        <v>525</v>
      </c>
      <c r="H11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113" s="194">
        <v>554377</v>
      </c>
      <c r="J113" s="194">
        <f>+Elementos_[[#This Row],[Valor de referencia]]*Elementos_[[#This Row],[Cantidad]]</f>
        <v>7206901</v>
      </c>
      <c r="K113" s="166"/>
      <c r="L113" s="159">
        <f>+Elementos_[[#This Row],[Cantidad LANIP]]*Elementos_[[#This Row],[Valor de referencia]]</f>
        <v>0</v>
      </c>
      <c r="M113" s="270">
        <v>1</v>
      </c>
      <c r="N113" s="195">
        <f>+Elementos_[[#This Row],[Cantidad 
LDV]]*Elementos_[[#This Row],[Valor de referencia]]</f>
        <v>554377</v>
      </c>
      <c r="O113" s="166">
        <v>2</v>
      </c>
      <c r="P113" s="159">
        <f>+Elementos_[[#This Row],[Cantidad LNDV]]*Elementos_[[#This Row],[Valor de referencia]]</f>
        <v>1108754</v>
      </c>
      <c r="Q113" s="196"/>
      <c r="R113" s="159">
        <f>+Elementos_[[#This Row],[GGCA]]*Elementos_[[#This Row],[Valor de referencia]]</f>
        <v>0</v>
      </c>
      <c r="S113" s="166"/>
      <c r="T113" s="159">
        <f>+Elementos_[[#This Row],[Cantidad LDF]]*Elementos_[[#This Row],[Valor de referencia]]</f>
        <v>0</v>
      </c>
      <c r="U113" s="197"/>
      <c r="V113" s="159">
        <f>+Elementos_[[#This Row],[Cantidad LDF&amp;MR]]*Elementos_[[#This Row],[Valor de referencia]]</f>
        <v>0</v>
      </c>
      <c r="W113" s="166"/>
      <c r="X113" s="159">
        <f>+Elementos_[[#This Row],[Cantidad RED LASE]]*Elementos_[[#This Row],[Valor de referencia]]</f>
        <v>0</v>
      </c>
      <c r="Y113" s="196">
        <v>10</v>
      </c>
      <c r="Z113" s="159">
        <f>+Elementos_[[#This Row],[Cantidad LANIA]]*Elementos_[[#This Row],[Valor de referencia]]</f>
        <v>5543770</v>
      </c>
      <c r="AA113" s="196"/>
      <c r="AB113" s="159">
        <f>+Elementos_[[#This Row],[Cantidad SPA]]*Elementos_[[#This Row],[Valor de referencia]]</f>
        <v>0</v>
      </c>
      <c r="AC113" s="166" t="s">
        <v>2049</v>
      </c>
    </row>
    <row r="114" spans="1:29" ht="36" x14ac:dyDescent="0.2">
      <c r="A114" s="294" t="str">
        <f>IF(B114=Elementos_[[#This Row],[Cantidad LANIP]],"LANIP",IF(B114=Elementos_[[#This Row],[Cantidad 
LDV]],"LDV",IF(B114=Elementos_[[#This Row],[Cantidad LNDV]],"LNDV",IF(B114=Elementos_[[#This Row],[GGCA]],"GGCA",IF(B114=Elementos_[[#This Row],[Cantidad LDF]],"LDF",IF(B114=Elementos_[[#This Row],[Cantidad LDF&amp;MR]],"LDF&amp;MR",IF(B114=Elementos_[[#This Row],[Cantidad RED LASE]],"LASE",IF(B114=Elementos_[[#This Row],[Cantidad LANIA]],"LANIA",IF(B114=Elementos_[[#This Row],[Cantidad SPA]],"SPA"," ")))))))))</f>
        <v>LANIA</v>
      </c>
      <c r="B11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114" s="298">
        <v>112</v>
      </c>
      <c r="D114" s="190">
        <v>149</v>
      </c>
      <c r="E114" s="299" t="s">
        <v>2219</v>
      </c>
      <c r="F114" s="214" t="s">
        <v>2220</v>
      </c>
      <c r="G114" s="192" t="s">
        <v>1726</v>
      </c>
      <c r="H11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114" s="194">
        <v>163506</v>
      </c>
      <c r="J114" s="194">
        <f>+Elementos_[[#This Row],[Valor de referencia]]*Elementos_[[#This Row],[Cantidad]]</f>
        <v>3270120</v>
      </c>
      <c r="K114" s="166"/>
      <c r="L114" s="159">
        <f>+Elementos_[[#This Row],[Cantidad LANIP]]*Elementos_[[#This Row],[Valor de referencia]]</f>
        <v>0</v>
      </c>
      <c r="M114" s="270">
        <v>0</v>
      </c>
      <c r="N114" s="195">
        <f>+Elementos_[[#This Row],[Cantidad 
LDV]]*Elementos_[[#This Row],[Valor de referencia]]</f>
        <v>0</v>
      </c>
      <c r="O114" s="166"/>
      <c r="P114" s="159">
        <f>+Elementos_[[#This Row],[Cantidad LNDV]]*Elementos_[[#This Row],[Valor de referencia]]</f>
        <v>0</v>
      </c>
      <c r="Q114" s="196"/>
      <c r="R114" s="159">
        <f>+Elementos_[[#This Row],[GGCA]]*Elementos_[[#This Row],[Valor de referencia]]</f>
        <v>0</v>
      </c>
      <c r="S114" s="166"/>
      <c r="T114" s="159">
        <f>+Elementos_[[#This Row],[Cantidad LDF]]*Elementos_[[#This Row],[Valor de referencia]]</f>
        <v>0</v>
      </c>
      <c r="U114" s="197"/>
      <c r="V114" s="159">
        <f>+Elementos_[[#This Row],[Cantidad LDF&amp;MR]]*Elementos_[[#This Row],[Valor de referencia]]</f>
        <v>0</v>
      </c>
      <c r="W114" s="166"/>
      <c r="X114" s="159">
        <f>+Elementos_[[#This Row],[Cantidad RED LASE]]*Elementos_[[#This Row],[Valor de referencia]]</f>
        <v>0</v>
      </c>
      <c r="Y114" s="196">
        <v>20</v>
      </c>
      <c r="Z114" s="159">
        <f>+Elementos_[[#This Row],[Cantidad LANIA]]*Elementos_[[#This Row],[Valor de referencia]]</f>
        <v>3270120</v>
      </c>
      <c r="AA114" s="196"/>
      <c r="AB114" s="159">
        <f>+Elementos_[[#This Row],[Cantidad SPA]]*Elementos_[[#This Row],[Valor de referencia]]</f>
        <v>0</v>
      </c>
      <c r="AC114" s="166" t="s">
        <v>2049</v>
      </c>
    </row>
    <row r="115" spans="1:29" ht="19.5" customHeight="1" x14ac:dyDescent="0.2">
      <c r="A115" s="294" t="str">
        <f>IF(B115=Elementos_[[#This Row],[Cantidad LANIP]],"LANIP",IF(B115=Elementos_[[#This Row],[Cantidad 
LDV]],"LDV",IF(B115=Elementos_[[#This Row],[Cantidad LNDV]],"LNDV",IF(B115=Elementos_[[#This Row],[GGCA]],"GGCA",IF(B115=Elementos_[[#This Row],[Cantidad LDF]],"LDF",IF(B115=Elementos_[[#This Row],[Cantidad LDF&amp;MR]],"LDF&amp;MR",IF(B115=Elementos_[[#This Row],[Cantidad RED LASE]],"LASE",IF(B115=Elementos_[[#This Row],[Cantidad LANIA]],"LANIA",IF(B115=Elementos_[[#This Row],[Cantidad SPA]],"SPA"," ")))))))))</f>
        <v>LANIA</v>
      </c>
      <c r="B11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15" s="298">
        <v>113</v>
      </c>
      <c r="D115" s="190">
        <v>151</v>
      </c>
      <c r="E115" s="274" t="s">
        <v>2221</v>
      </c>
      <c r="F115" s="218" t="s">
        <v>624</v>
      </c>
      <c r="G115" s="219" t="s">
        <v>1394</v>
      </c>
      <c r="H11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115" s="194">
        <v>739502</v>
      </c>
      <c r="J115" s="194">
        <f>+Elementos_[[#This Row],[Valor de referencia]]*Elementos_[[#This Row],[Cantidad]]</f>
        <v>1479004</v>
      </c>
      <c r="K115" s="166"/>
      <c r="L115" s="159">
        <f>+Elementos_[[#This Row],[Cantidad LANIP]]*Elementos_[[#This Row],[Valor de referencia]]</f>
        <v>0</v>
      </c>
      <c r="M115" s="270"/>
      <c r="N115" s="195">
        <f>+Elementos_[[#This Row],[Cantidad 
LDV]]*Elementos_[[#This Row],[Valor de referencia]]</f>
        <v>0</v>
      </c>
      <c r="O115" s="166"/>
      <c r="P115" s="159">
        <f>+Elementos_[[#This Row],[Cantidad LNDV]]*Elementos_[[#This Row],[Valor de referencia]]</f>
        <v>0</v>
      </c>
      <c r="Q115" s="196"/>
      <c r="R115" s="159">
        <f>+Elementos_[[#This Row],[GGCA]]*Elementos_[[#This Row],[Valor de referencia]]</f>
        <v>0</v>
      </c>
      <c r="S115" s="166"/>
      <c r="T115" s="159">
        <f>+Elementos_[[#This Row],[Cantidad LDF]]*Elementos_[[#This Row],[Valor de referencia]]</f>
        <v>0</v>
      </c>
      <c r="U115" s="197"/>
      <c r="V115" s="159">
        <f>+Elementos_[[#This Row],[Cantidad LDF&amp;MR]]*Elementos_[[#This Row],[Valor de referencia]]</f>
        <v>0</v>
      </c>
      <c r="W115" s="166"/>
      <c r="X115" s="159">
        <f>+Elementos_[[#This Row],[Cantidad RED LASE]]*Elementos_[[#This Row],[Valor de referencia]]</f>
        <v>0</v>
      </c>
      <c r="Y115" s="196">
        <v>2</v>
      </c>
      <c r="Z115" s="159">
        <f>+Elementos_[[#This Row],[Cantidad LANIA]]*Elementos_[[#This Row],[Valor de referencia]]</f>
        <v>1479004</v>
      </c>
      <c r="AA115" s="196"/>
      <c r="AB115" s="159">
        <f>+Elementos_[[#This Row],[Cantidad SPA]]*Elementos_[[#This Row],[Valor de referencia]]</f>
        <v>0</v>
      </c>
      <c r="AC115" s="166" t="s">
        <v>2049</v>
      </c>
    </row>
    <row r="116" spans="1:29" ht="48" x14ac:dyDescent="0.2">
      <c r="A116" s="294" t="str">
        <f>IF(B116=Elementos_[[#This Row],[Cantidad LANIP]],"LANIP",IF(B116=Elementos_[[#This Row],[Cantidad 
LDV]],"LDV",IF(B116=Elementos_[[#This Row],[Cantidad LNDV]],"LNDV",IF(B116=Elementos_[[#This Row],[GGCA]],"GGCA",IF(B116=Elementos_[[#This Row],[Cantidad LDF]],"LDF",IF(B116=Elementos_[[#This Row],[Cantidad LDF&amp;MR]],"LDF&amp;MR",IF(B116=Elementos_[[#This Row],[Cantidad RED LASE]],"LASE",IF(B116=Elementos_[[#This Row],[Cantidad LANIA]],"LANIA",IF(B116=Elementos_[[#This Row],[Cantidad SPA]],"SPA"," ")))))))))</f>
        <v>LASE</v>
      </c>
      <c r="B11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16" s="298">
        <v>114</v>
      </c>
      <c r="D116" s="190">
        <v>153</v>
      </c>
      <c r="E116" s="273" t="s">
        <v>2222</v>
      </c>
      <c r="F116" s="216" t="s">
        <v>183</v>
      </c>
      <c r="G116" s="202" t="s">
        <v>525</v>
      </c>
      <c r="H11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116" s="194">
        <v>4852531</v>
      </c>
      <c r="J116" s="194">
        <f>+Elementos_[[#This Row],[Valor de referencia]]*Elementos_[[#This Row],[Cantidad]]</f>
        <v>14557593</v>
      </c>
      <c r="K116" s="166"/>
      <c r="L116" s="159">
        <f>+Elementos_[[#This Row],[Cantidad LANIP]]*Elementos_[[#This Row],[Valor de referencia]]</f>
        <v>0</v>
      </c>
      <c r="M116" s="270"/>
      <c r="N116" s="195">
        <f>+Elementos_[[#This Row],[Cantidad 
LDV]]*Elementos_[[#This Row],[Valor de referencia]]</f>
        <v>0</v>
      </c>
      <c r="O116" s="166"/>
      <c r="P116" s="159">
        <f>+Elementos_[[#This Row],[Cantidad LNDV]]*Elementos_[[#This Row],[Valor de referencia]]</f>
        <v>0</v>
      </c>
      <c r="Q116" s="196"/>
      <c r="R116" s="159">
        <f>+Elementos_[[#This Row],[GGCA]]*Elementos_[[#This Row],[Valor de referencia]]</f>
        <v>0</v>
      </c>
      <c r="S116" s="166"/>
      <c r="T116" s="159">
        <f>+Elementos_[[#This Row],[Cantidad LDF]]*Elementos_[[#This Row],[Valor de referencia]]</f>
        <v>0</v>
      </c>
      <c r="U116" s="197"/>
      <c r="V116" s="159">
        <f>+Elementos_[[#This Row],[Cantidad LDF&amp;MR]]*Elementos_[[#This Row],[Valor de referencia]]</f>
        <v>0</v>
      </c>
      <c r="W116" s="166">
        <v>2</v>
      </c>
      <c r="X116" s="159">
        <f>+Elementos_[[#This Row],[Cantidad RED LASE]]*Elementos_[[#This Row],[Valor de referencia]]</f>
        <v>9705062</v>
      </c>
      <c r="Y116" s="196">
        <v>1</v>
      </c>
      <c r="Z116" s="159">
        <f>+Elementos_[[#This Row],[Cantidad LANIA]]*Elementos_[[#This Row],[Valor de referencia]]</f>
        <v>4852531</v>
      </c>
      <c r="AA116" s="196"/>
      <c r="AB116" s="159">
        <f>+Elementos_[[#This Row],[Cantidad SPA]]*Elementos_[[#This Row],[Valor de referencia]]</f>
        <v>0</v>
      </c>
      <c r="AC116" s="166" t="s">
        <v>2049</v>
      </c>
    </row>
    <row r="117" spans="1:29" ht="36" x14ac:dyDescent="0.2">
      <c r="A117" s="294" t="str">
        <f>IF(B117=Elementos_[[#This Row],[Cantidad LANIP]],"LANIP",IF(B117=Elementos_[[#This Row],[Cantidad 
LDV]],"LDV",IF(B117=Elementos_[[#This Row],[Cantidad LNDV]],"LNDV",IF(B117=Elementos_[[#This Row],[GGCA]],"GGCA",IF(B117=Elementos_[[#This Row],[Cantidad LDF]],"LDF",IF(B117=Elementos_[[#This Row],[Cantidad LDF&amp;MR]],"LDF&amp;MR",IF(B117=Elementos_[[#This Row],[Cantidad RED LASE]],"LASE",IF(B117=Elementos_[[#This Row],[Cantidad LANIA]],"LANIA",IF(B117=Elementos_[[#This Row],[Cantidad SPA]],"SPA"," ")))))))))</f>
        <v>LANIA</v>
      </c>
      <c r="B11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117" s="298">
        <v>115</v>
      </c>
      <c r="D117" s="190">
        <v>154</v>
      </c>
      <c r="E117" s="273" t="s">
        <v>2223</v>
      </c>
      <c r="F117" s="201" t="s">
        <v>2224</v>
      </c>
      <c r="G117" s="202" t="s">
        <v>525</v>
      </c>
      <c r="H11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117" s="194">
        <v>2518044</v>
      </c>
      <c r="J117" s="194">
        <f>+Elementos_[[#This Row],[Valor de referencia]]*Elementos_[[#This Row],[Cantidad]]</f>
        <v>2518044</v>
      </c>
      <c r="K117" s="166"/>
      <c r="L117" s="159">
        <f>+Elementos_[[#This Row],[Cantidad LANIP]]*Elementos_[[#This Row],[Valor de referencia]]</f>
        <v>0</v>
      </c>
      <c r="M117" s="270"/>
      <c r="N117" s="195">
        <f>+Elementos_[[#This Row],[Cantidad 
LDV]]*Elementos_[[#This Row],[Valor de referencia]]</f>
        <v>0</v>
      </c>
      <c r="O117" s="166"/>
      <c r="P117" s="159">
        <f>+Elementos_[[#This Row],[Cantidad LNDV]]*Elementos_[[#This Row],[Valor de referencia]]</f>
        <v>0</v>
      </c>
      <c r="Q117" s="196"/>
      <c r="R117" s="159">
        <f>+Elementos_[[#This Row],[GGCA]]*Elementos_[[#This Row],[Valor de referencia]]</f>
        <v>0</v>
      </c>
      <c r="S117" s="166"/>
      <c r="T117" s="159">
        <f>+Elementos_[[#This Row],[Cantidad LDF]]*Elementos_[[#This Row],[Valor de referencia]]</f>
        <v>0</v>
      </c>
      <c r="U117" s="197"/>
      <c r="V117" s="159">
        <f>+Elementos_[[#This Row],[Cantidad LDF&amp;MR]]*Elementos_[[#This Row],[Valor de referencia]]</f>
        <v>0</v>
      </c>
      <c r="W117" s="166"/>
      <c r="X117" s="159">
        <f>+Elementos_[[#This Row],[Cantidad RED LASE]]*Elementos_[[#This Row],[Valor de referencia]]</f>
        <v>0</v>
      </c>
      <c r="Y117" s="196">
        <v>1</v>
      </c>
      <c r="Z117" s="159">
        <f>+Elementos_[[#This Row],[Cantidad LANIA]]*Elementos_[[#This Row],[Valor de referencia]]</f>
        <v>2518044</v>
      </c>
      <c r="AA117" s="196"/>
      <c r="AB117" s="159">
        <f>+Elementos_[[#This Row],[Cantidad SPA]]*Elementos_[[#This Row],[Valor de referencia]]</f>
        <v>0</v>
      </c>
      <c r="AC117" s="166" t="s">
        <v>2049</v>
      </c>
    </row>
    <row r="118" spans="1:29" ht="36" x14ac:dyDescent="0.2">
      <c r="A118" s="294" t="str">
        <f>IF(B118=Elementos_[[#This Row],[Cantidad LANIP]],"LANIP",IF(B118=Elementos_[[#This Row],[Cantidad 
LDV]],"LDV",IF(B118=Elementos_[[#This Row],[Cantidad LNDV]],"LNDV",IF(B118=Elementos_[[#This Row],[GGCA]],"GGCA",IF(B118=Elementos_[[#This Row],[Cantidad LDF]],"LDF",IF(B118=Elementos_[[#This Row],[Cantidad LDF&amp;MR]],"LDF&amp;MR",IF(B118=Elementos_[[#This Row],[Cantidad RED LASE]],"LASE",IF(B118=Elementos_[[#This Row],[Cantidad LANIA]],"LANIA",IF(B118=Elementos_[[#This Row],[Cantidad SPA]],"SPA"," ")))))))))</f>
        <v>LNDV</v>
      </c>
      <c r="B11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18" s="298">
        <v>116</v>
      </c>
      <c r="D118" s="190">
        <v>156</v>
      </c>
      <c r="E118" s="273" t="s">
        <v>2225</v>
      </c>
      <c r="F118" s="204" t="s">
        <v>2226</v>
      </c>
      <c r="G118" s="192" t="s">
        <v>2227</v>
      </c>
      <c r="H11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118" s="194">
        <v>541600</v>
      </c>
      <c r="J118" s="194">
        <f>+Elementos_[[#This Row],[Valor de referencia]]*Elementos_[[#This Row],[Cantidad]]</f>
        <v>5416000</v>
      </c>
      <c r="K118" s="166"/>
      <c r="L118" s="159">
        <f>+Elementos_[[#This Row],[Cantidad LANIP]]*Elementos_[[#This Row],[Valor de referencia]]</f>
        <v>0</v>
      </c>
      <c r="M118" s="270">
        <v>0</v>
      </c>
      <c r="N118" s="195">
        <f>+Elementos_[[#This Row],[Cantidad 
LDV]]*Elementos_[[#This Row],[Valor de referencia]]</f>
        <v>0</v>
      </c>
      <c r="O118" s="166">
        <v>10</v>
      </c>
      <c r="P118" s="159">
        <f>+Elementos_[[#This Row],[Cantidad LNDV]]*Elementos_[[#This Row],[Valor de referencia]]</f>
        <v>5416000</v>
      </c>
      <c r="Q118" s="196"/>
      <c r="R118" s="159">
        <f>+Elementos_[[#This Row],[GGCA]]*Elementos_[[#This Row],[Valor de referencia]]</f>
        <v>0</v>
      </c>
      <c r="S118" s="166"/>
      <c r="T118" s="159">
        <f>+Elementos_[[#This Row],[Cantidad LDF]]*Elementos_[[#This Row],[Valor de referencia]]</f>
        <v>0</v>
      </c>
      <c r="U118" s="197"/>
      <c r="V118" s="159">
        <f>+Elementos_[[#This Row],[Cantidad LDF&amp;MR]]*Elementos_[[#This Row],[Valor de referencia]]</f>
        <v>0</v>
      </c>
      <c r="W118" s="166"/>
      <c r="X118" s="159">
        <f>+Elementos_[[#This Row],[Cantidad RED LASE]]*Elementos_[[#This Row],[Valor de referencia]]</f>
        <v>0</v>
      </c>
      <c r="Y118" s="196"/>
      <c r="Z118" s="159">
        <f>+Elementos_[[#This Row],[Cantidad LANIA]]*Elementos_[[#This Row],[Valor de referencia]]</f>
        <v>0</v>
      </c>
      <c r="AA118" s="196"/>
      <c r="AB118" s="159">
        <f>+Elementos_[[#This Row],[Cantidad SPA]]*Elementos_[[#This Row],[Valor de referencia]]</f>
        <v>0</v>
      </c>
      <c r="AC118" s="406" t="s">
        <v>101</v>
      </c>
    </row>
    <row r="119" spans="1:29" ht="72" x14ac:dyDescent="0.2">
      <c r="A119" s="294" t="str">
        <f>IF(B119=Elementos_[[#This Row],[Cantidad LANIP]],"LANIP",IF(B119=Elementos_[[#This Row],[Cantidad 
LDV]],"LDV",IF(B119=Elementos_[[#This Row],[Cantidad LNDV]],"LNDV",IF(B119=Elementos_[[#This Row],[GGCA]],"GGCA",IF(B119=Elementos_[[#This Row],[Cantidad LDF]],"LDF",IF(B119=Elementos_[[#This Row],[Cantidad LDF&amp;MR]],"LDF&amp;MR",IF(B119=Elementos_[[#This Row],[Cantidad RED LASE]],"LASE",IF(B119=Elementos_[[#This Row],[Cantidad LANIA]],"LANIA",IF(B119=Elementos_[[#This Row],[Cantidad SPA]],"SPA"," ")))))))))</f>
        <v>LNDV</v>
      </c>
      <c r="B11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119" s="298">
        <v>117</v>
      </c>
      <c r="D119" s="190">
        <v>158</v>
      </c>
      <c r="E119" s="273" t="s">
        <v>2228</v>
      </c>
      <c r="F119" s="200" t="s">
        <v>2229</v>
      </c>
      <c r="G119" s="192" t="s">
        <v>2081</v>
      </c>
      <c r="H11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119" s="194">
        <v>691448</v>
      </c>
      <c r="J119" s="194">
        <f>+Elementos_[[#This Row],[Valor de referencia]]*Elementos_[[#This Row],[Cantidad]]</f>
        <v>4148688</v>
      </c>
      <c r="K119" s="166"/>
      <c r="L119" s="159">
        <f>+Elementos_[[#This Row],[Cantidad LANIP]]*Elementos_[[#This Row],[Valor de referencia]]</f>
        <v>0</v>
      </c>
      <c r="M119" s="270">
        <v>1</v>
      </c>
      <c r="N119" s="195">
        <f>+Elementos_[[#This Row],[Cantidad 
LDV]]*Elementos_[[#This Row],[Valor de referencia]]</f>
        <v>691448</v>
      </c>
      <c r="O119" s="166">
        <v>5</v>
      </c>
      <c r="P119" s="159">
        <f>+Elementos_[[#This Row],[Cantidad LNDV]]*Elementos_[[#This Row],[Valor de referencia]]</f>
        <v>3457240</v>
      </c>
      <c r="Q119" s="196"/>
      <c r="R119" s="159">
        <f>+Elementos_[[#This Row],[GGCA]]*Elementos_[[#This Row],[Valor de referencia]]</f>
        <v>0</v>
      </c>
      <c r="S119" s="166"/>
      <c r="T119" s="159">
        <f>+Elementos_[[#This Row],[Cantidad LDF]]*Elementos_[[#This Row],[Valor de referencia]]</f>
        <v>0</v>
      </c>
      <c r="U119" s="197"/>
      <c r="V119" s="159">
        <f>+Elementos_[[#This Row],[Cantidad LDF&amp;MR]]*Elementos_[[#This Row],[Valor de referencia]]</f>
        <v>0</v>
      </c>
      <c r="W119" s="166"/>
      <c r="X119" s="159">
        <f>+Elementos_[[#This Row],[Cantidad RED LASE]]*Elementos_[[#This Row],[Valor de referencia]]</f>
        <v>0</v>
      </c>
      <c r="Y119" s="196"/>
      <c r="Z119" s="159">
        <f>+Elementos_[[#This Row],[Cantidad LANIA]]*Elementos_[[#This Row],[Valor de referencia]]</f>
        <v>0</v>
      </c>
      <c r="AA119" s="196"/>
      <c r="AB119" s="159">
        <f>+Elementos_[[#This Row],[Cantidad SPA]]*Elementos_[[#This Row],[Valor de referencia]]</f>
        <v>0</v>
      </c>
      <c r="AC119" s="166" t="s">
        <v>2041</v>
      </c>
    </row>
    <row r="120" spans="1:29" ht="36" x14ac:dyDescent="0.2">
      <c r="A120" s="294" t="str">
        <f>IF(B120=Elementos_[[#This Row],[Cantidad LANIP]],"LANIP",IF(B120=Elementos_[[#This Row],[Cantidad 
LDV]],"LDV",IF(B120=Elementos_[[#This Row],[Cantidad LNDV]],"LNDV",IF(B120=Elementos_[[#This Row],[GGCA]],"GGCA",IF(B120=Elementos_[[#This Row],[Cantidad LDF]],"LDF",IF(B120=Elementos_[[#This Row],[Cantidad LDF&amp;MR]],"LDF&amp;MR",IF(B120=Elementos_[[#This Row],[Cantidad RED LASE]],"LASE",IF(B120=Elementos_[[#This Row],[Cantidad LANIA]],"LANIA",IF(B120=Elementos_[[#This Row],[Cantidad SPA]],"SPA"," ")))))))))</f>
        <v>SPA</v>
      </c>
      <c r="B12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1961</v>
      </c>
      <c r="C120" s="298">
        <v>118</v>
      </c>
      <c r="D120" s="190">
        <v>159</v>
      </c>
      <c r="E120" s="273" t="s">
        <v>2230</v>
      </c>
      <c r="F120" s="191" t="s">
        <v>183</v>
      </c>
      <c r="G120" s="220" t="s">
        <v>525</v>
      </c>
      <c r="H12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1971</v>
      </c>
      <c r="I120" s="194">
        <v>44382</v>
      </c>
      <c r="J120" s="194">
        <f>+Elementos_[[#This Row],[Valor de referencia]]*Elementos_[[#This Row],[Cantidad]]</f>
        <v>87476922</v>
      </c>
      <c r="K120" s="166"/>
      <c r="L120" s="159">
        <f>+Elementos_[[#This Row],[Cantidad LANIP]]*Elementos_[[#This Row],[Valor de referencia]]</f>
        <v>0</v>
      </c>
      <c r="M120" s="270">
        <v>10</v>
      </c>
      <c r="N120" s="195">
        <f>+Elementos_[[#This Row],[Cantidad 
LDV]]*Elementos_[[#This Row],[Valor de referencia]]</f>
        <v>443820</v>
      </c>
      <c r="O120" s="166"/>
      <c r="P120" s="159">
        <f>+Elementos_[[#This Row],[Cantidad LNDV]]*Elementos_[[#This Row],[Valor de referencia]]</f>
        <v>0</v>
      </c>
      <c r="Q120" s="196"/>
      <c r="R120" s="159">
        <f>+Elementos_[[#This Row],[GGCA]]*Elementos_[[#This Row],[Valor de referencia]]</f>
        <v>0</v>
      </c>
      <c r="S120" s="166"/>
      <c r="T120" s="194">
        <f>+Elementos_[[#This Row],[Cantidad LDF]]*Elementos_[[#This Row],[Valor de referencia]]</f>
        <v>0</v>
      </c>
      <c r="U120" s="197"/>
      <c r="V120" s="194">
        <f>+Elementos_[[#This Row],[Cantidad LDF&amp;MR]]*Elementos_[[#This Row],[Valor de referencia]]</f>
        <v>0</v>
      </c>
      <c r="W120" s="166"/>
      <c r="X120" s="194">
        <f>+Elementos_[[#This Row],[Cantidad RED LASE]]*Elementos_[[#This Row],[Valor de referencia]]</f>
        <v>0</v>
      </c>
      <c r="Y120" s="196"/>
      <c r="Z120" s="194">
        <f>+Elementos_[[#This Row],[Cantidad LANIA]]*Elementos_[[#This Row],[Valor de referencia]]</f>
        <v>0</v>
      </c>
      <c r="AA120" s="196">
        <v>1961</v>
      </c>
      <c r="AB120" s="194">
        <f>+Elementos_[[#This Row],[Cantidad SPA]]*Elementos_[[#This Row],[Valor de referencia]]</f>
        <v>87033102</v>
      </c>
      <c r="AC120" s="166" t="s">
        <v>2049</v>
      </c>
    </row>
    <row r="121" spans="1:29" ht="36" x14ac:dyDescent="0.2">
      <c r="A121" s="294" t="str">
        <f>IF(B121=Elementos_[[#This Row],[Cantidad LANIP]],"LANIP",IF(B121=Elementos_[[#This Row],[Cantidad 
LDV]],"LDV",IF(B121=Elementos_[[#This Row],[Cantidad LNDV]],"LNDV",IF(B121=Elementos_[[#This Row],[GGCA]],"GGCA",IF(B121=Elementos_[[#This Row],[Cantidad LDF]],"LDF",IF(B121=Elementos_[[#This Row],[Cantidad LDF&amp;MR]],"LDF&amp;MR",IF(B121=Elementos_[[#This Row],[Cantidad RED LASE]],"LASE",IF(B121=Elementos_[[#This Row],[Cantidad LANIA]],"LANIA",IF(B121=Elementos_[[#This Row],[Cantidad SPA]],"SPA"," ")))))))))</f>
        <v>SPA</v>
      </c>
      <c r="B12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500</v>
      </c>
      <c r="C121" s="298">
        <v>119</v>
      </c>
      <c r="D121" s="190">
        <v>160</v>
      </c>
      <c r="E121" s="273" t="s">
        <v>2231</v>
      </c>
      <c r="F121" s="201" t="s">
        <v>183</v>
      </c>
      <c r="G121" s="220" t="s">
        <v>525</v>
      </c>
      <c r="H12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510</v>
      </c>
      <c r="I121" s="194">
        <v>31082</v>
      </c>
      <c r="J121" s="194">
        <f>+Elementos_[[#This Row],[Valor de referencia]]*Elementos_[[#This Row],[Cantidad]]</f>
        <v>15851820</v>
      </c>
      <c r="K121" s="166"/>
      <c r="L121" s="159">
        <f>+Elementos_[[#This Row],[Cantidad LANIP]]*Elementos_[[#This Row],[Valor de referencia]]</f>
        <v>0</v>
      </c>
      <c r="M121" s="270">
        <v>10</v>
      </c>
      <c r="N121" s="195">
        <f>+Elementos_[[#This Row],[Cantidad 
LDV]]*Elementos_[[#This Row],[Valor de referencia]]</f>
        <v>310820</v>
      </c>
      <c r="O121" s="166"/>
      <c r="P121" s="159">
        <f>+Elementos_[[#This Row],[Cantidad LNDV]]*Elementos_[[#This Row],[Valor de referencia]]</f>
        <v>0</v>
      </c>
      <c r="Q121" s="196"/>
      <c r="R121" s="159">
        <f>+Elementos_[[#This Row],[GGCA]]*Elementos_[[#This Row],[Valor de referencia]]</f>
        <v>0</v>
      </c>
      <c r="S121" s="166"/>
      <c r="T121" s="194">
        <f>+Elementos_[[#This Row],[Cantidad LDF]]*Elementos_[[#This Row],[Valor de referencia]]</f>
        <v>0</v>
      </c>
      <c r="U121" s="197"/>
      <c r="V121" s="194">
        <f>+Elementos_[[#This Row],[Cantidad LDF&amp;MR]]*Elementos_[[#This Row],[Valor de referencia]]</f>
        <v>0</v>
      </c>
      <c r="W121" s="166"/>
      <c r="X121" s="194">
        <f>+Elementos_[[#This Row],[Cantidad RED LASE]]*Elementos_[[#This Row],[Valor de referencia]]</f>
        <v>0</v>
      </c>
      <c r="Y121" s="196"/>
      <c r="Z121" s="194">
        <f>+Elementos_[[#This Row],[Cantidad LANIA]]*Elementos_[[#This Row],[Valor de referencia]]</f>
        <v>0</v>
      </c>
      <c r="AA121" s="196">
        <v>500</v>
      </c>
      <c r="AB121" s="194">
        <f>+Elementos_[[#This Row],[Cantidad SPA]]*Elementos_[[#This Row],[Valor de referencia]]</f>
        <v>15541000</v>
      </c>
      <c r="AC121" s="166" t="s">
        <v>2049</v>
      </c>
    </row>
    <row r="122" spans="1:29" ht="36" x14ac:dyDescent="0.2">
      <c r="A122" s="294" t="str">
        <f>IF(B122=Elementos_[[#This Row],[Cantidad LANIP]],"LANIP",IF(B122=Elementos_[[#This Row],[Cantidad 
LDV]],"LDV",IF(B122=Elementos_[[#This Row],[Cantidad LNDV]],"LNDV",IF(B122=Elementos_[[#This Row],[GGCA]],"GGCA",IF(B122=Elementos_[[#This Row],[Cantidad LDF]],"LDF",IF(B122=Elementos_[[#This Row],[Cantidad LDF&amp;MR]],"LDF&amp;MR",IF(B122=Elementos_[[#This Row],[Cantidad RED LASE]],"LASE",IF(B122=Elementos_[[#This Row],[Cantidad LANIA]],"LANIA",IF(B122=Elementos_[[#This Row],[Cantidad SPA]],"SPA"," ")))))))))</f>
        <v>SPA</v>
      </c>
      <c r="B12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500</v>
      </c>
      <c r="C122" s="298">
        <v>120</v>
      </c>
      <c r="D122" s="190">
        <v>161</v>
      </c>
      <c r="E122" s="273" t="s">
        <v>2232</v>
      </c>
      <c r="F122" s="201" t="s">
        <v>183</v>
      </c>
      <c r="G122" s="192" t="s">
        <v>525</v>
      </c>
      <c r="H12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510</v>
      </c>
      <c r="I122" s="194">
        <v>37865</v>
      </c>
      <c r="J122" s="194">
        <f>+Elementos_[[#This Row],[Valor de referencia]]*Elementos_[[#This Row],[Cantidad]]</f>
        <v>19311150</v>
      </c>
      <c r="K122" s="166"/>
      <c r="L122" s="159">
        <f>+Elementos_[[#This Row],[Cantidad LANIP]]*Elementos_[[#This Row],[Valor de referencia]]</f>
        <v>0</v>
      </c>
      <c r="M122" s="270">
        <v>10</v>
      </c>
      <c r="N122" s="195">
        <f>+Elementos_[[#This Row],[Cantidad 
LDV]]*Elementos_[[#This Row],[Valor de referencia]]</f>
        <v>378650</v>
      </c>
      <c r="O122" s="166"/>
      <c r="P122" s="159">
        <f>+Elementos_[[#This Row],[Cantidad LNDV]]*Elementos_[[#This Row],[Valor de referencia]]</f>
        <v>0</v>
      </c>
      <c r="Q122" s="196"/>
      <c r="R122" s="159">
        <f>+Elementos_[[#This Row],[GGCA]]*Elementos_[[#This Row],[Valor de referencia]]</f>
        <v>0</v>
      </c>
      <c r="S122" s="166"/>
      <c r="T122" s="194">
        <f>+Elementos_[[#This Row],[Cantidad LDF]]*Elementos_[[#This Row],[Valor de referencia]]</f>
        <v>0</v>
      </c>
      <c r="U122" s="197"/>
      <c r="V122" s="194">
        <f>+Elementos_[[#This Row],[Cantidad LDF&amp;MR]]*Elementos_[[#This Row],[Valor de referencia]]</f>
        <v>0</v>
      </c>
      <c r="W122" s="166"/>
      <c r="X122" s="194">
        <f>+Elementos_[[#This Row],[Cantidad RED LASE]]*Elementos_[[#This Row],[Valor de referencia]]</f>
        <v>0</v>
      </c>
      <c r="Y122" s="196"/>
      <c r="Z122" s="194">
        <f>+Elementos_[[#This Row],[Cantidad LANIA]]*Elementos_[[#This Row],[Valor de referencia]]</f>
        <v>0</v>
      </c>
      <c r="AA122" s="196">
        <v>500</v>
      </c>
      <c r="AB122" s="194">
        <f>+Elementos_[[#This Row],[Cantidad SPA]]*Elementos_[[#This Row],[Valor de referencia]]</f>
        <v>18932500</v>
      </c>
      <c r="AC122" s="166" t="s">
        <v>2049</v>
      </c>
    </row>
    <row r="123" spans="1:29" ht="36" x14ac:dyDescent="0.2">
      <c r="A123" s="294" t="str">
        <f>IF(B123=Elementos_[[#This Row],[Cantidad LANIP]],"LANIP",IF(B123=Elementos_[[#This Row],[Cantidad 
LDV]],"LDV",IF(B123=Elementos_[[#This Row],[Cantidad LNDV]],"LNDV",IF(B123=Elementos_[[#This Row],[GGCA]],"GGCA",IF(B123=Elementos_[[#This Row],[Cantidad LDF]],"LDF",IF(B123=Elementos_[[#This Row],[Cantidad LDF&amp;MR]],"LDF&amp;MR",IF(B123=Elementos_[[#This Row],[Cantidad RED LASE]],"LASE",IF(B123=Elementos_[[#This Row],[Cantidad LANIA]],"LANIA",IF(B123=Elementos_[[#This Row],[Cantidad SPA]],"SPA"," ")))))))))</f>
        <v>LDV</v>
      </c>
      <c r="B12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23" s="298">
        <v>121</v>
      </c>
      <c r="D123" s="190">
        <v>162</v>
      </c>
      <c r="E123" s="274" t="s">
        <v>2233</v>
      </c>
      <c r="F123" s="201" t="s">
        <v>183</v>
      </c>
      <c r="G123" s="192" t="s">
        <v>525</v>
      </c>
      <c r="H12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123" s="194">
        <v>30997</v>
      </c>
      <c r="J123" s="194">
        <f>+Elementos_[[#This Row],[Valor de referencia]]*Elementos_[[#This Row],[Cantidad]]</f>
        <v>309970</v>
      </c>
      <c r="K123" s="166"/>
      <c r="L123" s="159">
        <f>+Elementos_[[#This Row],[Cantidad LANIP]]*Elementos_[[#This Row],[Valor de referencia]]</f>
        <v>0</v>
      </c>
      <c r="M123" s="270">
        <v>10</v>
      </c>
      <c r="N123" s="195">
        <f>+Elementos_[[#This Row],[Cantidad 
LDV]]*Elementos_[[#This Row],[Valor de referencia]]</f>
        <v>309970</v>
      </c>
      <c r="O123" s="166"/>
      <c r="P123" s="159">
        <f>+Elementos_[[#This Row],[Cantidad LNDV]]*Elementos_[[#This Row],[Valor de referencia]]</f>
        <v>0</v>
      </c>
      <c r="Q123" s="196"/>
      <c r="R123" s="159">
        <f>+Elementos_[[#This Row],[GGCA]]*Elementos_[[#This Row],[Valor de referencia]]</f>
        <v>0</v>
      </c>
      <c r="S123" s="166"/>
      <c r="T123" s="159">
        <f>+Elementos_[[#This Row],[Cantidad LDF]]*Elementos_[[#This Row],[Valor de referencia]]</f>
        <v>0</v>
      </c>
      <c r="U123" s="197"/>
      <c r="V123" s="159">
        <f>+Elementos_[[#This Row],[Cantidad LDF&amp;MR]]*Elementos_[[#This Row],[Valor de referencia]]</f>
        <v>0</v>
      </c>
      <c r="W123" s="166"/>
      <c r="X123" s="159">
        <f>+Elementos_[[#This Row],[Cantidad RED LASE]]*Elementos_[[#This Row],[Valor de referencia]]</f>
        <v>0</v>
      </c>
      <c r="Y123" s="196"/>
      <c r="Z123" s="159">
        <f>+Elementos_[[#This Row],[Cantidad LANIA]]*Elementos_[[#This Row],[Valor de referencia]]</f>
        <v>0</v>
      </c>
      <c r="AA123" s="196"/>
      <c r="AB123" s="159">
        <f>+Elementos_[[#This Row],[Cantidad SPA]]*Elementos_[[#This Row],[Valor de referencia]]</f>
        <v>0</v>
      </c>
      <c r="AC123" s="166" t="s">
        <v>2049</v>
      </c>
    </row>
    <row r="124" spans="1:29" ht="36" x14ac:dyDescent="0.2">
      <c r="A124" s="294" t="str">
        <f>IF(B124=Elementos_[[#This Row],[Cantidad LANIP]],"LANIP",IF(B124=Elementos_[[#This Row],[Cantidad 
LDV]],"LDV",IF(B124=Elementos_[[#This Row],[Cantidad LNDV]],"LNDV",IF(B124=Elementos_[[#This Row],[GGCA]],"GGCA",IF(B124=Elementos_[[#This Row],[Cantidad LDF]],"LDF",IF(B124=Elementos_[[#This Row],[Cantidad LDF&amp;MR]],"LDF&amp;MR",IF(B124=Elementos_[[#This Row],[Cantidad RED LASE]],"LASE",IF(B124=Elementos_[[#This Row],[Cantidad LANIA]],"LANIA",IF(B124=Elementos_[[#This Row],[Cantidad SPA]],"SPA"," ")))))))))</f>
        <v>LDV</v>
      </c>
      <c r="B12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24" s="298">
        <v>122</v>
      </c>
      <c r="D124" s="190">
        <v>163</v>
      </c>
      <c r="E124" s="274" t="s">
        <v>2234</v>
      </c>
      <c r="F124" s="191" t="s">
        <v>183</v>
      </c>
      <c r="G124" s="192" t="s">
        <v>525</v>
      </c>
      <c r="H12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124" s="194">
        <v>125089</v>
      </c>
      <c r="J124" s="194">
        <f>+Elementos_[[#This Row],[Valor de referencia]]*Elementos_[[#This Row],[Cantidad]]</f>
        <v>1250890</v>
      </c>
      <c r="K124" s="166"/>
      <c r="L124" s="159">
        <f>+Elementos_[[#This Row],[Cantidad LANIP]]*Elementos_[[#This Row],[Valor de referencia]]</f>
        <v>0</v>
      </c>
      <c r="M124" s="270">
        <v>10</v>
      </c>
      <c r="N124" s="195">
        <f>+Elementos_[[#This Row],[Cantidad 
LDV]]*Elementos_[[#This Row],[Valor de referencia]]</f>
        <v>1250890</v>
      </c>
      <c r="O124" s="166"/>
      <c r="P124" s="159">
        <f>+Elementos_[[#This Row],[Cantidad LNDV]]*Elementos_[[#This Row],[Valor de referencia]]</f>
        <v>0</v>
      </c>
      <c r="Q124" s="196"/>
      <c r="R124" s="159">
        <f>+Elementos_[[#This Row],[GGCA]]*Elementos_[[#This Row],[Valor de referencia]]</f>
        <v>0</v>
      </c>
      <c r="S124" s="166"/>
      <c r="T124" s="159">
        <f>+Elementos_[[#This Row],[Cantidad LDF]]*Elementos_[[#This Row],[Valor de referencia]]</f>
        <v>0</v>
      </c>
      <c r="U124" s="197"/>
      <c r="V124" s="159">
        <f>+Elementos_[[#This Row],[Cantidad LDF&amp;MR]]*Elementos_[[#This Row],[Valor de referencia]]</f>
        <v>0</v>
      </c>
      <c r="W124" s="166"/>
      <c r="X124" s="159">
        <f>+Elementos_[[#This Row],[Cantidad RED LASE]]*Elementos_[[#This Row],[Valor de referencia]]</f>
        <v>0</v>
      </c>
      <c r="Y124" s="196"/>
      <c r="Z124" s="159">
        <f>+Elementos_[[#This Row],[Cantidad LANIA]]*Elementos_[[#This Row],[Valor de referencia]]</f>
        <v>0</v>
      </c>
      <c r="AA124" s="196"/>
      <c r="AB124" s="159">
        <f>+Elementos_[[#This Row],[Cantidad SPA]]*Elementos_[[#This Row],[Valor de referencia]]</f>
        <v>0</v>
      </c>
      <c r="AC124" s="166" t="s">
        <v>2049</v>
      </c>
    </row>
    <row r="125" spans="1:29" ht="36" x14ac:dyDescent="0.2">
      <c r="A125" s="294" t="str">
        <f>IF(B125=Elementos_[[#This Row],[Cantidad LANIP]],"LANIP",IF(B125=Elementos_[[#This Row],[Cantidad 
LDV]],"LDV",IF(B125=Elementos_[[#This Row],[Cantidad LNDV]],"LNDV",IF(B125=Elementos_[[#This Row],[GGCA]],"GGCA",IF(B125=Elementos_[[#This Row],[Cantidad LDF]],"LDF",IF(B125=Elementos_[[#This Row],[Cantidad LDF&amp;MR]],"LDF&amp;MR",IF(B125=Elementos_[[#This Row],[Cantidad RED LASE]],"LASE",IF(B125=Elementos_[[#This Row],[Cantidad LANIA]],"LANIA",IF(B125=Elementos_[[#This Row],[Cantidad SPA]],"SPA"," ")))))))))</f>
        <v>LDV</v>
      </c>
      <c r="B12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25" s="298">
        <v>123</v>
      </c>
      <c r="D125" s="190">
        <v>164</v>
      </c>
      <c r="E125" s="274" t="s">
        <v>2235</v>
      </c>
      <c r="F125" s="201" t="s">
        <v>183</v>
      </c>
      <c r="G125" s="192" t="s">
        <v>525</v>
      </c>
      <c r="H12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125" s="194">
        <v>206153</v>
      </c>
      <c r="J125" s="194">
        <f>+Elementos_[[#This Row],[Valor de referencia]]*Elementos_[[#This Row],[Cantidad]]</f>
        <v>2061530</v>
      </c>
      <c r="K125" s="166"/>
      <c r="L125" s="159">
        <f>+Elementos_[[#This Row],[Cantidad LANIP]]*Elementos_[[#This Row],[Valor de referencia]]</f>
        <v>0</v>
      </c>
      <c r="M125" s="270">
        <v>10</v>
      </c>
      <c r="N125" s="195">
        <f>+Elementos_[[#This Row],[Cantidad 
LDV]]*Elementos_[[#This Row],[Valor de referencia]]</f>
        <v>2061530</v>
      </c>
      <c r="O125" s="166"/>
      <c r="P125" s="159">
        <f>+Elementos_[[#This Row],[Cantidad LNDV]]*Elementos_[[#This Row],[Valor de referencia]]</f>
        <v>0</v>
      </c>
      <c r="Q125" s="196"/>
      <c r="R125" s="159">
        <f>+Elementos_[[#This Row],[GGCA]]*Elementos_[[#This Row],[Valor de referencia]]</f>
        <v>0</v>
      </c>
      <c r="S125" s="166"/>
      <c r="T125" s="159">
        <f>+Elementos_[[#This Row],[Cantidad LDF]]*Elementos_[[#This Row],[Valor de referencia]]</f>
        <v>0</v>
      </c>
      <c r="U125" s="197"/>
      <c r="V125" s="159">
        <f>+Elementos_[[#This Row],[Cantidad LDF&amp;MR]]*Elementos_[[#This Row],[Valor de referencia]]</f>
        <v>0</v>
      </c>
      <c r="W125" s="166"/>
      <c r="X125" s="159">
        <f>+Elementos_[[#This Row],[Cantidad RED LASE]]*Elementos_[[#This Row],[Valor de referencia]]</f>
        <v>0</v>
      </c>
      <c r="Y125" s="196"/>
      <c r="Z125" s="159">
        <f>+Elementos_[[#This Row],[Cantidad LANIA]]*Elementos_[[#This Row],[Valor de referencia]]</f>
        <v>0</v>
      </c>
      <c r="AA125" s="196"/>
      <c r="AB125" s="159">
        <f>+Elementos_[[#This Row],[Cantidad SPA]]*Elementos_[[#This Row],[Valor de referencia]]</f>
        <v>0</v>
      </c>
      <c r="AC125" s="166" t="s">
        <v>2049</v>
      </c>
    </row>
    <row r="126" spans="1:29" ht="96" x14ac:dyDescent="0.2">
      <c r="A126" s="294" t="str">
        <f>IF(B126=Elementos_[[#This Row],[Cantidad LANIP]],"LANIP",IF(B126=Elementos_[[#This Row],[Cantidad 
LDV]],"LDV",IF(B126=Elementos_[[#This Row],[Cantidad LNDV]],"LNDV",IF(B126=Elementos_[[#This Row],[GGCA]],"GGCA",IF(B126=Elementos_[[#This Row],[Cantidad LDF]],"LDF",IF(B126=Elementos_[[#This Row],[Cantidad LDF&amp;MR]],"LDF&amp;MR",IF(B126=Elementos_[[#This Row],[Cantidad RED LASE]],"LASE",IF(B126=Elementos_[[#This Row],[Cantidad LANIA]],"LANIA",IF(B126=Elementos_[[#This Row],[Cantidad SPA]],"SPA"," ")))))))))</f>
        <v>LANIA</v>
      </c>
      <c r="B12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26" s="298">
        <v>124</v>
      </c>
      <c r="D126" s="190">
        <v>167</v>
      </c>
      <c r="E126" s="273" t="s">
        <v>2236</v>
      </c>
      <c r="F126" s="215" t="s">
        <v>2237</v>
      </c>
      <c r="G126" s="192" t="s">
        <v>2064</v>
      </c>
      <c r="H12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126" s="194">
        <v>104728</v>
      </c>
      <c r="J126" s="194">
        <f>+Elementos_[[#This Row],[Valor de referencia]]*Elementos_[[#This Row],[Cantidad]]</f>
        <v>1885104</v>
      </c>
      <c r="K126" s="166"/>
      <c r="L126" s="159">
        <f>+Elementos_[[#This Row],[Cantidad LANIP]]*Elementos_[[#This Row],[Valor de referencia]]</f>
        <v>0</v>
      </c>
      <c r="M126" s="270"/>
      <c r="N126" s="195">
        <f>+Elementos_[[#This Row],[Cantidad 
LDV]]*Elementos_[[#This Row],[Valor de referencia]]</f>
        <v>0</v>
      </c>
      <c r="O126" s="166">
        <v>6</v>
      </c>
      <c r="P126" s="159">
        <f>+Elementos_[[#This Row],[Cantidad LNDV]]*Elementos_[[#This Row],[Valor de referencia]]</f>
        <v>628368</v>
      </c>
      <c r="Q126" s="196"/>
      <c r="R126" s="159">
        <f>+Elementos_[[#This Row],[GGCA]]*Elementos_[[#This Row],[Valor de referencia]]</f>
        <v>0</v>
      </c>
      <c r="S126" s="166"/>
      <c r="T126" s="159">
        <f>+Elementos_[[#This Row],[Cantidad LDF]]*Elementos_[[#This Row],[Valor de referencia]]</f>
        <v>0</v>
      </c>
      <c r="U126" s="197">
        <v>2</v>
      </c>
      <c r="V126" s="159">
        <f>+Elementos_[[#This Row],[Cantidad LDF&amp;MR]]*Elementos_[[#This Row],[Valor de referencia]]</f>
        <v>209456</v>
      </c>
      <c r="W126" s="166"/>
      <c r="X126" s="159">
        <f>+Elementos_[[#This Row],[Cantidad RED LASE]]*Elementos_[[#This Row],[Valor de referencia]]</f>
        <v>0</v>
      </c>
      <c r="Y126" s="196">
        <v>10</v>
      </c>
      <c r="Z126" s="159">
        <f>+Elementos_[[#This Row],[Cantidad LANIA]]*Elementos_[[#This Row],[Valor de referencia]]</f>
        <v>1047280</v>
      </c>
      <c r="AA126" s="196"/>
      <c r="AB126" s="159">
        <f>+Elementos_[[#This Row],[Cantidad SPA]]*Elementos_[[#This Row],[Valor de referencia]]</f>
        <v>0</v>
      </c>
      <c r="AC126" s="166" t="s">
        <v>2041</v>
      </c>
    </row>
    <row r="127" spans="1:29" ht="39" customHeight="1" x14ac:dyDescent="0.2">
      <c r="A127" s="294" t="str">
        <f>IF(B127=Elementos_[[#This Row],[Cantidad LANIP]],"LANIP",IF(B127=Elementos_[[#This Row],[Cantidad 
LDV]],"LDV",IF(B127=Elementos_[[#This Row],[Cantidad LNDV]],"LNDV",IF(B127=Elementos_[[#This Row],[GGCA]],"GGCA",IF(B127=Elementos_[[#This Row],[Cantidad LDF]],"LDF",IF(B127=Elementos_[[#This Row],[Cantidad LDF&amp;MR]],"LDF&amp;MR",IF(B127=Elementos_[[#This Row],[Cantidad RED LASE]],"LASE",IF(B127=Elementos_[[#This Row],[Cantidad LANIA]],"LANIA",IF(B127=Elementos_[[#This Row],[Cantidad SPA]],"SPA"," ")))))))))</f>
        <v>LDF</v>
      </c>
      <c r="B12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127" s="298">
        <v>125</v>
      </c>
      <c r="D127" s="190">
        <v>168</v>
      </c>
      <c r="E127" s="299" t="s">
        <v>2238</v>
      </c>
      <c r="F127" s="204" t="s">
        <v>183</v>
      </c>
      <c r="G127" s="192" t="s">
        <v>525</v>
      </c>
      <c r="H12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46</v>
      </c>
      <c r="I127" s="194">
        <v>20221</v>
      </c>
      <c r="J127" s="194">
        <f>+Elementos_[[#This Row],[Valor de referencia]]*Elementos_[[#This Row],[Cantidad]]</f>
        <v>930166</v>
      </c>
      <c r="K127" s="166"/>
      <c r="L127" s="159">
        <f>+Elementos_[[#This Row],[Cantidad LANIP]]*Elementos_[[#This Row],[Valor de referencia]]</f>
        <v>0</v>
      </c>
      <c r="M127" s="270"/>
      <c r="N127" s="195">
        <f>+Elementos_[[#This Row],[Cantidad 
LDV]]*Elementos_[[#This Row],[Valor de referencia]]</f>
        <v>0</v>
      </c>
      <c r="O127" s="166">
        <v>6</v>
      </c>
      <c r="P127" s="159">
        <f>+Elementos_[[#This Row],[Cantidad LNDV]]*Elementos_[[#This Row],[Valor de referencia]]</f>
        <v>121326</v>
      </c>
      <c r="Q127" s="196"/>
      <c r="R127" s="159">
        <f>+Elementos_[[#This Row],[GGCA]]*Elementos_[[#This Row],[Valor de referencia]]</f>
        <v>0</v>
      </c>
      <c r="S127" s="166">
        <v>30</v>
      </c>
      <c r="T127" s="159">
        <f>+Elementos_[[#This Row],[Cantidad LDF]]*Elementos_[[#This Row],[Valor de referencia]]</f>
        <v>606630</v>
      </c>
      <c r="U127" s="197"/>
      <c r="V127" s="159">
        <f>+Elementos_[[#This Row],[Cantidad LDF&amp;MR]]*Elementos_[[#This Row],[Valor de referencia]]</f>
        <v>0</v>
      </c>
      <c r="W127" s="166"/>
      <c r="X127" s="159">
        <f>+Elementos_[[#This Row],[Cantidad RED LASE]]*Elementos_[[#This Row],[Valor de referencia]]</f>
        <v>0</v>
      </c>
      <c r="Y127" s="196">
        <v>10</v>
      </c>
      <c r="Z127" s="159">
        <f>+Elementos_[[#This Row],[Cantidad LANIA]]*Elementos_[[#This Row],[Valor de referencia]]</f>
        <v>202210</v>
      </c>
      <c r="AA127" s="196"/>
      <c r="AB127" s="159">
        <f>+Elementos_[[#This Row],[Cantidad SPA]]*Elementos_[[#This Row],[Valor de referencia]]</f>
        <v>0</v>
      </c>
      <c r="AC127" s="166" t="s">
        <v>2049</v>
      </c>
    </row>
    <row r="128" spans="1:29" ht="36" x14ac:dyDescent="0.2">
      <c r="A128" s="294" t="str">
        <f>IF(B128=Elementos_[[#This Row],[Cantidad LANIP]],"LANIP",IF(B128=Elementos_[[#This Row],[Cantidad 
LDV]],"LDV",IF(B128=Elementos_[[#This Row],[Cantidad LNDV]],"LNDV",IF(B128=Elementos_[[#This Row],[GGCA]],"GGCA",IF(B128=Elementos_[[#This Row],[Cantidad LDF]],"LDF",IF(B128=Elementos_[[#This Row],[Cantidad LDF&amp;MR]],"LDF&amp;MR",IF(B128=Elementos_[[#This Row],[Cantidad RED LASE]],"LASE",IF(B128=Elementos_[[#This Row],[Cantidad LANIA]],"LANIA",IF(B128=Elementos_[[#This Row],[Cantidad SPA]],"SPA"," ")))))))))</f>
        <v>LANIA</v>
      </c>
      <c r="B12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128" s="298">
        <v>126</v>
      </c>
      <c r="D128" s="190">
        <v>169</v>
      </c>
      <c r="E128" s="281" t="s">
        <v>2239</v>
      </c>
      <c r="F128" s="214" t="s">
        <v>2240</v>
      </c>
      <c r="G128" s="192" t="s">
        <v>525</v>
      </c>
      <c r="H12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128" s="194">
        <v>622193</v>
      </c>
      <c r="J128" s="194">
        <f>+Elementos_[[#This Row],[Valor de referencia]]*Elementos_[[#This Row],[Cantidad]]</f>
        <v>3110965</v>
      </c>
      <c r="K128" s="166"/>
      <c r="L128" s="159">
        <f>+Elementos_[[#This Row],[Cantidad LANIP]]*Elementos_[[#This Row],[Valor de referencia]]</f>
        <v>0</v>
      </c>
      <c r="M128" s="270">
        <v>0</v>
      </c>
      <c r="N128" s="195">
        <f>+Elementos_[[#This Row],[Cantidad 
LDV]]*Elementos_[[#This Row],[Valor de referencia]]</f>
        <v>0</v>
      </c>
      <c r="O128" s="166"/>
      <c r="P128" s="159">
        <f>+Elementos_[[#This Row],[Cantidad LNDV]]*Elementos_[[#This Row],[Valor de referencia]]</f>
        <v>0</v>
      </c>
      <c r="Q128" s="196"/>
      <c r="R128" s="159">
        <f>+Elementos_[[#This Row],[GGCA]]*Elementos_[[#This Row],[Valor de referencia]]</f>
        <v>0</v>
      </c>
      <c r="S128" s="166"/>
      <c r="T128" s="159">
        <f>+Elementos_[[#This Row],[Cantidad LDF]]*Elementos_[[#This Row],[Valor de referencia]]</f>
        <v>0</v>
      </c>
      <c r="U128" s="197"/>
      <c r="V128" s="159">
        <f>+Elementos_[[#This Row],[Cantidad LDF&amp;MR]]*Elementos_[[#This Row],[Valor de referencia]]</f>
        <v>0</v>
      </c>
      <c r="W128" s="166"/>
      <c r="X128" s="159">
        <f>+Elementos_[[#This Row],[Cantidad RED LASE]]*Elementos_[[#This Row],[Valor de referencia]]</f>
        <v>0</v>
      </c>
      <c r="Y128" s="196">
        <v>5</v>
      </c>
      <c r="Z128" s="159">
        <f>+Elementos_[[#This Row],[Cantidad LANIA]]*Elementos_[[#This Row],[Valor de referencia]]</f>
        <v>3110965</v>
      </c>
      <c r="AA128" s="196"/>
      <c r="AB128" s="159">
        <f>+Elementos_[[#This Row],[Cantidad SPA]]*Elementos_[[#This Row],[Valor de referencia]]</f>
        <v>0</v>
      </c>
      <c r="AC128" s="166" t="s">
        <v>2041</v>
      </c>
    </row>
    <row r="129" spans="1:29" ht="36" x14ac:dyDescent="0.2">
      <c r="A129" s="294" t="str">
        <f>IF(B129=Elementos_[[#This Row],[Cantidad LANIP]],"LANIP",IF(B129=Elementos_[[#This Row],[Cantidad 
LDV]],"LDV",IF(B129=Elementos_[[#This Row],[Cantidad LNDV]],"LNDV",IF(B129=Elementos_[[#This Row],[GGCA]],"GGCA",IF(B129=Elementos_[[#This Row],[Cantidad LDF]],"LDF",IF(B129=Elementos_[[#This Row],[Cantidad LDF&amp;MR]],"LDF&amp;MR",IF(B129=Elementos_[[#This Row],[Cantidad RED LASE]],"LASE",IF(B129=Elementos_[[#This Row],[Cantidad LANIA]],"LANIA",IF(B129=Elementos_[[#This Row],[Cantidad SPA]],"SPA"," ")))))))))</f>
        <v>LANIA</v>
      </c>
      <c r="B12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29" s="298">
        <v>127</v>
      </c>
      <c r="D129" s="190">
        <v>170</v>
      </c>
      <c r="E129" s="282" t="s">
        <v>2241</v>
      </c>
      <c r="F129" s="221" t="s">
        <v>2242</v>
      </c>
      <c r="G129" s="192" t="s">
        <v>2064</v>
      </c>
      <c r="H12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21</v>
      </c>
      <c r="I129" s="194">
        <v>99944</v>
      </c>
      <c r="J129" s="194">
        <f>+Elementos_[[#This Row],[Valor de referencia]]*Elementos_[[#This Row],[Cantidad]]</f>
        <v>2098824</v>
      </c>
      <c r="K129" s="166">
        <v>3</v>
      </c>
      <c r="L129" s="159">
        <f>+Elementos_[[#This Row],[Cantidad LANIP]]*Elementos_[[#This Row],[Valor de referencia]]</f>
        <v>299832</v>
      </c>
      <c r="M129" s="270"/>
      <c r="N129" s="195">
        <f>+Elementos_[[#This Row],[Cantidad 
LDV]]*Elementos_[[#This Row],[Valor de referencia]]</f>
        <v>0</v>
      </c>
      <c r="O129" s="166">
        <v>6</v>
      </c>
      <c r="P129" s="159">
        <f>+Elementos_[[#This Row],[Cantidad LNDV]]*Elementos_[[#This Row],[Valor de referencia]]</f>
        <v>599664</v>
      </c>
      <c r="Q129" s="196"/>
      <c r="R129" s="159">
        <f>+Elementos_[[#This Row],[GGCA]]*Elementos_[[#This Row],[Valor de referencia]]</f>
        <v>0</v>
      </c>
      <c r="S129" s="166"/>
      <c r="T129" s="159">
        <f>+Elementos_[[#This Row],[Cantidad LDF]]*Elementos_[[#This Row],[Valor de referencia]]</f>
        <v>0</v>
      </c>
      <c r="U129" s="197">
        <v>2</v>
      </c>
      <c r="V129" s="159">
        <f>+Elementos_[[#This Row],[Cantidad LDF&amp;MR]]*Elementos_[[#This Row],[Valor de referencia]]</f>
        <v>199888</v>
      </c>
      <c r="W129" s="166"/>
      <c r="X129" s="159">
        <f>+Elementos_[[#This Row],[Cantidad RED LASE]]*Elementos_[[#This Row],[Valor de referencia]]</f>
        <v>0</v>
      </c>
      <c r="Y129" s="196">
        <v>10</v>
      </c>
      <c r="Z129" s="159">
        <f>+Elementos_[[#This Row],[Cantidad LANIA]]*Elementos_[[#This Row],[Valor de referencia]]</f>
        <v>999440</v>
      </c>
      <c r="AA129" s="196"/>
      <c r="AB129" s="159">
        <f>+Elementos_[[#This Row],[Cantidad SPA]]*Elementos_[[#This Row],[Valor de referencia]]</f>
        <v>0</v>
      </c>
      <c r="AC129" s="166" t="s">
        <v>2041</v>
      </c>
    </row>
    <row r="130" spans="1:29" ht="24" x14ac:dyDescent="0.2">
      <c r="A130" s="294" t="str">
        <f>IF(B130=Elementos_[[#This Row],[Cantidad LANIP]],"LANIP",IF(B130=Elementos_[[#This Row],[Cantidad 
LDV]],"LDV",IF(B130=Elementos_[[#This Row],[Cantidad LNDV]],"LNDV",IF(B130=Elementos_[[#This Row],[GGCA]],"GGCA",IF(B130=Elementos_[[#This Row],[Cantidad LDF]],"LDF",IF(B130=Elementos_[[#This Row],[Cantidad LDF&amp;MR]],"LDF&amp;MR",IF(B130=Elementos_[[#This Row],[Cantidad RED LASE]],"LASE",IF(B130=Elementos_[[#This Row],[Cantidad LANIA]],"LANIA",IF(B130=Elementos_[[#This Row],[Cantidad SPA]],"SPA"," ")))))))))</f>
        <v>LDF</v>
      </c>
      <c r="B13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130" s="298">
        <v>128</v>
      </c>
      <c r="D130" s="190">
        <v>171</v>
      </c>
      <c r="E130" s="235" t="s">
        <v>2243</v>
      </c>
      <c r="F130" s="217" t="s">
        <v>2244</v>
      </c>
      <c r="G130" s="192" t="s">
        <v>525</v>
      </c>
      <c r="H13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49</v>
      </c>
      <c r="I130" s="194">
        <v>14721</v>
      </c>
      <c r="J130" s="194">
        <f>+Elementos_[[#This Row],[Valor de referencia]]*Elementos_[[#This Row],[Cantidad]]</f>
        <v>721329</v>
      </c>
      <c r="K130" s="166">
        <v>10</v>
      </c>
      <c r="L130" s="159">
        <f>+Elementos_[[#This Row],[Cantidad LANIP]]*Elementos_[[#This Row],[Valor de referencia]]</f>
        <v>147210</v>
      </c>
      <c r="M130" s="270"/>
      <c r="N130" s="195">
        <f>+Elementos_[[#This Row],[Cantidad 
LDV]]*Elementos_[[#This Row],[Valor de referencia]]</f>
        <v>0</v>
      </c>
      <c r="O130" s="166">
        <v>6</v>
      </c>
      <c r="P130" s="159">
        <f>+Elementos_[[#This Row],[Cantidad LNDV]]*Elementos_[[#This Row],[Valor de referencia]]</f>
        <v>88326</v>
      </c>
      <c r="Q130" s="196"/>
      <c r="R130" s="159">
        <f>+Elementos_[[#This Row],[GGCA]]*Elementos_[[#This Row],[Valor de referencia]]</f>
        <v>0</v>
      </c>
      <c r="S130" s="166">
        <v>20</v>
      </c>
      <c r="T130" s="159">
        <f>+Elementos_[[#This Row],[Cantidad LDF]]*Elementos_[[#This Row],[Valor de referencia]]</f>
        <v>294420</v>
      </c>
      <c r="U130" s="197">
        <v>3</v>
      </c>
      <c r="V130" s="159">
        <f>+Elementos_[[#This Row],[Cantidad LDF&amp;MR]]*Elementos_[[#This Row],[Valor de referencia]]</f>
        <v>44163</v>
      </c>
      <c r="W130" s="166"/>
      <c r="X130" s="159">
        <f>+Elementos_[[#This Row],[Cantidad RED LASE]]*Elementos_[[#This Row],[Valor de referencia]]</f>
        <v>0</v>
      </c>
      <c r="Y130" s="196">
        <v>10</v>
      </c>
      <c r="Z130" s="159">
        <f>+Elementos_[[#This Row],[Cantidad LANIA]]*Elementos_[[#This Row],[Valor de referencia]]</f>
        <v>147210</v>
      </c>
      <c r="AA130" s="196"/>
      <c r="AB130" s="159">
        <f>+Elementos_[[#This Row],[Cantidad SPA]]*Elementos_[[#This Row],[Valor de referencia]]</f>
        <v>0</v>
      </c>
      <c r="AC130" s="166" t="s">
        <v>2041</v>
      </c>
    </row>
    <row r="131" spans="1:29" ht="24" x14ac:dyDescent="0.2">
      <c r="A131" s="294" t="str">
        <f>IF(B131=Elementos_[[#This Row],[Cantidad LANIP]],"LANIP",IF(B131=Elementos_[[#This Row],[Cantidad 
LDV]],"LDV",IF(B131=Elementos_[[#This Row],[Cantidad LNDV]],"LNDV",IF(B131=Elementos_[[#This Row],[GGCA]],"GGCA",IF(B131=Elementos_[[#This Row],[Cantidad LDF]],"LDF",IF(B131=Elementos_[[#This Row],[Cantidad LDF&amp;MR]],"LDF&amp;MR",IF(B131=Elementos_[[#This Row],[Cantidad RED LASE]],"LASE",IF(B131=Elementos_[[#This Row],[Cantidad LANIA]],"LANIA",IF(B131=Elementos_[[#This Row],[Cantidad SPA]],"SPA"," ")))))))))</f>
        <v>LDF</v>
      </c>
      <c r="B13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C131" s="298">
        <v>129</v>
      </c>
      <c r="D131" s="190">
        <v>172</v>
      </c>
      <c r="E131" s="283" t="s">
        <v>2245</v>
      </c>
      <c r="F131" s="201" t="s">
        <v>2246</v>
      </c>
      <c r="G131" s="192" t="s">
        <v>525</v>
      </c>
      <c r="H13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56</v>
      </c>
      <c r="I131" s="194">
        <v>20185</v>
      </c>
      <c r="J131" s="194">
        <f>+Elementos_[[#This Row],[Valor de referencia]]*Elementos_[[#This Row],[Cantidad]]</f>
        <v>1130360</v>
      </c>
      <c r="K131" s="166">
        <v>6</v>
      </c>
      <c r="L131" s="159">
        <f>+Elementos_[[#This Row],[Cantidad LANIP]]*Elementos_[[#This Row],[Valor de referencia]]</f>
        <v>121110</v>
      </c>
      <c r="M131" s="270"/>
      <c r="N131" s="195">
        <f>+Elementos_[[#This Row],[Cantidad 
LDV]]*Elementos_[[#This Row],[Valor de referencia]]</f>
        <v>0</v>
      </c>
      <c r="O131" s="166">
        <v>6</v>
      </c>
      <c r="P131" s="159">
        <f>+Elementos_[[#This Row],[Cantidad LNDV]]*Elementos_[[#This Row],[Valor de referencia]]</f>
        <v>121110</v>
      </c>
      <c r="Q131" s="196"/>
      <c r="R131" s="159">
        <f>+Elementos_[[#This Row],[GGCA]]*Elementos_[[#This Row],[Valor de referencia]]</f>
        <v>0</v>
      </c>
      <c r="S131" s="166">
        <v>16</v>
      </c>
      <c r="T131" s="159">
        <f>+Elementos_[[#This Row],[Cantidad LDF]]*Elementos_[[#This Row],[Valor de referencia]]</f>
        <v>322960</v>
      </c>
      <c r="U131" s="197">
        <v>6</v>
      </c>
      <c r="V131" s="159">
        <f>+Elementos_[[#This Row],[Cantidad LDF&amp;MR]]*Elementos_[[#This Row],[Valor de referencia]]</f>
        <v>121110</v>
      </c>
      <c r="W131" s="166">
        <v>12</v>
      </c>
      <c r="X131" s="159">
        <f>+Elementos_[[#This Row],[Cantidad RED LASE]]*Elementos_[[#This Row],[Valor de referencia]]</f>
        <v>242220</v>
      </c>
      <c r="Y131" s="196">
        <v>10</v>
      </c>
      <c r="Z131" s="159">
        <f>+Elementos_[[#This Row],[Cantidad LANIA]]*Elementos_[[#This Row],[Valor de referencia]]</f>
        <v>201850</v>
      </c>
      <c r="AA131" s="196"/>
      <c r="AB131" s="159">
        <f>+Elementos_[[#This Row],[Cantidad SPA]]*Elementos_[[#This Row],[Valor de referencia]]</f>
        <v>0</v>
      </c>
      <c r="AC131" s="166" t="s">
        <v>2041</v>
      </c>
    </row>
    <row r="132" spans="1:29" ht="72" x14ac:dyDescent="0.2">
      <c r="A132" s="294" t="str">
        <f>IF(B132=Elementos_[[#This Row],[Cantidad LANIP]],"LANIP",IF(B132=Elementos_[[#This Row],[Cantidad 
LDV]],"LDV",IF(B132=Elementos_[[#This Row],[Cantidad LNDV]],"LNDV",IF(B132=Elementos_[[#This Row],[GGCA]],"GGCA",IF(B132=Elementos_[[#This Row],[Cantidad LDF]],"LDF",IF(B132=Elementos_[[#This Row],[Cantidad LDF&amp;MR]],"LDF&amp;MR",IF(B132=Elementos_[[#This Row],[Cantidad RED LASE]],"LASE",IF(B132=Elementos_[[#This Row],[Cantidad LANIA]],"LANIA",IF(B132=Elementos_[[#This Row],[Cantidad SPA]],"SPA"," ")))))))))</f>
        <v>LDF</v>
      </c>
      <c r="B13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C132" s="298">
        <v>130</v>
      </c>
      <c r="D132" s="190">
        <v>173</v>
      </c>
      <c r="E132" s="235" t="s">
        <v>2247</v>
      </c>
      <c r="F132" s="216" t="s">
        <v>2248</v>
      </c>
      <c r="G132" s="192" t="s">
        <v>525</v>
      </c>
      <c r="H13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31</v>
      </c>
      <c r="I132" s="194">
        <v>96152</v>
      </c>
      <c r="J132" s="194">
        <f>+Elementos_[[#This Row],[Valor de referencia]]*Elementos_[[#This Row],[Cantidad]]</f>
        <v>2980712</v>
      </c>
      <c r="K132" s="166">
        <v>6</v>
      </c>
      <c r="L132" s="159">
        <f>+Elementos_[[#This Row],[Cantidad LANIP]]*Elementos_[[#This Row],[Valor de referencia]]</f>
        <v>576912</v>
      </c>
      <c r="M132" s="270"/>
      <c r="N132" s="195">
        <f>+Elementos_[[#This Row],[Cantidad 
LDV]]*Elementos_[[#This Row],[Valor de referencia]]</f>
        <v>0</v>
      </c>
      <c r="O132" s="166">
        <v>9</v>
      </c>
      <c r="P132" s="159">
        <f>+Elementos_[[#This Row],[Cantidad LNDV]]*Elementos_[[#This Row],[Valor de referencia]]</f>
        <v>865368</v>
      </c>
      <c r="Q132" s="196"/>
      <c r="R132" s="159">
        <f>+Elementos_[[#This Row],[GGCA]]*Elementos_[[#This Row],[Valor de referencia]]</f>
        <v>0</v>
      </c>
      <c r="S132" s="166">
        <v>14</v>
      </c>
      <c r="T132" s="159">
        <f>+Elementos_[[#This Row],[Cantidad LDF]]*Elementos_[[#This Row],[Valor de referencia]]</f>
        <v>1346128</v>
      </c>
      <c r="U132" s="197">
        <v>2</v>
      </c>
      <c r="V132" s="159">
        <f>+Elementos_[[#This Row],[Cantidad LDF&amp;MR]]*Elementos_[[#This Row],[Valor de referencia]]</f>
        <v>192304</v>
      </c>
      <c r="W132" s="166"/>
      <c r="X132" s="159">
        <f>+Elementos_[[#This Row],[Cantidad RED LASE]]*Elementos_[[#This Row],[Valor de referencia]]</f>
        <v>0</v>
      </c>
      <c r="Y132" s="196"/>
      <c r="Z132" s="159">
        <f>+Elementos_[[#This Row],[Cantidad LANIA]]*Elementos_[[#This Row],[Valor de referencia]]</f>
        <v>0</v>
      </c>
      <c r="AA132" s="196"/>
      <c r="AB132" s="159">
        <f>+Elementos_[[#This Row],[Cantidad SPA]]*Elementos_[[#This Row],[Valor de referencia]]</f>
        <v>0</v>
      </c>
      <c r="AC132" s="166" t="s">
        <v>2041</v>
      </c>
    </row>
    <row r="133" spans="1:29" ht="48" x14ac:dyDescent="0.2">
      <c r="A133" s="294" t="str">
        <f>IF(B133=Elementos_[[#This Row],[Cantidad LANIP]],"LANIP",IF(B133=Elementos_[[#This Row],[Cantidad 
LDV]],"LDV",IF(B133=Elementos_[[#This Row],[Cantidad LNDV]],"LNDV",IF(B133=Elementos_[[#This Row],[GGCA]],"GGCA",IF(B133=Elementos_[[#This Row],[Cantidad LDF]],"LDF",IF(B133=Elementos_[[#This Row],[Cantidad LDF&amp;MR]],"LDF&amp;MR",IF(B133=Elementos_[[#This Row],[Cantidad RED LASE]],"LASE",IF(B133=Elementos_[[#This Row],[Cantidad LANIA]],"LANIA",IF(B133=Elementos_[[#This Row],[Cantidad SPA]],"SPA"," ")))))))))</f>
        <v>LANIP</v>
      </c>
      <c r="B13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33" s="298">
        <v>131</v>
      </c>
      <c r="D133" s="190">
        <v>174</v>
      </c>
      <c r="E133" s="272" t="s">
        <v>2249</v>
      </c>
      <c r="F133" s="191" t="s">
        <v>2250</v>
      </c>
      <c r="G133" s="192" t="s">
        <v>2251</v>
      </c>
      <c r="H13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v>
      </c>
      <c r="I133" s="194">
        <v>714300</v>
      </c>
      <c r="J133" s="194">
        <f>+Elementos_[[#This Row],[Valor de referencia]]*Elementos_[[#This Row],[Cantidad]]</f>
        <v>7857300</v>
      </c>
      <c r="K133" s="166">
        <v>4</v>
      </c>
      <c r="L133" s="159">
        <f>+Elementos_[[#This Row],[Cantidad LANIP]]*Elementos_[[#This Row],[Valor de referencia]]</f>
        <v>2857200</v>
      </c>
      <c r="M133" s="270"/>
      <c r="N133" s="195">
        <f>+Elementos_[[#This Row],[Cantidad 
LDV]]*Elementos_[[#This Row],[Valor de referencia]]</f>
        <v>0</v>
      </c>
      <c r="O133" s="166">
        <v>3</v>
      </c>
      <c r="P133" s="159">
        <f>+Elementos_[[#This Row],[Cantidad LNDV]]*Elementos_[[#This Row],[Valor de referencia]]</f>
        <v>2142900</v>
      </c>
      <c r="Q133" s="196"/>
      <c r="R133" s="159">
        <f>+Elementos_[[#This Row],[GGCA]]*Elementos_[[#This Row],[Valor de referencia]]</f>
        <v>0</v>
      </c>
      <c r="S133" s="166">
        <v>3</v>
      </c>
      <c r="T133" s="159">
        <f>+Elementos_[[#This Row],[Cantidad LDF]]*Elementos_[[#This Row],[Valor de referencia]]</f>
        <v>2142900</v>
      </c>
      <c r="U133" s="197">
        <v>1</v>
      </c>
      <c r="V133" s="159">
        <f>+Elementos_[[#This Row],[Cantidad LDF&amp;MR]]*Elementos_[[#This Row],[Valor de referencia]]</f>
        <v>714300</v>
      </c>
      <c r="W133" s="166"/>
      <c r="X133" s="159">
        <f>+Elementos_[[#This Row],[Cantidad RED LASE]]*Elementos_[[#This Row],[Valor de referencia]]</f>
        <v>0</v>
      </c>
      <c r="Y133" s="196"/>
      <c r="Z133" s="159">
        <f>+Elementos_[[#This Row],[Cantidad LANIA]]*Elementos_[[#This Row],[Valor de referencia]]</f>
        <v>0</v>
      </c>
      <c r="AA133" s="196"/>
      <c r="AB133" s="159">
        <f>+Elementos_[[#This Row],[Cantidad SPA]]*Elementos_[[#This Row],[Valor de referencia]]</f>
        <v>0</v>
      </c>
      <c r="AC133" s="166" t="s">
        <v>2041</v>
      </c>
    </row>
    <row r="134" spans="1:29" ht="24" x14ac:dyDescent="0.2">
      <c r="A134" s="294" t="str">
        <f>IF(B134=Elementos_[[#This Row],[Cantidad LANIP]],"LANIP",IF(B134=Elementos_[[#This Row],[Cantidad 
LDV]],"LDV",IF(B134=Elementos_[[#This Row],[Cantidad LNDV]],"LNDV",IF(B134=Elementos_[[#This Row],[GGCA]],"GGCA",IF(B134=Elementos_[[#This Row],[Cantidad LDF]],"LDF",IF(B134=Elementos_[[#This Row],[Cantidad LDF&amp;MR]],"LDF&amp;MR",IF(B134=Elementos_[[#This Row],[Cantidad RED LASE]],"LASE",IF(B134=Elementos_[[#This Row],[Cantidad LANIA]],"LANIA",IF(B134=Elementos_[[#This Row],[Cantidad SPA]],"SPA"," ")))))))))</f>
        <v>LDF</v>
      </c>
      <c r="B13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C134" s="298">
        <v>132</v>
      </c>
      <c r="D134" s="190">
        <v>175</v>
      </c>
      <c r="E134" s="205" t="s">
        <v>2252</v>
      </c>
      <c r="F134" s="191" t="s">
        <v>2253</v>
      </c>
      <c r="G134" s="192" t="s">
        <v>525</v>
      </c>
      <c r="H13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I134" s="194">
        <v>13737</v>
      </c>
      <c r="J134" s="194">
        <f>+Elementos_[[#This Row],[Valor de referencia]]*Elementos_[[#This Row],[Cantidad]]</f>
        <v>480795</v>
      </c>
      <c r="K134" s="166">
        <v>2</v>
      </c>
      <c r="L134" s="159">
        <f>+Elementos_[[#This Row],[Cantidad LANIP]]*Elementos_[[#This Row],[Valor de referencia]]</f>
        <v>27474</v>
      </c>
      <c r="M134" s="270"/>
      <c r="N134" s="195">
        <f>+Elementos_[[#This Row],[Cantidad 
LDV]]*Elementos_[[#This Row],[Valor de referencia]]</f>
        <v>0</v>
      </c>
      <c r="O134" s="166">
        <v>9</v>
      </c>
      <c r="P134" s="159">
        <f>+Elementos_[[#This Row],[Cantidad LNDV]]*Elementos_[[#This Row],[Valor de referencia]]</f>
        <v>123633</v>
      </c>
      <c r="Q134" s="196"/>
      <c r="R134" s="159">
        <f>+Elementos_[[#This Row],[GGCA]]*Elementos_[[#This Row],[Valor de referencia]]</f>
        <v>0</v>
      </c>
      <c r="S134" s="166">
        <v>16</v>
      </c>
      <c r="T134" s="159">
        <f>+Elementos_[[#This Row],[Cantidad LDF]]*Elementos_[[#This Row],[Valor de referencia]]</f>
        <v>219792</v>
      </c>
      <c r="U134" s="197"/>
      <c r="V134" s="159">
        <f>+Elementos_[[#This Row],[Cantidad LDF&amp;MR]]*Elementos_[[#This Row],[Valor de referencia]]</f>
        <v>0</v>
      </c>
      <c r="W134" s="166"/>
      <c r="X134" s="159">
        <f>+Elementos_[[#This Row],[Cantidad RED LASE]]*Elementos_[[#This Row],[Valor de referencia]]</f>
        <v>0</v>
      </c>
      <c r="Y134" s="196">
        <f>3+5</f>
        <v>8</v>
      </c>
      <c r="Z134" s="159">
        <f>+Elementos_[[#This Row],[Cantidad LANIA]]*Elementos_[[#This Row],[Valor de referencia]]</f>
        <v>109896</v>
      </c>
      <c r="AA134" s="196"/>
      <c r="AB134" s="159">
        <f>+Elementos_[[#This Row],[Cantidad SPA]]*Elementos_[[#This Row],[Valor de referencia]]</f>
        <v>0</v>
      </c>
      <c r="AC134" s="166" t="s">
        <v>2041</v>
      </c>
    </row>
    <row r="135" spans="1:29" ht="36" x14ac:dyDescent="0.2">
      <c r="A135" s="294" t="str">
        <f>IF(B135=Elementos_[[#This Row],[Cantidad LANIP]],"LANIP",IF(B135=Elementos_[[#This Row],[Cantidad 
LDV]],"LDV",IF(B135=Elementos_[[#This Row],[Cantidad LNDV]],"LNDV",IF(B135=Elementos_[[#This Row],[GGCA]],"GGCA",IF(B135=Elementos_[[#This Row],[Cantidad LDF]],"LDF",IF(B135=Elementos_[[#This Row],[Cantidad LDF&amp;MR]],"LDF&amp;MR",IF(B135=Elementos_[[#This Row],[Cantidad RED LASE]],"LASE",IF(B135=Elementos_[[#This Row],[Cantidad LANIA]],"LANIA",IF(B135=Elementos_[[#This Row],[Cantidad SPA]],"SPA"," ")))))))))</f>
        <v>LNDV</v>
      </c>
      <c r="B13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35" s="298">
        <v>133</v>
      </c>
      <c r="D135" s="190">
        <v>176</v>
      </c>
      <c r="E135" s="273" t="s">
        <v>2254</v>
      </c>
      <c r="F135" s="201" t="s">
        <v>2255</v>
      </c>
      <c r="G135" s="192" t="s">
        <v>525</v>
      </c>
      <c r="H13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135" s="194">
        <v>16041</v>
      </c>
      <c r="J135" s="194">
        <f>+Elementos_[[#This Row],[Valor de referencia]]*Elementos_[[#This Row],[Cantidad]]</f>
        <v>96246</v>
      </c>
      <c r="K135" s="166"/>
      <c r="L135" s="159">
        <f>+Elementos_[[#This Row],[Cantidad LANIP]]*Elementos_[[#This Row],[Valor de referencia]]</f>
        <v>0</v>
      </c>
      <c r="M135" s="270">
        <v>0</v>
      </c>
      <c r="N135" s="195">
        <f>+Elementos_[[#This Row],[Cantidad 
LDV]]*Elementos_[[#This Row],[Valor de referencia]]</f>
        <v>0</v>
      </c>
      <c r="O135" s="166">
        <v>4</v>
      </c>
      <c r="P135" s="159">
        <f>+Elementos_[[#This Row],[Cantidad LNDV]]*Elementos_[[#This Row],[Valor de referencia]]</f>
        <v>64164</v>
      </c>
      <c r="Q135" s="196"/>
      <c r="R135" s="159">
        <f>+Elementos_[[#This Row],[GGCA]]*Elementos_[[#This Row],[Valor de referencia]]</f>
        <v>0</v>
      </c>
      <c r="S135" s="166">
        <v>2</v>
      </c>
      <c r="T135" s="159">
        <f>+Elementos_[[#This Row],[Cantidad LDF]]*Elementos_[[#This Row],[Valor de referencia]]</f>
        <v>32082</v>
      </c>
      <c r="U135" s="197"/>
      <c r="V135" s="159">
        <f>+Elementos_[[#This Row],[Cantidad LDF&amp;MR]]*Elementos_[[#This Row],[Valor de referencia]]</f>
        <v>0</v>
      </c>
      <c r="W135" s="166"/>
      <c r="X135" s="159">
        <f>+Elementos_[[#This Row],[Cantidad RED LASE]]*Elementos_[[#This Row],[Valor de referencia]]</f>
        <v>0</v>
      </c>
      <c r="Y135" s="196"/>
      <c r="Z135" s="159">
        <f>+Elementos_[[#This Row],[Cantidad LANIA]]*Elementos_[[#This Row],[Valor de referencia]]</f>
        <v>0</v>
      </c>
      <c r="AA135" s="196"/>
      <c r="AB135" s="159">
        <f>+Elementos_[[#This Row],[Cantidad SPA]]*Elementos_[[#This Row],[Valor de referencia]]</f>
        <v>0</v>
      </c>
      <c r="AC135" s="166" t="s">
        <v>2049</v>
      </c>
    </row>
    <row r="136" spans="1:29" ht="36" x14ac:dyDescent="0.2">
      <c r="A136" s="294" t="str">
        <f>IF(B136=Elementos_[[#This Row],[Cantidad LANIP]],"LANIP",IF(B136=Elementos_[[#This Row],[Cantidad 
LDV]],"LDV",IF(B136=Elementos_[[#This Row],[Cantidad LNDV]],"LNDV",IF(B136=Elementos_[[#This Row],[GGCA]],"GGCA",IF(B136=Elementos_[[#This Row],[Cantidad LDF]],"LDF",IF(B136=Elementos_[[#This Row],[Cantidad LDF&amp;MR]],"LDF&amp;MR",IF(B136=Elementos_[[#This Row],[Cantidad RED LASE]],"LASE",IF(B136=Elementos_[[#This Row],[Cantidad LANIA]],"LANIA",IF(B136=Elementos_[[#This Row],[Cantidad SPA]],"SPA"," ")))))))))</f>
        <v>LANIP</v>
      </c>
      <c r="B13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36" s="298">
        <v>134</v>
      </c>
      <c r="D136" s="190">
        <v>178</v>
      </c>
      <c r="E136" s="273" t="s">
        <v>2256</v>
      </c>
      <c r="F136" s="201" t="s">
        <v>2257</v>
      </c>
      <c r="G136" s="192" t="s">
        <v>2258</v>
      </c>
      <c r="H13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136" s="194">
        <v>1014268</v>
      </c>
      <c r="J136" s="194">
        <f>+Elementos_[[#This Row],[Valor de referencia]]*Elementos_[[#This Row],[Cantidad]]</f>
        <v>2028536</v>
      </c>
      <c r="K136" s="166">
        <v>2</v>
      </c>
      <c r="L136" s="159">
        <f>+Elementos_[[#This Row],[Cantidad LANIP]]*Elementos_[[#This Row],[Valor de referencia]]</f>
        <v>2028536</v>
      </c>
      <c r="M136" s="270"/>
      <c r="N136" s="195">
        <f>+Elementos_[[#This Row],[Cantidad 
LDV]]*Elementos_[[#This Row],[Valor de referencia]]</f>
        <v>0</v>
      </c>
      <c r="O136" s="166"/>
      <c r="P136" s="159">
        <f>+Elementos_[[#This Row],[Cantidad LNDV]]*Elementos_[[#This Row],[Valor de referencia]]</f>
        <v>0</v>
      </c>
      <c r="Q136" s="196"/>
      <c r="R136" s="159">
        <f>+Elementos_[[#This Row],[GGCA]]*Elementos_[[#This Row],[Valor de referencia]]</f>
        <v>0</v>
      </c>
      <c r="S136" s="166"/>
      <c r="T136" s="159">
        <f>+Elementos_[[#This Row],[Cantidad LDF]]*Elementos_[[#This Row],[Valor de referencia]]</f>
        <v>0</v>
      </c>
      <c r="U136" s="197"/>
      <c r="V136" s="159">
        <f>+Elementos_[[#This Row],[Cantidad LDF&amp;MR]]*Elementos_[[#This Row],[Valor de referencia]]</f>
        <v>0</v>
      </c>
      <c r="W136" s="166"/>
      <c r="X136" s="159">
        <f>+Elementos_[[#This Row],[Cantidad RED LASE]]*Elementos_[[#This Row],[Valor de referencia]]</f>
        <v>0</v>
      </c>
      <c r="Y136" s="196"/>
      <c r="Z136" s="159">
        <f>+Elementos_[[#This Row],[Cantidad LANIA]]*Elementos_[[#This Row],[Valor de referencia]]</f>
        <v>0</v>
      </c>
      <c r="AA136" s="196"/>
      <c r="AB136" s="159">
        <f>+Elementos_[[#This Row],[Cantidad SPA]]*Elementos_[[#This Row],[Valor de referencia]]</f>
        <v>0</v>
      </c>
      <c r="AC136" s="166" t="s">
        <v>2049</v>
      </c>
    </row>
    <row r="137" spans="1:29" ht="24" x14ac:dyDescent="0.2">
      <c r="A137" s="294" t="str">
        <f>IF(B137=Elementos_[[#This Row],[Cantidad LANIP]],"LANIP",IF(B137=Elementos_[[#This Row],[Cantidad 
LDV]],"LDV",IF(B137=Elementos_[[#This Row],[Cantidad LNDV]],"LNDV",IF(B137=Elementos_[[#This Row],[GGCA]],"GGCA",IF(B137=Elementos_[[#This Row],[Cantidad LDF]],"LDF",IF(B137=Elementos_[[#This Row],[Cantidad LDF&amp;MR]],"LDF&amp;MR",IF(B137=Elementos_[[#This Row],[Cantidad RED LASE]],"LASE",IF(B137=Elementos_[[#This Row],[Cantidad LANIA]],"LANIA",IF(B137=Elementos_[[#This Row],[Cantidad SPA]],"SPA"," ")))))))))</f>
        <v>LDV</v>
      </c>
      <c r="B13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v>
      </c>
      <c r="C137" s="298">
        <v>135</v>
      </c>
      <c r="D137" s="190">
        <v>179</v>
      </c>
      <c r="E137" s="273" t="s">
        <v>2259</v>
      </c>
      <c r="F137" s="201" t="s">
        <v>2260</v>
      </c>
      <c r="G137" s="222" t="s">
        <v>2261</v>
      </c>
      <c r="H13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162</v>
      </c>
      <c r="I137" s="194">
        <v>18468</v>
      </c>
      <c r="J137" s="194">
        <f>+Elementos_[[#This Row],[Valor de referencia]]*Elementos_[[#This Row],[Cantidad]]</f>
        <v>2991816</v>
      </c>
      <c r="K137" s="166">
        <v>50</v>
      </c>
      <c r="L137" s="159">
        <f>+Elementos_[[#This Row],[Cantidad LANIP]]*Elementos_[[#This Row],[Valor de referencia]]</f>
        <v>923400</v>
      </c>
      <c r="M137" s="270">
        <v>60</v>
      </c>
      <c r="N137" s="195">
        <f>+Elementos_[[#This Row],[Cantidad 
LDV]]*Elementos_[[#This Row],[Valor de referencia]]</f>
        <v>1108080</v>
      </c>
      <c r="O137" s="166">
        <v>20</v>
      </c>
      <c r="P137" s="159">
        <f>+Elementos_[[#This Row],[Cantidad LNDV]]*Elementos_[[#This Row],[Valor de referencia]]</f>
        <v>369360</v>
      </c>
      <c r="Q137" s="196"/>
      <c r="R137" s="159">
        <f>+Elementos_[[#This Row],[GGCA]]*Elementos_[[#This Row],[Valor de referencia]]</f>
        <v>0</v>
      </c>
      <c r="S137" s="166">
        <v>25</v>
      </c>
      <c r="T137" s="159">
        <f>+Elementos_[[#This Row],[Cantidad LDF]]*Elementos_[[#This Row],[Valor de referencia]]</f>
        <v>461700</v>
      </c>
      <c r="U137" s="197">
        <v>7</v>
      </c>
      <c r="V137" s="159">
        <f>+Elementos_[[#This Row],[Cantidad LDF&amp;MR]]*Elementos_[[#This Row],[Valor de referencia]]</f>
        <v>129276</v>
      </c>
      <c r="W137" s="166"/>
      <c r="X137" s="159">
        <f>+Elementos_[[#This Row],[Cantidad RED LASE]]*Elementos_[[#This Row],[Valor de referencia]]</f>
        <v>0</v>
      </c>
      <c r="Y137" s="196"/>
      <c r="Z137" s="159">
        <f>+Elementos_[[#This Row],[Cantidad LANIA]]*Elementos_[[#This Row],[Valor de referencia]]</f>
        <v>0</v>
      </c>
      <c r="AA137" s="196"/>
      <c r="AB137" s="159">
        <f>+Elementos_[[#This Row],[Cantidad SPA]]*Elementos_[[#This Row],[Valor de referencia]]</f>
        <v>0</v>
      </c>
      <c r="AC137" s="166" t="s">
        <v>2049</v>
      </c>
    </row>
    <row r="138" spans="1:29" ht="24" x14ac:dyDescent="0.2">
      <c r="A138" s="294" t="str">
        <f>IF(B138=Elementos_[[#This Row],[Cantidad LANIP]],"LANIP",IF(B138=Elementos_[[#This Row],[Cantidad 
LDV]],"LDV",IF(B138=Elementos_[[#This Row],[Cantidad LNDV]],"LNDV",IF(B138=Elementos_[[#This Row],[GGCA]],"GGCA",IF(B138=Elementos_[[#This Row],[Cantidad LDF]],"LDF",IF(B138=Elementos_[[#This Row],[Cantidad LDF&amp;MR]],"LDF&amp;MR",IF(B138=Elementos_[[#This Row],[Cantidad RED LASE]],"LASE",IF(B138=Elementos_[[#This Row],[Cantidad LANIA]],"LANIA",IF(B138=Elementos_[[#This Row],[Cantidad SPA]],"SPA"," ")))))))))</f>
        <v>SPA</v>
      </c>
      <c r="B13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180</v>
      </c>
      <c r="C138" s="298">
        <v>136</v>
      </c>
      <c r="D138" s="190">
        <v>180</v>
      </c>
      <c r="E138" s="235" t="s">
        <v>2262</v>
      </c>
      <c r="F138" s="214" t="s">
        <v>2260</v>
      </c>
      <c r="G138" s="192" t="s">
        <v>2261</v>
      </c>
      <c r="H13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353</v>
      </c>
      <c r="I138" s="194">
        <v>15224</v>
      </c>
      <c r="J138" s="194">
        <f>+Elementos_[[#This Row],[Valor de referencia]]*Elementos_[[#This Row],[Cantidad]]</f>
        <v>5374072</v>
      </c>
      <c r="K138" s="166">
        <v>34</v>
      </c>
      <c r="L138" s="159">
        <f>+Elementos_[[#This Row],[Cantidad LANIP]]*Elementos_[[#This Row],[Valor de referencia]]</f>
        <v>517616</v>
      </c>
      <c r="M138" s="270">
        <v>70</v>
      </c>
      <c r="N138" s="195">
        <f>+Elementos_[[#This Row],[Cantidad 
LDV]]*Elementos_[[#This Row],[Valor de referencia]]</f>
        <v>1065680</v>
      </c>
      <c r="O138" s="166">
        <v>30</v>
      </c>
      <c r="P138" s="159">
        <f>+Elementos_[[#This Row],[Cantidad LNDV]]*Elementos_[[#This Row],[Valor de referencia]]</f>
        <v>456720</v>
      </c>
      <c r="Q138" s="196"/>
      <c r="R138" s="159">
        <f>+Elementos_[[#This Row],[GGCA]]*Elementos_[[#This Row],[Valor de referencia]]</f>
        <v>0</v>
      </c>
      <c r="S138" s="166">
        <v>25</v>
      </c>
      <c r="T138" s="194">
        <f>+Elementos_[[#This Row],[Cantidad LDF]]*Elementos_[[#This Row],[Valor de referencia]]</f>
        <v>380600</v>
      </c>
      <c r="U138" s="197">
        <v>9</v>
      </c>
      <c r="V138" s="194">
        <f>+Elementos_[[#This Row],[Cantidad LDF&amp;MR]]*Elementos_[[#This Row],[Valor de referencia]]</f>
        <v>137016</v>
      </c>
      <c r="W138" s="166"/>
      <c r="X138" s="194">
        <f>+Elementos_[[#This Row],[Cantidad RED LASE]]*Elementos_[[#This Row],[Valor de referencia]]</f>
        <v>0</v>
      </c>
      <c r="Y138" s="196">
        <v>5</v>
      </c>
      <c r="Z138" s="194">
        <f>+Elementos_[[#This Row],[Cantidad LANIA]]*Elementos_[[#This Row],[Valor de referencia]]</f>
        <v>76120</v>
      </c>
      <c r="AA138" s="196">
        <v>180</v>
      </c>
      <c r="AB138" s="194">
        <f>+Elementos_[[#This Row],[Cantidad SPA]]*Elementos_[[#This Row],[Valor de referencia]]</f>
        <v>2740320</v>
      </c>
      <c r="AC138" s="166" t="s">
        <v>2049</v>
      </c>
    </row>
    <row r="139" spans="1:29" ht="24" x14ac:dyDescent="0.2">
      <c r="A139" s="294" t="str">
        <f>IF(B139=Elementos_[[#This Row],[Cantidad LANIP]],"LANIP",IF(B139=Elementos_[[#This Row],[Cantidad 
LDV]],"LDV",IF(B139=Elementos_[[#This Row],[Cantidad LNDV]],"LNDV",IF(B139=Elementos_[[#This Row],[GGCA]],"GGCA",IF(B139=Elementos_[[#This Row],[Cantidad LDF]],"LDF",IF(B139=Elementos_[[#This Row],[Cantidad LDF&amp;MR]],"LDF&amp;MR",IF(B139=Elementos_[[#This Row],[Cantidad RED LASE]],"LASE",IF(B139=Elementos_[[#This Row],[Cantidad LANIA]],"LANIA",IF(B139=Elementos_[[#This Row],[Cantidad SPA]],"SPA"," ")))))))))</f>
        <v>SPA</v>
      </c>
      <c r="B13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180</v>
      </c>
      <c r="C139" s="298">
        <v>137</v>
      </c>
      <c r="D139" s="190">
        <v>181</v>
      </c>
      <c r="E139" s="273" t="s">
        <v>2263</v>
      </c>
      <c r="F139" s="204" t="s">
        <v>2260</v>
      </c>
      <c r="G139" s="192" t="s">
        <v>2261</v>
      </c>
      <c r="H13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235</v>
      </c>
      <c r="I139" s="194">
        <v>71489</v>
      </c>
      <c r="J139" s="194">
        <f>+Elementos_[[#This Row],[Valor de referencia]]*Elementos_[[#This Row],[Cantidad]]</f>
        <v>16799915</v>
      </c>
      <c r="K139" s="166">
        <v>5</v>
      </c>
      <c r="L139" s="159">
        <f>+Elementos_[[#This Row],[Cantidad LANIP]]*Elementos_[[#This Row],[Valor de referencia]]</f>
        <v>357445</v>
      </c>
      <c r="M139" s="270"/>
      <c r="N139" s="195">
        <f>+Elementos_[[#This Row],[Cantidad 
LDV]]*Elementos_[[#This Row],[Valor de referencia]]</f>
        <v>0</v>
      </c>
      <c r="O139" s="166">
        <v>10</v>
      </c>
      <c r="P139" s="159">
        <f>+Elementos_[[#This Row],[Cantidad LNDV]]*Elementos_[[#This Row],[Valor de referencia]]</f>
        <v>714890</v>
      </c>
      <c r="Q139" s="196"/>
      <c r="R139" s="159">
        <f>+Elementos_[[#This Row],[GGCA]]*Elementos_[[#This Row],[Valor de referencia]]</f>
        <v>0</v>
      </c>
      <c r="S139" s="166">
        <v>18</v>
      </c>
      <c r="T139" s="194">
        <f>+Elementos_[[#This Row],[Cantidad LDF]]*Elementos_[[#This Row],[Valor de referencia]]</f>
        <v>1286802</v>
      </c>
      <c r="U139" s="197">
        <v>7</v>
      </c>
      <c r="V139" s="194">
        <f>+Elementos_[[#This Row],[Cantidad LDF&amp;MR]]*Elementos_[[#This Row],[Valor de referencia]]</f>
        <v>500423</v>
      </c>
      <c r="W139" s="166"/>
      <c r="X139" s="194">
        <f>+Elementos_[[#This Row],[Cantidad RED LASE]]*Elementos_[[#This Row],[Valor de referencia]]</f>
        <v>0</v>
      </c>
      <c r="Y139" s="196">
        <v>15</v>
      </c>
      <c r="Z139" s="194">
        <f>+Elementos_[[#This Row],[Cantidad LANIA]]*Elementos_[[#This Row],[Valor de referencia]]</f>
        <v>1072335</v>
      </c>
      <c r="AA139" s="196">
        <v>180</v>
      </c>
      <c r="AB139" s="194">
        <f>+Elementos_[[#This Row],[Cantidad SPA]]*Elementos_[[#This Row],[Valor de referencia]]</f>
        <v>12868020</v>
      </c>
      <c r="AC139" s="166" t="s">
        <v>2049</v>
      </c>
    </row>
    <row r="140" spans="1:29" ht="24" x14ac:dyDescent="0.2">
      <c r="A140" s="294" t="str">
        <f>IF(B140=Elementos_[[#This Row],[Cantidad LANIP]],"LANIP",IF(B140=Elementos_[[#This Row],[Cantidad 
LDV]],"LDV",IF(B140=Elementos_[[#This Row],[Cantidad LNDV]],"LNDV",IF(B140=Elementos_[[#This Row],[GGCA]],"GGCA",IF(B140=Elementos_[[#This Row],[Cantidad LDF]],"LDF",IF(B140=Elementos_[[#This Row],[Cantidad LDF&amp;MR]],"LDF&amp;MR",IF(B140=Elementos_[[#This Row],[Cantidad RED LASE]],"LASE",IF(B140=Elementos_[[#This Row],[Cantidad LANIA]],"LANIA",IF(B140=Elementos_[[#This Row],[Cantidad SPA]],"SPA"," ")))))))))</f>
        <v>LNDV</v>
      </c>
      <c r="B14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140" s="298">
        <v>138</v>
      </c>
      <c r="D140" s="190">
        <v>183</v>
      </c>
      <c r="E140" s="273" t="s">
        <v>2264</v>
      </c>
      <c r="F140" s="204" t="s">
        <v>2265</v>
      </c>
      <c r="G140" s="192" t="s">
        <v>2266</v>
      </c>
      <c r="H14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61</v>
      </c>
      <c r="I140" s="194">
        <v>59181</v>
      </c>
      <c r="J140" s="194">
        <f>+Elementos_[[#This Row],[Valor de referencia]]*Elementos_[[#This Row],[Cantidad]]</f>
        <v>3610041</v>
      </c>
      <c r="K140" s="166">
        <v>10</v>
      </c>
      <c r="L140" s="159">
        <f>+Elementos_[[#This Row],[Cantidad LANIP]]*Elementos_[[#This Row],[Valor de referencia]]</f>
        <v>591810</v>
      </c>
      <c r="M140" s="270">
        <v>3</v>
      </c>
      <c r="N140" s="195">
        <f>+Elementos_[[#This Row],[Cantidad 
LDV]]*Elementos_[[#This Row],[Valor de referencia]]</f>
        <v>177543</v>
      </c>
      <c r="O140" s="166">
        <v>15</v>
      </c>
      <c r="P140" s="159">
        <f>+Elementos_[[#This Row],[Cantidad LNDV]]*Elementos_[[#This Row],[Valor de referencia]]</f>
        <v>887715</v>
      </c>
      <c r="Q140" s="196"/>
      <c r="R140" s="159">
        <f>+Elementos_[[#This Row],[GGCA]]*Elementos_[[#This Row],[Valor de referencia]]</f>
        <v>0</v>
      </c>
      <c r="S140" s="166">
        <v>12</v>
      </c>
      <c r="T140" s="159">
        <f>+Elementos_[[#This Row],[Cantidad LDF]]*Elementos_[[#This Row],[Valor de referencia]]</f>
        <v>710172</v>
      </c>
      <c r="U140" s="197">
        <v>11</v>
      </c>
      <c r="V140" s="159">
        <f>+Elementos_[[#This Row],[Cantidad LDF&amp;MR]]*Elementos_[[#This Row],[Valor de referencia]]</f>
        <v>650991</v>
      </c>
      <c r="W140" s="166"/>
      <c r="X140" s="159">
        <f>+Elementos_[[#This Row],[Cantidad RED LASE]]*Elementos_[[#This Row],[Valor de referencia]]</f>
        <v>0</v>
      </c>
      <c r="Y140" s="196">
        <v>10</v>
      </c>
      <c r="Z140" s="159">
        <f>+Elementos_[[#This Row],[Cantidad LANIA]]*Elementos_[[#This Row],[Valor de referencia]]</f>
        <v>591810</v>
      </c>
      <c r="AA140" s="196"/>
      <c r="AB140" s="159">
        <f>+Elementos_[[#This Row],[Cantidad SPA]]*Elementos_[[#This Row],[Valor de referencia]]</f>
        <v>0</v>
      </c>
      <c r="AC140" s="166" t="s">
        <v>2041</v>
      </c>
    </row>
    <row r="141" spans="1:29" ht="24" x14ac:dyDescent="0.2">
      <c r="A141" s="294" t="str">
        <f>IF(B141=Elementos_[[#This Row],[Cantidad LANIP]],"LANIP",IF(B141=Elementos_[[#This Row],[Cantidad 
LDV]],"LDV",IF(B141=Elementos_[[#This Row],[Cantidad LNDV]],"LNDV",IF(B141=Elementos_[[#This Row],[GGCA]],"GGCA",IF(B141=Elementos_[[#This Row],[Cantidad LDF]],"LDF",IF(B141=Elementos_[[#This Row],[Cantidad LDF&amp;MR]],"LDF&amp;MR",IF(B141=Elementos_[[#This Row],[Cantidad RED LASE]],"LASE",IF(B141=Elementos_[[#This Row],[Cantidad LANIA]],"LANIA",IF(B141=Elementos_[[#This Row],[Cantidad SPA]],"SPA"," ")))))))))</f>
        <v>LDF</v>
      </c>
      <c r="B14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36</v>
      </c>
      <c r="C141" s="298">
        <v>139</v>
      </c>
      <c r="D141" s="190">
        <v>184</v>
      </c>
      <c r="E141" s="205" t="s">
        <v>2267</v>
      </c>
      <c r="F141" s="204" t="s">
        <v>183</v>
      </c>
      <c r="G141" s="192" t="s">
        <v>2268</v>
      </c>
      <c r="H14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36</v>
      </c>
      <c r="I141" s="194">
        <v>22015</v>
      </c>
      <c r="J141" s="194">
        <f>+Elementos_[[#This Row],[Valor de referencia]]*Elementos_[[#This Row],[Cantidad]]</f>
        <v>792540</v>
      </c>
      <c r="K141" s="166"/>
      <c r="L141" s="159">
        <f>+Elementos_[[#This Row],[Cantidad LANIP]]*Elementos_[[#This Row],[Valor de referencia]]</f>
        <v>0</v>
      </c>
      <c r="M141" s="270">
        <v>0</v>
      </c>
      <c r="N141" s="195">
        <f>+Elementos_[[#This Row],[Cantidad 
LDV]]*Elementos_[[#This Row],[Valor de referencia]]</f>
        <v>0</v>
      </c>
      <c r="O141" s="166"/>
      <c r="P141" s="159">
        <f>+Elementos_[[#This Row],[Cantidad LNDV]]*Elementos_[[#This Row],[Valor de referencia]]</f>
        <v>0</v>
      </c>
      <c r="Q141" s="196"/>
      <c r="R141" s="159">
        <f>+Elementos_[[#This Row],[GGCA]]*Elementos_[[#This Row],[Valor de referencia]]</f>
        <v>0</v>
      </c>
      <c r="S141" s="166">
        <v>36</v>
      </c>
      <c r="T141" s="159">
        <f>+Elementos_[[#This Row],[Cantidad LDF]]*Elementos_[[#This Row],[Valor de referencia]]</f>
        <v>792540</v>
      </c>
      <c r="U141" s="197"/>
      <c r="V141" s="159">
        <f>+Elementos_[[#This Row],[Cantidad LDF&amp;MR]]*Elementos_[[#This Row],[Valor de referencia]]</f>
        <v>0</v>
      </c>
      <c r="W141" s="166"/>
      <c r="X141" s="159">
        <f>+Elementos_[[#This Row],[Cantidad RED LASE]]*Elementos_[[#This Row],[Valor de referencia]]</f>
        <v>0</v>
      </c>
      <c r="Y141" s="196"/>
      <c r="Z141" s="159">
        <f>+Elementos_[[#This Row],[Cantidad LANIA]]*Elementos_[[#This Row],[Valor de referencia]]</f>
        <v>0</v>
      </c>
      <c r="AA141" s="196"/>
      <c r="AB141" s="159">
        <f>+Elementos_[[#This Row],[Cantidad SPA]]*Elementos_[[#This Row],[Valor de referencia]]</f>
        <v>0</v>
      </c>
      <c r="AC141" s="166" t="s">
        <v>2049</v>
      </c>
    </row>
    <row r="142" spans="1:29" ht="12.75" x14ac:dyDescent="0.2">
      <c r="A142" s="294" t="str">
        <f>IF(B142=Elementos_[[#This Row],[Cantidad LANIP]],"LANIP",IF(B142=Elementos_[[#This Row],[Cantidad 
LDV]],"LDV",IF(B142=Elementos_[[#This Row],[Cantidad LNDV]],"LNDV",IF(B142=Elementos_[[#This Row],[GGCA]],"GGCA",IF(B142=Elementos_[[#This Row],[Cantidad LDF]],"LDF",IF(B142=Elementos_[[#This Row],[Cantidad LDF&amp;MR]],"LDF&amp;MR",IF(B142=Elementos_[[#This Row],[Cantidad RED LASE]],"LASE",IF(B142=Elementos_[[#This Row],[Cantidad LANIA]],"LANIA",IF(B142=Elementos_[[#This Row],[Cantidad SPA]],"SPA"," ")))))))))</f>
        <v>LDV</v>
      </c>
      <c r="B14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142" s="298">
        <v>140</v>
      </c>
      <c r="D142" s="190">
        <v>185</v>
      </c>
      <c r="E142" s="205" t="s">
        <v>2269</v>
      </c>
      <c r="F142" s="204" t="s">
        <v>183</v>
      </c>
      <c r="G142" s="192" t="s">
        <v>2270</v>
      </c>
      <c r="H14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310</v>
      </c>
      <c r="I142" s="194">
        <v>59580</v>
      </c>
      <c r="J142" s="194">
        <f>+Elementos_[[#This Row],[Valor de referencia]]*Elementos_[[#This Row],[Cantidad]]</f>
        <v>18469800</v>
      </c>
      <c r="K142" s="166">
        <v>35</v>
      </c>
      <c r="L142" s="159">
        <f>+Elementos_[[#This Row],[Cantidad LANIP]]*Elementos_[[#This Row],[Valor de referencia]]</f>
        <v>2085300</v>
      </c>
      <c r="M142" s="270">
        <v>100</v>
      </c>
      <c r="N142" s="195">
        <f>+Elementos_[[#This Row],[Cantidad 
LDV]]*Elementos_[[#This Row],[Valor de referencia]]</f>
        <v>5958000</v>
      </c>
      <c r="O142" s="166">
        <v>15</v>
      </c>
      <c r="P142" s="159">
        <f>+Elementos_[[#This Row],[Cantidad LNDV]]*Elementos_[[#This Row],[Valor de referencia]]</f>
        <v>893700</v>
      </c>
      <c r="Q142" s="196"/>
      <c r="R142" s="159">
        <f>+Elementos_[[#This Row],[GGCA]]*Elementos_[[#This Row],[Valor de referencia]]</f>
        <v>0</v>
      </c>
      <c r="S142" s="166">
        <v>18</v>
      </c>
      <c r="T142" s="194">
        <f>+Elementos_[[#This Row],[Cantidad LDF]]*Elementos_[[#This Row],[Valor de referencia]]</f>
        <v>1072440</v>
      </c>
      <c r="U142" s="197">
        <v>5</v>
      </c>
      <c r="V142" s="194">
        <f>+Elementos_[[#This Row],[Cantidad LDF&amp;MR]]*Elementos_[[#This Row],[Valor de referencia]]</f>
        <v>297900</v>
      </c>
      <c r="W142" s="166">
        <v>17</v>
      </c>
      <c r="X142" s="194">
        <f>+Elementos_[[#This Row],[Cantidad RED LASE]]*Elementos_[[#This Row],[Valor de referencia]]</f>
        <v>1012860</v>
      </c>
      <c r="Y142" s="196">
        <v>20</v>
      </c>
      <c r="Z142" s="194">
        <f>+Elementos_[[#This Row],[Cantidad LANIA]]*Elementos_[[#This Row],[Valor de referencia]]</f>
        <v>1191600</v>
      </c>
      <c r="AA142" s="196">
        <v>100</v>
      </c>
      <c r="AB142" s="194">
        <f>+Elementos_[[#This Row],[Cantidad SPA]]*Elementos_[[#This Row],[Valor de referencia]]</f>
        <v>5958000</v>
      </c>
      <c r="AC142" s="166" t="s">
        <v>2049</v>
      </c>
    </row>
    <row r="143" spans="1:29" ht="24" x14ac:dyDescent="0.2">
      <c r="A143" s="294" t="s">
        <v>733</v>
      </c>
      <c r="B14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C143" s="298">
        <v>141</v>
      </c>
      <c r="D143" s="190">
        <v>186</v>
      </c>
      <c r="E143" s="303" t="s">
        <v>2271</v>
      </c>
      <c r="F143" s="304" t="s">
        <v>2272</v>
      </c>
      <c r="G143" s="192" t="s">
        <v>525</v>
      </c>
      <c r="H14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I143" s="194">
        <v>31114</v>
      </c>
      <c r="J143" s="194">
        <f>+Elementos_[[#This Row],[Valor de referencia]]*Elementos_[[#This Row],[Cantidad]]</f>
        <v>1088990</v>
      </c>
      <c r="K143" s="166"/>
      <c r="L143" s="159">
        <f>+Elementos_[[#This Row],[Cantidad LANIP]]*Elementos_[[#This Row],[Valor de referencia]]</f>
        <v>0</v>
      </c>
      <c r="M143" s="270"/>
      <c r="N143" s="195">
        <f>+Elementos_[[#This Row],[Cantidad 
LDV]]*Elementos_[[#This Row],[Valor de referencia]]</f>
        <v>0</v>
      </c>
      <c r="O143" s="166">
        <v>12</v>
      </c>
      <c r="P143" s="159">
        <f>+Elementos_[[#This Row],[Cantidad LNDV]]*Elementos_[[#This Row],[Valor de referencia]]</f>
        <v>373368</v>
      </c>
      <c r="Q143" s="196"/>
      <c r="R143" s="159">
        <f>+Elementos_[[#This Row],[GGCA]]*Elementos_[[#This Row],[Valor de referencia]]</f>
        <v>0</v>
      </c>
      <c r="S143" s="166">
        <v>10</v>
      </c>
      <c r="T143" s="159">
        <f>+Elementos_[[#This Row],[Cantidad LDF]]*Elementos_[[#This Row],[Valor de referencia]]</f>
        <v>311140</v>
      </c>
      <c r="U143" s="197">
        <v>13</v>
      </c>
      <c r="V143" s="159">
        <f>+Elementos_[[#This Row],[Cantidad LDF&amp;MR]]*Elementos_[[#This Row],[Valor de referencia]]</f>
        <v>404482</v>
      </c>
      <c r="W143" s="166"/>
      <c r="X143" s="159">
        <f>+Elementos_[[#This Row],[Cantidad RED LASE]]*Elementos_[[#This Row],[Valor de referencia]]</f>
        <v>0</v>
      </c>
      <c r="Y143" s="196"/>
      <c r="Z143" s="159">
        <f>+Elementos_[[#This Row],[Cantidad LANIA]]*Elementos_[[#This Row],[Valor de referencia]]</f>
        <v>0</v>
      </c>
      <c r="AA143" s="196"/>
      <c r="AB143" s="159">
        <f>+Elementos_[[#This Row],[Cantidad SPA]]*Elementos_[[#This Row],[Valor de referencia]]</f>
        <v>0</v>
      </c>
      <c r="AC143" s="166" t="s">
        <v>2049</v>
      </c>
    </row>
    <row r="144" spans="1:29" ht="24" x14ac:dyDescent="0.2">
      <c r="A144" s="294" t="str">
        <f>IF(B144=Elementos_[[#This Row],[Cantidad LANIP]],"LANIP",IF(B144=Elementos_[[#This Row],[Cantidad 
LDV]],"LDV",IF(B144=Elementos_[[#This Row],[Cantidad LNDV]],"LNDV",IF(B144=Elementos_[[#This Row],[GGCA]],"GGCA",IF(B144=Elementos_[[#This Row],[Cantidad LDF]],"LDF",IF(B144=Elementos_[[#This Row],[Cantidad LDF&amp;MR]],"LDF&amp;MR",IF(B144=Elementos_[[#This Row],[Cantidad RED LASE]],"LASE",IF(B144=Elementos_[[#This Row],[Cantidad LANIA]],"LANIA",IF(B144=Elementos_[[#This Row],[Cantidad SPA]],"SPA"," ")))))))))</f>
        <v>LANIA</v>
      </c>
      <c r="B14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44" s="298">
        <v>142</v>
      </c>
      <c r="D144" s="190">
        <v>187</v>
      </c>
      <c r="E144" s="273" t="s">
        <v>2273</v>
      </c>
      <c r="F144" s="204" t="s">
        <v>2274</v>
      </c>
      <c r="G144" s="192" t="s">
        <v>2275</v>
      </c>
      <c r="H14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144" s="194">
        <v>3321766</v>
      </c>
      <c r="J144" s="194">
        <f>+Elementos_[[#This Row],[Valor de referencia]]*Elementos_[[#This Row],[Cantidad]]</f>
        <v>6643532</v>
      </c>
      <c r="K144" s="166"/>
      <c r="L144" s="159">
        <f>+Elementos_[[#This Row],[Cantidad LANIP]]*Elementos_[[#This Row],[Valor de referencia]]</f>
        <v>0</v>
      </c>
      <c r="M144" s="270">
        <v>0</v>
      </c>
      <c r="N144" s="195">
        <f>+Elementos_[[#This Row],[Cantidad 
LDV]]*Elementos_[[#This Row],[Valor de referencia]]</f>
        <v>0</v>
      </c>
      <c r="O144" s="166"/>
      <c r="P144" s="159">
        <f>+Elementos_[[#This Row],[Cantidad LNDV]]*Elementos_[[#This Row],[Valor de referencia]]</f>
        <v>0</v>
      </c>
      <c r="Q144" s="196"/>
      <c r="R144" s="159">
        <f>+Elementos_[[#This Row],[GGCA]]*Elementos_[[#This Row],[Valor de referencia]]</f>
        <v>0</v>
      </c>
      <c r="S144" s="166"/>
      <c r="T144" s="159">
        <f>+Elementos_[[#This Row],[Cantidad LDF]]*Elementos_[[#This Row],[Valor de referencia]]</f>
        <v>0</v>
      </c>
      <c r="U144" s="197"/>
      <c r="V144" s="159">
        <f>+Elementos_[[#This Row],[Cantidad LDF&amp;MR]]*Elementos_[[#This Row],[Valor de referencia]]</f>
        <v>0</v>
      </c>
      <c r="W144" s="166"/>
      <c r="X144" s="159">
        <f>+Elementos_[[#This Row],[Cantidad RED LASE]]*Elementos_[[#This Row],[Valor de referencia]]</f>
        <v>0</v>
      </c>
      <c r="Y144" s="196">
        <v>2</v>
      </c>
      <c r="Z144" s="159">
        <f>+Elementos_[[#This Row],[Cantidad LANIA]]*Elementos_[[#This Row],[Valor de referencia]]</f>
        <v>6643532</v>
      </c>
      <c r="AA144" s="196"/>
      <c r="AB144" s="159">
        <f>+Elementos_[[#This Row],[Cantidad SPA]]*Elementos_[[#This Row],[Valor de referencia]]</f>
        <v>0</v>
      </c>
      <c r="AC144" s="166" t="s">
        <v>2049</v>
      </c>
    </row>
    <row r="145" spans="1:29" ht="24" x14ac:dyDescent="0.2">
      <c r="A145" s="294" t="str">
        <f>IF(B145=Elementos_[[#This Row],[Cantidad LANIP]],"LANIP",IF(B145=Elementos_[[#This Row],[Cantidad 
LDV]],"LDV",IF(B145=Elementos_[[#This Row],[Cantidad LNDV]],"LNDV",IF(B145=Elementos_[[#This Row],[GGCA]],"GGCA",IF(B145=Elementos_[[#This Row],[Cantidad LDF]],"LDF",IF(B145=Elementos_[[#This Row],[Cantidad LDF&amp;MR]],"LDF&amp;MR",IF(B145=Elementos_[[#This Row],[Cantidad RED LASE]],"LASE",IF(B145=Elementos_[[#This Row],[Cantidad LANIA]],"LANIA",IF(B145=Elementos_[[#This Row],[Cantidad SPA]],"SPA"," ")))))))))</f>
        <v>LDV</v>
      </c>
      <c r="B14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145" s="298">
        <v>143</v>
      </c>
      <c r="D145" s="190">
        <v>188</v>
      </c>
      <c r="E145" s="279" t="s">
        <v>2276</v>
      </c>
      <c r="F145" s="203" t="s">
        <v>2265</v>
      </c>
      <c r="G145" s="202" t="s">
        <v>2277</v>
      </c>
      <c r="H14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145" s="194">
        <v>2418303</v>
      </c>
      <c r="J145" s="194">
        <f>+Elementos_[[#This Row],[Valor de referencia]]*Elementos_[[#This Row],[Cantidad]]</f>
        <v>2418303</v>
      </c>
      <c r="K145" s="166"/>
      <c r="L145" s="159">
        <f>+Elementos_[[#This Row],[Cantidad LANIP]]*Elementos_[[#This Row],[Valor de referencia]]</f>
        <v>0</v>
      </c>
      <c r="M145" s="270">
        <v>1</v>
      </c>
      <c r="N145" s="195">
        <f>+Elementos_[[#This Row],[Cantidad 
LDV]]*Elementos_[[#This Row],[Valor de referencia]]</f>
        <v>2418303</v>
      </c>
      <c r="O145" s="166"/>
      <c r="P145" s="159">
        <f>+Elementos_[[#This Row],[Cantidad LNDV]]*Elementos_[[#This Row],[Valor de referencia]]</f>
        <v>0</v>
      </c>
      <c r="Q145" s="196"/>
      <c r="R145" s="159">
        <f>+Elementos_[[#This Row],[GGCA]]*Elementos_[[#This Row],[Valor de referencia]]</f>
        <v>0</v>
      </c>
      <c r="S145" s="166"/>
      <c r="T145" s="159">
        <f>+Elementos_[[#This Row],[Cantidad LDF]]*Elementos_[[#This Row],[Valor de referencia]]</f>
        <v>0</v>
      </c>
      <c r="U145" s="197"/>
      <c r="V145" s="159">
        <f>+Elementos_[[#This Row],[Cantidad LDF&amp;MR]]*Elementos_[[#This Row],[Valor de referencia]]</f>
        <v>0</v>
      </c>
      <c r="W145" s="166"/>
      <c r="X145" s="159">
        <f>+Elementos_[[#This Row],[Cantidad RED LASE]]*Elementos_[[#This Row],[Valor de referencia]]</f>
        <v>0</v>
      </c>
      <c r="Y145" s="196"/>
      <c r="Z145" s="159">
        <f>+Elementos_[[#This Row],[Cantidad LANIA]]*Elementos_[[#This Row],[Valor de referencia]]</f>
        <v>0</v>
      </c>
      <c r="AA145" s="196"/>
      <c r="AB145" s="159">
        <f>+Elementos_[[#This Row],[Cantidad SPA]]*Elementos_[[#This Row],[Valor de referencia]]</f>
        <v>0</v>
      </c>
      <c r="AC145" s="166" t="s">
        <v>2041</v>
      </c>
    </row>
    <row r="146" spans="1:29" ht="24" x14ac:dyDescent="0.2">
      <c r="A146" s="294" t="str">
        <f>IF(B146=Elementos_[[#This Row],[Cantidad LANIP]],"LANIP",IF(B146=Elementos_[[#This Row],[Cantidad 
LDV]],"LDV",IF(B146=Elementos_[[#This Row],[Cantidad LNDV]],"LNDV",IF(B146=Elementos_[[#This Row],[GGCA]],"GGCA",IF(B146=Elementos_[[#This Row],[Cantidad LDF]],"LDF",IF(B146=Elementos_[[#This Row],[Cantidad LDF&amp;MR]],"LDF&amp;MR",IF(B146=Elementos_[[#This Row],[Cantidad RED LASE]],"LASE",IF(B146=Elementos_[[#This Row],[Cantidad LANIA]],"LANIA",IF(B146=Elementos_[[#This Row],[Cantidad SPA]],"SPA"," ")))))))))</f>
        <v>LDF</v>
      </c>
      <c r="B14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C146" s="298">
        <v>144</v>
      </c>
      <c r="D146" s="190">
        <v>189</v>
      </c>
      <c r="E146" s="273" t="s">
        <v>2278</v>
      </c>
      <c r="F146" s="204" t="s">
        <v>183</v>
      </c>
      <c r="G146" s="192" t="s">
        <v>525</v>
      </c>
      <c r="H14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I146" s="194">
        <v>22110</v>
      </c>
      <c r="J146" s="194">
        <f>+Elementos_[[#This Row],[Valor de referencia]]*Elementos_[[#This Row],[Cantidad]]</f>
        <v>353760</v>
      </c>
      <c r="K146" s="166"/>
      <c r="L146" s="159">
        <f>+Elementos_[[#This Row],[Cantidad LANIP]]*Elementos_[[#This Row],[Valor de referencia]]</f>
        <v>0</v>
      </c>
      <c r="M146" s="270">
        <v>0</v>
      </c>
      <c r="N146" s="195">
        <f>+Elementos_[[#This Row],[Cantidad 
LDV]]*Elementos_[[#This Row],[Valor de referencia]]</f>
        <v>0</v>
      </c>
      <c r="O146" s="166"/>
      <c r="P146" s="159">
        <f>+Elementos_[[#This Row],[Cantidad LNDV]]*Elementos_[[#This Row],[Valor de referencia]]</f>
        <v>0</v>
      </c>
      <c r="Q146" s="196"/>
      <c r="R146" s="159">
        <f>+Elementos_[[#This Row],[GGCA]]*Elementos_[[#This Row],[Valor de referencia]]</f>
        <v>0</v>
      </c>
      <c r="S146" s="166">
        <v>16</v>
      </c>
      <c r="T146" s="159">
        <f>+Elementos_[[#This Row],[Cantidad LDF]]*Elementos_[[#This Row],[Valor de referencia]]</f>
        <v>353760</v>
      </c>
      <c r="U146" s="197"/>
      <c r="V146" s="159">
        <f>+Elementos_[[#This Row],[Cantidad LDF&amp;MR]]*Elementos_[[#This Row],[Valor de referencia]]</f>
        <v>0</v>
      </c>
      <c r="W146" s="166"/>
      <c r="X146" s="159">
        <f>+Elementos_[[#This Row],[Cantidad RED LASE]]*Elementos_[[#This Row],[Valor de referencia]]</f>
        <v>0</v>
      </c>
      <c r="Y146" s="196"/>
      <c r="Z146" s="159">
        <f>+Elementos_[[#This Row],[Cantidad LANIA]]*Elementos_[[#This Row],[Valor de referencia]]</f>
        <v>0</v>
      </c>
      <c r="AA146" s="196"/>
      <c r="AB146" s="159">
        <f>+Elementos_[[#This Row],[Cantidad SPA]]*Elementos_[[#This Row],[Valor de referencia]]</f>
        <v>0</v>
      </c>
      <c r="AC146" s="166" t="s">
        <v>2049</v>
      </c>
    </row>
    <row r="147" spans="1:29" ht="12.75" x14ac:dyDescent="0.2">
      <c r="A147" s="294" t="str">
        <f>IF(B147=Elementos_[[#This Row],[Cantidad LANIP]],"LANIP",IF(B147=Elementos_[[#This Row],[Cantidad 
LDV]],"LDV",IF(B147=Elementos_[[#This Row],[Cantidad LNDV]],"LNDV",IF(B147=Elementos_[[#This Row],[GGCA]],"GGCA",IF(B147=Elementos_[[#This Row],[Cantidad LDF]],"LDF",IF(B147=Elementos_[[#This Row],[Cantidad LDF&amp;MR]],"LDF&amp;MR",IF(B147=Elementos_[[#This Row],[Cantidad RED LASE]],"LASE",IF(B147=Elementos_[[#This Row],[Cantidad LANIA]],"LANIA",IF(B147=Elementos_[[#This Row],[Cantidad SPA]],"SPA"," ")))))))))</f>
        <v>LDF</v>
      </c>
      <c r="B14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147" s="298">
        <v>145</v>
      </c>
      <c r="D147" s="190">
        <v>191</v>
      </c>
      <c r="E147" s="273" t="s">
        <v>2279</v>
      </c>
      <c r="F147" s="201" t="s">
        <v>183</v>
      </c>
      <c r="G147" s="192" t="s">
        <v>525</v>
      </c>
      <c r="H14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147" s="194">
        <v>44651</v>
      </c>
      <c r="J147" s="194">
        <f>+Elementos_[[#This Row],[Valor de referencia]]*Elementos_[[#This Row],[Cantidad]]</f>
        <v>446510</v>
      </c>
      <c r="K147" s="166"/>
      <c r="L147" s="159">
        <f>+Elementos_[[#This Row],[Cantidad LANIP]]*Elementos_[[#This Row],[Valor de referencia]]</f>
        <v>0</v>
      </c>
      <c r="M147" s="270">
        <v>0</v>
      </c>
      <c r="N147" s="195">
        <f>+Elementos_[[#This Row],[Cantidad 
LDV]]*Elementos_[[#This Row],[Valor de referencia]]</f>
        <v>0</v>
      </c>
      <c r="O147" s="166">
        <v>2</v>
      </c>
      <c r="P147" s="159">
        <f>+Elementos_[[#This Row],[Cantidad LNDV]]*Elementos_[[#This Row],[Valor de referencia]]</f>
        <v>89302</v>
      </c>
      <c r="Q147" s="196"/>
      <c r="R147" s="159">
        <f>+Elementos_[[#This Row],[GGCA]]*Elementos_[[#This Row],[Valor de referencia]]</f>
        <v>0</v>
      </c>
      <c r="S147" s="166">
        <v>8</v>
      </c>
      <c r="T147" s="159">
        <f>+Elementos_[[#This Row],[Cantidad LDF]]*Elementos_[[#This Row],[Valor de referencia]]</f>
        <v>357208</v>
      </c>
      <c r="U147" s="197"/>
      <c r="V147" s="159">
        <f>+Elementos_[[#This Row],[Cantidad LDF&amp;MR]]*Elementos_[[#This Row],[Valor de referencia]]</f>
        <v>0</v>
      </c>
      <c r="W147" s="166"/>
      <c r="X147" s="159">
        <f>+Elementos_[[#This Row],[Cantidad RED LASE]]*Elementos_[[#This Row],[Valor de referencia]]</f>
        <v>0</v>
      </c>
      <c r="Y147" s="196"/>
      <c r="Z147" s="159">
        <f>+Elementos_[[#This Row],[Cantidad LANIA]]*Elementos_[[#This Row],[Valor de referencia]]</f>
        <v>0</v>
      </c>
      <c r="AA147" s="196"/>
      <c r="AB147" s="159">
        <f>+Elementos_[[#This Row],[Cantidad SPA]]*Elementos_[[#This Row],[Valor de referencia]]</f>
        <v>0</v>
      </c>
      <c r="AC147" s="166" t="s">
        <v>2049</v>
      </c>
    </row>
    <row r="148" spans="1:29" ht="12.75" x14ac:dyDescent="0.2">
      <c r="A148" s="294" t="str">
        <f>IF(B148=Elementos_[[#This Row],[Cantidad LANIP]],"LANIP",IF(B148=Elementos_[[#This Row],[Cantidad 
LDV]],"LDV",IF(B148=Elementos_[[#This Row],[Cantidad LNDV]],"LNDV",IF(B148=Elementos_[[#This Row],[GGCA]],"GGCA",IF(B148=Elementos_[[#This Row],[Cantidad LDF]],"LDF",IF(B148=Elementos_[[#This Row],[Cantidad LDF&amp;MR]],"LDF&amp;MR",IF(B148=Elementos_[[#This Row],[Cantidad RED LASE]],"LASE",IF(B148=Elementos_[[#This Row],[Cantidad LANIA]],"LANIA",IF(B148=Elementos_[[#This Row],[Cantidad SPA]],"SPA"," ")))))))))</f>
        <v>SPA</v>
      </c>
      <c r="B14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33</v>
      </c>
      <c r="C148" s="298">
        <v>146</v>
      </c>
      <c r="D148" s="190">
        <v>192</v>
      </c>
      <c r="E148" s="273" t="s">
        <v>2280</v>
      </c>
      <c r="F148" s="200" t="s">
        <v>183</v>
      </c>
      <c r="G148" s="192" t="s">
        <v>525</v>
      </c>
      <c r="H14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43</v>
      </c>
      <c r="I148" s="194">
        <v>40254</v>
      </c>
      <c r="J148" s="194">
        <f>+Elementos_[[#This Row],[Valor de referencia]]*Elementos_[[#This Row],[Cantidad]]</f>
        <v>1730922</v>
      </c>
      <c r="K148" s="166">
        <v>2</v>
      </c>
      <c r="L148" s="159">
        <f>+Elementos_[[#This Row],[Cantidad LANIP]]*Elementos_[[#This Row],[Valor de referencia]]</f>
        <v>80508</v>
      </c>
      <c r="M148" s="270">
        <v>0</v>
      </c>
      <c r="N148" s="195">
        <f>+Elementos_[[#This Row],[Cantidad 
LDV]]*Elementos_[[#This Row],[Valor de referencia]]</f>
        <v>0</v>
      </c>
      <c r="O148" s="166"/>
      <c r="P148" s="159">
        <f>+Elementos_[[#This Row],[Cantidad LNDV]]*Elementos_[[#This Row],[Valor de referencia]]</f>
        <v>0</v>
      </c>
      <c r="Q148" s="196"/>
      <c r="R148" s="159">
        <f>+Elementos_[[#This Row],[GGCA]]*Elementos_[[#This Row],[Valor de referencia]]</f>
        <v>0</v>
      </c>
      <c r="S148" s="166">
        <v>8</v>
      </c>
      <c r="T148" s="194">
        <f>+Elementos_[[#This Row],[Cantidad LDF]]*Elementos_[[#This Row],[Valor de referencia]]</f>
        <v>322032</v>
      </c>
      <c r="U148" s="197"/>
      <c r="V148" s="194">
        <f>+Elementos_[[#This Row],[Cantidad LDF&amp;MR]]*Elementos_[[#This Row],[Valor de referencia]]</f>
        <v>0</v>
      </c>
      <c r="W148" s="166"/>
      <c r="X148" s="194">
        <f>+Elementos_[[#This Row],[Cantidad RED LASE]]*Elementos_[[#This Row],[Valor de referencia]]</f>
        <v>0</v>
      </c>
      <c r="Y148" s="196"/>
      <c r="Z148" s="194">
        <f>+Elementos_[[#This Row],[Cantidad LANIA]]*Elementos_[[#This Row],[Valor de referencia]]</f>
        <v>0</v>
      </c>
      <c r="AA148" s="196">
        <v>33</v>
      </c>
      <c r="AB148" s="194">
        <f>+Elementos_[[#This Row],[Cantidad SPA]]*Elementos_[[#This Row],[Valor de referencia]]</f>
        <v>1328382</v>
      </c>
      <c r="AC148" s="166" t="s">
        <v>2049</v>
      </c>
    </row>
    <row r="149" spans="1:29" ht="36" x14ac:dyDescent="0.2">
      <c r="A149" s="294" t="str">
        <f>IF(B149=Elementos_[[#This Row],[Cantidad LANIP]],"LANIP",IF(B149=Elementos_[[#This Row],[Cantidad 
LDV]],"LDV",IF(B149=Elementos_[[#This Row],[Cantidad LNDV]],"LNDV",IF(B149=Elementos_[[#This Row],[GGCA]],"GGCA",IF(B149=Elementos_[[#This Row],[Cantidad LDF]],"LDF",IF(B149=Elementos_[[#This Row],[Cantidad LDF&amp;MR]],"LDF&amp;MR",IF(B149=Elementos_[[#This Row],[Cantidad RED LASE]],"LASE",IF(B149=Elementos_[[#This Row],[Cantidad LANIA]],"LANIA",IF(B149=Elementos_[[#This Row],[Cantidad SPA]],"SPA"," ")))))))))</f>
        <v>LANIP</v>
      </c>
      <c r="B14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v>
      </c>
      <c r="C149" s="298">
        <v>147</v>
      </c>
      <c r="D149" s="190">
        <v>207</v>
      </c>
      <c r="E149" s="284" t="s">
        <v>2281</v>
      </c>
      <c r="F149" s="191" t="s">
        <v>2282</v>
      </c>
      <c r="G149" s="192" t="s">
        <v>2283</v>
      </c>
      <c r="H14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v>
      </c>
      <c r="I149" s="194">
        <v>1220864</v>
      </c>
      <c r="J149" s="194">
        <f>+Elementos_[[#This Row],[Valor de referencia]]*Elementos_[[#This Row],[Cantidad]]</f>
        <v>8546048</v>
      </c>
      <c r="K149" s="166">
        <v>7</v>
      </c>
      <c r="L149" s="159">
        <f>+Elementos_[[#This Row],[Cantidad LANIP]]*Elementos_[[#This Row],[Valor de referencia]]</f>
        <v>8546048</v>
      </c>
      <c r="M149" s="270">
        <v>0</v>
      </c>
      <c r="N149" s="195">
        <f>+Elementos_[[#This Row],[Cantidad 
LDV]]*Elementos_[[#This Row],[Valor de referencia]]</f>
        <v>0</v>
      </c>
      <c r="O149" s="166"/>
      <c r="P149" s="159">
        <f>+Elementos_[[#This Row],[Cantidad LNDV]]*Elementos_[[#This Row],[Valor de referencia]]</f>
        <v>0</v>
      </c>
      <c r="Q149" s="196"/>
      <c r="R149" s="159">
        <f>+Elementos_[[#This Row],[GGCA]]*Elementos_[[#This Row],[Valor de referencia]]</f>
        <v>0</v>
      </c>
      <c r="S149" s="166"/>
      <c r="T149" s="159">
        <f>+Elementos_[[#This Row],[Cantidad LDF]]*Elementos_[[#This Row],[Valor de referencia]]</f>
        <v>0</v>
      </c>
      <c r="U149" s="197"/>
      <c r="V149" s="159">
        <f>+Elementos_[[#This Row],[Cantidad LDF&amp;MR]]*Elementos_[[#This Row],[Valor de referencia]]</f>
        <v>0</v>
      </c>
      <c r="W149" s="166"/>
      <c r="X149" s="159">
        <f>+Elementos_[[#This Row],[Cantidad RED LASE]]*Elementos_[[#This Row],[Valor de referencia]]</f>
        <v>0</v>
      </c>
      <c r="Y149" s="196"/>
      <c r="Z149" s="159">
        <f>+Elementos_[[#This Row],[Cantidad LANIA]]*Elementos_[[#This Row],[Valor de referencia]]</f>
        <v>0</v>
      </c>
      <c r="AA149" s="196"/>
      <c r="AB149" s="159">
        <f>+Elementos_[[#This Row],[Cantidad SPA]]*Elementos_[[#This Row],[Valor de referencia]]</f>
        <v>0</v>
      </c>
      <c r="AC149" s="166" t="s">
        <v>2041</v>
      </c>
    </row>
    <row r="150" spans="1:29" ht="24" x14ac:dyDescent="0.2">
      <c r="A150" s="294" t="str">
        <f>IF(B150=Elementos_[[#This Row],[Cantidad LANIP]],"LANIP",IF(B150=Elementos_[[#This Row],[Cantidad 
LDV]],"LDV",IF(B150=Elementos_[[#This Row],[Cantidad LNDV]],"LNDV",IF(B150=Elementos_[[#This Row],[GGCA]],"GGCA",IF(B150=Elementos_[[#This Row],[Cantidad LDF]],"LDF",IF(B150=Elementos_[[#This Row],[Cantidad LDF&amp;MR]],"LDF&amp;MR",IF(B150=Elementos_[[#This Row],[Cantidad RED LASE]],"LASE",IF(B150=Elementos_[[#This Row],[Cantidad LANIA]],"LANIA",IF(B150=Elementos_[[#This Row],[Cantidad SPA]],"SPA"," ")))))))))</f>
        <v>LDV</v>
      </c>
      <c r="B15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50" s="298">
        <v>148</v>
      </c>
      <c r="D150" s="190">
        <v>212</v>
      </c>
      <c r="E150" s="273" t="s">
        <v>2284</v>
      </c>
      <c r="F150" s="201" t="s">
        <v>183</v>
      </c>
      <c r="G150" s="192" t="s">
        <v>525</v>
      </c>
      <c r="H15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150" s="194">
        <v>4868674</v>
      </c>
      <c r="J150" s="194">
        <f>+Elementos_[[#This Row],[Valor de referencia]]*Elementos_[[#This Row],[Cantidad]]</f>
        <v>14606022</v>
      </c>
      <c r="K150" s="166"/>
      <c r="L150" s="159">
        <f>+Elementos_[[#This Row],[Cantidad LANIP]]*Elementos_[[#This Row],[Valor de referencia]]</f>
        <v>0</v>
      </c>
      <c r="M150" s="270">
        <v>2</v>
      </c>
      <c r="N150" s="195">
        <f>+Elementos_[[#This Row],[Cantidad 
LDV]]*Elementos_[[#This Row],[Valor de referencia]]</f>
        <v>9737348</v>
      </c>
      <c r="O150" s="166">
        <v>1</v>
      </c>
      <c r="P150" s="159">
        <f>+Elementos_[[#This Row],[Cantidad LNDV]]*Elementos_[[#This Row],[Valor de referencia]]</f>
        <v>4868674</v>
      </c>
      <c r="Q150" s="196"/>
      <c r="R150" s="159">
        <f>+Elementos_[[#This Row],[GGCA]]*Elementos_[[#This Row],[Valor de referencia]]</f>
        <v>0</v>
      </c>
      <c r="S150" s="166"/>
      <c r="T150" s="159">
        <f>+Elementos_[[#This Row],[Cantidad LDF]]*Elementos_[[#This Row],[Valor de referencia]]</f>
        <v>0</v>
      </c>
      <c r="U150" s="197"/>
      <c r="V150" s="159">
        <f>+Elementos_[[#This Row],[Cantidad LDF&amp;MR]]*Elementos_[[#This Row],[Valor de referencia]]</f>
        <v>0</v>
      </c>
      <c r="W150" s="166"/>
      <c r="X150" s="159">
        <f>+Elementos_[[#This Row],[Cantidad RED LASE]]*Elementos_[[#This Row],[Valor de referencia]]</f>
        <v>0</v>
      </c>
      <c r="Y150" s="196"/>
      <c r="Z150" s="159">
        <f>+Elementos_[[#This Row],[Cantidad LANIA]]*Elementos_[[#This Row],[Valor de referencia]]</f>
        <v>0</v>
      </c>
      <c r="AA150" s="196"/>
      <c r="AB150" s="159">
        <f>+Elementos_[[#This Row],[Cantidad SPA]]*Elementos_[[#This Row],[Valor de referencia]]</f>
        <v>0</v>
      </c>
      <c r="AC150" s="166" t="s">
        <v>2049</v>
      </c>
    </row>
    <row r="151" spans="1:29" ht="24" x14ac:dyDescent="0.2">
      <c r="A151" s="294" t="str">
        <f>IF(B151=Elementos_[[#This Row],[Cantidad LANIP]],"LANIP",IF(B151=Elementos_[[#This Row],[Cantidad 
LDV]],"LDV",IF(B151=Elementos_[[#This Row],[Cantidad LNDV]],"LNDV",IF(B151=Elementos_[[#This Row],[GGCA]],"GGCA",IF(B151=Elementos_[[#This Row],[Cantidad LDF]],"LDF",IF(B151=Elementos_[[#This Row],[Cantidad LDF&amp;MR]],"LDF&amp;MR",IF(B151=Elementos_[[#This Row],[Cantidad RED LASE]],"LASE",IF(B151=Elementos_[[#This Row],[Cantidad LANIA]],"LANIA",IF(B151=Elementos_[[#This Row],[Cantidad SPA]],"SPA"," ")))))))))</f>
        <v>LNDV</v>
      </c>
      <c r="B15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51" s="298">
        <v>149</v>
      </c>
      <c r="D151" s="190">
        <v>217</v>
      </c>
      <c r="E151" s="273" t="s">
        <v>2285</v>
      </c>
      <c r="F151" s="201" t="s">
        <v>2286</v>
      </c>
      <c r="G151" s="202" t="s">
        <v>525</v>
      </c>
      <c r="H15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151" s="194">
        <v>1347499</v>
      </c>
      <c r="J151" s="194">
        <f>+Elementos_[[#This Row],[Valor de referencia]]*Elementos_[[#This Row],[Cantidad]]</f>
        <v>2694998</v>
      </c>
      <c r="K151" s="166"/>
      <c r="L151" s="159">
        <f>+Elementos_[[#This Row],[Cantidad LANIP]]*Elementos_[[#This Row],[Valor de referencia]]</f>
        <v>0</v>
      </c>
      <c r="M151" s="270">
        <v>0</v>
      </c>
      <c r="N151" s="195">
        <f>+Elementos_[[#This Row],[Cantidad 
LDV]]*Elementos_[[#This Row],[Valor de referencia]]</f>
        <v>0</v>
      </c>
      <c r="O151" s="166">
        <v>2</v>
      </c>
      <c r="P151" s="159">
        <f>+Elementos_[[#This Row],[Cantidad LNDV]]*Elementos_[[#This Row],[Valor de referencia]]</f>
        <v>2694998</v>
      </c>
      <c r="Q151" s="196"/>
      <c r="R151" s="159">
        <f>+Elementos_[[#This Row],[GGCA]]*Elementos_[[#This Row],[Valor de referencia]]</f>
        <v>0</v>
      </c>
      <c r="S151" s="166"/>
      <c r="T151" s="159">
        <f>+Elementos_[[#This Row],[Cantidad LDF]]*Elementos_[[#This Row],[Valor de referencia]]</f>
        <v>0</v>
      </c>
      <c r="U151" s="197"/>
      <c r="V151" s="159">
        <f>+Elementos_[[#This Row],[Cantidad LDF&amp;MR]]*Elementos_[[#This Row],[Valor de referencia]]</f>
        <v>0</v>
      </c>
      <c r="W151" s="166"/>
      <c r="X151" s="159">
        <f>+Elementos_[[#This Row],[Cantidad RED LASE]]*Elementos_[[#This Row],[Valor de referencia]]</f>
        <v>0</v>
      </c>
      <c r="Y151" s="196"/>
      <c r="Z151" s="159">
        <f>+Elementos_[[#This Row],[Cantidad LANIA]]*Elementos_[[#This Row],[Valor de referencia]]</f>
        <v>0</v>
      </c>
      <c r="AA151" s="196"/>
      <c r="AB151" s="159">
        <f>+Elementos_[[#This Row],[Cantidad SPA]]*Elementos_[[#This Row],[Valor de referencia]]</f>
        <v>0</v>
      </c>
      <c r="AC151" s="166" t="s">
        <v>2041</v>
      </c>
    </row>
    <row r="152" spans="1:29" ht="24" x14ac:dyDescent="0.2">
      <c r="A152" s="294" t="str">
        <f>IF(B152=Elementos_[[#This Row],[Cantidad LANIP]],"LANIP",IF(B152=Elementos_[[#This Row],[Cantidad 
LDV]],"LDV",IF(B152=Elementos_[[#This Row],[Cantidad LNDV]],"LNDV",IF(B152=Elementos_[[#This Row],[GGCA]],"GGCA",IF(B152=Elementos_[[#This Row],[Cantidad LDF]],"LDF",IF(B152=Elementos_[[#This Row],[Cantidad LDF&amp;MR]],"LDF&amp;MR",IF(B152=Elementos_[[#This Row],[Cantidad RED LASE]],"LASE",IF(B152=Elementos_[[#This Row],[Cantidad LANIA]],"LANIA",IF(B152=Elementos_[[#This Row],[Cantidad SPA]],"SPA"," ")))))))))</f>
        <v>LNDV</v>
      </c>
      <c r="B15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152" s="298">
        <v>150</v>
      </c>
      <c r="D152" s="190">
        <v>218</v>
      </c>
      <c r="E152" s="412" t="s">
        <v>2287</v>
      </c>
      <c r="F152" s="204" t="s">
        <v>183</v>
      </c>
      <c r="G152" s="202" t="s">
        <v>525</v>
      </c>
      <c r="H15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152" s="194">
        <v>2089283</v>
      </c>
      <c r="J152" s="194">
        <f>+Elementos_[[#This Row],[Valor de referencia]]*Elementos_[[#This Row],[Cantidad]]</f>
        <v>2089283</v>
      </c>
      <c r="K152" s="166"/>
      <c r="L152" s="159">
        <f>+Elementos_[[#This Row],[Cantidad LANIP]]*Elementos_[[#This Row],[Valor de referencia]]</f>
        <v>0</v>
      </c>
      <c r="M152" s="270">
        <v>0</v>
      </c>
      <c r="N152" s="195">
        <f>+Elementos_[[#This Row],[Cantidad 
LDV]]*Elementos_[[#This Row],[Valor de referencia]]</f>
        <v>0</v>
      </c>
      <c r="O152" s="166">
        <v>1</v>
      </c>
      <c r="P152" s="159">
        <f>+Elementos_[[#This Row],[Cantidad LNDV]]*Elementos_[[#This Row],[Valor de referencia]]</f>
        <v>2089283</v>
      </c>
      <c r="Q152" s="196"/>
      <c r="R152" s="159">
        <f>+Elementos_[[#This Row],[GGCA]]*Elementos_[[#This Row],[Valor de referencia]]</f>
        <v>0</v>
      </c>
      <c r="S152" s="166"/>
      <c r="T152" s="159">
        <f>+Elementos_[[#This Row],[Cantidad LDF]]*Elementos_[[#This Row],[Valor de referencia]]</f>
        <v>0</v>
      </c>
      <c r="U152" s="197"/>
      <c r="V152" s="159">
        <f>+Elementos_[[#This Row],[Cantidad LDF&amp;MR]]*Elementos_[[#This Row],[Valor de referencia]]</f>
        <v>0</v>
      </c>
      <c r="W152" s="166"/>
      <c r="X152" s="159">
        <f>+Elementos_[[#This Row],[Cantidad RED LASE]]*Elementos_[[#This Row],[Valor de referencia]]</f>
        <v>0</v>
      </c>
      <c r="Y152" s="196"/>
      <c r="Z152" s="159">
        <f>+Elementos_[[#This Row],[Cantidad LANIA]]*Elementos_[[#This Row],[Valor de referencia]]</f>
        <v>0</v>
      </c>
      <c r="AA152" s="196"/>
      <c r="AB152" s="159">
        <f>+Elementos_[[#This Row],[Cantidad SPA]]*Elementos_[[#This Row],[Valor de referencia]]</f>
        <v>0</v>
      </c>
      <c r="AC152" s="166" t="s">
        <v>2041</v>
      </c>
    </row>
    <row r="153" spans="1:29" ht="48" x14ac:dyDescent="0.2">
      <c r="A153" s="294" t="str">
        <f>IF(B153=Elementos_[[#This Row],[Cantidad LANIP]],"LANIP",IF(B153=Elementos_[[#This Row],[Cantidad 
LDV]],"LDV",IF(B153=Elementos_[[#This Row],[Cantidad LNDV]],"LNDV",IF(B153=Elementos_[[#This Row],[GGCA]],"GGCA",IF(B153=Elementos_[[#This Row],[Cantidad LDF]],"LDF",IF(B153=Elementos_[[#This Row],[Cantidad LDF&amp;MR]],"LDF&amp;MR",IF(B153=Elementos_[[#This Row],[Cantidad RED LASE]],"LASE",IF(B153=Elementos_[[#This Row],[Cantidad LANIA]],"LANIA",IF(B153=Elementos_[[#This Row],[Cantidad SPA]],"SPA"," ")))))))))</f>
        <v>LNDV</v>
      </c>
      <c r="B15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153" s="298">
        <v>151</v>
      </c>
      <c r="D153" s="190">
        <v>219</v>
      </c>
      <c r="E153" s="305" t="s">
        <v>2288</v>
      </c>
      <c r="F153" s="201" t="s">
        <v>2289</v>
      </c>
      <c r="G153" s="192" t="s">
        <v>525</v>
      </c>
      <c r="H15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131</v>
      </c>
      <c r="I153" s="194">
        <v>273700</v>
      </c>
      <c r="J153" s="194">
        <f>+Elementos_[[#This Row],[Valor de referencia]]*Elementos_[[#This Row],[Cantidad]]</f>
        <v>35854700</v>
      </c>
      <c r="K153" s="166">
        <v>10</v>
      </c>
      <c r="L153" s="159">
        <f>+Elementos_[[#This Row],[Cantidad LANIP]]*Elementos_[[#This Row],[Valor de referencia]]</f>
        <v>2737000</v>
      </c>
      <c r="M153" s="270"/>
      <c r="N153" s="195">
        <f>+Elementos_[[#This Row],[Cantidad 
LDV]]*Elementos_[[#This Row],[Valor de referencia]]</f>
        <v>0</v>
      </c>
      <c r="O153" s="166">
        <v>100</v>
      </c>
      <c r="P153" s="159">
        <f>+Elementos_[[#This Row],[Cantidad LNDV]]*Elementos_[[#This Row],[Valor de referencia]]</f>
        <v>27370000</v>
      </c>
      <c r="Q153" s="196"/>
      <c r="R153" s="159">
        <f>+Elementos_[[#This Row],[GGCA]]*Elementos_[[#This Row],[Valor de referencia]]</f>
        <v>0</v>
      </c>
      <c r="S153" s="166">
        <v>16</v>
      </c>
      <c r="T153" s="159">
        <f>+Elementos_[[#This Row],[Cantidad LDF]]*Elementos_[[#This Row],[Valor de referencia]]</f>
        <v>4379200</v>
      </c>
      <c r="U153" s="197"/>
      <c r="V153" s="159">
        <f>+Elementos_[[#This Row],[Cantidad LDF&amp;MR]]*Elementos_[[#This Row],[Valor de referencia]]</f>
        <v>0</v>
      </c>
      <c r="W153" s="166"/>
      <c r="X153" s="159">
        <f>+Elementos_[[#This Row],[Cantidad RED LASE]]*Elementos_[[#This Row],[Valor de referencia]]</f>
        <v>0</v>
      </c>
      <c r="Y153" s="196">
        <v>5</v>
      </c>
      <c r="Z153" s="159">
        <f>+Elementos_[[#This Row],[Cantidad LANIA]]*Elementos_[[#This Row],[Valor de referencia]]</f>
        <v>1368500</v>
      </c>
      <c r="AA153" s="196"/>
      <c r="AB153" s="159">
        <f>+Elementos_[[#This Row],[Cantidad SPA]]*Elementos_[[#This Row],[Valor de referencia]]</f>
        <v>0</v>
      </c>
      <c r="AC153" s="166" t="s">
        <v>2041</v>
      </c>
    </row>
    <row r="154" spans="1:29" ht="54.75" customHeight="1" x14ac:dyDescent="0.2">
      <c r="A154" s="294" t="str">
        <f>IF(B154=Elementos_[[#This Row],[Cantidad LANIP]],"LANIP",IF(B154=Elementos_[[#This Row],[Cantidad 
LDV]],"LDV",IF(B154=Elementos_[[#This Row],[Cantidad LNDV]],"LNDV",IF(B154=Elementos_[[#This Row],[GGCA]],"GGCA",IF(B154=Elementos_[[#This Row],[Cantidad LDF]],"LDF",IF(B154=Elementos_[[#This Row],[Cantidad LDF&amp;MR]],"LDF&amp;MR",IF(B154=Elementos_[[#This Row],[Cantidad RED LASE]],"LASE",IF(B154=Elementos_[[#This Row],[Cantidad LANIA]],"LANIA",IF(B154=Elementos_[[#This Row],[Cantidad SPA]],"SPA"," ")))))))))</f>
        <v>LANIP</v>
      </c>
      <c r="B15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154" s="298">
        <v>152</v>
      </c>
      <c r="D154" s="190">
        <v>220</v>
      </c>
      <c r="E154" s="305" t="s">
        <v>2290</v>
      </c>
      <c r="F154" s="223" t="s">
        <v>2291</v>
      </c>
      <c r="G154" s="192" t="s">
        <v>525</v>
      </c>
      <c r="H15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154" s="194">
        <v>659666</v>
      </c>
      <c r="J154" s="194">
        <f>+Elementos_[[#This Row],[Valor de referencia]]*Elementos_[[#This Row],[Cantidad]]</f>
        <v>7915992</v>
      </c>
      <c r="K154" s="166">
        <v>12</v>
      </c>
      <c r="L154" s="159">
        <f>+Elementos_[[#This Row],[Cantidad LANIP]]*Elementos_[[#This Row],[Valor de referencia]]</f>
        <v>7915992</v>
      </c>
      <c r="M154" s="270"/>
      <c r="N154" s="195">
        <f>+Elementos_[[#This Row],[Cantidad 
LDV]]*Elementos_[[#This Row],[Valor de referencia]]</f>
        <v>0</v>
      </c>
      <c r="O154" s="166"/>
      <c r="P154" s="159">
        <f>+Elementos_[[#This Row],[Cantidad LNDV]]*Elementos_[[#This Row],[Valor de referencia]]</f>
        <v>0</v>
      </c>
      <c r="Q154" s="196"/>
      <c r="R154" s="159">
        <f>+Elementos_[[#This Row],[GGCA]]*Elementos_[[#This Row],[Valor de referencia]]</f>
        <v>0</v>
      </c>
      <c r="S154" s="166"/>
      <c r="T154" s="159">
        <f>+Elementos_[[#This Row],[Cantidad LDF]]*Elementos_[[#This Row],[Valor de referencia]]</f>
        <v>0</v>
      </c>
      <c r="U154" s="197"/>
      <c r="V154" s="159">
        <f>+Elementos_[[#This Row],[Cantidad LDF&amp;MR]]*Elementos_[[#This Row],[Valor de referencia]]</f>
        <v>0</v>
      </c>
      <c r="W154" s="166"/>
      <c r="X154" s="159">
        <f>+Elementos_[[#This Row],[Cantidad RED LASE]]*Elementos_[[#This Row],[Valor de referencia]]</f>
        <v>0</v>
      </c>
      <c r="Y154" s="196"/>
      <c r="Z154" s="159">
        <f>+Elementos_[[#This Row],[Cantidad LANIA]]*Elementos_[[#This Row],[Valor de referencia]]</f>
        <v>0</v>
      </c>
      <c r="AA154" s="196"/>
      <c r="AB154" s="159">
        <f>+Elementos_[[#This Row],[Cantidad SPA]]*Elementos_[[#This Row],[Valor de referencia]]</f>
        <v>0</v>
      </c>
      <c r="AC154" s="166" t="s">
        <v>2041</v>
      </c>
    </row>
    <row r="155" spans="1:29" ht="51.75" customHeight="1" x14ac:dyDescent="0.2">
      <c r="A155" s="294" t="str">
        <f>IF(B155=Elementos_[[#This Row],[Cantidad LANIP]],"LANIP",IF(B155=Elementos_[[#This Row],[Cantidad 
LDV]],"LDV",IF(B155=Elementos_[[#This Row],[Cantidad LNDV]],"LNDV",IF(B155=Elementos_[[#This Row],[GGCA]],"GGCA",IF(B155=Elementos_[[#This Row],[Cantidad LDF]],"LDF",IF(B155=Elementos_[[#This Row],[Cantidad LDF&amp;MR]],"LDF&amp;MR",IF(B155=Elementos_[[#This Row],[Cantidad RED LASE]],"LASE",IF(B155=Elementos_[[#This Row],[Cantidad LANIA]],"LANIA",IF(B155=Elementos_[[#This Row],[Cantidad SPA]],"SPA"," ")))))))))</f>
        <v>LDF</v>
      </c>
      <c r="B15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155" s="298">
        <v>153</v>
      </c>
      <c r="D155" s="190">
        <v>221</v>
      </c>
      <c r="E155" s="299" t="s">
        <v>2292</v>
      </c>
      <c r="F155" s="201" t="s">
        <v>183</v>
      </c>
      <c r="G155" s="192" t="s">
        <v>525</v>
      </c>
      <c r="H15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155" s="194">
        <v>82737</v>
      </c>
      <c r="J155" s="194">
        <f>+Elementos_[[#This Row],[Valor de referencia]]*Elementos_[[#This Row],[Cantidad]]</f>
        <v>661896</v>
      </c>
      <c r="K155" s="166"/>
      <c r="L155" s="159">
        <f>+Elementos_[[#This Row],[Cantidad LANIP]]*Elementos_[[#This Row],[Valor de referencia]]</f>
        <v>0</v>
      </c>
      <c r="M155" s="270"/>
      <c r="N155" s="195">
        <f>+Elementos_[[#This Row],[Cantidad 
LDV]]*Elementos_[[#This Row],[Valor de referencia]]</f>
        <v>0</v>
      </c>
      <c r="O155" s="166"/>
      <c r="P155" s="159">
        <f>+Elementos_[[#This Row],[Cantidad LNDV]]*Elementos_[[#This Row],[Valor de referencia]]</f>
        <v>0</v>
      </c>
      <c r="Q155" s="196"/>
      <c r="R155" s="159">
        <f>+Elementos_[[#This Row],[GGCA]]*Elementos_[[#This Row],[Valor de referencia]]</f>
        <v>0</v>
      </c>
      <c r="S155" s="166">
        <v>8</v>
      </c>
      <c r="T155" s="159">
        <f>+Elementos_[[#This Row],[Cantidad LDF]]*Elementos_[[#This Row],[Valor de referencia]]</f>
        <v>661896</v>
      </c>
      <c r="U155" s="197"/>
      <c r="V155" s="159">
        <f>+Elementos_[[#This Row],[Cantidad LDF&amp;MR]]*Elementos_[[#This Row],[Valor de referencia]]</f>
        <v>0</v>
      </c>
      <c r="W155" s="166"/>
      <c r="X155" s="159">
        <f>+Elementos_[[#This Row],[Cantidad RED LASE]]*Elementos_[[#This Row],[Valor de referencia]]</f>
        <v>0</v>
      </c>
      <c r="Y155" s="196"/>
      <c r="Z155" s="159">
        <f>+Elementos_[[#This Row],[Cantidad LANIA]]*Elementos_[[#This Row],[Valor de referencia]]</f>
        <v>0</v>
      </c>
      <c r="AA155" s="196"/>
      <c r="AB155" s="159">
        <f>+Elementos_[[#This Row],[Cantidad SPA]]*Elementos_[[#This Row],[Valor de referencia]]</f>
        <v>0</v>
      </c>
      <c r="AC155" s="166" t="s">
        <v>2041</v>
      </c>
    </row>
    <row r="156" spans="1:29" ht="60" x14ac:dyDescent="0.2">
      <c r="A156" s="294" t="str">
        <f>IF(B156=Elementos_[[#This Row],[Cantidad LANIP]],"LANIP",IF(B156=Elementos_[[#This Row],[Cantidad 
LDV]],"LDV",IF(B156=Elementos_[[#This Row],[Cantidad LNDV]],"LNDV",IF(B156=Elementos_[[#This Row],[GGCA]],"GGCA",IF(B156=Elementos_[[#This Row],[Cantidad LDF]],"LDF",IF(B156=Elementos_[[#This Row],[Cantidad LDF&amp;MR]],"LDF&amp;MR",IF(B156=Elementos_[[#This Row],[Cantidad RED LASE]],"LASE",IF(B156=Elementos_[[#This Row],[Cantidad LANIA]],"LANIA",IF(B156=Elementos_[[#This Row],[Cantidad SPA]],"SPA"," ")))))))))</f>
        <v>LNDV</v>
      </c>
      <c r="B15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156" s="298">
        <v>154</v>
      </c>
      <c r="D156" s="190">
        <v>222</v>
      </c>
      <c r="E156" s="274" t="s">
        <v>2293</v>
      </c>
      <c r="F156" s="201" t="s">
        <v>2294</v>
      </c>
      <c r="G156" s="192" t="s">
        <v>525</v>
      </c>
      <c r="H15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156" s="194">
        <v>336635</v>
      </c>
      <c r="J156" s="194">
        <f>+Elementos_[[#This Row],[Valor de referencia]]*Elementos_[[#This Row],[Cantidad]]</f>
        <v>5049525</v>
      </c>
      <c r="K156" s="166"/>
      <c r="L156" s="159">
        <f>+Elementos_[[#This Row],[Cantidad LANIP]]*Elementos_[[#This Row],[Valor de referencia]]</f>
        <v>0</v>
      </c>
      <c r="M156" s="270"/>
      <c r="N156" s="195">
        <f>+Elementos_[[#This Row],[Cantidad 
LDV]]*Elementos_[[#This Row],[Valor de referencia]]</f>
        <v>0</v>
      </c>
      <c r="O156" s="166">
        <v>15</v>
      </c>
      <c r="P156" s="159">
        <f>+Elementos_[[#This Row],[Cantidad LNDV]]*Elementos_[[#This Row],[Valor de referencia]]</f>
        <v>5049525</v>
      </c>
      <c r="Q156" s="196"/>
      <c r="R156" s="159">
        <f>+Elementos_[[#This Row],[GGCA]]*Elementos_[[#This Row],[Valor de referencia]]</f>
        <v>0</v>
      </c>
      <c r="S156" s="166"/>
      <c r="T156" s="159">
        <f>+Elementos_[[#This Row],[Cantidad LDF]]*Elementos_[[#This Row],[Valor de referencia]]</f>
        <v>0</v>
      </c>
      <c r="U156" s="197"/>
      <c r="V156" s="159">
        <f>+Elementos_[[#This Row],[Cantidad LDF&amp;MR]]*Elementos_[[#This Row],[Valor de referencia]]</f>
        <v>0</v>
      </c>
      <c r="W156" s="166"/>
      <c r="X156" s="159">
        <f>+Elementos_[[#This Row],[Cantidad RED LASE]]*Elementos_[[#This Row],[Valor de referencia]]</f>
        <v>0</v>
      </c>
      <c r="Y156" s="196"/>
      <c r="Z156" s="159">
        <f>+Elementos_[[#This Row],[Cantidad LANIA]]*Elementos_[[#This Row],[Valor de referencia]]</f>
        <v>0</v>
      </c>
      <c r="AA156" s="196"/>
      <c r="AB156" s="159">
        <f>+Elementos_[[#This Row],[Cantidad SPA]]*Elementos_[[#This Row],[Valor de referencia]]</f>
        <v>0</v>
      </c>
      <c r="AC156" s="166" t="s">
        <v>2041</v>
      </c>
    </row>
    <row r="157" spans="1:29" ht="52.5" customHeight="1" x14ac:dyDescent="0.2">
      <c r="A157" s="294" t="str">
        <f>IF(B157=Elementos_[[#This Row],[Cantidad LANIP]],"LANIP",IF(B157=Elementos_[[#This Row],[Cantidad 
LDV]],"LDV",IF(B157=Elementos_[[#This Row],[Cantidad LNDV]],"LNDV",IF(B157=Elementos_[[#This Row],[GGCA]],"GGCA",IF(B157=Elementos_[[#This Row],[Cantidad LDF]],"LDF",IF(B157=Elementos_[[#This Row],[Cantidad LDF&amp;MR]],"LDF&amp;MR",IF(B157=Elementos_[[#This Row],[Cantidad RED LASE]],"LASE",IF(B157=Elementos_[[#This Row],[Cantidad LANIA]],"LANIA",IF(B157=Elementos_[[#This Row],[Cantidad SPA]],"SPA"," ")))))))))</f>
        <v>LNDV</v>
      </c>
      <c r="B15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157" s="298">
        <v>155</v>
      </c>
      <c r="D157" s="190">
        <v>223</v>
      </c>
      <c r="E157" s="273" t="s">
        <v>2295</v>
      </c>
      <c r="F157" s="201" t="s">
        <v>2265</v>
      </c>
      <c r="G157" s="192" t="s">
        <v>2092</v>
      </c>
      <c r="H15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74</v>
      </c>
      <c r="I157" s="194">
        <v>208730</v>
      </c>
      <c r="J157" s="194">
        <f>+Elementos_[[#This Row],[Valor de referencia]]*Elementos_[[#This Row],[Cantidad]]</f>
        <v>15446020</v>
      </c>
      <c r="K157" s="166">
        <v>10</v>
      </c>
      <c r="L157" s="159">
        <f>+Elementos_[[#This Row],[Cantidad LANIP]]*Elementos_[[#This Row],[Valor de referencia]]</f>
        <v>2087300</v>
      </c>
      <c r="M157" s="270"/>
      <c r="N157" s="195">
        <f>+Elementos_[[#This Row],[Cantidad 
LDV]]*Elementos_[[#This Row],[Valor de referencia]]</f>
        <v>0</v>
      </c>
      <c r="O157" s="166">
        <v>30</v>
      </c>
      <c r="P157" s="159">
        <f>+Elementos_[[#This Row],[Cantidad LNDV]]*Elementos_[[#This Row],[Valor de referencia]]</f>
        <v>6261900</v>
      </c>
      <c r="Q157" s="196"/>
      <c r="R157" s="159">
        <f>+Elementos_[[#This Row],[GGCA]]*Elementos_[[#This Row],[Valor de referencia]]</f>
        <v>0</v>
      </c>
      <c r="S157" s="166">
        <v>12</v>
      </c>
      <c r="T157" s="159">
        <f>+Elementos_[[#This Row],[Cantidad LDF]]*Elementos_[[#This Row],[Valor de referencia]]</f>
        <v>2504760</v>
      </c>
      <c r="U157" s="224">
        <v>10</v>
      </c>
      <c r="V157" s="159">
        <f>+Elementos_[[#This Row],[Cantidad LDF&amp;MR]]*Elementos_[[#This Row],[Valor de referencia]]</f>
        <v>2087300</v>
      </c>
      <c r="W157" s="166"/>
      <c r="X157" s="159">
        <f>+Elementos_[[#This Row],[Cantidad RED LASE]]*Elementos_[[#This Row],[Valor de referencia]]</f>
        <v>0</v>
      </c>
      <c r="Y157" s="196">
        <v>12</v>
      </c>
      <c r="Z157" s="159">
        <f>+Elementos_[[#This Row],[Cantidad LANIA]]*Elementos_[[#This Row],[Valor de referencia]]</f>
        <v>2504760</v>
      </c>
      <c r="AA157" s="196"/>
      <c r="AB157" s="159">
        <f>+Elementos_[[#This Row],[Cantidad SPA]]*Elementos_[[#This Row],[Valor de referencia]]</f>
        <v>0</v>
      </c>
      <c r="AC157" s="166" t="s">
        <v>2041</v>
      </c>
    </row>
    <row r="158" spans="1:29" ht="48" x14ac:dyDescent="0.2">
      <c r="A158" s="294" t="str">
        <f>IF(B158=Elementos_[[#This Row],[Cantidad LANIP]],"LANIP",IF(B158=Elementos_[[#This Row],[Cantidad 
LDV]],"LDV",IF(B158=Elementos_[[#This Row],[Cantidad LNDV]],"LNDV",IF(B158=Elementos_[[#This Row],[GGCA]],"GGCA",IF(B158=Elementos_[[#This Row],[Cantidad LDF]],"LDF",IF(B158=Elementos_[[#This Row],[Cantidad LDF&amp;MR]],"LDF&amp;MR",IF(B158=Elementos_[[#This Row],[Cantidad RED LASE]],"LASE",IF(B158=Elementos_[[#This Row],[Cantidad LANIA]],"LANIA",IF(B158=Elementos_[[#This Row],[Cantidad SPA]],"SPA"," ")))))))))</f>
        <v>LANIP</v>
      </c>
      <c r="B15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58" s="298">
        <v>156</v>
      </c>
      <c r="D158" s="190">
        <v>224</v>
      </c>
      <c r="E158" s="273" t="s">
        <v>2296</v>
      </c>
      <c r="F158" s="201" t="s">
        <v>2265</v>
      </c>
      <c r="G158" s="192" t="s">
        <v>2092</v>
      </c>
      <c r="H15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158" s="194">
        <v>256964</v>
      </c>
      <c r="J158" s="194">
        <f>+Elementos_[[#This Row],[Valor de referencia]]*Elementos_[[#This Row],[Cantidad]]</f>
        <v>3854460</v>
      </c>
      <c r="K158" s="166">
        <v>10</v>
      </c>
      <c r="L158" s="159">
        <f>+Elementos_[[#This Row],[Cantidad LANIP]]*Elementos_[[#This Row],[Valor de referencia]]</f>
        <v>2569640</v>
      </c>
      <c r="M158" s="270">
        <v>0</v>
      </c>
      <c r="N158" s="195">
        <f>+Elementos_[[#This Row],[Cantidad 
LDV]]*Elementos_[[#This Row],[Valor de referencia]]</f>
        <v>0</v>
      </c>
      <c r="O158" s="166">
        <v>5</v>
      </c>
      <c r="P158" s="159">
        <f>+Elementos_[[#This Row],[Cantidad LNDV]]*Elementos_[[#This Row],[Valor de referencia]]</f>
        <v>1284820</v>
      </c>
      <c r="Q158" s="196"/>
      <c r="R158" s="159">
        <f>+Elementos_[[#This Row],[GGCA]]*Elementos_[[#This Row],[Valor de referencia]]</f>
        <v>0</v>
      </c>
      <c r="S158" s="166"/>
      <c r="T158" s="159">
        <f>+Elementos_[[#This Row],[Cantidad LDF]]*Elementos_[[#This Row],[Valor de referencia]]</f>
        <v>0</v>
      </c>
      <c r="U158" s="197"/>
      <c r="V158" s="159">
        <f>+Elementos_[[#This Row],[Cantidad LDF&amp;MR]]*Elementos_[[#This Row],[Valor de referencia]]</f>
        <v>0</v>
      </c>
      <c r="W158" s="166"/>
      <c r="X158" s="159">
        <f>+Elementos_[[#This Row],[Cantidad RED LASE]]*Elementos_[[#This Row],[Valor de referencia]]</f>
        <v>0</v>
      </c>
      <c r="Y158" s="196"/>
      <c r="Z158" s="159">
        <f>+Elementos_[[#This Row],[Cantidad LANIA]]*Elementos_[[#This Row],[Valor de referencia]]</f>
        <v>0</v>
      </c>
      <c r="AA158" s="196"/>
      <c r="AB158" s="159">
        <f>+Elementos_[[#This Row],[Cantidad SPA]]*Elementos_[[#This Row],[Valor de referencia]]</f>
        <v>0</v>
      </c>
      <c r="AC158" s="166" t="s">
        <v>2041</v>
      </c>
    </row>
    <row r="159" spans="1:29" ht="48" x14ac:dyDescent="0.2">
      <c r="A159" s="294" t="str">
        <f>IF(B159=Elementos_[[#This Row],[Cantidad LANIP]],"LANIP",IF(B159=Elementos_[[#This Row],[Cantidad 
LDV]],"LDV",IF(B159=Elementos_[[#This Row],[Cantidad LNDV]],"LNDV",IF(B159=Elementos_[[#This Row],[GGCA]],"GGCA",IF(B159=Elementos_[[#This Row],[Cantidad LDF]],"LDF",IF(B159=Elementos_[[#This Row],[Cantidad LDF&amp;MR]],"LDF&amp;MR",IF(B159=Elementos_[[#This Row],[Cantidad RED LASE]],"LASE",IF(B159=Elementos_[[#This Row],[Cantidad LANIA]],"LANIA",IF(B159=Elementos_[[#This Row],[Cantidad SPA]],"SPA"," ")))))))))</f>
        <v>LANIA</v>
      </c>
      <c r="B15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C159" s="298">
        <v>157</v>
      </c>
      <c r="D159" s="190">
        <v>225</v>
      </c>
      <c r="E159" s="273" t="s">
        <v>2297</v>
      </c>
      <c r="F159" s="201" t="s">
        <v>2265</v>
      </c>
      <c r="G159" s="192" t="s">
        <v>2092</v>
      </c>
      <c r="H15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21</v>
      </c>
      <c r="I159" s="194">
        <v>246495</v>
      </c>
      <c r="J159" s="194">
        <f>+Elementos_[[#This Row],[Valor de referencia]]*Elementos_[[#This Row],[Cantidad]]</f>
        <v>5176395</v>
      </c>
      <c r="K159" s="166"/>
      <c r="L159" s="159">
        <f>+Elementos_[[#This Row],[Cantidad LANIP]]*Elementos_[[#This Row],[Valor de referencia]]</f>
        <v>0</v>
      </c>
      <c r="M159" s="270">
        <v>0</v>
      </c>
      <c r="N159" s="195">
        <f>+Elementos_[[#This Row],[Cantidad 
LDV]]*Elementos_[[#This Row],[Valor de referencia]]</f>
        <v>0</v>
      </c>
      <c r="O159" s="166">
        <v>5</v>
      </c>
      <c r="P159" s="159">
        <f>+Elementos_[[#This Row],[Cantidad LNDV]]*Elementos_[[#This Row],[Valor de referencia]]</f>
        <v>1232475</v>
      </c>
      <c r="Q159" s="196"/>
      <c r="R159" s="159">
        <f>+Elementos_[[#This Row],[GGCA]]*Elementos_[[#This Row],[Valor de referencia]]</f>
        <v>0</v>
      </c>
      <c r="S159" s="166"/>
      <c r="T159" s="159">
        <f>+Elementos_[[#This Row],[Cantidad LDF]]*Elementos_[[#This Row],[Valor de referencia]]</f>
        <v>0</v>
      </c>
      <c r="U159" s="197"/>
      <c r="V159" s="159">
        <f>+Elementos_[[#This Row],[Cantidad LDF&amp;MR]]*Elementos_[[#This Row],[Valor de referencia]]</f>
        <v>0</v>
      </c>
      <c r="W159" s="166"/>
      <c r="X159" s="159">
        <f>+Elementos_[[#This Row],[Cantidad RED LASE]]*Elementos_[[#This Row],[Valor de referencia]]</f>
        <v>0</v>
      </c>
      <c r="Y159" s="196">
        <v>16</v>
      </c>
      <c r="Z159" s="159">
        <f>+Elementos_[[#This Row],[Cantidad LANIA]]*Elementos_[[#This Row],[Valor de referencia]]</f>
        <v>3943920</v>
      </c>
      <c r="AA159" s="196"/>
      <c r="AB159" s="159">
        <f>+Elementos_[[#This Row],[Cantidad SPA]]*Elementos_[[#This Row],[Valor de referencia]]</f>
        <v>0</v>
      </c>
      <c r="AC159" s="166" t="s">
        <v>2041</v>
      </c>
    </row>
    <row r="160" spans="1:29" ht="48" x14ac:dyDescent="0.2">
      <c r="A160" s="294" t="str">
        <f>IF(B160=Elementos_[[#This Row],[Cantidad LANIP]],"LANIP",IF(B160=Elementos_[[#This Row],[Cantidad 
LDV]],"LDV",IF(B160=Elementos_[[#This Row],[Cantidad LNDV]],"LNDV",IF(B160=Elementos_[[#This Row],[GGCA]],"GGCA",IF(B160=Elementos_[[#This Row],[Cantidad LDF]],"LDF",IF(B160=Elementos_[[#This Row],[Cantidad LDF&amp;MR]],"LDF&amp;MR",IF(B160=Elementos_[[#This Row],[Cantidad RED LASE]],"LASE",IF(B160=Elementos_[[#This Row],[Cantidad LANIA]],"LANIA",IF(B160=Elementos_[[#This Row],[Cantidad SPA]],"SPA"," ")))))))))</f>
        <v>LNDV</v>
      </c>
      <c r="B16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160" s="298">
        <v>158</v>
      </c>
      <c r="D160" s="190">
        <v>226</v>
      </c>
      <c r="E160" s="273" t="s">
        <v>2298</v>
      </c>
      <c r="F160" s="223" t="s">
        <v>2265</v>
      </c>
      <c r="G160" s="192" t="s">
        <v>2092</v>
      </c>
      <c r="H16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47</v>
      </c>
      <c r="I160" s="194">
        <v>105846</v>
      </c>
      <c r="J160" s="194">
        <f>+Elementos_[[#This Row],[Valor de referencia]]*Elementos_[[#This Row],[Cantidad]]</f>
        <v>4974762</v>
      </c>
      <c r="K160" s="166">
        <v>5</v>
      </c>
      <c r="L160" s="159">
        <f>+Elementos_[[#This Row],[Cantidad LANIP]]*Elementos_[[#This Row],[Valor de referencia]]</f>
        <v>529230</v>
      </c>
      <c r="M160" s="270">
        <v>0</v>
      </c>
      <c r="N160" s="195">
        <f>+Elementos_[[#This Row],[Cantidad 
LDV]]*Elementos_[[#This Row],[Valor de referencia]]</f>
        <v>0</v>
      </c>
      <c r="O160" s="166">
        <v>20</v>
      </c>
      <c r="P160" s="159">
        <f>+Elementos_[[#This Row],[Cantidad LNDV]]*Elementos_[[#This Row],[Valor de referencia]]</f>
        <v>2116920</v>
      </c>
      <c r="Q160" s="196"/>
      <c r="R160" s="159">
        <f>+Elementos_[[#This Row],[GGCA]]*Elementos_[[#This Row],[Valor de referencia]]</f>
        <v>0</v>
      </c>
      <c r="S160" s="166">
        <v>6</v>
      </c>
      <c r="T160" s="159">
        <f>+Elementos_[[#This Row],[Cantidad LDF]]*Elementos_[[#This Row],[Valor de referencia]]</f>
        <v>635076</v>
      </c>
      <c r="U160" s="197"/>
      <c r="V160" s="159">
        <f>+Elementos_[[#This Row],[Cantidad LDF&amp;MR]]*Elementos_[[#This Row],[Valor de referencia]]</f>
        <v>0</v>
      </c>
      <c r="W160" s="166"/>
      <c r="X160" s="159">
        <f>+Elementos_[[#This Row],[Cantidad RED LASE]]*Elementos_[[#This Row],[Valor de referencia]]</f>
        <v>0</v>
      </c>
      <c r="Y160" s="196">
        <v>16</v>
      </c>
      <c r="Z160" s="159">
        <f>+Elementos_[[#This Row],[Cantidad LANIA]]*Elementos_[[#This Row],[Valor de referencia]]</f>
        <v>1693536</v>
      </c>
      <c r="AA160" s="196"/>
      <c r="AB160" s="159">
        <f>+Elementos_[[#This Row],[Cantidad SPA]]*Elementos_[[#This Row],[Valor de referencia]]</f>
        <v>0</v>
      </c>
      <c r="AC160" s="166" t="s">
        <v>2041</v>
      </c>
    </row>
    <row r="161" spans="1:29" ht="48" x14ac:dyDescent="0.2">
      <c r="A161" s="294" t="str">
        <f>IF(B161=Elementos_[[#This Row],[Cantidad LANIP]],"LANIP",IF(B161=Elementos_[[#This Row],[Cantidad 
LDV]],"LDV",IF(B161=Elementos_[[#This Row],[Cantidad LNDV]],"LNDV",IF(B161=Elementos_[[#This Row],[GGCA]],"GGCA",IF(B161=Elementos_[[#This Row],[Cantidad LDF]],"LDF",IF(B161=Elementos_[[#This Row],[Cantidad LDF&amp;MR]],"LDF&amp;MR",IF(B161=Elementos_[[#This Row],[Cantidad RED LASE]],"LASE",IF(B161=Elementos_[[#This Row],[Cantidad LANIA]],"LANIA",IF(B161=Elementos_[[#This Row],[Cantidad SPA]],"SPA"," ")))))))))</f>
        <v>LNDV</v>
      </c>
      <c r="B16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161" s="298">
        <v>159</v>
      </c>
      <c r="D161" s="190">
        <v>227</v>
      </c>
      <c r="E161" s="274" t="s">
        <v>2299</v>
      </c>
      <c r="F161" s="201" t="s">
        <v>2300</v>
      </c>
      <c r="G161" s="192" t="s">
        <v>2301</v>
      </c>
      <c r="H16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161" s="194">
        <v>2342295</v>
      </c>
      <c r="J161" s="194">
        <f>+Elementos_[[#This Row],[Valor de referencia]]*Elementos_[[#This Row],[Cantidad]]</f>
        <v>30449835</v>
      </c>
      <c r="K161" s="166">
        <v>5</v>
      </c>
      <c r="L161" s="159">
        <f>+Elementos_[[#This Row],[Cantidad LANIP]]*Elementos_[[#This Row],[Valor de referencia]]</f>
        <v>11711475</v>
      </c>
      <c r="M161" s="270"/>
      <c r="N161" s="195">
        <f>+Elementos_[[#This Row],[Cantidad 
LDV]]*Elementos_[[#This Row],[Valor de referencia]]</f>
        <v>0</v>
      </c>
      <c r="O161" s="166">
        <v>8</v>
      </c>
      <c r="P161" s="159">
        <f>+Elementos_[[#This Row],[Cantidad LNDV]]*Elementos_[[#This Row],[Valor de referencia]]</f>
        <v>18738360</v>
      </c>
      <c r="Q161" s="196"/>
      <c r="R161" s="159">
        <f>+Elementos_[[#This Row],[GGCA]]*Elementos_[[#This Row],[Valor de referencia]]</f>
        <v>0</v>
      </c>
      <c r="S161" s="166"/>
      <c r="T161" s="159">
        <f>+Elementos_[[#This Row],[Cantidad LDF]]*Elementos_[[#This Row],[Valor de referencia]]</f>
        <v>0</v>
      </c>
      <c r="U161" s="197"/>
      <c r="V161" s="159">
        <f>+Elementos_[[#This Row],[Cantidad LDF&amp;MR]]*Elementos_[[#This Row],[Valor de referencia]]</f>
        <v>0</v>
      </c>
      <c r="W161" s="166"/>
      <c r="X161" s="159">
        <f>+Elementos_[[#This Row],[Cantidad RED LASE]]*Elementos_[[#This Row],[Valor de referencia]]</f>
        <v>0</v>
      </c>
      <c r="Y161" s="196"/>
      <c r="Z161" s="159">
        <f>+Elementos_[[#This Row],[Cantidad LANIA]]*Elementos_[[#This Row],[Valor de referencia]]</f>
        <v>0</v>
      </c>
      <c r="AA161" s="196"/>
      <c r="AB161" s="159">
        <f>+Elementos_[[#This Row],[Cantidad SPA]]*Elementos_[[#This Row],[Valor de referencia]]</f>
        <v>0</v>
      </c>
      <c r="AC161" s="166" t="s">
        <v>2041</v>
      </c>
    </row>
    <row r="162" spans="1:29" ht="75" customHeight="1" x14ac:dyDescent="0.2">
      <c r="A162" s="294" t="str">
        <f>IF(B162=Elementos_[[#This Row],[Cantidad LANIP]],"LANIP",IF(B162=Elementos_[[#This Row],[Cantidad 
LDV]],"LDV",IF(B162=Elementos_[[#This Row],[Cantidad LNDV]],"LNDV",IF(B162=Elementos_[[#This Row],[GGCA]],"GGCA",IF(B162=Elementos_[[#This Row],[Cantidad LDF]],"LDF",IF(B162=Elementos_[[#This Row],[Cantidad LDF&amp;MR]],"LDF&amp;MR",IF(B162=Elementos_[[#This Row],[Cantidad RED LASE]],"LASE",IF(B162=Elementos_[[#This Row],[Cantidad LANIA]],"LANIA",IF(B162=Elementos_[[#This Row],[Cantidad SPA]],"SPA"," ")))))))))</f>
        <v>LANIP</v>
      </c>
      <c r="B16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62" s="298">
        <v>160</v>
      </c>
      <c r="D162" s="190">
        <v>228</v>
      </c>
      <c r="E162" s="273" t="s">
        <v>2302</v>
      </c>
      <c r="F162" s="201" t="s">
        <v>2303</v>
      </c>
      <c r="G162" s="192" t="s">
        <v>2304</v>
      </c>
      <c r="H16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23</v>
      </c>
      <c r="I162" s="194">
        <v>2692739</v>
      </c>
      <c r="J162" s="194">
        <f>+Elementos_[[#This Row],[Valor de referencia]]*Elementos_[[#This Row],[Cantidad]]</f>
        <v>61932997</v>
      </c>
      <c r="K162" s="166">
        <v>10</v>
      </c>
      <c r="L162" s="159">
        <f>+Elementos_[[#This Row],[Cantidad LANIP]]*Elementos_[[#This Row],[Valor de referencia]]</f>
        <v>26927390</v>
      </c>
      <c r="M162" s="270">
        <v>0</v>
      </c>
      <c r="N162" s="195">
        <f>+Elementos_[[#This Row],[Cantidad 
LDV]]*Elementos_[[#This Row],[Valor de referencia]]</f>
        <v>0</v>
      </c>
      <c r="O162" s="166">
        <v>10</v>
      </c>
      <c r="P162" s="159">
        <f>+Elementos_[[#This Row],[Cantidad LNDV]]*Elementos_[[#This Row],[Valor de referencia]]</f>
        <v>26927390</v>
      </c>
      <c r="Q162" s="196"/>
      <c r="R162" s="159">
        <f>+Elementos_[[#This Row],[GGCA]]*Elementos_[[#This Row],[Valor de referencia]]</f>
        <v>0</v>
      </c>
      <c r="S162" s="166"/>
      <c r="T162" s="159">
        <f>+Elementos_[[#This Row],[Cantidad LDF]]*Elementos_[[#This Row],[Valor de referencia]]</f>
        <v>0</v>
      </c>
      <c r="U162" s="197">
        <v>1</v>
      </c>
      <c r="V162" s="159">
        <f>+Elementos_[[#This Row],[Cantidad LDF&amp;MR]]*Elementos_[[#This Row],[Valor de referencia]]</f>
        <v>2692739</v>
      </c>
      <c r="W162" s="166"/>
      <c r="X162" s="159">
        <f>+Elementos_[[#This Row],[Cantidad RED LASE]]*Elementos_[[#This Row],[Valor de referencia]]</f>
        <v>0</v>
      </c>
      <c r="Y162" s="196">
        <v>2</v>
      </c>
      <c r="Z162" s="159">
        <f>+Elementos_[[#This Row],[Cantidad LANIA]]*Elementos_[[#This Row],[Valor de referencia]]</f>
        <v>5385478</v>
      </c>
      <c r="AA162" s="196"/>
      <c r="AB162" s="159">
        <f>+Elementos_[[#This Row],[Cantidad SPA]]*Elementos_[[#This Row],[Valor de referencia]]</f>
        <v>0</v>
      </c>
      <c r="AC162" s="166" t="s">
        <v>2041</v>
      </c>
    </row>
    <row r="163" spans="1:29" ht="72" x14ac:dyDescent="0.2">
      <c r="A163" s="294" t="str">
        <f>IF(B163=Elementos_[[#This Row],[Cantidad LANIP]],"LANIP",IF(B163=Elementos_[[#This Row],[Cantidad 
LDV]],"LDV",IF(B163=Elementos_[[#This Row],[Cantidad LNDV]],"LNDV",IF(B163=Elementos_[[#This Row],[GGCA]],"GGCA",IF(B163=Elementos_[[#This Row],[Cantidad LDF]],"LDF",IF(B163=Elementos_[[#This Row],[Cantidad LDF&amp;MR]],"LDF&amp;MR",IF(B163=Elementos_[[#This Row],[Cantidad RED LASE]],"LASE",IF(B163=Elementos_[[#This Row],[Cantidad LANIA]],"LANIA",IF(B163=Elementos_[[#This Row],[Cantidad SPA]],"SPA"," ")))))))))</f>
        <v>LANIA</v>
      </c>
      <c r="B16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63" s="298">
        <v>161</v>
      </c>
      <c r="D163" s="190">
        <v>229</v>
      </c>
      <c r="E163" s="273" t="s">
        <v>2305</v>
      </c>
      <c r="F163" s="201" t="s">
        <v>2306</v>
      </c>
      <c r="G163" s="413" t="s">
        <v>2307</v>
      </c>
      <c r="H16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163" s="194">
        <v>3888292</v>
      </c>
      <c r="J163" s="194">
        <f>+Elementos_[[#This Row],[Valor de referencia]]*Elementos_[[#This Row],[Cantidad]]</f>
        <v>7776584</v>
      </c>
      <c r="K163" s="166"/>
      <c r="L163" s="159">
        <f>+Elementos_[[#This Row],[Cantidad LANIP]]*Elementos_[[#This Row],[Valor de referencia]]</f>
        <v>0</v>
      </c>
      <c r="M163" s="270"/>
      <c r="N163" s="195">
        <f>+Elementos_[[#This Row],[Cantidad 
LDV]]*Elementos_[[#This Row],[Valor de referencia]]</f>
        <v>0</v>
      </c>
      <c r="O163" s="166"/>
      <c r="P163" s="159">
        <f>+Elementos_[[#This Row],[Cantidad LNDV]]*Elementos_[[#This Row],[Valor de referencia]]</f>
        <v>0</v>
      </c>
      <c r="Q163" s="196"/>
      <c r="R163" s="159">
        <f>+Elementos_[[#This Row],[GGCA]]*Elementos_[[#This Row],[Valor de referencia]]</f>
        <v>0</v>
      </c>
      <c r="S163" s="166"/>
      <c r="T163" s="159">
        <f>+Elementos_[[#This Row],[Cantidad LDF]]*Elementos_[[#This Row],[Valor de referencia]]</f>
        <v>0</v>
      </c>
      <c r="U163" s="197"/>
      <c r="V163" s="159">
        <f>+Elementos_[[#This Row],[Cantidad LDF&amp;MR]]*Elementos_[[#This Row],[Valor de referencia]]</f>
        <v>0</v>
      </c>
      <c r="W163" s="166"/>
      <c r="X163" s="159">
        <f>+Elementos_[[#This Row],[Cantidad RED LASE]]*Elementos_[[#This Row],[Valor de referencia]]</f>
        <v>0</v>
      </c>
      <c r="Y163" s="196">
        <v>2</v>
      </c>
      <c r="Z163" s="159">
        <f>+Elementos_[[#This Row],[Cantidad LANIA]]*Elementos_[[#This Row],[Valor de referencia]]</f>
        <v>7776584</v>
      </c>
      <c r="AA163" s="196"/>
      <c r="AB163" s="159">
        <f>+Elementos_[[#This Row],[Cantidad SPA]]*Elementos_[[#This Row],[Valor de referencia]]</f>
        <v>0</v>
      </c>
      <c r="AC163" s="166" t="s">
        <v>2041</v>
      </c>
    </row>
    <row r="164" spans="1:29" ht="12.75" x14ac:dyDescent="0.2">
      <c r="A164" s="294" t="str">
        <f>IF(B164=Elementos_[[#This Row],[Cantidad LANIP]],"LANIP",IF(B164=Elementos_[[#This Row],[Cantidad 
LDV]],"LDV",IF(B164=Elementos_[[#This Row],[Cantidad LNDV]],"LNDV",IF(B164=Elementos_[[#This Row],[GGCA]],"GGCA",IF(B164=Elementos_[[#This Row],[Cantidad LDF]],"LDF",IF(B164=Elementos_[[#This Row],[Cantidad LDF&amp;MR]],"LDF&amp;MR",IF(B164=Elementos_[[#This Row],[Cantidad RED LASE]],"LASE",IF(B164=Elementos_[[#This Row],[Cantidad LANIA]],"LANIA",IF(B164=Elementos_[[#This Row],[Cantidad SPA]],"SPA"," ")))))))))</f>
        <v>LANIP</v>
      </c>
      <c r="B16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164" s="298">
        <v>162</v>
      </c>
      <c r="D164" s="190">
        <v>230</v>
      </c>
      <c r="E164" s="273" t="s">
        <v>2308</v>
      </c>
      <c r="F164" s="201" t="s">
        <v>183</v>
      </c>
      <c r="G164" s="192" t="s">
        <v>525</v>
      </c>
      <c r="H16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I164" s="194">
        <v>100562</v>
      </c>
      <c r="J164" s="194">
        <f>+Elementos_[[#This Row],[Valor de referencia]]*Elementos_[[#This Row],[Cantidad]]</f>
        <v>3016860</v>
      </c>
      <c r="K164" s="166">
        <v>20</v>
      </c>
      <c r="L164" s="159">
        <f>+Elementos_[[#This Row],[Cantidad LANIP]]*Elementos_[[#This Row],[Valor de referencia]]</f>
        <v>2011240</v>
      </c>
      <c r="M164" s="270">
        <v>0</v>
      </c>
      <c r="N164" s="195">
        <f>+Elementos_[[#This Row],[Cantidad 
LDV]]*Elementos_[[#This Row],[Valor de referencia]]</f>
        <v>0</v>
      </c>
      <c r="O164" s="166"/>
      <c r="P164" s="159">
        <f>+Elementos_[[#This Row],[Cantidad LNDV]]*Elementos_[[#This Row],[Valor de referencia]]</f>
        <v>0</v>
      </c>
      <c r="Q164" s="196"/>
      <c r="R164" s="159">
        <f>+Elementos_[[#This Row],[GGCA]]*Elementos_[[#This Row],[Valor de referencia]]</f>
        <v>0</v>
      </c>
      <c r="S164" s="166"/>
      <c r="T164" s="159">
        <f>+Elementos_[[#This Row],[Cantidad LDF]]*Elementos_[[#This Row],[Valor de referencia]]</f>
        <v>0</v>
      </c>
      <c r="U164" s="197"/>
      <c r="V164" s="159">
        <f>+Elementos_[[#This Row],[Cantidad LDF&amp;MR]]*Elementos_[[#This Row],[Valor de referencia]]</f>
        <v>0</v>
      </c>
      <c r="W164" s="166"/>
      <c r="X164" s="159">
        <f>+Elementos_[[#This Row],[Cantidad RED LASE]]*Elementos_[[#This Row],[Valor de referencia]]</f>
        <v>0</v>
      </c>
      <c r="Y164" s="196">
        <v>10</v>
      </c>
      <c r="Z164" s="159">
        <f>+Elementos_[[#This Row],[Cantidad LANIA]]*Elementos_[[#This Row],[Valor de referencia]]</f>
        <v>1005620</v>
      </c>
      <c r="AA164" s="196"/>
      <c r="AB164" s="159">
        <f>+Elementos_[[#This Row],[Cantidad SPA]]*Elementos_[[#This Row],[Valor de referencia]]</f>
        <v>0</v>
      </c>
      <c r="AC164" s="166" t="s">
        <v>2049</v>
      </c>
    </row>
    <row r="165" spans="1:29" ht="60" x14ac:dyDescent="0.2">
      <c r="A165" s="294" t="str">
        <f>IF(B165=Elementos_[[#This Row],[Cantidad LANIP]],"LANIP",IF(B165=Elementos_[[#This Row],[Cantidad 
LDV]],"LDV",IF(B165=Elementos_[[#This Row],[Cantidad LNDV]],"LNDV",IF(B165=Elementos_[[#This Row],[GGCA]],"GGCA",IF(B165=Elementos_[[#This Row],[Cantidad LDF]],"LDF",IF(B165=Elementos_[[#This Row],[Cantidad LDF&amp;MR]],"LDF&amp;MR",IF(B165=Elementos_[[#This Row],[Cantidad RED LASE]],"LASE",IF(B165=Elementos_[[#This Row],[Cantidad LANIA]],"LANIA",IF(B165=Elementos_[[#This Row],[Cantidad SPA]],"SPA"," ")))))))))</f>
        <v>LANIP</v>
      </c>
      <c r="B16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165" s="298">
        <v>163</v>
      </c>
      <c r="D165" s="190">
        <v>232</v>
      </c>
      <c r="E165" s="273" t="s">
        <v>2309</v>
      </c>
      <c r="F165" s="216" t="s">
        <v>2310</v>
      </c>
      <c r="G165" s="192" t="s">
        <v>525</v>
      </c>
      <c r="H16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165" s="194">
        <v>10143905</v>
      </c>
      <c r="J165" s="194">
        <f>+Elementos_[[#This Row],[Valor de referencia]]*Elementos_[[#This Row],[Cantidad]]</f>
        <v>10143905</v>
      </c>
      <c r="K165" s="166">
        <v>1</v>
      </c>
      <c r="L165" s="159">
        <f>+Elementos_[[#This Row],[Cantidad LANIP]]*Elementos_[[#This Row],[Valor de referencia]]</f>
        <v>10143905</v>
      </c>
      <c r="M165" s="270">
        <v>0</v>
      </c>
      <c r="N165" s="195">
        <f>+Elementos_[[#This Row],[Cantidad 
LDV]]*Elementos_[[#This Row],[Valor de referencia]]</f>
        <v>0</v>
      </c>
      <c r="O165" s="166"/>
      <c r="P165" s="159">
        <f>+Elementos_[[#This Row],[Cantidad LNDV]]*Elementos_[[#This Row],[Valor de referencia]]</f>
        <v>0</v>
      </c>
      <c r="Q165" s="196"/>
      <c r="R165" s="159">
        <f>+Elementos_[[#This Row],[GGCA]]*Elementos_[[#This Row],[Valor de referencia]]</f>
        <v>0</v>
      </c>
      <c r="S165" s="166"/>
      <c r="T165" s="159">
        <f>+Elementos_[[#This Row],[Cantidad LDF]]*Elementos_[[#This Row],[Valor de referencia]]</f>
        <v>0</v>
      </c>
      <c r="U165" s="197"/>
      <c r="V165" s="159">
        <f>+Elementos_[[#This Row],[Cantidad LDF&amp;MR]]*Elementos_[[#This Row],[Valor de referencia]]</f>
        <v>0</v>
      </c>
      <c r="W165" s="166"/>
      <c r="X165" s="159">
        <f>+Elementos_[[#This Row],[Cantidad RED LASE]]*Elementos_[[#This Row],[Valor de referencia]]</f>
        <v>0</v>
      </c>
      <c r="Y165" s="196"/>
      <c r="Z165" s="159">
        <f>+Elementos_[[#This Row],[Cantidad LANIA]]*Elementos_[[#This Row],[Valor de referencia]]</f>
        <v>0</v>
      </c>
      <c r="AA165" s="196"/>
      <c r="AB165" s="159">
        <f>+Elementos_[[#This Row],[Cantidad SPA]]*Elementos_[[#This Row],[Valor de referencia]]</f>
        <v>0</v>
      </c>
      <c r="AC165" s="166" t="s">
        <v>2041</v>
      </c>
    </row>
    <row r="166" spans="1:29" ht="24" x14ac:dyDescent="0.2">
      <c r="A166" s="294" t="str">
        <f>IF(B166=Elementos_[[#This Row],[Cantidad LANIP]],"LANIP",IF(B166=Elementos_[[#This Row],[Cantidad 
LDV]],"LDV",IF(B166=Elementos_[[#This Row],[Cantidad LNDV]],"LNDV",IF(B166=Elementos_[[#This Row],[GGCA]],"GGCA",IF(B166=Elementos_[[#This Row],[Cantidad LDF]],"LDF",IF(B166=Elementos_[[#This Row],[Cantidad LDF&amp;MR]],"LDF&amp;MR",IF(B166=Elementos_[[#This Row],[Cantidad RED LASE]],"LASE",IF(B166=Elementos_[[#This Row],[Cantidad LANIA]],"LANIA",IF(B166=Elementos_[[#This Row],[Cantidad SPA]],"SPA"," ")))))))))</f>
        <v>LANIA</v>
      </c>
      <c r="B16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166" s="298">
        <v>164</v>
      </c>
      <c r="D166" s="190">
        <v>234</v>
      </c>
      <c r="E166" s="277" t="s">
        <v>2311</v>
      </c>
      <c r="F166" s="200" t="s">
        <v>183</v>
      </c>
      <c r="G166" s="192" t="s">
        <v>525</v>
      </c>
      <c r="H16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166" s="194">
        <v>726981</v>
      </c>
      <c r="J166" s="194">
        <f>+Elementos_[[#This Row],[Valor de referencia]]*Elementos_[[#This Row],[Cantidad]]</f>
        <v>726981</v>
      </c>
      <c r="K166" s="166"/>
      <c r="L166" s="159">
        <f>+Elementos_[[#This Row],[Cantidad LANIP]]*Elementos_[[#This Row],[Valor de referencia]]</f>
        <v>0</v>
      </c>
      <c r="M166" s="270"/>
      <c r="N166" s="195">
        <f>+Elementos_[[#This Row],[Cantidad 
LDV]]*Elementos_[[#This Row],[Valor de referencia]]</f>
        <v>0</v>
      </c>
      <c r="O166" s="166"/>
      <c r="P166" s="159">
        <f>+Elementos_[[#This Row],[Cantidad LNDV]]*Elementos_[[#This Row],[Valor de referencia]]</f>
        <v>0</v>
      </c>
      <c r="Q166" s="196"/>
      <c r="R166" s="159">
        <f>+Elementos_[[#This Row],[GGCA]]*Elementos_[[#This Row],[Valor de referencia]]</f>
        <v>0</v>
      </c>
      <c r="S166" s="166"/>
      <c r="T166" s="159">
        <f>+Elementos_[[#This Row],[Cantidad LDF]]*Elementos_[[#This Row],[Valor de referencia]]</f>
        <v>0</v>
      </c>
      <c r="U166" s="197"/>
      <c r="V166" s="159">
        <f>+Elementos_[[#This Row],[Cantidad LDF&amp;MR]]*Elementos_[[#This Row],[Valor de referencia]]</f>
        <v>0</v>
      </c>
      <c r="W166" s="166"/>
      <c r="X166" s="159">
        <f>+Elementos_[[#This Row],[Cantidad RED LASE]]*Elementos_[[#This Row],[Valor de referencia]]</f>
        <v>0</v>
      </c>
      <c r="Y166" s="196">
        <v>1</v>
      </c>
      <c r="Z166" s="159">
        <f>+Elementos_[[#This Row],[Cantidad LANIA]]*Elementos_[[#This Row],[Valor de referencia]]</f>
        <v>726981</v>
      </c>
      <c r="AA166" s="196"/>
      <c r="AB166" s="159">
        <f>+Elementos_[[#This Row],[Cantidad SPA]]*Elementos_[[#This Row],[Valor de referencia]]</f>
        <v>0</v>
      </c>
      <c r="AC166" s="166" t="s">
        <v>2049</v>
      </c>
    </row>
    <row r="167" spans="1:29" ht="24" x14ac:dyDescent="0.2">
      <c r="A167" s="294" t="str">
        <f>IF(B167=Elementos_[[#This Row],[Cantidad LANIP]],"LANIP",IF(B167=Elementos_[[#This Row],[Cantidad 
LDV]],"LDV",IF(B167=Elementos_[[#This Row],[Cantidad LNDV]],"LNDV",IF(B167=Elementos_[[#This Row],[GGCA]],"GGCA",IF(B167=Elementos_[[#This Row],[Cantidad LDF]],"LDF",IF(B167=Elementos_[[#This Row],[Cantidad LDF&amp;MR]],"LDF&amp;MR",IF(B167=Elementos_[[#This Row],[Cantidad RED LASE]],"LASE",IF(B167=Elementos_[[#This Row],[Cantidad LANIA]],"LANIA",IF(B167=Elementos_[[#This Row],[Cantidad SPA]],"SPA"," ")))))))))</f>
        <v>LNDV</v>
      </c>
      <c r="B16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167" s="298">
        <v>165</v>
      </c>
      <c r="D167" s="190">
        <v>235</v>
      </c>
      <c r="E167" s="273" t="s">
        <v>2312</v>
      </c>
      <c r="F167" s="191" t="s">
        <v>2209</v>
      </c>
      <c r="G167" s="192" t="s">
        <v>525</v>
      </c>
      <c r="H16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I167" s="194">
        <v>38187</v>
      </c>
      <c r="J167" s="194">
        <f>+Elementos_[[#This Row],[Valor de referencia]]*Elementos_[[#This Row],[Cantidad]]</f>
        <v>1145610</v>
      </c>
      <c r="K167" s="166"/>
      <c r="L167" s="159">
        <f>+Elementos_[[#This Row],[Cantidad LANIP]]*Elementos_[[#This Row],[Valor de referencia]]</f>
        <v>0</v>
      </c>
      <c r="M167" s="270">
        <v>0</v>
      </c>
      <c r="N167" s="195">
        <f>+Elementos_[[#This Row],[Cantidad 
LDV]]*Elementos_[[#This Row],[Valor de referencia]]</f>
        <v>0</v>
      </c>
      <c r="O167" s="166">
        <v>30</v>
      </c>
      <c r="P167" s="159">
        <f>+Elementos_[[#This Row],[Cantidad LNDV]]*Elementos_[[#This Row],[Valor de referencia]]</f>
        <v>1145610</v>
      </c>
      <c r="Q167" s="196"/>
      <c r="R167" s="159">
        <f>+Elementos_[[#This Row],[GGCA]]*Elementos_[[#This Row],[Valor de referencia]]</f>
        <v>0</v>
      </c>
      <c r="S167" s="166"/>
      <c r="T167" s="159">
        <f>+Elementos_[[#This Row],[Cantidad LDF]]*Elementos_[[#This Row],[Valor de referencia]]</f>
        <v>0</v>
      </c>
      <c r="U167" s="197"/>
      <c r="V167" s="159">
        <f>+Elementos_[[#This Row],[Cantidad LDF&amp;MR]]*Elementos_[[#This Row],[Valor de referencia]]</f>
        <v>0</v>
      </c>
      <c r="W167" s="166"/>
      <c r="X167" s="159">
        <f>+Elementos_[[#This Row],[Cantidad RED LASE]]*Elementos_[[#This Row],[Valor de referencia]]</f>
        <v>0</v>
      </c>
      <c r="Y167" s="196"/>
      <c r="Z167" s="159">
        <f>+Elementos_[[#This Row],[Cantidad LANIA]]*Elementos_[[#This Row],[Valor de referencia]]</f>
        <v>0</v>
      </c>
      <c r="AA167" s="196"/>
      <c r="AB167" s="159">
        <f>+Elementos_[[#This Row],[Cantidad SPA]]*Elementos_[[#This Row],[Valor de referencia]]</f>
        <v>0</v>
      </c>
      <c r="AC167" s="166" t="s">
        <v>2049</v>
      </c>
    </row>
    <row r="168" spans="1:29" ht="24" x14ac:dyDescent="0.2">
      <c r="A168" s="294" t="str">
        <f>IF(B168=Elementos_[[#This Row],[Cantidad LANIP]],"LANIP",IF(B168=Elementos_[[#This Row],[Cantidad 
LDV]],"LDV",IF(B168=Elementos_[[#This Row],[Cantidad LNDV]],"LNDV",IF(B168=Elementos_[[#This Row],[GGCA]],"GGCA",IF(B168=Elementos_[[#This Row],[Cantidad LDF]],"LDF",IF(B168=Elementos_[[#This Row],[Cantidad LDF&amp;MR]],"LDF&amp;MR",IF(B168=Elementos_[[#This Row],[Cantidad RED LASE]],"LASE",IF(B168=Elementos_[[#This Row],[Cantidad LANIA]],"LANIA",IF(B168=Elementos_[[#This Row],[Cantidad SPA]],"SPA"," ")))))))))</f>
        <v>LANIA</v>
      </c>
      <c r="B16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168" s="298">
        <v>166</v>
      </c>
      <c r="D168" s="190">
        <v>236</v>
      </c>
      <c r="E168" s="273" t="s">
        <v>2313</v>
      </c>
      <c r="F168" s="204" t="s">
        <v>624</v>
      </c>
      <c r="G168" s="192" t="s">
        <v>525</v>
      </c>
      <c r="H16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168" s="194">
        <v>32487</v>
      </c>
      <c r="J168" s="194">
        <f>+Elementos_[[#This Row],[Valor de referencia]]*Elementos_[[#This Row],[Cantidad]]</f>
        <v>649740</v>
      </c>
      <c r="K168" s="166"/>
      <c r="L168" s="159">
        <f>+Elementos_[[#This Row],[Cantidad LANIP]]*Elementos_[[#This Row],[Valor de referencia]]</f>
        <v>0</v>
      </c>
      <c r="M168" s="270">
        <v>0</v>
      </c>
      <c r="N168" s="195">
        <f>+Elementos_[[#This Row],[Cantidad 
LDV]]*Elementos_[[#This Row],[Valor de referencia]]</f>
        <v>0</v>
      </c>
      <c r="O168" s="166"/>
      <c r="P168" s="159">
        <f>+Elementos_[[#This Row],[Cantidad LNDV]]*Elementos_[[#This Row],[Valor de referencia]]</f>
        <v>0</v>
      </c>
      <c r="Q168" s="196"/>
      <c r="R168" s="159">
        <f>+Elementos_[[#This Row],[GGCA]]*Elementos_[[#This Row],[Valor de referencia]]</f>
        <v>0</v>
      </c>
      <c r="S168" s="166"/>
      <c r="T168" s="159">
        <f>+Elementos_[[#This Row],[Cantidad LDF]]*Elementos_[[#This Row],[Valor de referencia]]</f>
        <v>0</v>
      </c>
      <c r="U168" s="197"/>
      <c r="V168" s="159">
        <f>+Elementos_[[#This Row],[Cantidad LDF&amp;MR]]*Elementos_[[#This Row],[Valor de referencia]]</f>
        <v>0</v>
      </c>
      <c r="W168" s="166"/>
      <c r="X168" s="159">
        <f>+Elementos_[[#This Row],[Cantidad RED LASE]]*Elementos_[[#This Row],[Valor de referencia]]</f>
        <v>0</v>
      </c>
      <c r="Y168" s="196">
        <v>20</v>
      </c>
      <c r="Z168" s="159">
        <f>+Elementos_[[#This Row],[Cantidad LANIA]]*Elementos_[[#This Row],[Valor de referencia]]</f>
        <v>649740</v>
      </c>
      <c r="AA168" s="196"/>
      <c r="AB168" s="159">
        <f>+Elementos_[[#This Row],[Cantidad SPA]]*Elementos_[[#This Row],[Valor de referencia]]</f>
        <v>0</v>
      </c>
      <c r="AC168" s="166" t="s">
        <v>2049</v>
      </c>
    </row>
    <row r="169" spans="1:29" ht="12.75" x14ac:dyDescent="0.2">
      <c r="A169" s="294" t="str">
        <f>IF(B169=Elementos_[[#This Row],[Cantidad LANIP]],"LANIP",IF(B169=Elementos_[[#This Row],[Cantidad 
LDV]],"LDV",IF(B169=Elementos_[[#This Row],[Cantidad LNDV]],"LNDV",IF(B169=Elementos_[[#This Row],[GGCA]],"GGCA",IF(B169=Elementos_[[#This Row],[Cantidad LDF]],"LDF",IF(B169=Elementos_[[#This Row],[Cantidad LDF&amp;MR]],"LDF&amp;MR",IF(B169=Elementos_[[#This Row],[Cantidad RED LASE]],"LASE",IF(B169=Elementos_[[#This Row],[Cantidad LANIA]],"LANIA",IF(B169=Elementos_[[#This Row],[Cantidad SPA]],"SPA"," ")))))))))</f>
        <v>SPA</v>
      </c>
      <c r="B16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169" s="298">
        <v>167</v>
      </c>
      <c r="D169" s="190">
        <v>238</v>
      </c>
      <c r="E169" s="235" t="s">
        <v>2314</v>
      </c>
      <c r="F169" s="208" t="s">
        <v>183</v>
      </c>
      <c r="G169" s="192" t="s">
        <v>2315</v>
      </c>
      <c r="H16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22</v>
      </c>
      <c r="I169" s="194">
        <v>273562</v>
      </c>
      <c r="J169" s="194">
        <f>+Elementos_[[#This Row],[Valor de referencia]]*Elementos_[[#This Row],[Cantidad]]</f>
        <v>6018364</v>
      </c>
      <c r="K169" s="166"/>
      <c r="L169" s="159">
        <f>+Elementos_[[#This Row],[Cantidad LANIP]]*Elementos_[[#This Row],[Valor de referencia]]</f>
        <v>0</v>
      </c>
      <c r="M169" s="270">
        <v>0</v>
      </c>
      <c r="N169" s="195">
        <f>+Elementos_[[#This Row],[Cantidad 
LDV]]*Elementos_[[#This Row],[Valor de referencia]]</f>
        <v>0</v>
      </c>
      <c r="O169" s="166"/>
      <c r="P169" s="159">
        <f>+Elementos_[[#This Row],[Cantidad LNDV]]*Elementos_[[#This Row],[Valor de referencia]]</f>
        <v>0</v>
      </c>
      <c r="Q169" s="196"/>
      <c r="R169" s="159">
        <f>+Elementos_[[#This Row],[GGCA]]*Elementos_[[#This Row],[Valor de referencia]]</f>
        <v>0</v>
      </c>
      <c r="S169" s="166">
        <v>2</v>
      </c>
      <c r="T169" s="194">
        <f>+Elementos_[[#This Row],[Cantidad LDF]]*Elementos_[[#This Row],[Valor de referencia]]</f>
        <v>547124</v>
      </c>
      <c r="U169" s="197"/>
      <c r="V169" s="194">
        <f>+Elementos_[[#This Row],[Cantidad LDF&amp;MR]]*Elementos_[[#This Row],[Valor de referencia]]</f>
        <v>0</v>
      </c>
      <c r="W169" s="166"/>
      <c r="X169" s="194">
        <f>+Elementos_[[#This Row],[Cantidad RED LASE]]*Elementos_[[#This Row],[Valor de referencia]]</f>
        <v>0</v>
      </c>
      <c r="Y169" s="196"/>
      <c r="Z169" s="194">
        <f>+Elementos_[[#This Row],[Cantidad LANIA]]*Elementos_[[#This Row],[Valor de referencia]]</f>
        <v>0</v>
      </c>
      <c r="AA169" s="196">
        <v>20</v>
      </c>
      <c r="AB169" s="194">
        <f>+Elementos_[[#This Row],[Cantidad SPA]]*Elementos_[[#This Row],[Valor de referencia]]</f>
        <v>5471240</v>
      </c>
      <c r="AC169" s="166" t="s">
        <v>2049</v>
      </c>
    </row>
    <row r="170" spans="1:29" ht="36" x14ac:dyDescent="0.2">
      <c r="A170" s="294" t="str">
        <f>IF(B170=Elementos_[[#This Row],[Cantidad LANIP]],"LANIP",IF(B170=Elementos_[[#This Row],[Cantidad 
LDV]],"LDV",IF(B170=Elementos_[[#This Row],[Cantidad LNDV]],"LNDV",IF(B170=Elementos_[[#This Row],[GGCA]],"GGCA",IF(B170=Elementos_[[#This Row],[Cantidad LDF]],"LDF",IF(B170=Elementos_[[#This Row],[Cantidad LDF&amp;MR]],"LDF&amp;MR",IF(B170=Elementos_[[#This Row],[Cantidad RED LASE]],"LASE",IF(B170=Elementos_[[#This Row],[Cantidad LANIA]],"LANIA",IF(B170=Elementos_[[#This Row],[Cantidad SPA]],"SPA"," ")))))))))</f>
        <v>LNDV</v>
      </c>
      <c r="B17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170" s="298">
        <v>168</v>
      </c>
      <c r="D170" s="190">
        <v>239</v>
      </c>
      <c r="E170" s="273" t="s">
        <v>2316</v>
      </c>
      <c r="F170" s="216" t="s">
        <v>2317</v>
      </c>
      <c r="G170" s="192" t="s">
        <v>1391</v>
      </c>
      <c r="H17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170" s="194">
        <v>68460</v>
      </c>
      <c r="J170" s="194">
        <f>+Elementos_[[#This Row],[Valor de referencia]]*Elementos_[[#This Row],[Cantidad]]</f>
        <v>684600</v>
      </c>
      <c r="K170" s="166"/>
      <c r="L170" s="159">
        <f>+Elementos_[[#This Row],[Cantidad LANIP]]*Elementos_[[#This Row],[Valor de referencia]]</f>
        <v>0</v>
      </c>
      <c r="M170" s="270">
        <v>0</v>
      </c>
      <c r="N170" s="195">
        <f>+Elementos_[[#This Row],[Cantidad 
LDV]]*Elementos_[[#This Row],[Valor de referencia]]</f>
        <v>0</v>
      </c>
      <c r="O170" s="166">
        <v>8</v>
      </c>
      <c r="P170" s="159">
        <f>+Elementos_[[#This Row],[Cantidad LNDV]]*Elementos_[[#This Row],[Valor de referencia]]</f>
        <v>547680</v>
      </c>
      <c r="Q170" s="196"/>
      <c r="R170" s="159">
        <f>+Elementos_[[#This Row],[GGCA]]*Elementos_[[#This Row],[Valor de referencia]]</f>
        <v>0</v>
      </c>
      <c r="S170" s="166"/>
      <c r="T170" s="159">
        <f>+Elementos_[[#This Row],[Cantidad LDF]]*Elementos_[[#This Row],[Valor de referencia]]</f>
        <v>0</v>
      </c>
      <c r="U170" s="197"/>
      <c r="V170" s="159">
        <f>+Elementos_[[#This Row],[Cantidad LDF&amp;MR]]*Elementos_[[#This Row],[Valor de referencia]]</f>
        <v>0</v>
      </c>
      <c r="W170" s="166">
        <v>2</v>
      </c>
      <c r="X170" s="159">
        <f>+Elementos_[[#This Row],[Cantidad RED LASE]]*Elementos_[[#This Row],[Valor de referencia]]</f>
        <v>136920</v>
      </c>
      <c r="Y170" s="196"/>
      <c r="Z170" s="159">
        <f>+Elementos_[[#This Row],[Cantidad LANIA]]*Elementos_[[#This Row],[Valor de referencia]]</f>
        <v>0</v>
      </c>
      <c r="AA170" s="196"/>
      <c r="AB170" s="159">
        <f>+Elementos_[[#This Row],[Cantidad SPA]]*Elementos_[[#This Row],[Valor de referencia]]</f>
        <v>0</v>
      </c>
      <c r="AC170" s="166" t="s">
        <v>2049</v>
      </c>
    </row>
    <row r="171" spans="1:29" ht="36" x14ac:dyDescent="0.2">
      <c r="A171" s="294" t="str">
        <f>IF(B171=Elementos_[[#This Row],[Cantidad LANIP]],"LANIP",IF(B171=Elementos_[[#This Row],[Cantidad 
LDV]],"LDV",IF(B171=Elementos_[[#This Row],[Cantidad LNDV]],"LNDV",IF(B171=Elementos_[[#This Row],[GGCA]],"GGCA",IF(B171=Elementos_[[#This Row],[Cantidad LDF]],"LDF",IF(B171=Elementos_[[#This Row],[Cantidad LDF&amp;MR]],"LDF&amp;MR",IF(B171=Elementos_[[#This Row],[Cantidad RED LASE]],"LASE",IF(B171=Elementos_[[#This Row],[Cantidad LANIA]],"LANIA",IF(B171=Elementos_[[#This Row],[Cantidad SPA]],"SPA"," ")))))))))</f>
        <v>LDF&amp;MR</v>
      </c>
      <c r="B17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171" s="298">
        <v>169</v>
      </c>
      <c r="D171" s="190">
        <v>240</v>
      </c>
      <c r="E171" s="273" t="s">
        <v>2318</v>
      </c>
      <c r="F171" s="201" t="s">
        <v>2319</v>
      </c>
      <c r="G171" s="192" t="s">
        <v>1391</v>
      </c>
      <c r="H17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171" s="194">
        <v>68720</v>
      </c>
      <c r="J171" s="194">
        <f>+Elementos_[[#This Row],[Valor de referencia]]*Elementos_[[#This Row],[Cantidad]]</f>
        <v>68720</v>
      </c>
      <c r="K171" s="166"/>
      <c r="L171" s="159">
        <f>+Elementos_[[#This Row],[Cantidad LANIP]]*Elementos_[[#This Row],[Valor de referencia]]</f>
        <v>0</v>
      </c>
      <c r="M171" s="270">
        <v>0</v>
      </c>
      <c r="N171" s="195">
        <f>+Elementos_[[#This Row],[Cantidad 
LDV]]*Elementos_[[#This Row],[Valor de referencia]]</f>
        <v>0</v>
      </c>
      <c r="O171" s="166"/>
      <c r="P171" s="159">
        <f>+Elementos_[[#This Row],[Cantidad LNDV]]*Elementos_[[#This Row],[Valor de referencia]]</f>
        <v>0</v>
      </c>
      <c r="Q171" s="196"/>
      <c r="R171" s="159">
        <f>+Elementos_[[#This Row],[GGCA]]*Elementos_[[#This Row],[Valor de referencia]]</f>
        <v>0</v>
      </c>
      <c r="S171" s="166"/>
      <c r="T171" s="159">
        <f>+Elementos_[[#This Row],[Cantidad LDF]]*Elementos_[[#This Row],[Valor de referencia]]</f>
        <v>0</v>
      </c>
      <c r="U171" s="197">
        <v>1</v>
      </c>
      <c r="V171" s="159">
        <f>+Elementos_[[#This Row],[Cantidad LDF&amp;MR]]*Elementos_[[#This Row],[Valor de referencia]]</f>
        <v>68720</v>
      </c>
      <c r="W171" s="166"/>
      <c r="X171" s="159">
        <f>+Elementos_[[#This Row],[Cantidad RED LASE]]*Elementos_[[#This Row],[Valor de referencia]]</f>
        <v>0</v>
      </c>
      <c r="Y171" s="196"/>
      <c r="Z171" s="159">
        <f>+Elementos_[[#This Row],[Cantidad LANIA]]*Elementos_[[#This Row],[Valor de referencia]]</f>
        <v>0</v>
      </c>
      <c r="AA171" s="196"/>
      <c r="AB171" s="159">
        <f>+Elementos_[[#This Row],[Cantidad SPA]]*Elementos_[[#This Row],[Valor de referencia]]</f>
        <v>0</v>
      </c>
      <c r="AC171" s="166" t="s">
        <v>2049</v>
      </c>
    </row>
    <row r="172" spans="1:29" ht="36" x14ac:dyDescent="0.2">
      <c r="A172" s="294" t="str">
        <f>IF(B172=Elementos_[[#This Row],[Cantidad LANIP]],"LANIP",IF(B172=Elementos_[[#This Row],[Cantidad 
LDV]],"LDV",IF(B172=Elementos_[[#This Row],[Cantidad LNDV]],"LNDV",IF(B172=Elementos_[[#This Row],[GGCA]],"GGCA",IF(B172=Elementos_[[#This Row],[Cantidad LDF]],"LDF",IF(B172=Elementos_[[#This Row],[Cantidad LDF&amp;MR]],"LDF&amp;MR",IF(B172=Elementos_[[#This Row],[Cantidad RED LASE]],"LASE",IF(B172=Elementos_[[#This Row],[Cantidad LANIA]],"LANIA",IF(B172=Elementos_[[#This Row],[Cantidad SPA]],"SPA"," ")))))))))</f>
        <v>LDF&amp;MR</v>
      </c>
      <c r="B17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172" s="298">
        <v>170</v>
      </c>
      <c r="D172" s="190">
        <v>241</v>
      </c>
      <c r="E172" s="273" t="s">
        <v>2320</v>
      </c>
      <c r="F172" s="201" t="s">
        <v>2321</v>
      </c>
      <c r="G172" s="192" t="s">
        <v>1391</v>
      </c>
      <c r="H17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19</v>
      </c>
      <c r="I172" s="194">
        <v>68096</v>
      </c>
      <c r="J172" s="194">
        <f>+Elementos_[[#This Row],[Valor de referencia]]*Elementos_[[#This Row],[Cantidad]]</f>
        <v>1293824</v>
      </c>
      <c r="K172" s="166"/>
      <c r="L172" s="159">
        <f>+Elementos_[[#This Row],[Cantidad LANIP]]*Elementos_[[#This Row],[Valor de referencia]]</f>
        <v>0</v>
      </c>
      <c r="M172" s="270">
        <v>4</v>
      </c>
      <c r="N172" s="195">
        <f>+Elementos_[[#This Row],[Cantidad 
LDV]]*Elementos_[[#This Row],[Valor de referencia]]</f>
        <v>272384</v>
      </c>
      <c r="O172" s="166"/>
      <c r="P172" s="159">
        <f>+Elementos_[[#This Row],[Cantidad LNDV]]*Elementos_[[#This Row],[Valor de referencia]]</f>
        <v>0</v>
      </c>
      <c r="Q172" s="196"/>
      <c r="R172" s="159">
        <f>+Elementos_[[#This Row],[GGCA]]*Elementos_[[#This Row],[Valor de referencia]]</f>
        <v>0</v>
      </c>
      <c r="S172" s="166"/>
      <c r="T172" s="159">
        <f>+Elementos_[[#This Row],[Cantidad LDF]]*Elementos_[[#This Row],[Valor de referencia]]</f>
        <v>0</v>
      </c>
      <c r="U172" s="197">
        <v>15</v>
      </c>
      <c r="V172" s="159">
        <f>+Elementos_[[#This Row],[Cantidad LDF&amp;MR]]*Elementos_[[#This Row],[Valor de referencia]]</f>
        <v>1021440</v>
      </c>
      <c r="W172" s="166"/>
      <c r="X172" s="159">
        <f>+Elementos_[[#This Row],[Cantidad RED LASE]]*Elementos_[[#This Row],[Valor de referencia]]</f>
        <v>0</v>
      </c>
      <c r="Y172" s="196"/>
      <c r="Z172" s="159">
        <f>+Elementos_[[#This Row],[Cantidad LANIA]]*Elementos_[[#This Row],[Valor de referencia]]</f>
        <v>0</v>
      </c>
      <c r="AA172" s="196"/>
      <c r="AB172" s="159">
        <f>+Elementos_[[#This Row],[Cantidad SPA]]*Elementos_[[#This Row],[Valor de referencia]]</f>
        <v>0</v>
      </c>
      <c r="AC172" s="166" t="s">
        <v>2049</v>
      </c>
    </row>
    <row r="173" spans="1:29" ht="36" x14ac:dyDescent="0.2">
      <c r="A173" s="294" t="str">
        <f>IF(B173=Elementos_[[#This Row],[Cantidad LANIP]],"LANIP",IF(B173=Elementos_[[#This Row],[Cantidad 
LDV]],"LDV",IF(B173=Elementos_[[#This Row],[Cantidad LNDV]],"LNDV",IF(B173=Elementos_[[#This Row],[GGCA]],"GGCA",IF(B173=Elementos_[[#This Row],[Cantidad LDF]],"LDF",IF(B173=Elementos_[[#This Row],[Cantidad LDF&amp;MR]],"LDF&amp;MR",IF(B173=Elementos_[[#This Row],[Cantidad RED LASE]],"LASE",IF(B173=Elementos_[[#This Row],[Cantidad LANIA]],"LANIA",IF(B173=Elementos_[[#This Row],[Cantidad SPA]],"SPA"," ")))))))))</f>
        <v>LDF&amp;MR</v>
      </c>
      <c r="B17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173" s="298">
        <v>171</v>
      </c>
      <c r="D173" s="190">
        <v>242</v>
      </c>
      <c r="E173" s="273" t="s">
        <v>2322</v>
      </c>
      <c r="F173" s="201" t="s">
        <v>2323</v>
      </c>
      <c r="G173" s="192" t="s">
        <v>1391</v>
      </c>
      <c r="H17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46</v>
      </c>
      <c r="I173" s="194">
        <v>69439</v>
      </c>
      <c r="J173" s="194">
        <f>+Elementos_[[#This Row],[Valor de referencia]]*Elementos_[[#This Row],[Cantidad]]</f>
        <v>3194194</v>
      </c>
      <c r="K173" s="166"/>
      <c r="L173" s="159">
        <f>+Elementos_[[#This Row],[Cantidad LANIP]]*Elementos_[[#This Row],[Valor de referencia]]</f>
        <v>0</v>
      </c>
      <c r="M173" s="270">
        <v>2</v>
      </c>
      <c r="N173" s="195">
        <f>+Elementos_[[#This Row],[Cantidad 
LDV]]*Elementos_[[#This Row],[Valor de referencia]]</f>
        <v>138878</v>
      </c>
      <c r="O173" s="166">
        <v>10</v>
      </c>
      <c r="P173" s="159">
        <f>+Elementos_[[#This Row],[Cantidad LNDV]]*Elementos_[[#This Row],[Valor de referencia]]</f>
        <v>694390</v>
      </c>
      <c r="Q173" s="196"/>
      <c r="R173" s="159">
        <f>+Elementos_[[#This Row],[GGCA]]*Elementos_[[#This Row],[Valor de referencia]]</f>
        <v>0</v>
      </c>
      <c r="S173" s="166">
        <v>14</v>
      </c>
      <c r="T173" s="159">
        <f>+Elementos_[[#This Row],[Cantidad LDF]]*Elementos_[[#This Row],[Valor de referencia]]</f>
        <v>972146</v>
      </c>
      <c r="U173" s="197">
        <v>20</v>
      </c>
      <c r="V173" s="159">
        <f>+Elementos_[[#This Row],[Cantidad LDF&amp;MR]]*Elementos_[[#This Row],[Valor de referencia]]</f>
        <v>1388780</v>
      </c>
      <c r="W173" s="166"/>
      <c r="X173" s="159">
        <f>+Elementos_[[#This Row],[Cantidad RED LASE]]*Elementos_[[#This Row],[Valor de referencia]]</f>
        <v>0</v>
      </c>
      <c r="Y173" s="196"/>
      <c r="Z173" s="159">
        <f>+Elementos_[[#This Row],[Cantidad LANIA]]*Elementos_[[#This Row],[Valor de referencia]]</f>
        <v>0</v>
      </c>
      <c r="AA173" s="196"/>
      <c r="AB173" s="159">
        <f>+Elementos_[[#This Row],[Cantidad SPA]]*Elementos_[[#This Row],[Valor de referencia]]</f>
        <v>0</v>
      </c>
      <c r="AC173" s="166" t="s">
        <v>2049</v>
      </c>
    </row>
    <row r="174" spans="1:29" ht="36" x14ac:dyDescent="0.2">
      <c r="A174" s="294" t="str">
        <f>IF(B174=Elementos_[[#This Row],[Cantidad LANIP]],"LANIP",IF(B174=Elementos_[[#This Row],[Cantidad 
LDV]],"LDV",IF(B174=Elementos_[[#This Row],[Cantidad LNDV]],"LNDV",IF(B174=Elementos_[[#This Row],[GGCA]],"GGCA",IF(B174=Elementos_[[#This Row],[Cantidad LDF]],"LDF",IF(B174=Elementos_[[#This Row],[Cantidad LDF&amp;MR]],"LDF&amp;MR",IF(B174=Elementos_[[#This Row],[Cantidad RED LASE]],"LASE",IF(B174=Elementos_[[#This Row],[Cantidad LANIA]],"LANIA",IF(B174=Elementos_[[#This Row],[Cantidad SPA]],"SPA"," ")))))))))</f>
        <v>LDF</v>
      </c>
      <c r="B17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v>
      </c>
      <c r="C174" s="298">
        <v>172</v>
      </c>
      <c r="D174" s="190">
        <v>243</v>
      </c>
      <c r="E174" s="273" t="s">
        <v>2324</v>
      </c>
      <c r="F174" s="201" t="s">
        <v>2325</v>
      </c>
      <c r="G174" s="192" t="s">
        <v>1391</v>
      </c>
      <c r="H17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117</v>
      </c>
      <c r="I174" s="194">
        <v>69207</v>
      </c>
      <c r="J174" s="194">
        <f>+Elementos_[[#This Row],[Valor de referencia]]*Elementos_[[#This Row],[Cantidad]]</f>
        <v>8097219</v>
      </c>
      <c r="K174" s="166"/>
      <c r="L174" s="159">
        <f>+Elementos_[[#This Row],[Cantidad LANIP]]*Elementos_[[#This Row],[Valor de referencia]]</f>
        <v>0</v>
      </c>
      <c r="M174" s="270">
        <v>0</v>
      </c>
      <c r="N174" s="195">
        <f>+Elementos_[[#This Row],[Cantidad 
LDV]]*Elementos_[[#This Row],[Valor de referencia]]</f>
        <v>0</v>
      </c>
      <c r="O174" s="166">
        <v>5</v>
      </c>
      <c r="P174" s="159">
        <f>+Elementos_[[#This Row],[Cantidad LNDV]]*Elementos_[[#This Row],[Valor de referencia]]</f>
        <v>346035</v>
      </c>
      <c r="Q174" s="196"/>
      <c r="R174" s="159">
        <f>+Elementos_[[#This Row],[GGCA]]*Elementos_[[#This Row],[Valor de referencia]]</f>
        <v>0</v>
      </c>
      <c r="S174" s="166">
        <v>60</v>
      </c>
      <c r="T174" s="194">
        <f>+Elementos_[[#This Row],[Cantidad LDF]]*Elementos_[[#This Row],[Valor de referencia]]</f>
        <v>4152420</v>
      </c>
      <c r="U174" s="197">
        <v>20</v>
      </c>
      <c r="V174" s="194">
        <f>+Elementos_[[#This Row],[Cantidad LDF&amp;MR]]*Elementos_[[#This Row],[Valor de referencia]]</f>
        <v>1384140</v>
      </c>
      <c r="W174" s="166"/>
      <c r="X174" s="194">
        <f>+Elementos_[[#This Row],[Cantidad RED LASE]]*Elementos_[[#This Row],[Valor de referencia]]</f>
        <v>0</v>
      </c>
      <c r="Y174" s="196"/>
      <c r="Z174" s="194">
        <f>+Elementos_[[#This Row],[Cantidad LANIA]]*Elementos_[[#This Row],[Valor de referencia]]</f>
        <v>0</v>
      </c>
      <c r="AA174" s="196">
        <v>32</v>
      </c>
      <c r="AB174" s="194">
        <f>+Elementos_[[#This Row],[Cantidad SPA]]*Elementos_[[#This Row],[Valor de referencia]]</f>
        <v>2214624</v>
      </c>
      <c r="AC174" s="166" t="s">
        <v>2049</v>
      </c>
    </row>
    <row r="175" spans="1:29" ht="36" x14ac:dyDescent="0.2">
      <c r="A175" s="294" t="str">
        <f>IF(B175=Elementos_[[#This Row],[Cantidad LANIP]],"LANIP",IF(B175=Elementos_[[#This Row],[Cantidad 
LDV]],"LDV",IF(B175=Elementos_[[#This Row],[Cantidad LNDV]],"LNDV",IF(B175=Elementos_[[#This Row],[GGCA]],"GGCA",IF(B175=Elementos_[[#This Row],[Cantidad LDF]],"LDF",IF(B175=Elementos_[[#This Row],[Cantidad LDF&amp;MR]],"LDF&amp;MR",IF(B175=Elementos_[[#This Row],[Cantidad RED LASE]],"LASE",IF(B175=Elementos_[[#This Row],[Cantidad LANIA]],"LANIA",IF(B175=Elementos_[[#This Row],[Cantidad SPA]],"SPA"," ")))))))))</f>
        <v>LNDV</v>
      </c>
      <c r="B17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175" s="298">
        <v>173</v>
      </c>
      <c r="D175" s="190">
        <v>244</v>
      </c>
      <c r="E175" s="273" t="s">
        <v>2326</v>
      </c>
      <c r="F175" s="201" t="s">
        <v>2327</v>
      </c>
      <c r="G175" s="192" t="s">
        <v>2328</v>
      </c>
      <c r="H17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175" s="194">
        <v>1620988</v>
      </c>
      <c r="J175" s="194">
        <f>+Elementos_[[#This Row],[Valor de referencia]]*Elementos_[[#This Row],[Cantidad]]</f>
        <v>19451856</v>
      </c>
      <c r="K175" s="166"/>
      <c r="L175" s="159">
        <f>+Elementos_[[#This Row],[Cantidad LANIP]]*Elementos_[[#This Row],[Valor de referencia]]</f>
        <v>0</v>
      </c>
      <c r="M175" s="270">
        <v>0</v>
      </c>
      <c r="N175" s="195">
        <f>+Elementos_[[#This Row],[Cantidad 
LDV]]*Elementos_[[#This Row],[Valor de referencia]]</f>
        <v>0</v>
      </c>
      <c r="O175" s="166">
        <v>12</v>
      </c>
      <c r="P175" s="159">
        <f>+Elementos_[[#This Row],[Cantidad LNDV]]*Elementos_[[#This Row],[Valor de referencia]]</f>
        <v>19451856</v>
      </c>
      <c r="Q175" s="196"/>
      <c r="R175" s="159">
        <f>+Elementos_[[#This Row],[GGCA]]*Elementos_[[#This Row],[Valor de referencia]]</f>
        <v>0</v>
      </c>
      <c r="S175" s="166"/>
      <c r="T175" s="159">
        <f>+Elementos_[[#This Row],[Cantidad LDF]]*Elementos_[[#This Row],[Valor de referencia]]</f>
        <v>0</v>
      </c>
      <c r="U175" s="197"/>
      <c r="V175" s="159">
        <f>+Elementos_[[#This Row],[Cantidad LDF&amp;MR]]*Elementos_[[#This Row],[Valor de referencia]]</f>
        <v>0</v>
      </c>
      <c r="W175" s="166"/>
      <c r="X175" s="159">
        <f>+Elementos_[[#This Row],[Cantidad RED LASE]]*Elementos_[[#This Row],[Valor de referencia]]</f>
        <v>0</v>
      </c>
      <c r="Y175" s="196"/>
      <c r="Z175" s="159">
        <f>+Elementos_[[#This Row],[Cantidad LANIA]]*Elementos_[[#This Row],[Valor de referencia]]</f>
        <v>0</v>
      </c>
      <c r="AA175" s="196"/>
      <c r="AB175" s="159">
        <f>+Elementos_[[#This Row],[Cantidad SPA]]*Elementos_[[#This Row],[Valor de referencia]]</f>
        <v>0</v>
      </c>
      <c r="AC175" s="166" t="s">
        <v>2041</v>
      </c>
    </row>
    <row r="176" spans="1:29" ht="36" x14ac:dyDescent="0.2">
      <c r="A176" s="294" t="str">
        <f>IF(B176=Elementos_[[#This Row],[Cantidad LANIP]],"LANIP",IF(B176=Elementos_[[#This Row],[Cantidad 
LDV]],"LDV",IF(B176=Elementos_[[#This Row],[Cantidad LNDV]],"LNDV",IF(B176=Elementos_[[#This Row],[GGCA]],"GGCA",IF(B176=Elementos_[[#This Row],[Cantidad LDF]],"LDF",IF(B176=Elementos_[[#This Row],[Cantidad LDF&amp;MR]],"LDF&amp;MR",IF(B176=Elementos_[[#This Row],[Cantidad RED LASE]],"LASE",IF(B176=Elementos_[[#This Row],[Cantidad LANIA]],"LANIA",IF(B176=Elementos_[[#This Row],[Cantidad SPA]],"SPA"," ")))))))))</f>
        <v>SPA</v>
      </c>
      <c r="B17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v>
      </c>
      <c r="C176" s="298">
        <v>174</v>
      </c>
      <c r="D176" s="190">
        <v>245</v>
      </c>
      <c r="E176" s="273" t="s">
        <v>2329</v>
      </c>
      <c r="F176" s="201" t="s">
        <v>2330</v>
      </c>
      <c r="G176" s="202" t="s">
        <v>525</v>
      </c>
      <c r="H17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65</v>
      </c>
      <c r="I176" s="194">
        <v>161483</v>
      </c>
      <c r="J176" s="194">
        <f>+Elementos_[[#This Row],[Valor de referencia]]*Elementos_[[#This Row],[Cantidad]]</f>
        <v>10496395</v>
      </c>
      <c r="K176" s="166"/>
      <c r="L176" s="159">
        <f>+Elementos_[[#This Row],[Cantidad LANIP]]*Elementos_[[#This Row],[Valor de referencia]]</f>
        <v>0</v>
      </c>
      <c r="M176" s="270">
        <v>2</v>
      </c>
      <c r="N176" s="195">
        <f>+Elementos_[[#This Row],[Cantidad 
LDV]]*Elementos_[[#This Row],[Valor de referencia]]</f>
        <v>322966</v>
      </c>
      <c r="O176" s="166"/>
      <c r="P176" s="159">
        <f>+Elementos_[[#This Row],[Cantidad LNDV]]*Elementos_[[#This Row],[Valor de referencia]]</f>
        <v>0</v>
      </c>
      <c r="Q176" s="196"/>
      <c r="R176" s="159">
        <f>+Elementos_[[#This Row],[GGCA]]*Elementos_[[#This Row],[Valor de referencia]]</f>
        <v>0</v>
      </c>
      <c r="S176" s="166">
        <v>2</v>
      </c>
      <c r="T176" s="194">
        <f>+Elementos_[[#This Row],[Cantidad LDF]]*Elementos_[[#This Row],[Valor de referencia]]</f>
        <v>322966</v>
      </c>
      <c r="U176" s="197">
        <v>1</v>
      </c>
      <c r="V176" s="194">
        <f>+Elementos_[[#This Row],[Cantidad LDF&amp;MR]]*Elementos_[[#This Row],[Valor de referencia]]</f>
        <v>161483</v>
      </c>
      <c r="W176" s="166"/>
      <c r="X176" s="194">
        <f>+Elementos_[[#This Row],[Cantidad RED LASE]]*Elementos_[[#This Row],[Valor de referencia]]</f>
        <v>0</v>
      </c>
      <c r="Y176" s="196"/>
      <c r="Z176" s="194">
        <f>+Elementos_[[#This Row],[Cantidad LANIA]]*Elementos_[[#This Row],[Valor de referencia]]</f>
        <v>0</v>
      </c>
      <c r="AA176" s="196">
        <v>60</v>
      </c>
      <c r="AB176" s="194">
        <f>+Elementos_[[#This Row],[Cantidad SPA]]*Elementos_[[#This Row],[Valor de referencia]]</f>
        <v>9688980</v>
      </c>
      <c r="AC176" s="166" t="s">
        <v>2049</v>
      </c>
    </row>
    <row r="177" spans="1:29" ht="24" x14ac:dyDescent="0.2">
      <c r="A177" s="294" t="str">
        <f>IF(B177=Elementos_[[#This Row],[Cantidad LANIP]],"LANIP",IF(B177=Elementos_[[#This Row],[Cantidad 
LDV]],"LDV",IF(B177=Elementos_[[#This Row],[Cantidad LNDV]],"LNDV",IF(B177=Elementos_[[#This Row],[GGCA]],"GGCA",IF(B177=Elementos_[[#This Row],[Cantidad LDF]],"LDF",IF(B177=Elementos_[[#This Row],[Cantidad LDF&amp;MR]],"LDF&amp;MR",IF(B177=Elementos_[[#This Row],[Cantidad RED LASE]],"LASE",IF(B177=Elementos_[[#This Row],[Cantidad LANIA]],"LANIA",IF(B177=Elementos_[[#This Row],[Cantidad SPA]],"SPA"," ")))))))))</f>
        <v>LDF</v>
      </c>
      <c r="B17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77" s="298">
        <v>175</v>
      </c>
      <c r="D177" s="190">
        <v>246</v>
      </c>
      <c r="E177" s="277" t="s">
        <v>2331</v>
      </c>
      <c r="F177" s="204" t="s">
        <v>2332</v>
      </c>
      <c r="G177" s="192" t="s">
        <v>525</v>
      </c>
      <c r="H17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177" s="194">
        <v>85365</v>
      </c>
      <c r="J177" s="194">
        <f>+Elementos_[[#This Row],[Valor de referencia]]*Elementos_[[#This Row],[Cantidad]]</f>
        <v>170730</v>
      </c>
      <c r="K177" s="166"/>
      <c r="L177" s="159">
        <f>+Elementos_[[#This Row],[Cantidad LANIP]]*Elementos_[[#This Row],[Valor de referencia]]</f>
        <v>0</v>
      </c>
      <c r="M177" s="270">
        <v>0</v>
      </c>
      <c r="N177" s="195">
        <f>+Elementos_[[#This Row],[Cantidad 
LDV]]*Elementos_[[#This Row],[Valor de referencia]]</f>
        <v>0</v>
      </c>
      <c r="O177" s="166"/>
      <c r="P177" s="159">
        <f>+Elementos_[[#This Row],[Cantidad LNDV]]*Elementos_[[#This Row],[Valor de referencia]]</f>
        <v>0</v>
      </c>
      <c r="Q177" s="196"/>
      <c r="R177" s="159">
        <f>+Elementos_[[#This Row],[GGCA]]*Elementos_[[#This Row],[Valor de referencia]]</f>
        <v>0</v>
      </c>
      <c r="S177" s="166">
        <v>2</v>
      </c>
      <c r="T177" s="159">
        <f>+Elementos_[[#This Row],[Cantidad LDF]]*Elementos_[[#This Row],[Valor de referencia]]</f>
        <v>170730</v>
      </c>
      <c r="U177" s="197"/>
      <c r="V177" s="159">
        <f>+Elementos_[[#This Row],[Cantidad LDF&amp;MR]]*Elementos_[[#This Row],[Valor de referencia]]</f>
        <v>0</v>
      </c>
      <c r="W177" s="166"/>
      <c r="X177" s="159">
        <f>+Elementos_[[#This Row],[Cantidad RED LASE]]*Elementos_[[#This Row],[Valor de referencia]]</f>
        <v>0</v>
      </c>
      <c r="Y177" s="196"/>
      <c r="Z177" s="159">
        <f>+Elementos_[[#This Row],[Cantidad LANIA]]*Elementos_[[#This Row],[Valor de referencia]]</f>
        <v>0</v>
      </c>
      <c r="AA177" s="196"/>
      <c r="AB177" s="159">
        <f>+Elementos_[[#This Row],[Cantidad SPA]]*Elementos_[[#This Row],[Valor de referencia]]</f>
        <v>0</v>
      </c>
      <c r="AC177" s="166" t="s">
        <v>2049</v>
      </c>
    </row>
    <row r="178" spans="1:29" ht="24" x14ac:dyDescent="0.2">
      <c r="A178" s="294" t="str">
        <f>IF(B178=Elementos_[[#This Row],[Cantidad LANIP]],"LANIP",IF(B178=Elementos_[[#This Row],[Cantidad 
LDV]],"LDV",IF(B178=Elementos_[[#This Row],[Cantidad LNDV]],"LNDV",IF(B178=Elementos_[[#This Row],[GGCA]],"GGCA",IF(B178=Elementos_[[#This Row],[Cantidad LDF]],"LDF",IF(B178=Elementos_[[#This Row],[Cantidad LDF&amp;MR]],"LDF&amp;MR",IF(B178=Elementos_[[#This Row],[Cantidad RED LASE]],"LASE",IF(B178=Elementos_[[#This Row],[Cantidad LANIA]],"LANIA",IF(B178=Elementos_[[#This Row],[Cantidad SPA]],"SPA"," ")))))))))</f>
        <v>LDV</v>
      </c>
      <c r="B17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78" s="298">
        <v>176</v>
      </c>
      <c r="D178" s="190">
        <v>247</v>
      </c>
      <c r="E178" s="273" t="s">
        <v>2333</v>
      </c>
      <c r="F178" s="201" t="s">
        <v>2332</v>
      </c>
      <c r="G178" s="192" t="s">
        <v>525</v>
      </c>
      <c r="H17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178" s="194">
        <v>142800</v>
      </c>
      <c r="J178" s="194">
        <f>+Elementos_[[#This Row],[Valor de referencia]]*Elementos_[[#This Row],[Cantidad]]</f>
        <v>571200</v>
      </c>
      <c r="K178" s="166"/>
      <c r="L178" s="159">
        <f>+Elementos_[[#This Row],[Cantidad LANIP]]*Elementos_[[#This Row],[Valor de referencia]]</f>
        <v>0</v>
      </c>
      <c r="M178" s="270">
        <v>2</v>
      </c>
      <c r="N178" s="195">
        <f>+Elementos_[[#This Row],[Cantidad 
LDV]]*Elementos_[[#This Row],[Valor de referencia]]</f>
        <v>285600</v>
      </c>
      <c r="O178" s="166"/>
      <c r="P178" s="159">
        <f>+Elementos_[[#This Row],[Cantidad LNDV]]*Elementos_[[#This Row],[Valor de referencia]]</f>
        <v>0</v>
      </c>
      <c r="Q178" s="196"/>
      <c r="R178" s="159">
        <f>+Elementos_[[#This Row],[GGCA]]*Elementos_[[#This Row],[Valor de referencia]]</f>
        <v>0</v>
      </c>
      <c r="S178" s="166">
        <v>2</v>
      </c>
      <c r="T178" s="159">
        <f>+Elementos_[[#This Row],[Cantidad LDF]]*Elementos_[[#This Row],[Valor de referencia]]</f>
        <v>285600</v>
      </c>
      <c r="U178" s="197"/>
      <c r="V178" s="159">
        <f>+Elementos_[[#This Row],[Cantidad LDF&amp;MR]]*Elementos_[[#This Row],[Valor de referencia]]</f>
        <v>0</v>
      </c>
      <c r="W178" s="166"/>
      <c r="X178" s="159">
        <f>+Elementos_[[#This Row],[Cantidad RED LASE]]*Elementos_[[#This Row],[Valor de referencia]]</f>
        <v>0</v>
      </c>
      <c r="Y178" s="196"/>
      <c r="Z178" s="159">
        <f>+Elementos_[[#This Row],[Cantidad LANIA]]*Elementos_[[#This Row],[Valor de referencia]]</f>
        <v>0</v>
      </c>
      <c r="AA178" s="196"/>
      <c r="AB178" s="159">
        <f>+Elementos_[[#This Row],[Cantidad SPA]]*Elementos_[[#This Row],[Valor de referencia]]</f>
        <v>0</v>
      </c>
      <c r="AC178" s="166" t="s">
        <v>2049</v>
      </c>
    </row>
    <row r="179" spans="1:29" ht="24" x14ac:dyDescent="0.2">
      <c r="A179" s="294" t="str">
        <f>IF(B179=Elementos_[[#This Row],[Cantidad LANIP]],"LANIP",IF(B179=Elementos_[[#This Row],[Cantidad 
LDV]],"LDV",IF(B179=Elementos_[[#This Row],[Cantidad LNDV]],"LNDV",IF(B179=Elementos_[[#This Row],[GGCA]],"GGCA",IF(B179=Elementos_[[#This Row],[Cantidad LDF]],"LDF",IF(B179=Elementos_[[#This Row],[Cantidad LDF&amp;MR]],"LDF&amp;MR",IF(B179=Elementos_[[#This Row],[Cantidad RED LASE]],"LASE",IF(B179=Elementos_[[#This Row],[Cantidad LANIA]],"LANIA",IF(B179=Elementos_[[#This Row],[Cantidad SPA]],"SPA"," ")))))))))</f>
        <v>LDF</v>
      </c>
      <c r="B17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179" s="298">
        <v>177</v>
      </c>
      <c r="D179" s="190">
        <v>249</v>
      </c>
      <c r="E179" s="273" t="s">
        <v>2334</v>
      </c>
      <c r="F179" s="204" t="s">
        <v>624</v>
      </c>
      <c r="G179" s="192" t="s">
        <v>525</v>
      </c>
      <c r="H17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179" s="194">
        <v>234787</v>
      </c>
      <c r="J179" s="194">
        <f>+Elementos_[[#This Row],[Valor de referencia]]*Elementos_[[#This Row],[Cantidad]]</f>
        <v>1173935</v>
      </c>
      <c r="K179" s="166"/>
      <c r="L179" s="159">
        <f>+Elementos_[[#This Row],[Cantidad LANIP]]*Elementos_[[#This Row],[Valor de referencia]]</f>
        <v>0</v>
      </c>
      <c r="M179" s="270">
        <v>0</v>
      </c>
      <c r="N179" s="195">
        <f>+Elementos_[[#This Row],[Cantidad 
LDV]]*Elementos_[[#This Row],[Valor de referencia]]</f>
        <v>0</v>
      </c>
      <c r="O179" s="166"/>
      <c r="P179" s="159">
        <f>+Elementos_[[#This Row],[Cantidad LNDV]]*Elementos_[[#This Row],[Valor de referencia]]</f>
        <v>0</v>
      </c>
      <c r="Q179" s="196"/>
      <c r="R179" s="159">
        <f>+Elementos_[[#This Row],[GGCA]]*Elementos_[[#This Row],[Valor de referencia]]</f>
        <v>0</v>
      </c>
      <c r="S179" s="166">
        <v>5</v>
      </c>
      <c r="T179" s="159">
        <f>+Elementos_[[#This Row],[Cantidad LDF]]*Elementos_[[#This Row],[Valor de referencia]]</f>
        <v>1173935</v>
      </c>
      <c r="U179" s="197"/>
      <c r="V179" s="159">
        <f>+Elementos_[[#This Row],[Cantidad LDF&amp;MR]]*Elementos_[[#This Row],[Valor de referencia]]</f>
        <v>0</v>
      </c>
      <c r="W179" s="166"/>
      <c r="X179" s="159">
        <f>+Elementos_[[#This Row],[Cantidad RED LASE]]*Elementos_[[#This Row],[Valor de referencia]]</f>
        <v>0</v>
      </c>
      <c r="Y179" s="196"/>
      <c r="Z179" s="159">
        <f>+Elementos_[[#This Row],[Cantidad LANIA]]*Elementos_[[#This Row],[Valor de referencia]]</f>
        <v>0</v>
      </c>
      <c r="AA179" s="196"/>
      <c r="AB179" s="159">
        <f>+Elementos_[[#This Row],[Cantidad SPA]]*Elementos_[[#This Row],[Valor de referencia]]</f>
        <v>0</v>
      </c>
      <c r="AC179" s="166" t="s">
        <v>2049</v>
      </c>
    </row>
    <row r="180" spans="1:29" s="122" customFormat="1" ht="132" x14ac:dyDescent="0.25">
      <c r="A180" s="294" t="str">
        <f>IF(B180=Elementos_[[#This Row],[Cantidad LANIP]],"LANIP",IF(B180=Elementos_[[#This Row],[Cantidad 
LDV]],"LDV",IF(B180=Elementos_[[#This Row],[Cantidad LNDV]],"LNDV",IF(B180=Elementos_[[#This Row],[GGCA]],"GGCA",IF(B180=Elementos_[[#This Row],[Cantidad LDF]],"LDF",IF(B180=Elementos_[[#This Row],[Cantidad LDF&amp;MR]],"LDF&amp;MR",IF(B180=Elementos_[[#This Row],[Cantidad RED LASE]],"LASE",IF(B180=Elementos_[[#This Row],[Cantidad LANIA]],"LANIA",IF(B180=Elementos_[[#This Row],[Cantidad SPA]],"SPA"," ")))))))))</f>
        <v>LANIP</v>
      </c>
      <c r="B18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80" s="298">
        <v>178</v>
      </c>
      <c r="D180" s="190">
        <v>250</v>
      </c>
      <c r="E180" s="273" t="s">
        <v>2335</v>
      </c>
      <c r="F180" s="201" t="s">
        <v>2336</v>
      </c>
      <c r="G180" s="202" t="s">
        <v>525</v>
      </c>
      <c r="H18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180" s="194">
        <v>3221568</v>
      </c>
      <c r="J180" s="194">
        <f>+Elementos_[[#This Row],[Valor de referencia]]*Elementos_[[#This Row],[Cantidad]]</f>
        <v>25772544</v>
      </c>
      <c r="K180" s="166">
        <v>4</v>
      </c>
      <c r="L180" s="194">
        <f>+Elementos_[[#This Row],[Cantidad LANIP]]*Elementos_[[#This Row],[Valor de referencia]]</f>
        <v>12886272</v>
      </c>
      <c r="M180" s="270">
        <v>0</v>
      </c>
      <c r="N180" s="195">
        <f>+Elementos_[[#This Row],[Cantidad 
LDV]]*Elementos_[[#This Row],[Valor de referencia]]</f>
        <v>0</v>
      </c>
      <c r="O180" s="166">
        <v>1</v>
      </c>
      <c r="P180" s="194">
        <f>+Elementos_[[#This Row],[Cantidad LNDV]]*Elementos_[[#This Row],[Valor de referencia]]</f>
        <v>3221568</v>
      </c>
      <c r="Q180" s="196"/>
      <c r="R180" s="194">
        <f>+Elementos_[[#This Row],[GGCA]]*Elementos_[[#This Row],[Valor de referencia]]</f>
        <v>0</v>
      </c>
      <c r="S180" s="166"/>
      <c r="T180" s="194">
        <f>+Elementos_[[#This Row],[Cantidad LDF]]*Elementos_[[#This Row],[Valor de referencia]]</f>
        <v>0</v>
      </c>
      <c r="U180" s="197">
        <v>2</v>
      </c>
      <c r="V180" s="194">
        <f>+Elementos_[[#This Row],[Cantidad LDF&amp;MR]]*Elementos_[[#This Row],[Valor de referencia]]</f>
        <v>6443136</v>
      </c>
      <c r="W180" s="166"/>
      <c r="X180" s="194">
        <f>+Elementos_[[#This Row],[Cantidad RED LASE]]*Elementos_[[#This Row],[Valor de referencia]]</f>
        <v>0</v>
      </c>
      <c r="Y180" s="196">
        <v>1</v>
      </c>
      <c r="Z180" s="194">
        <f>+Elementos_[[#This Row],[Cantidad LANIA]]*Elementos_[[#This Row],[Valor de referencia]]</f>
        <v>3221568</v>
      </c>
      <c r="AA180" s="196"/>
      <c r="AB180" s="194">
        <f>+Elementos_[[#This Row],[Cantidad SPA]]*Elementos_[[#This Row],[Valor de referencia]]</f>
        <v>0</v>
      </c>
      <c r="AC180" s="166" t="s">
        <v>2041</v>
      </c>
    </row>
    <row r="181" spans="1:29" ht="48.75" customHeight="1" x14ac:dyDescent="0.2">
      <c r="A181" s="294" t="str">
        <f>IF(B181=Elementos_[[#This Row],[Cantidad LANIP]],"LANIP",IF(B181=Elementos_[[#This Row],[Cantidad 
LDV]],"LDV",IF(B181=Elementos_[[#This Row],[Cantidad LNDV]],"LNDV",IF(B181=Elementos_[[#This Row],[GGCA]],"GGCA",IF(B181=Elementos_[[#This Row],[Cantidad LDF]],"LDF",IF(B181=Elementos_[[#This Row],[Cantidad LDF&amp;MR]],"LDF&amp;MR",IF(B181=Elementos_[[#This Row],[Cantidad RED LASE]],"LASE",IF(B181=Elementos_[[#This Row],[Cantidad LANIA]],"LANIA",IF(B181=Elementos_[[#This Row],[Cantidad SPA]],"SPA"," ")))))))))</f>
        <v>LASE</v>
      </c>
      <c r="B18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81" s="298">
        <v>179</v>
      </c>
      <c r="D181" s="190">
        <v>251</v>
      </c>
      <c r="E181" s="273" t="s">
        <v>2337</v>
      </c>
      <c r="F181" s="201" t="s">
        <v>183</v>
      </c>
      <c r="G181" s="202" t="s">
        <v>2092</v>
      </c>
      <c r="H18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181" s="194">
        <v>3451830</v>
      </c>
      <c r="J181" s="194">
        <f>+Elementos_[[#This Row],[Valor de referencia]]*Elementos_[[#This Row],[Cantidad]]</f>
        <v>10355490</v>
      </c>
      <c r="K181" s="166"/>
      <c r="L181" s="159">
        <f>+Elementos_[[#This Row],[Cantidad LANIP]]*Elementos_[[#This Row],[Valor de referencia]]</f>
        <v>0</v>
      </c>
      <c r="M181" s="270">
        <v>0</v>
      </c>
      <c r="N181" s="195">
        <f>+Elementos_[[#This Row],[Cantidad 
LDV]]*Elementos_[[#This Row],[Valor de referencia]]</f>
        <v>0</v>
      </c>
      <c r="O181" s="166"/>
      <c r="P181" s="159">
        <f>+Elementos_[[#This Row],[Cantidad LNDV]]*Elementos_[[#This Row],[Valor de referencia]]</f>
        <v>0</v>
      </c>
      <c r="Q181" s="196"/>
      <c r="R181" s="159">
        <f>+Elementos_[[#This Row],[GGCA]]*Elementos_[[#This Row],[Valor de referencia]]</f>
        <v>0</v>
      </c>
      <c r="S181" s="166"/>
      <c r="T181" s="159">
        <f>+Elementos_[[#This Row],[Cantidad LDF]]*Elementos_[[#This Row],[Valor de referencia]]</f>
        <v>0</v>
      </c>
      <c r="U181" s="197"/>
      <c r="V181" s="159">
        <f>+Elementos_[[#This Row],[Cantidad LDF&amp;MR]]*Elementos_[[#This Row],[Valor de referencia]]</f>
        <v>0</v>
      </c>
      <c r="W181" s="166">
        <v>2</v>
      </c>
      <c r="X181" s="159">
        <f>+Elementos_[[#This Row],[Cantidad RED LASE]]*Elementos_[[#This Row],[Valor de referencia]]</f>
        <v>6903660</v>
      </c>
      <c r="Y181" s="196">
        <v>1</v>
      </c>
      <c r="Z181" s="159">
        <f>+Elementos_[[#This Row],[Cantidad LANIA]]*Elementos_[[#This Row],[Valor de referencia]]</f>
        <v>3451830</v>
      </c>
      <c r="AA181" s="196"/>
      <c r="AB181" s="159">
        <f>+Elementos_[[#This Row],[Cantidad SPA]]*Elementos_[[#This Row],[Valor de referencia]]</f>
        <v>0</v>
      </c>
      <c r="AC181" s="166" t="s">
        <v>2049</v>
      </c>
    </row>
    <row r="182" spans="1:29" ht="39.75" customHeight="1" x14ac:dyDescent="0.2">
      <c r="A182" s="294" t="str">
        <f>IF(B182=Elementos_[[#This Row],[Cantidad LANIP]],"LANIP",IF(B182=Elementos_[[#This Row],[Cantidad 
LDV]],"LDV",IF(B182=Elementos_[[#This Row],[Cantidad LNDV]],"LNDV",IF(B182=Elementos_[[#This Row],[GGCA]],"GGCA",IF(B182=Elementos_[[#This Row],[Cantidad LDF]],"LDF",IF(B182=Elementos_[[#This Row],[Cantidad LDF&amp;MR]],"LDF&amp;MR",IF(B182=Elementos_[[#This Row],[Cantidad RED LASE]],"LASE",IF(B182=Elementos_[[#This Row],[Cantidad LANIA]],"LANIA",IF(B182=Elementos_[[#This Row],[Cantidad SPA]],"SPA"," ")))))))))</f>
        <v>LANIP</v>
      </c>
      <c r="B18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82" s="298">
        <v>180</v>
      </c>
      <c r="D182" s="190">
        <v>252</v>
      </c>
      <c r="E182" s="424" t="s">
        <v>2338</v>
      </c>
      <c r="F182" s="201" t="s">
        <v>2339</v>
      </c>
      <c r="G182" s="192" t="s">
        <v>525</v>
      </c>
      <c r="H18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182" s="194">
        <v>3794990</v>
      </c>
      <c r="J182" s="194">
        <f>+Elementos_[[#This Row],[Valor de referencia]]*Elementos_[[#This Row],[Cantidad]]</f>
        <v>15179960</v>
      </c>
      <c r="K182" s="166">
        <v>2</v>
      </c>
      <c r="L182" s="159">
        <f>+Elementos_[[#This Row],[Cantidad LANIP]]*Elementos_[[#This Row],[Valor de referencia]]</f>
        <v>7589980</v>
      </c>
      <c r="M182" s="270">
        <v>0</v>
      </c>
      <c r="N182" s="195">
        <f>+Elementos_[[#This Row],[Cantidad 
LDV]]*Elementos_[[#This Row],[Valor de referencia]]</f>
        <v>0</v>
      </c>
      <c r="O182" s="166"/>
      <c r="P182" s="159">
        <f>+Elementos_[[#This Row],[Cantidad LNDV]]*Elementos_[[#This Row],[Valor de referencia]]</f>
        <v>0</v>
      </c>
      <c r="Q182" s="196"/>
      <c r="R182" s="159">
        <f>+Elementos_[[#This Row],[GGCA]]*Elementos_[[#This Row],[Valor de referencia]]</f>
        <v>0</v>
      </c>
      <c r="S182" s="166"/>
      <c r="T182" s="159">
        <f>+Elementos_[[#This Row],[Cantidad LDF]]*Elementos_[[#This Row],[Valor de referencia]]</f>
        <v>0</v>
      </c>
      <c r="U182" s="197"/>
      <c r="V182" s="159">
        <f>+Elementos_[[#This Row],[Cantidad LDF&amp;MR]]*Elementos_[[#This Row],[Valor de referencia]]</f>
        <v>0</v>
      </c>
      <c r="W182" s="166"/>
      <c r="X182" s="159">
        <f>+Elementos_[[#This Row],[Cantidad RED LASE]]*Elementos_[[#This Row],[Valor de referencia]]</f>
        <v>0</v>
      </c>
      <c r="Y182" s="196">
        <v>2</v>
      </c>
      <c r="Z182" s="159">
        <f>+Elementos_[[#This Row],[Cantidad LANIA]]*Elementos_[[#This Row],[Valor de referencia]]</f>
        <v>7589980</v>
      </c>
      <c r="AA182" s="196"/>
      <c r="AB182" s="159">
        <f>+Elementos_[[#This Row],[Cantidad SPA]]*Elementos_[[#This Row],[Valor de referencia]]</f>
        <v>0</v>
      </c>
      <c r="AC182" s="166" t="s">
        <v>2041</v>
      </c>
    </row>
    <row r="183" spans="1:29" ht="60" x14ac:dyDescent="0.2">
      <c r="A183" s="294" t="str">
        <f>IF(B183=Elementos_[[#This Row],[Cantidad LANIP]],"LANIP",IF(B183=Elementos_[[#This Row],[Cantidad 
LDV]],"LDV",IF(B183=Elementos_[[#This Row],[Cantidad LNDV]],"LNDV",IF(B183=Elementos_[[#This Row],[GGCA]],"GGCA",IF(B183=Elementos_[[#This Row],[Cantidad LDF]],"LDF",IF(B183=Elementos_[[#This Row],[Cantidad LDF&amp;MR]],"LDF&amp;MR",IF(B183=Elementos_[[#This Row],[Cantidad RED LASE]],"LASE",IF(B183=Elementos_[[#This Row],[Cantidad LANIA]],"LANIA",IF(B183=Elementos_[[#This Row],[Cantidad SPA]],"SPA"," ")))))))))</f>
        <v>LANIA</v>
      </c>
      <c r="B18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83" s="298">
        <v>181</v>
      </c>
      <c r="D183" s="190">
        <v>253</v>
      </c>
      <c r="E183" s="277" t="s">
        <v>2340</v>
      </c>
      <c r="F183" s="204" t="s">
        <v>2341</v>
      </c>
      <c r="G183" s="192" t="s">
        <v>525</v>
      </c>
      <c r="H18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183" s="194">
        <v>5605059</v>
      </c>
      <c r="J183" s="194">
        <f>+Elementos_[[#This Row],[Valor de referencia]]*Elementos_[[#This Row],[Cantidad]]</f>
        <v>11210118</v>
      </c>
      <c r="K183" s="166"/>
      <c r="L183" s="159">
        <f>+Elementos_[[#This Row],[Cantidad LANIP]]*Elementos_[[#This Row],[Valor de referencia]]</f>
        <v>0</v>
      </c>
      <c r="M183" s="270">
        <v>0</v>
      </c>
      <c r="N183" s="195">
        <f>+Elementos_[[#This Row],[Cantidad 
LDV]]*Elementos_[[#This Row],[Valor de referencia]]</f>
        <v>0</v>
      </c>
      <c r="O183" s="166"/>
      <c r="P183" s="159">
        <f>+Elementos_[[#This Row],[Cantidad LNDV]]*Elementos_[[#This Row],[Valor de referencia]]</f>
        <v>0</v>
      </c>
      <c r="Q183" s="196"/>
      <c r="R183" s="159">
        <f>+Elementos_[[#This Row],[GGCA]]*Elementos_[[#This Row],[Valor de referencia]]</f>
        <v>0</v>
      </c>
      <c r="S183" s="166"/>
      <c r="T183" s="159">
        <f>+Elementos_[[#This Row],[Cantidad LDF]]*Elementos_[[#This Row],[Valor de referencia]]</f>
        <v>0</v>
      </c>
      <c r="U183" s="197"/>
      <c r="V183" s="159">
        <f>+Elementos_[[#This Row],[Cantidad LDF&amp;MR]]*Elementos_[[#This Row],[Valor de referencia]]</f>
        <v>0</v>
      </c>
      <c r="W183" s="166"/>
      <c r="X183" s="159">
        <f>+Elementos_[[#This Row],[Cantidad RED LASE]]*Elementos_[[#This Row],[Valor de referencia]]</f>
        <v>0</v>
      </c>
      <c r="Y183" s="196">
        <v>2</v>
      </c>
      <c r="Z183" s="159">
        <f>+Elementos_[[#This Row],[Cantidad LANIA]]*Elementos_[[#This Row],[Valor de referencia]]</f>
        <v>11210118</v>
      </c>
      <c r="AA183" s="196"/>
      <c r="AB183" s="159">
        <f>+Elementos_[[#This Row],[Cantidad SPA]]*Elementos_[[#This Row],[Valor de referencia]]</f>
        <v>0</v>
      </c>
      <c r="AC183" s="166" t="s">
        <v>2041</v>
      </c>
    </row>
    <row r="184" spans="1:29" ht="24" x14ac:dyDescent="0.2">
      <c r="A184" s="294" t="str">
        <f>IF(B184=Elementos_[[#This Row],[Cantidad LANIP]],"LANIP",IF(B184=Elementos_[[#This Row],[Cantidad 
LDV]],"LDV",IF(B184=Elementos_[[#This Row],[Cantidad LNDV]],"LNDV",IF(B184=Elementos_[[#This Row],[GGCA]],"GGCA",IF(B184=Elementos_[[#This Row],[Cantidad LDF]],"LDF",IF(B184=Elementos_[[#This Row],[Cantidad LDF&amp;MR]],"LDF&amp;MR",IF(B184=Elementos_[[#This Row],[Cantidad RED LASE]],"LASE",IF(B184=Elementos_[[#This Row],[Cantidad LANIA]],"LANIA",IF(B184=Elementos_[[#This Row],[Cantidad SPA]],"SPA"," ")))))))))</f>
        <v>LANIA</v>
      </c>
      <c r="B18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184" s="298">
        <v>182</v>
      </c>
      <c r="D184" s="190">
        <v>257</v>
      </c>
      <c r="E184" s="273" t="s">
        <v>2342</v>
      </c>
      <c r="F184" s="204" t="s">
        <v>2343</v>
      </c>
      <c r="G184" s="192" t="s">
        <v>2092</v>
      </c>
      <c r="H18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184" s="194">
        <v>3868452</v>
      </c>
      <c r="J184" s="194">
        <f>+Elementos_[[#This Row],[Valor de referencia]]*Elementos_[[#This Row],[Cantidad]]</f>
        <v>3868452</v>
      </c>
      <c r="K184" s="166"/>
      <c r="L184" s="159">
        <f>+Elementos_[[#This Row],[Cantidad LANIP]]*Elementos_[[#This Row],[Valor de referencia]]</f>
        <v>0</v>
      </c>
      <c r="M184" s="270">
        <v>0</v>
      </c>
      <c r="N184" s="195">
        <f>+Elementos_[[#This Row],[Cantidad 
LDV]]*Elementos_[[#This Row],[Valor de referencia]]</f>
        <v>0</v>
      </c>
      <c r="O184" s="166"/>
      <c r="P184" s="159">
        <f>+Elementos_[[#This Row],[Cantidad LNDV]]*Elementos_[[#This Row],[Valor de referencia]]</f>
        <v>0</v>
      </c>
      <c r="Q184" s="196"/>
      <c r="R184" s="159">
        <f>+Elementos_[[#This Row],[GGCA]]*Elementos_[[#This Row],[Valor de referencia]]</f>
        <v>0</v>
      </c>
      <c r="S184" s="166"/>
      <c r="T184" s="159">
        <f>+Elementos_[[#This Row],[Cantidad LDF]]*Elementos_[[#This Row],[Valor de referencia]]</f>
        <v>0</v>
      </c>
      <c r="U184" s="197"/>
      <c r="V184" s="159">
        <f>+Elementos_[[#This Row],[Cantidad LDF&amp;MR]]*Elementos_[[#This Row],[Valor de referencia]]</f>
        <v>0</v>
      </c>
      <c r="W184" s="166"/>
      <c r="X184" s="159">
        <f>+Elementos_[[#This Row],[Cantidad RED LASE]]*Elementos_[[#This Row],[Valor de referencia]]</f>
        <v>0</v>
      </c>
      <c r="Y184" s="196">
        <v>1</v>
      </c>
      <c r="Z184" s="159">
        <f>+Elementos_[[#This Row],[Cantidad LANIA]]*Elementos_[[#This Row],[Valor de referencia]]</f>
        <v>3868452</v>
      </c>
      <c r="AA184" s="196"/>
      <c r="AB184" s="159">
        <f>+Elementos_[[#This Row],[Cantidad SPA]]*Elementos_[[#This Row],[Valor de referencia]]</f>
        <v>0</v>
      </c>
      <c r="AC184" s="166" t="s">
        <v>2041</v>
      </c>
    </row>
    <row r="185" spans="1:29" ht="24" x14ac:dyDescent="0.2">
      <c r="A185" s="294" t="str">
        <f>IF(B185=Elementos_[[#This Row],[Cantidad LANIP]],"LANIP",IF(B185=Elementos_[[#This Row],[Cantidad 
LDV]],"LDV",IF(B185=Elementos_[[#This Row],[Cantidad LNDV]],"LNDV",IF(B185=Elementos_[[#This Row],[GGCA]],"GGCA",IF(B185=Elementos_[[#This Row],[Cantidad LDF]],"LDF",IF(B185=Elementos_[[#This Row],[Cantidad LDF&amp;MR]],"LDF&amp;MR",IF(B185=Elementos_[[#This Row],[Cantidad RED LASE]],"LASE",IF(B185=Elementos_[[#This Row],[Cantidad LANIA]],"LANIA",IF(B185=Elementos_[[#This Row],[Cantidad SPA]],"SPA"," ")))))))))</f>
        <v>LDF</v>
      </c>
      <c r="B18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85" s="298">
        <v>183</v>
      </c>
      <c r="D185" s="190">
        <v>261</v>
      </c>
      <c r="E185" s="299" t="s">
        <v>2344</v>
      </c>
      <c r="F185" s="201" t="s">
        <v>2345</v>
      </c>
      <c r="G185" s="192" t="s">
        <v>525</v>
      </c>
      <c r="H18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185" s="194">
        <v>172997</v>
      </c>
      <c r="J185" s="194">
        <f>+Elementos_[[#This Row],[Valor de referencia]]*Elementos_[[#This Row],[Cantidad]]</f>
        <v>864985</v>
      </c>
      <c r="K185" s="166"/>
      <c r="L185" s="159">
        <f>+Elementos_[[#This Row],[Cantidad LANIP]]*Elementos_[[#This Row],[Valor de referencia]]</f>
        <v>0</v>
      </c>
      <c r="M185" s="270"/>
      <c r="N185" s="195">
        <f>+Elementos_[[#This Row],[Cantidad 
LDV]]*Elementos_[[#This Row],[Valor de referencia]]</f>
        <v>0</v>
      </c>
      <c r="O185" s="166"/>
      <c r="P185" s="159">
        <f>+Elementos_[[#This Row],[Cantidad LNDV]]*Elementos_[[#This Row],[Valor de referencia]]</f>
        <v>0</v>
      </c>
      <c r="Q185" s="196"/>
      <c r="R185" s="159">
        <f>+Elementos_[[#This Row],[GGCA]]*Elementos_[[#This Row],[Valor de referencia]]</f>
        <v>0</v>
      </c>
      <c r="S185" s="166">
        <v>4</v>
      </c>
      <c r="T185" s="159">
        <f>+Elementos_[[#This Row],[Cantidad LDF]]*Elementos_[[#This Row],[Valor de referencia]]</f>
        <v>691988</v>
      </c>
      <c r="U185" s="197">
        <v>1</v>
      </c>
      <c r="V185" s="159">
        <f>+Elementos_[[#This Row],[Cantidad LDF&amp;MR]]*Elementos_[[#This Row],[Valor de referencia]]</f>
        <v>172997</v>
      </c>
      <c r="W185" s="166"/>
      <c r="X185" s="159">
        <f>+Elementos_[[#This Row],[Cantidad RED LASE]]*Elementos_[[#This Row],[Valor de referencia]]</f>
        <v>0</v>
      </c>
      <c r="Y185" s="196"/>
      <c r="Z185" s="159">
        <f>+Elementos_[[#This Row],[Cantidad LANIA]]*Elementos_[[#This Row],[Valor de referencia]]</f>
        <v>0</v>
      </c>
      <c r="AA185" s="196"/>
      <c r="AB185" s="159">
        <f>+Elementos_[[#This Row],[Cantidad SPA]]*Elementos_[[#This Row],[Valor de referencia]]</f>
        <v>0</v>
      </c>
      <c r="AC185" s="166" t="s">
        <v>2041</v>
      </c>
    </row>
    <row r="186" spans="1:29" ht="60" x14ac:dyDescent="0.2">
      <c r="A186" s="294" t="str">
        <f>IF(B186=Elementos_[[#This Row],[Cantidad LANIP]],"LANIP",IF(B186=Elementos_[[#This Row],[Cantidad 
LDV]],"LDV",IF(B186=Elementos_[[#This Row],[Cantidad LNDV]],"LNDV",IF(B186=Elementos_[[#This Row],[GGCA]],"GGCA",IF(B186=Elementos_[[#This Row],[Cantidad LDF]],"LDF",IF(B186=Elementos_[[#This Row],[Cantidad LDF&amp;MR]],"LDF&amp;MR",IF(B186=Elementos_[[#This Row],[Cantidad RED LASE]],"LASE",IF(B186=Elementos_[[#This Row],[Cantidad LANIA]],"LANIA",IF(B186=Elementos_[[#This Row],[Cantidad SPA]],"SPA"," ")))))))))</f>
        <v>LDF</v>
      </c>
      <c r="B18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186" s="298">
        <v>184</v>
      </c>
      <c r="D186" s="190">
        <v>264</v>
      </c>
      <c r="E186" s="309" t="s">
        <v>2346</v>
      </c>
      <c r="F186" s="201" t="s">
        <v>2347</v>
      </c>
      <c r="G186" s="192" t="s">
        <v>525</v>
      </c>
      <c r="H18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186" s="194">
        <v>39789</v>
      </c>
      <c r="J186" s="194">
        <f>+Elementos_[[#This Row],[Valor de referencia]]*Elementos_[[#This Row],[Cantidad]]</f>
        <v>238734</v>
      </c>
      <c r="K186" s="166"/>
      <c r="L186" s="159">
        <f>+Elementos_[[#This Row],[Cantidad LANIP]]*Elementos_[[#This Row],[Valor de referencia]]</f>
        <v>0</v>
      </c>
      <c r="M186" s="270"/>
      <c r="N186" s="195">
        <f>+Elementos_[[#This Row],[Cantidad 
LDV]]*Elementos_[[#This Row],[Valor de referencia]]</f>
        <v>0</v>
      </c>
      <c r="O186" s="166"/>
      <c r="P186" s="159">
        <f>+Elementos_[[#This Row],[Cantidad LNDV]]*Elementos_[[#This Row],[Valor de referencia]]</f>
        <v>0</v>
      </c>
      <c r="Q186" s="196"/>
      <c r="R186" s="159">
        <f>+Elementos_[[#This Row],[GGCA]]*Elementos_[[#This Row],[Valor de referencia]]</f>
        <v>0</v>
      </c>
      <c r="S186" s="166">
        <v>6</v>
      </c>
      <c r="T186" s="159">
        <f>+Elementos_[[#This Row],[Cantidad LDF]]*Elementos_[[#This Row],[Valor de referencia]]</f>
        <v>238734</v>
      </c>
      <c r="U186" s="197"/>
      <c r="V186" s="159">
        <f>+Elementos_[[#This Row],[Cantidad LDF&amp;MR]]*Elementos_[[#This Row],[Valor de referencia]]</f>
        <v>0</v>
      </c>
      <c r="W186" s="166"/>
      <c r="X186" s="159">
        <f>+Elementos_[[#This Row],[Cantidad RED LASE]]*Elementos_[[#This Row],[Valor de referencia]]</f>
        <v>0</v>
      </c>
      <c r="Y186" s="196"/>
      <c r="Z186" s="159">
        <f>+Elementos_[[#This Row],[Cantidad LANIA]]*Elementos_[[#This Row],[Valor de referencia]]</f>
        <v>0</v>
      </c>
      <c r="AA186" s="196"/>
      <c r="AB186" s="159">
        <f>+Elementos_[[#This Row],[Cantidad SPA]]*Elementos_[[#This Row],[Valor de referencia]]</f>
        <v>0</v>
      </c>
      <c r="AC186" s="166" t="s">
        <v>2041</v>
      </c>
    </row>
    <row r="187" spans="1:29" ht="48" x14ac:dyDescent="0.2">
      <c r="A187" s="294" t="str">
        <f>IF(B187=Elementos_[[#This Row],[Cantidad LANIP]],"LANIP",IF(B187=Elementos_[[#This Row],[Cantidad 
LDV]],"LDV",IF(B187=Elementos_[[#This Row],[Cantidad LNDV]],"LNDV",IF(B187=Elementos_[[#This Row],[GGCA]],"GGCA",IF(B187=Elementos_[[#This Row],[Cantidad LDF]],"LDF",IF(B187=Elementos_[[#This Row],[Cantidad LDF&amp;MR]],"LDF&amp;MR",IF(B187=Elementos_[[#This Row],[Cantidad RED LASE]],"LASE",IF(B187=Elementos_[[#This Row],[Cantidad LANIA]],"LANIA",IF(B187=Elementos_[[#This Row],[Cantidad SPA]],"SPA"," ")))))))))</f>
        <v>LANIP</v>
      </c>
      <c r="B18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87" s="298">
        <v>185</v>
      </c>
      <c r="D187" s="190">
        <v>265</v>
      </c>
      <c r="E187" s="235" t="s">
        <v>2348</v>
      </c>
      <c r="F187" s="216" t="s">
        <v>2349</v>
      </c>
      <c r="G187" s="192" t="s">
        <v>525</v>
      </c>
      <c r="H18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187" s="194">
        <v>319208</v>
      </c>
      <c r="J187" s="194">
        <f>+Elementos_[[#This Row],[Valor de referencia]]*Elementos_[[#This Row],[Cantidad]]</f>
        <v>3192080</v>
      </c>
      <c r="K187" s="166">
        <v>10</v>
      </c>
      <c r="L187" s="159">
        <f>+Elementos_[[#This Row],[Cantidad LANIP]]*Elementos_[[#This Row],[Valor de referencia]]</f>
        <v>3192080</v>
      </c>
      <c r="M187" s="270"/>
      <c r="N187" s="195">
        <f>+Elementos_[[#This Row],[Cantidad 
LDV]]*Elementos_[[#This Row],[Valor de referencia]]</f>
        <v>0</v>
      </c>
      <c r="O187" s="166"/>
      <c r="P187" s="159">
        <f>+Elementos_[[#This Row],[Cantidad LNDV]]*Elementos_[[#This Row],[Valor de referencia]]</f>
        <v>0</v>
      </c>
      <c r="Q187" s="196"/>
      <c r="R187" s="159">
        <f>+Elementos_[[#This Row],[GGCA]]*Elementos_[[#This Row],[Valor de referencia]]</f>
        <v>0</v>
      </c>
      <c r="S187" s="166"/>
      <c r="T187" s="159">
        <f>+Elementos_[[#This Row],[Cantidad LDF]]*Elementos_[[#This Row],[Valor de referencia]]</f>
        <v>0</v>
      </c>
      <c r="U187" s="197"/>
      <c r="V187" s="159">
        <f>+Elementos_[[#This Row],[Cantidad LDF&amp;MR]]*Elementos_[[#This Row],[Valor de referencia]]</f>
        <v>0</v>
      </c>
      <c r="W187" s="166"/>
      <c r="X187" s="159">
        <f>+Elementos_[[#This Row],[Cantidad RED LASE]]*Elementos_[[#This Row],[Valor de referencia]]</f>
        <v>0</v>
      </c>
      <c r="Y187" s="196"/>
      <c r="Z187" s="159">
        <f>+Elementos_[[#This Row],[Cantidad LANIA]]*Elementos_[[#This Row],[Valor de referencia]]</f>
        <v>0</v>
      </c>
      <c r="AA187" s="196"/>
      <c r="AB187" s="159">
        <f>+Elementos_[[#This Row],[Cantidad SPA]]*Elementos_[[#This Row],[Valor de referencia]]</f>
        <v>0</v>
      </c>
      <c r="AC187" s="166" t="s">
        <v>2041</v>
      </c>
    </row>
    <row r="188" spans="1:29" ht="48" x14ac:dyDescent="0.2">
      <c r="A188" s="294" t="str">
        <f>IF(B188=Elementos_[[#This Row],[Cantidad LANIP]],"LANIP",IF(B188=Elementos_[[#This Row],[Cantidad 
LDV]],"LDV",IF(B188=Elementos_[[#This Row],[Cantidad LNDV]],"LNDV",IF(B188=Elementos_[[#This Row],[GGCA]],"GGCA",IF(B188=Elementos_[[#This Row],[Cantidad LDF]],"LDF",IF(B188=Elementos_[[#This Row],[Cantidad LDF&amp;MR]],"LDF&amp;MR",IF(B188=Elementos_[[#This Row],[Cantidad RED LASE]],"LASE",IF(B188=Elementos_[[#This Row],[Cantidad LANIA]],"LANIA",IF(B188=Elementos_[[#This Row],[Cantidad SPA]],"SPA"," ")))))))))</f>
        <v>LDF</v>
      </c>
      <c r="B18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188" s="298">
        <v>186</v>
      </c>
      <c r="D188" s="190">
        <v>266</v>
      </c>
      <c r="E188" s="235" t="s">
        <v>2350</v>
      </c>
      <c r="F188" s="216" t="s">
        <v>2351</v>
      </c>
      <c r="G188" s="202" t="s">
        <v>525</v>
      </c>
      <c r="H18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188" s="194">
        <v>238327</v>
      </c>
      <c r="J188" s="194">
        <f>+Elementos_[[#This Row],[Valor de referencia]]*Elementos_[[#This Row],[Cantidad]]</f>
        <v>1906616</v>
      </c>
      <c r="K188" s="166"/>
      <c r="L188" s="159">
        <f>+Elementos_[[#This Row],[Cantidad LANIP]]*Elementos_[[#This Row],[Valor de referencia]]</f>
        <v>0</v>
      </c>
      <c r="M188" s="270">
        <v>0</v>
      </c>
      <c r="N188" s="195">
        <f>+Elementos_[[#This Row],[Cantidad 
LDV]]*Elementos_[[#This Row],[Valor de referencia]]</f>
        <v>0</v>
      </c>
      <c r="O188" s="166"/>
      <c r="P188" s="159">
        <f>+Elementos_[[#This Row],[Cantidad LNDV]]*Elementos_[[#This Row],[Valor de referencia]]</f>
        <v>0</v>
      </c>
      <c r="Q188" s="196"/>
      <c r="R188" s="159">
        <f>+Elementos_[[#This Row],[GGCA]]*Elementos_[[#This Row],[Valor de referencia]]</f>
        <v>0</v>
      </c>
      <c r="S188" s="166">
        <v>8</v>
      </c>
      <c r="T188" s="159">
        <f>+Elementos_[[#This Row],[Cantidad LDF]]*Elementos_[[#This Row],[Valor de referencia]]</f>
        <v>1906616</v>
      </c>
      <c r="U188" s="197"/>
      <c r="V188" s="159">
        <f>+Elementos_[[#This Row],[Cantidad LDF&amp;MR]]*Elementos_[[#This Row],[Valor de referencia]]</f>
        <v>0</v>
      </c>
      <c r="W188" s="166"/>
      <c r="X188" s="159">
        <f>+Elementos_[[#This Row],[Cantidad RED LASE]]*Elementos_[[#This Row],[Valor de referencia]]</f>
        <v>0</v>
      </c>
      <c r="Y188" s="196"/>
      <c r="Z188" s="159">
        <f>+Elementos_[[#This Row],[Cantidad LANIA]]*Elementos_[[#This Row],[Valor de referencia]]</f>
        <v>0</v>
      </c>
      <c r="AA188" s="196"/>
      <c r="AB188" s="159">
        <f>+Elementos_[[#This Row],[Cantidad SPA]]*Elementos_[[#This Row],[Valor de referencia]]</f>
        <v>0</v>
      </c>
      <c r="AC188" s="166" t="s">
        <v>2041</v>
      </c>
    </row>
    <row r="189" spans="1:29" ht="48" x14ac:dyDescent="0.2">
      <c r="A189" s="294" t="str">
        <f>IF(B189=Elementos_[[#This Row],[Cantidad LANIP]],"LANIP",IF(B189=Elementos_[[#This Row],[Cantidad 
LDV]],"LDV",IF(B189=Elementos_[[#This Row],[Cantidad LNDV]],"LNDV",IF(B189=Elementos_[[#This Row],[GGCA]],"GGCA",IF(B189=Elementos_[[#This Row],[Cantidad LDF]],"LDF",IF(B189=Elementos_[[#This Row],[Cantidad LDF&amp;MR]],"LDF&amp;MR",IF(B189=Elementos_[[#This Row],[Cantidad RED LASE]],"LASE",IF(B189=Elementos_[[#This Row],[Cantidad LANIA]],"LANIA",IF(B189=Elementos_[[#This Row],[Cantidad SPA]],"SPA"," ")))))))))</f>
        <v>LANIP</v>
      </c>
      <c r="B18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189" s="298">
        <v>187</v>
      </c>
      <c r="D189" s="190">
        <v>269</v>
      </c>
      <c r="E189" s="235" t="s">
        <v>2352</v>
      </c>
      <c r="F189" s="216" t="s">
        <v>2353</v>
      </c>
      <c r="G189" s="192" t="s">
        <v>525</v>
      </c>
      <c r="H18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189" s="194">
        <v>140837</v>
      </c>
      <c r="J189" s="194">
        <f>+Elementos_[[#This Row],[Valor de referencia]]*Elementos_[[#This Row],[Cantidad]]</f>
        <v>2535066</v>
      </c>
      <c r="K189" s="166">
        <v>15</v>
      </c>
      <c r="L189" s="159">
        <f>+Elementos_[[#This Row],[Cantidad LANIP]]*Elementos_[[#This Row],[Valor de referencia]]</f>
        <v>2112555</v>
      </c>
      <c r="M189" s="270">
        <v>0</v>
      </c>
      <c r="N189" s="195">
        <f>+Elementos_[[#This Row],[Cantidad 
LDV]]*Elementos_[[#This Row],[Valor de referencia]]</f>
        <v>0</v>
      </c>
      <c r="O189" s="166"/>
      <c r="P189" s="159">
        <f>+Elementos_[[#This Row],[Cantidad LNDV]]*Elementos_[[#This Row],[Valor de referencia]]</f>
        <v>0</v>
      </c>
      <c r="Q189" s="196"/>
      <c r="R189" s="159">
        <f>+Elementos_[[#This Row],[GGCA]]*Elementos_[[#This Row],[Valor de referencia]]</f>
        <v>0</v>
      </c>
      <c r="S189" s="166">
        <v>3</v>
      </c>
      <c r="T189" s="159">
        <f>+Elementos_[[#This Row],[Cantidad LDF]]*Elementos_[[#This Row],[Valor de referencia]]</f>
        <v>422511</v>
      </c>
      <c r="U189" s="197"/>
      <c r="V189" s="159">
        <f>+Elementos_[[#This Row],[Cantidad LDF&amp;MR]]*Elementos_[[#This Row],[Valor de referencia]]</f>
        <v>0</v>
      </c>
      <c r="W189" s="166"/>
      <c r="X189" s="159">
        <f>+Elementos_[[#This Row],[Cantidad RED LASE]]*Elementos_[[#This Row],[Valor de referencia]]</f>
        <v>0</v>
      </c>
      <c r="Y189" s="196"/>
      <c r="Z189" s="159">
        <f>+Elementos_[[#This Row],[Cantidad LANIA]]*Elementos_[[#This Row],[Valor de referencia]]</f>
        <v>0</v>
      </c>
      <c r="AA189" s="196"/>
      <c r="AB189" s="159">
        <f>+Elementos_[[#This Row],[Cantidad SPA]]*Elementos_[[#This Row],[Valor de referencia]]</f>
        <v>0</v>
      </c>
      <c r="AC189" s="166" t="s">
        <v>2041</v>
      </c>
    </row>
    <row r="190" spans="1:29" ht="60" x14ac:dyDescent="0.2">
      <c r="A190" s="294" t="str">
        <f>IF(B190=Elementos_[[#This Row],[Cantidad LANIP]],"LANIP",IF(B190=Elementos_[[#This Row],[Cantidad 
LDV]],"LDV",IF(B190=Elementos_[[#This Row],[Cantidad LNDV]],"LNDV",IF(B190=Elementos_[[#This Row],[GGCA]],"GGCA",IF(B190=Elementos_[[#This Row],[Cantidad LDF]],"LDF",IF(B190=Elementos_[[#This Row],[Cantidad LDF&amp;MR]],"LDF&amp;MR",IF(B190=Elementos_[[#This Row],[Cantidad RED LASE]],"LASE",IF(B190=Elementos_[[#This Row],[Cantidad LANIA]],"LANIA",IF(B190=Elementos_[[#This Row],[Cantidad SPA]],"SPA"," ")))))))))</f>
        <v>LDF</v>
      </c>
      <c r="B19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90" s="298">
        <v>188</v>
      </c>
      <c r="D190" s="190">
        <v>270</v>
      </c>
      <c r="E190" s="308" t="s">
        <v>2354</v>
      </c>
      <c r="F190" s="201" t="s">
        <v>2355</v>
      </c>
      <c r="G190" s="192" t="s">
        <v>525</v>
      </c>
      <c r="H19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190" s="194">
        <v>65022</v>
      </c>
      <c r="J190" s="194">
        <f>+Elementos_[[#This Row],[Valor de referencia]]*Elementos_[[#This Row],[Cantidad]]</f>
        <v>260088</v>
      </c>
      <c r="K190" s="166"/>
      <c r="L190" s="159">
        <f>+Elementos_[[#This Row],[Cantidad LANIP]]*Elementos_[[#This Row],[Valor de referencia]]</f>
        <v>0</v>
      </c>
      <c r="M190" s="270">
        <v>0</v>
      </c>
      <c r="N190" s="195">
        <f>+Elementos_[[#This Row],[Cantidad 
LDV]]*Elementos_[[#This Row],[Valor de referencia]]</f>
        <v>0</v>
      </c>
      <c r="O190" s="166"/>
      <c r="P190" s="159">
        <f>+Elementos_[[#This Row],[Cantidad LNDV]]*Elementos_[[#This Row],[Valor de referencia]]</f>
        <v>0</v>
      </c>
      <c r="Q190" s="196"/>
      <c r="R190" s="159">
        <f>+Elementos_[[#This Row],[GGCA]]*Elementos_[[#This Row],[Valor de referencia]]</f>
        <v>0</v>
      </c>
      <c r="S190" s="166">
        <v>4</v>
      </c>
      <c r="T190" s="159">
        <f>+Elementos_[[#This Row],[Cantidad LDF]]*Elementos_[[#This Row],[Valor de referencia]]</f>
        <v>260088</v>
      </c>
      <c r="U190" s="197"/>
      <c r="V190" s="159">
        <f>+Elementos_[[#This Row],[Cantidad LDF&amp;MR]]*Elementos_[[#This Row],[Valor de referencia]]</f>
        <v>0</v>
      </c>
      <c r="W190" s="166"/>
      <c r="X190" s="159">
        <f>+Elementos_[[#This Row],[Cantidad RED LASE]]*Elementos_[[#This Row],[Valor de referencia]]</f>
        <v>0</v>
      </c>
      <c r="Y190" s="196"/>
      <c r="Z190" s="159">
        <f>+Elementos_[[#This Row],[Cantidad LANIA]]*Elementos_[[#This Row],[Valor de referencia]]</f>
        <v>0</v>
      </c>
      <c r="AA190" s="196"/>
      <c r="AB190" s="159">
        <f>+Elementos_[[#This Row],[Cantidad SPA]]*Elementos_[[#This Row],[Valor de referencia]]</f>
        <v>0</v>
      </c>
      <c r="AC190" s="166" t="s">
        <v>2041</v>
      </c>
    </row>
    <row r="191" spans="1:29" ht="108" x14ac:dyDescent="0.2">
      <c r="A191" s="294" t="str">
        <f>IF(B191=Elementos_[[#This Row],[Cantidad LANIP]],"LANIP",IF(B191=Elementos_[[#This Row],[Cantidad 
LDV]],"LDV",IF(B191=Elementos_[[#This Row],[Cantidad LNDV]],"LNDV",IF(B191=Elementos_[[#This Row],[GGCA]],"GGCA",IF(B191=Elementos_[[#This Row],[Cantidad LDF]],"LDF",IF(B191=Elementos_[[#This Row],[Cantidad LDF&amp;MR]],"LDF&amp;MR",IF(B191=Elementos_[[#This Row],[Cantidad RED LASE]],"LASE",IF(B191=Elementos_[[#This Row],[Cantidad LANIA]],"LANIA",IF(B191=Elementos_[[#This Row],[Cantidad SPA]],"SPA"," ")))))))))</f>
        <v>LDF</v>
      </c>
      <c r="B19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191" s="298">
        <v>189</v>
      </c>
      <c r="D191" s="190">
        <v>271</v>
      </c>
      <c r="E191" s="299" t="s">
        <v>2356</v>
      </c>
      <c r="F191" s="204" t="s">
        <v>2357</v>
      </c>
      <c r="G191" s="192" t="s">
        <v>525</v>
      </c>
      <c r="H19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v>
      </c>
      <c r="I191" s="194">
        <v>128044</v>
      </c>
      <c r="J191" s="194">
        <f>+Elementos_[[#This Row],[Valor de referencia]]*Elementos_[[#This Row],[Cantidad]]</f>
        <v>896308</v>
      </c>
      <c r="K191" s="166"/>
      <c r="L191" s="159">
        <f>+Elementos_[[#This Row],[Cantidad LANIP]]*Elementos_[[#This Row],[Valor de referencia]]</f>
        <v>0</v>
      </c>
      <c r="M191" s="270">
        <v>3</v>
      </c>
      <c r="N191" s="195">
        <f>+Elementos_[[#This Row],[Cantidad 
LDV]]*Elementos_[[#This Row],[Valor de referencia]]</f>
        <v>384132</v>
      </c>
      <c r="O191" s="166"/>
      <c r="P191" s="159">
        <f>+Elementos_[[#This Row],[Cantidad LNDV]]*Elementos_[[#This Row],[Valor de referencia]]</f>
        <v>0</v>
      </c>
      <c r="Q191" s="196"/>
      <c r="R191" s="159">
        <f>+Elementos_[[#This Row],[GGCA]]*Elementos_[[#This Row],[Valor de referencia]]</f>
        <v>0</v>
      </c>
      <c r="S191" s="166">
        <v>4</v>
      </c>
      <c r="T191" s="159">
        <f>+Elementos_[[#This Row],[Cantidad LDF]]*Elementos_[[#This Row],[Valor de referencia]]</f>
        <v>512176</v>
      </c>
      <c r="U191" s="197"/>
      <c r="V191" s="159">
        <f>+Elementos_[[#This Row],[Cantidad LDF&amp;MR]]*Elementos_[[#This Row],[Valor de referencia]]</f>
        <v>0</v>
      </c>
      <c r="W191" s="166"/>
      <c r="X191" s="159">
        <f>+Elementos_[[#This Row],[Cantidad RED LASE]]*Elementos_[[#This Row],[Valor de referencia]]</f>
        <v>0</v>
      </c>
      <c r="Y191" s="196"/>
      <c r="Z191" s="159">
        <f>+Elementos_[[#This Row],[Cantidad LANIA]]*Elementos_[[#This Row],[Valor de referencia]]</f>
        <v>0</v>
      </c>
      <c r="AA191" s="196"/>
      <c r="AB191" s="159">
        <f>+Elementos_[[#This Row],[Cantidad SPA]]*Elementos_[[#This Row],[Valor de referencia]]</f>
        <v>0</v>
      </c>
      <c r="AC191" s="166" t="s">
        <v>2041</v>
      </c>
    </row>
    <row r="192" spans="1:29" ht="96" x14ac:dyDescent="0.2">
      <c r="A192" s="294" t="str">
        <f>IF(B192=Elementos_[[#This Row],[Cantidad LANIP]],"LANIP",IF(B192=Elementos_[[#This Row],[Cantidad 
LDV]],"LDV",IF(B192=Elementos_[[#This Row],[Cantidad LNDV]],"LNDV",IF(B192=Elementos_[[#This Row],[GGCA]],"GGCA",IF(B192=Elementos_[[#This Row],[Cantidad LDF]],"LDF",IF(B192=Elementos_[[#This Row],[Cantidad LDF&amp;MR]],"LDF&amp;MR",IF(B192=Elementos_[[#This Row],[Cantidad RED LASE]],"LASE",IF(B192=Elementos_[[#This Row],[Cantidad LANIA]],"LANIA",IF(B192=Elementos_[[#This Row],[Cantidad SPA]],"SPA"," ")))))))))</f>
        <v>LANIP</v>
      </c>
      <c r="B19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192" s="298">
        <v>190</v>
      </c>
      <c r="D192" s="190">
        <v>273</v>
      </c>
      <c r="E192" s="274" t="s">
        <v>2358</v>
      </c>
      <c r="F192" s="201" t="s">
        <v>2359</v>
      </c>
      <c r="G192" s="192" t="s">
        <v>525</v>
      </c>
      <c r="H19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v>
      </c>
      <c r="I192" s="194">
        <v>285660</v>
      </c>
      <c r="J192" s="194">
        <f>+Elementos_[[#This Row],[Valor de referencia]]*Elementos_[[#This Row],[Cantidad]]</f>
        <v>3142260</v>
      </c>
      <c r="K192" s="166">
        <v>5</v>
      </c>
      <c r="L192" s="159">
        <f>+Elementos_[[#This Row],[Cantidad LANIP]]*Elementos_[[#This Row],[Valor de referencia]]</f>
        <v>1428300</v>
      </c>
      <c r="M192" s="270">
        <v>4</v>
      </c>
      <c r="N192" s="195">
        <f>+Elementos_[[#This Row],[Cantidad 
LDV]]*Elementos_[[#This Row],[Valor de referencia]]</f>
        <v>1142640</v>
      </c>
      <c r="O192" s="166">
        <v>1</v>
      </c>
      <c r="P192" s="159">
        <f>+Elementos_[[#This Row],[Cantidad LNDV]]*Elementos_[[#This Row],[Valor de referencia]]</f>
        <v>285660</v>
      </c>
      <c r="Q192" s="196"/>
      <c r="R192" s="159">
        <f>+Elementos_[[#This Row],[GGCA]]*Elementos_[[#This Row],[Valor de referencia]]</f>
        <v>0</v>
      </c>
      <c r="S192" s="166">
        <v>1</v>
      </c>
      <c r="T192" s="159">
        <f>+Elementos_[[#This Row],[Cantidad LDF]]*Elementos_[[#This Row],[Valor de referencia]]</f>
        <v>285660</v>
      </c>
      <c r="U192" s="197"/>
      <c r="V192" s="159">
        <f>+Elementos_[[#This Row],[Cantidad LDF&amp;MR]]*Elementos_[[#This Row],[Valor de referencia]]</f>
        <v>0</v>
      </c>
      <c r="W192" s="166"/>
      <c r="X192" s="159">
        <f>+Elementos_[[#This Row],[Cantidad RED LASE]]*Elementos_[[#This Row],[Valor de referencia]]</f>
        <v>0</v>
      </c>
      <c r="Y192" s="196"/>
      <c r="Z192" s="159">
        <f>+Elementos_[[#This Row],[Cantidad LANIA]]*Elementos_[[#This Row],[Valor de referencia]]</f>
        <v>0</v>
      </c>
      <c r="AA192" s="196"/>
      <c r="AB192" s="159">
        <f>+Elementos_[[#This Row],[Cantidad SPA]]*Elementos_[[#This Row],[Valor de referencia]]</f>
        <v>0</v>
      </c>
      <c r="AC192" s="166" t="s">
        <v>2041</v>
      </c>
    </row>
    <row r="193" spans="1:29" ht="108" x14ac:dyDescent="0.2">
      <c r="A193" s="294" t="str">
        <f>IF(B193=Elementos_[[#This Row],[Cantidad LANIP]],"LANIP",IF(B193=Elementos_[[#This Row],[Cantidad 
LDV]],"LDV",IF(B193=Elementos_[[#This Row],[Cantidad LNDV]],"LNDV",IF(B193=Elementos_[[#This Row],[GGCA]],"GGCA",IF(B193=Elementos_[[#This Row],[Cantidad LDF]],"LDF",IF(B193=Elementos_[[#This Row],[Cantidad LDF&amp;MR]],"LDF&amp;MR",IF(B193=Elementos_[[#This Row],[Cantidad RED LASE]],"LASE",IF(B193=Elementos_[[#This Row],[Cantidad LANIA]],"LANIA",IF(B193=Elementos_[[#This Row],[Cantidad SPA]],"SPA"," ")))))))))</f>
        <v>LDF</v>
      </c>
      <c r="B19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93" s="298">
        <v>191</v>
      </c>
      <c r="D193" s="190">
        <v>274</v>
      </c>
      <c r="E193" s="305" t="s">
        <v>2360</v>
      </c>
      <c r="F193" s="201" t="s">
        <v>2361</v>
      </c>
      <c r="G193" s="192" t="s">
        <v>525</v>
      </c>
      <c r="H19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v>
      </c>
      <c r="I193" s="194">
        <v>60988</v>
      </c>
      <c r="J193" s="194">
        <f>+Elementos_[[#This Row],[Valor de referencia]]*Elementos_[[#This Row],[Cantidad]]</f>
        <v>670868</v>
      </c>
      <c r="K193" s="166"/>
      <c r="L193" s="159">
        <f>+Elementos_[[#This Row],[Cantidad LANIP]]*Elementos_[[#This Row],[Valor de referencia]]</f>
        <v>0</v>
      </c>
      <c r="M193" s="270">
        <v>0</v>
      </c>
      <c r="N193" s="195">
        <f>+Elementos_[[#This Row],[Cantidad 
LDV]]*Elementos_[[#This Row],[Valor de referencia]]</f>
        <v>0</v>
      </c>
      <c r="O193" s="166">
        <v>1</v>
      </c>
      <c r="P193" s="159">
        <f>+Elementos_[[#This Row],[Cantidad LNDV]]*Elementos_[[#This Row],[Valor de referencia]]</f>
        <v>60988</v>
      </c>
      <c r="Q193" s="196"/>
      <c r="R193" s="159">
        <f>+Elementos_[[#This Row],[GGCA]]*Elementos_[[#This Row],[Valor de referencia]]</f>
        <v>0</v>
      </c>
      <c r="S193" s="166">
        <v>10</v>
      </c>
      <c r="T193" s="159">
        <f>+Elementos_[[#This Row],[Cantidad LDF]]*Elementos_[[#This Row],[Valor de referencia]]</f>
        <v>609880</v>
      </c>
      <c r="U193" s="197"/>
      <c r="V193" s="159">
        <f>+Elementos_[[#This Row],[Cantidad LDF&amp;MR]]*Elementos_[[#This Row],[Valor de referencia]]</f>
        <v>0</v>
      </c>
      <c r="W193" s="166"/>
      <c r="X193" s="159">
        <f>+Elementos_[[#This Row],[Cantidad RED LASE]]*Elementos_[[#This Row],[Valor de referencia]]</f>
        <v>0</v>
      </c>
      <c r="Y193" s="196"/>
      <c r="Z193" s="159">
        <f>+Elementos_[[#This Row],[Cantidad LANIA]]*Elementos_[[#This Row],[Valor de referencia]]</f>
        <v>0</v>
      </c>
      <c r="AA193" s="196"/>
      <c r="AB193" s="159">
        <f>+Elementos_[[#This Row],[Cantidad SPA]]*Elementos_[[#This Row],[Valor de referencia]]</f>
        <v>0</v>
      </c>
      <c r="AC193" s="166" t="s">
        <v>2041</v>
      </c>
    </row>
    <row r="194" spans="1:29" ht="96" x14ac:dyDescent="0.2">
      <c r="A194" s="294" t="str">
        <f>IF(B194=Elementos_[[#This Row],[Cantidad LANIP]],"LANIP",IF(B194=Elementos_[[#This Row],[Cantidad 
LDV]],"LDV",IF(B194=Elementos_[[#This Row],[Cantidad LNDV]],"LNDV",IF(B194=Elementos_[[#This Row],[GGCA]],"GGCA",IF(B194=Elementos_[[#This Row],[Cantidad LDF]],"LDF",IF(B194=Elementos_[[#This Row],[Cantidad LDF&amp;MR]],"LDF&amp;MR",IF(B194=Elementos_[[#This Row],[Cantidad RED LASE]],"LASE",IF(B194=Elementos_[[#This Row],[Cantidad LANIA]],"LANIA",IF(B194=Elementos_[[#This Row],[Cantidad SPA]],"SPA"," ")))))))))</f>
        <v>LANIP</v>
      </c>
      <c r="B19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194" s="298">
        <v>192</v>
      </c>
      <c r="D194" s="190">
        <v>275</v>
      </c>
      <c r="E194" s="299" t="s">
        <v>2362</v>
      </c>
      <c r="F194" s="204" t="s">
        <v>2363</v>
      </c>
      <c r="G194" s="192" t="s">
        <v>525</v>
      </c>
      <c r="H19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194" s="194">
        <v>807356</v>
      </c>
      <c r="J194" s="194">
        <f>+Elementos_[[#This Row],[Valor de referencia]]*Elementos_[[#This Row],[Cantidad]]</f>
        <v>4036780</v>
      </c>
      <c r="K194" s="166">
        <v>5</v>
      </c>
      <c r="L194" s="159">
        <f>+Elementos_[[#This Row],[Cantidad LANIP]]*Elementos_[[#This Row],[Valor de referencia]]</f>
        <v>4036780</v>
      </c>
      <c r="M194" s="270">
        <v>0</v>
      </c>
      <c r="N194" s="195">
        <f>+Elementos_[[#This Row],[Cantidad 
LDV]]*Elementos_[[#This Row],[Valor de referencia]]</f>
        <v>0</v>
      </c>
      <c r="O194" s="166"/>
      <c r="P194" s="159">
        <f>+Elementos_[[#This Row],[Cantidad LNDV]]*Elementos_[[#This Row],[Valor de referencia]]</f>
        <v>0</v>
      </c>
      <c r="Q194" s="196"/>
      <c r="R194" s="159">
        <f>+Elementos_[[#This Row],[GGCA]]*Elementos_[[#This Row],[Valor de referencia]]</f>
        <v>0</v>
      </c>
      <c r="S194" s="166"/>
      <c r="T194" s="159">
        <f>+Elementos_[[#This Row],[Cantidad LDF]]*Elementos_[[#This Row],[Valor de referencia]]</f>
        <v>0</v>
      </c>
      <c r="U194" s="197"/>
      <c r="V194" s="159">
        <f>+Elementos_[[#This Row],[Cantidad LDF&amp;MR]]*Elementos_[[#This Row],[Valor de referencia]]</f>
        <v>0</v>
      </c>
      <c r="W194" s="166"/>
      <c r="X194" s="159">
        <f>+Elementos_[[#This Row],[Cantidad RED LASE]]*Elementos_[[#This Row],[Valor de referencia]]</f>
        <v>0</v>
      </c>
      <c r="Y194" s="196"/>
      <c r="Z194" s="159">
        <f>+Elementos_[[#This Row],[Cantidad LANIA]]*Elementos_[[#This Row],[Valor de referencia]]</f>
        <v>0</v>
      </c>
      <c r="AA194" s="196"/>
      <c r="AB194" s="159">
        <f>+Elementos_[[#This Row],[Cantidad SPA]]*Elementos_[[#This Row],[Valor de referencia]]</f>
        <v>0</v>
      </c>
      <c r="AC194" s="166" t="s">
        <v>2041</v>
      </c>
    </row>
    <row r="195" spans="1:29" ht="111" customHeight="1" x14ac:dyDescent="0.2">
      <c r="A195" s="294" t="str">
        <f>IF(B195=Elementos_[[#This Row],[Cantidad LANIP]],"LANIP",IF(B195=Elementos_[[#This Row],[Cantidad 
LDV]],"LDV",IF(B195=Elementos_[[#This Row],[Cantidad LNDV]],"LNDV",IF(B195=Elementos_[[#This Row],[GGCA]],"GGCA",IF(B195=Elementos_[[#This Row],[Cantidad LDF]],"LDF",IF(B195=Elementos_[[#This Row],[Cantidad LDF&amp;MR]],"LDF&amp;MR",IF(B195=Elementos_[[#This Row],[Cantidad RED LASE]],"LASE",IF(B195=Elementos_[[#This Row],[Cantidad LANIA]],"LANIA",IF(B195=Elementos_[[#This Row],[Cantidad SPA]],"SPA"," ")))))))))</f>
        <v>LDF</v>
      </c>
      <c r="B19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195" s="298">
        <v>193</v>
      </c>
      <c r="D195" s="190">
        <v>276</v>
      </c>
      <c r="E195" s="305" t="s">
        <v>2364</v>
      </c>
      <c r="F195" s="201" t="s">
        <v>2365</v>
      </c>
      <c r="G195" s="192" t="s">
        <v>525</v>
      </c>
      <c r="H19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195" s="194">
        <v>72055</v>
      </c>
      <c r="J195" s="194">
        <f>+Elementos_[[#This Row],[Valor de referencia]]*Elementos_[[#This Row],[Cantidad]]</f>
        <v>720550</v>
      </c>
      <c r="K195" s="166"/>
      <c r="L195" s="159">
        <f>+Elementos_[[#This Row],[Cantidad LANIP]]*Elementos_[[#This Row],[Valor de referencia]]</f>
        <v>0</v>
      </c>
      <c r="M195" s="270">
        <v>0</v>
      </c>
      <c r="N195" s="195">
        <f>+Elementos_[[#This Row],[Cantidad 
LDV]]*Elementos_[[#This Row],[Valor de referencia]]</f>
        <v>0</v>
      </c>
      <c r="O195" s="166"/>
      <c r="P195" s="159">
        <f>+Elementos_[[#This Row],[Cantidad LNDV]]*Elementos_[[#This Row],[Valor de referencia]]</f>
        <v>0</v>
      </c>
      <c r="Q195" s="196"/>
      <c r="R195" s="159">
        <f>+Elementos_[[#This Row],[GGCA]]*Elementos_[[#This Row],[Valor de referencia]]</f>
        <v>0</v>
      </c>
      <c r="S195" s="166">
        <v>10</v>
      </c>
      <c r="T195" s="159">
        <f>+Elementos_[[#This Row],[Cantidad LDF]]*Elementos_[[#This Row],[Valor de referencia]]</f>
        <v>720550</v>
      </c>
      <c r="U195" s="197"/>
      <c r="V195" s="159">
        <f>+Elementos_[[#This Row],[Cantidad LDF&amp;MR]]*Elementos_[[#This Row],[Valor de referencia]]</f>
        <v>0</v>
      </c>
      <c r="W195" s="166"/>
      <c r="X195" s="159">
        <f>+Elementos_[[#This Row],[Cantidad RED LASE]]*Elementos_[[#This Row],[Valor de referencia]]</f>
        <v>0</v>
      </c>
      <c r="Y195" s="196"/>
      <c r="Z195" s="159">
        <f>+Elementos_[[#This Row],[Cantidad LANIA]]*Elementos_[[#This Row],[Valor de referencia]]</f>
        <v>0</v>
      </c>
      <c r="AA195" s="196"/>
      <c r="AB195" s="159">
        <f>+Elementos_[[#This Row],[Cantidad SPA]]*Elementos_[[#This Row],[Valor de referencia]]</f>
        <v>0</v>
      </c>
      <c r="AC195" s="166" t="s">
        <v>2041</v>
      </c>
    </row>
    <row r="196" spans="1:29" ht="60" x14ac:dyDescent="0.2">
      <c r="A196" s="294" t="str">
        <f>IF(B196=Elementos_[[#This Row],[Cantidad LANIP]],"LANIP",IF(B196=Elementos_[[#This Row],[Cantidad 
LDV]],"LDV",IF(B196=Elementos_[[#This Row],[Cantidad LNDV]],"LNDV",IF(B196=Elementos_[[#This Row],[GGCA]],"GGCA",IF(B196=Elementos_[[#This Row],[Cantidad LDF]],"LDF",IF(B196=Elementos_[[#This Row],[Cantidad LDF&amp;MR]],"LDF&amp;MR",IF(B196=Elementos_[[#This Row],[Cantidad RED LASE]],"LASE",IF(B196=Elementos_[[#This Row],[Cantidad LANIA]],"LANIA",IF(B196=Elementos_[[#This Row],[Cantidad SPA]],"SPA"," ")))))))))</f>
        <v>LANIP</v>
      </c>
      <c r="B19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196" s="298">
        <v>194</v>
      </c>
      <c r="D196" s="190">
        <v>277</v>
      </c>
      <c r="E196" s="273" t="s">
        <v>2366</v>
      </c>
      <c r="F196" s="191" t="s">
        <v>2367</v>
      </c>
      <c r="G196" s="192" t="s">
        <v>525</v>
      </c>
      <c r="H19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196" s="194">
        <v>226242</v>
      </c>
      <c r="J196" s="194">
        <f>+Elementos_[[#This Row],[Valor de referencia]]*Elementos_[[#This Row],[Cantidad]]</f>
        <v>226242</v>
      </c>
      <c r="K196" s="166">
        <v>1</v>
      </c>
      <c r="L196" s="159">
        <f>+Elementos_[[#This Row],[Cantidad LANIP]]*Elementos_[[#This Row],[Valor de referencia]]</f>
        <v>226242</v>
      </c>
      <c r="M196" s="270">
        <v>0</v>
      </c>
      <c r="N196" s="195">
        <f>+Elementos_[[#This Row],[Cantidad 
LDV]]*Elementos_[[#This Row],[Valor de referencia]]</f>
        <v>0</v>
      </c>
      <c r="O196" s="166"/>
      <c r="P196" s="159">
        <f>+Elementos_[[#This Row],[Cantidad LNDV]]*Elementos_[[#This Row],[Valor de referencia]]</f>
        <v>0</v>
      </c>
      <c r="Q196" s="196"/>
      <c r="R196" s="159">
        <f>+Elementos_[[#This Row],[GGCA]]*Elementos_[[#This Row],[Valor de referencia]]</f>
        <v>0</v>
      </c>
      <c r="S196" s="166"/>
      <c r="T196" s="159">
        <f>+Elementos_[[#This Row],[Cantidad LDF]]*Elementos_[[#This Row],[Valor de referencia]]</f>
        <v>0</v>
      </c>
      <c r="U196" s="197"/>
      <c r="V196" s="159">
        <f>+Elementos_[[#This Row],[Cantidad LDF&amp;MR]]*Elementos_[[#This Row],[Valor de referencia]]</f>
        <v>0</v>
      </c>
      <c r="W196" s="166"/>
      <c r="X196" s="159">
        <f>+Elementos_[[#This Row],[Cantidad RED LASE]]*Elementos_[[#This Row],[Valor de referencia]]</f>
        <v>0</v>
      </c>
      <c r="Y196" s="196"/>
      <c r="Z196" s="159">
        <f>+Elementos_[[#This Row],[Cantidad LANIA]]*Elementos_[[#This Row],[Valor de referencia]]</f>
        <v>0</v>
      </c>
      <c r="AA196" s="196"/>
      <c r="AB196" s="159">
        <f>+Elementos_[[#This Row],[Cantidad SPA]]*Elementos_[[#This Row],[Valor de referencia]]</f>
        <v>0</v>
      </c>
      <c r="AC196" s="166" t="s">
        <v>2041</v>
      </c>
    </row>
    <row r="197" spans="1:29" ht="36" x14ac:dyDescent="0.2">
      <c r="A197" s="294" t="str">
        <f>IF(B197=Elementos_[[#This Row],[Cantidad LANIP]],"LANIP",IF(B197=Elementos_[[#This Row],[Cantidad 
LDV]],"LDV",IF(B197=Elementos_[[#This Row],[Cantidad LNDV]],"LNDV",IF(B197=Elementos_[[#This Row],[GGCA]],"GGCA",IF(B197=Elementos_[[#This Row],[Cantidad LDF]],"LDF",IF(B197=Elementos_[[#This Row],[Cantidad LDF&amp;MR]],"LDF&amp;MR",IF(B197=Elementos_[[#This Row],[Cantidad RED LASE]],"LASE",IF(B197=Elementos_[[#This Row],[Cantidad LANIA]],"LANIA",IF(B197=Elementos_[[#This Row],[Cantidad SPA]],"SPA"," ")))))))))</f>
        <v>LDF</v>
      </c>
      <c r="B19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197" s="298">
        <v>195</v>
      </c>
      <c r="D197" s="190">
        <v>280</v>
      </c>
      <c r="E197" s="274" t="s">
        <v>2368</v>
      </c>
      <c r="F197" s="201" t="s">
        <v>2369</v>
      </c>
      <c r="G197" s="192" t="s">
        <v>525</v>
      </c>
      <c r="H19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197" s="194">
        <v>563728</v>
      </c>
      <c r="J197" s="194">
        <f>+Elementos_[[#This Row],[Valor de referencia]]*Elementos_[[#This Row],[Cantidad]]</f>
        <v>1691184</v>
      </c>
      <c r="K197" s="166"/>
      <c r="L197" s="159">
        <f>+Elementos_[[#This Row],[Cantidad LANIP]]*Elementos_[[#This Row],[Valor de referencia]]</f>
        <v>0</v>
      </c>
      <c r="M197" s="270"/>
      <c r="N197" s="195">
        <f>+Elementos_[[#This Row],[Cantidad 
LDV]]*Elementos_[[#This Row],[Valor de referencia]]</f>
        <v>0</v>
      </c>
      <c r="O197" s="166"/>
      <c r="P197" s="159">
        <f>+Elementos_[[#This Row],[Cantidad LNDV]]*Elementos_[[#This Row],[Valor de referencia]]</f>
        <v>0</v>
      </c>
      <c r="Q197" s="196"/>
      <c r="R197" s="159">
        <f>+Elementos_[[#This Row],[GGCA]]*Elementos_[[#This Row],[Valor de referencia]]</f>
        <v>0</v>
      </c>
      <c r="S197" s="166">
        <v>2</v>
      </c>
      <c r="T197" s="159">
        <f>+Elementos_[[#This Row],[Cantidad LDF]]*Elementos_[[#This Row],[Valor de referencia]]</f>
        <v>1127456</v>
      </c>
      <c r="U197" s="197"/>
      <c r="V197" s="159">
        <f>+Elementos_[[#This Row],[Cantidad LDF&amp;MR]]*Elementos_[[#This Row],[Valor de referencia]]</f>
        <v>0</v>
      </c>
      <c r="W197" s="166"/>
      <c r="X197" s="159">
        <f>+Elementos_[[#This Row],[Cantidad RED LASE]]*Elementos_[[#This Row],[Valor de referencia]]</f>
        <v>0</v>
      </c>
      <c r="Y197" s="196">
        <v>1</v>
      </c>
      <c r="Z197" s="159">
        <f>+Elementos_[[#This Row],[Cantidad LANIA]]*Elementos_[[#This Row],[Valor de referencia]]</f>
        <v>563728</v>
      </c>
      <c r="AA197" s="196"/>
      <c r="AB197" s="159">
        <f>+Elementos_[[#This Row],[Cantidad SPA]]*Elementos_[[#This Row],[Valor de referencia]]</f>
        <v>0</v>
      </c>
      <c r="AC197" s="406" t="s">
        <v>101</v>
      </c>
    </row>
    <row r="198" spans="1:29" ht="48" x14ac:dyDescent="0.2">
      <c r="A198" s="294" t="str">
        <f>IF(B198=Elementos_[[#This Row],[Cantidad LANIP]],"LANIP",IF(B198=Elementos_[[#This Row],[Cantidad 
LDV]],"LDV",IF(B198=Elementos_[[#This Row],[Cantidad LNDV]],"LNDV",IF(B198=Elementos_[[#This Row],[GGCA]],"GGCA",IF(B198=Elementos_[[#This Row],[Cantidad LDF]],"LDF",IF(B198=Elementos_[[#This Row],[Cantidad LDF&amp;MR]],"LDF&amp;MR",IF(B198=Elementos_[[#This Row],[Cantidad RED LASE]],"LASE",IF(B198=Elementos_[[#This Row],[Cantidad LANIA]],"LANIA",IF(B198=Elementos_[[#This Row],[Cantidad SPA]],"SPA"," ")))))))))</f>
        <v>LANIA</v>
      </c>
      <c r="B19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198" s="298">
        <v>196</v>
      </c>
      <c r="D198" s="190">
        <v>282</v>
      </c>
      <c r="E198" s="273" t="s">
        <v>2370</v>
      </c>
      <c r="F198" s="201" t="s">
        <v>183</v>
      </c>
      <c r="G198" s="192" t="s">
        <v>525</v>
      </c>
      <c r="H19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v>
      </c>
      <c r="I198" s="194">
        <v>47735</v>
      </c>
      <c r="J198" s="194">
        <f>+Elementos_[[#This Row],[Valor de referencia]]*Elementos_[[#This Row],[Cantidad]]</f>
        <v>525085</v>
      </c>
      <c r="K198" s="166"/>
      <c r="L198" s="159">
        <f>+Elementos_[[#This Row],[Cantidad LANIP]]*Elementos_[[#This Row],[Valor de referencia]]</f>
        <v>0</v>
      </c>
      <c r="M198" s="270">
        <v>0</v>
      </c>
      <c r="N198" s="195">
        <f>+Elementos_[[#This Row],[Cantidad 
LDV]]*Elementos_[[#This Row],[Valor de referencia]]</f>
        <v>0</v>
      </c>
      <c r="O198" s="166">
        <v>1</v>
      </c>
      <c r="P198" s="159">
        <f>+Elementos_[[#This Row],[Cantidad LNDV]]*Elementos_[[#This Row],[Valor de referencia]]</f>
        <v>47735</v>
      </c>
      <c r="Q198" s="196"/>
      <c r="R198" s="159">
        <f>+Elementos_[[#This Row],[GGCA]]*Elementos_[[#This Row],[Valor de referencia]]</f>
        <v>0</v>
      </c>
      <c r="S198" s="166">
        <v>1</v>
      </c>
      <c r="T198" s="159">
        <f>+Elementos_[[#This Row],[Cantidad LDF]]*Elementos_[[#This Row],[Valor de referencia]]</f>
        <v>47735</v>
      </c>
      <c r="U198" s="197">
        <v>3</v>
      </c>
      <c r="V198" s="159">
        <f>+Elementos_[[#This Row],[Cantidad LDF&amp;MR]]*Elementos_[[#This Row],[Valor de referencia]]</f>
        <v>143205</v>
      </c>
      <c r="W198" s="166"/>
      <c r="X198" s="159">
        <f>+Elementos_[[#This Row],[Cantidad RED LASE]]*Elementos_[[#This Row],[Valor de referencia]]</f>
        <v>0</v>
      </c>
      <c r="Y198" s="196">
        <v>6</v>
      </c>
      <c r="Z198" s="159">
        <f>+Elementos_[[#This Row],[Cantidad LANIA]]*Elementos_[[#This Row],[Valor de referencia]]</f>
        <v>286410</v>
      </c>
      <c r="AA198" s="196"/>
      <c r="AB198" s="159">
        <f>+Elementos_[[#This Row],[Cantidad SPA]]*Elementos_[[#This Row],[Valor de referencia]]</f>
        <v>0</v>
      </c>
      <c r="AC198" s="166" t="s">
        <v>2041</v>
      </c>
    </row>
    <row r="199" spans="1:29" ht="48" x14ac:dyDescent="0.2">
      <c r="A199" s="294" t="str">
        <f>IF(B199=Elementos_[[#This Row],[Cantidad LANIP]],"LANIP",IF(B199=Elementos_[[#This Row],[Cantidad 
LDV]],"LDV",IF(B199=Elementos_[[#This Row],[Cantidad LNDV]],"LNDV",IF(B199=Elementos_[[#This Row],[GGCA]],"GGCA",IF(B199=Elementos_[[#This Row],[Cantidad LDF]],"LDF",IF(B199=Elementos_[[#This Row],[Cantidad LDF&amp;MR]],"LDF&amp;MR",IF(B199=Elementos_[[#This Row],[Cantidad RED LASE]],"LASE",IF(B199=Elementos_[[#This Row],[Cantidad LANIA]],"LANIA",IF(B199=Elementos_[[#This Row],[Cantidad SPA]],"SPA"," ")))))))))</f>
        <v>LDF&amp;MR</v>
      </c>
      <c r="B19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199" s="298">
        <v>197</v>
      </c>
      <c r="D199" s="190">
        <v>283</v>
      </c>
      <c r="E199" s="273" t="s">
        <v>2371</v>
      </c>
      <c r="F199" s="201" t="s">
        <v>2372</v>
      </c>
      <c r="G199" s="202" t="s">
        <v>2373</v>
      </c>
      <c r="H19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199" s="194">
        <v>869814</v>
      </c>
      <c r="J199" s="194">
        <f>+Elementos_[[#This Row],[Valor de referencia]]*Elementos_[[#This Row],[Cantidad]]</f>
        <v>4349070</v>
      </c>
      <c r="K199" s="166"/>
      <c r="L199" s="159">
        <f>+Elementos_[[#This Row],[Cantidad LANIP]]*Elementos_[[#This Row],[Valor de referencia]]</f>
        <v>0</v>
      </c>
      <c r="M199" s="270">
        <v>0</v>
      </c>
      <c r="N199" s="195">
        <f>+Elementos_[[#This Row],[Cantidad 
LDV]]*Elementos_[[#This Row],[Valor de referencia]]</f>
        <v>0</v>
      </c>
      <c r="O199" s="166"/>
      <c r="P199" s="159">
        <f>+Elementos_[[#This Row],[Cantidad LNDV]]*Elementos_[[#This Row],[Valor de referencia]]</f>
        <v>0</v>
      </c>
      <c r="Q199" s="196"/>
      <c r="R199" s="159">
        <f>+Elementos_[[#This Row],[GGCA]]*Elementos_[[#This Row],[Valor de referencia]]</f>
        <v>0</v>
      </c>
      <c r="S199" s="166">
        <v>1</v>
      </c>
      <c r="T199" s="159">
        <f>+Elementos_[[#This Row],[Cantidad LDF]]*Elementos_[[#This Row],[Valor de referencia]]</f>
        <v>869814</v>
      </c>
      <c r="U199" s="197">
        <v>3</v>
      </c>
      <c r="V199" s="159">
        <f>+Elementos_[[#This Row],[Cantidad LDF&amp;MR]]*Elementos_[[#This Row],[Valor de referencia]]</f>
        <v>2609442</v>
      </c>
      <c r="W199" s="166"/>
      <c r="X199" s="159">
        <f>+Elementos_[[#This Row],[Cantidad RED LASE]]*Elementos_[[#This Row],[Valor de referencia]]</f>
        <v>0</v>
      </c>
      <c r="Y199" s="196">
        <v>1</v>
      </c>
      <c r="Z199" s="159">
        <f>+Elementos_[[#This Row],[Cantidad LANIA]]*Elementos_[[#This Row],[Valor de referencia]]</f>
        <v>869814</v>
      </c>
      <c r="AA199" s="196"/>
      <c r="AB199" s="159">
        <f>+Elementos_[[#This Row],[Cantidad SPA]]*Elementos_[[#This Row],[Valor de referencia]]</f>
        <v>0</v>
      </c>
      <c r="AC199" s="166" t="s">
        <v>2041</v>
      </c>
    </row>
    <row r="200" spans="1:29" ht="36" x14ac:dyDescent="0.2">
      <c r="A200" s="294" t="str">
        <f>IF(B200=Elementos_[[#This Row],[Cantidad LANIP]],"LANIP",IF(B200=Elementos_[[#This Row],[Cantidad 
LDV]],"LDV",IF(B200=Elementos_[[#This Row],[Cantidad LNDV]],"LNDV",IF(B200=Elementos_[[#This Row],[GGCA]],"GGCA",IF(B200=Elementos_[[#This Row],[Cantidad LDF]],"LDF",IF(B200=Elementos_[[#This Row],[Cantidad LDF&amp;MR]],"LDF&amp;MR",IF(B200=Elementos_[[#This Row],[Cantidad RED LASE]],"LASE",IF(B200=Elementos_[[#This Row],[Cantidad LANIA]],"LANIA",IF(B200=Elementos_[[#This Row],[Cantidad SPA]],"SPA"," ")))))))))</f>
        <v>LANIA</v>
      </c>
      <c r="B20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00" s="298">
        <v>198</v>
      </c>
      <c r="D200" s="190">
        <v>284</v>
      </c>
      <c r="E200" s="299" t="s">
        <v>2374</v>
      </c>
      <c r="F200" s="201" t="s">
        <v>2375</v>
      </c>
      <c r="G200" s="192" t="s">
        <v>2092</v>
      </c>
      <c r="H20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200" s="194">
        <v>89964</v>
      </c>
      <c r="J200" s="194">
        <f>+Elementos_[[#This Row],[Valor de referencia]]*Elementos_[[#This Row],[Cantidad]]</f>
        <v>1349460</v>
      </c>
      <c r="K200" s="166"/>
      <c r="L200" s="159">
        <f>+Elementos_[[#This Row],[Cantidad LANIP]]*Elementos_[[#This Row],[Valor de referencia]]</f>
        <v>0</v>
      </c>
      <c r="M200" s="270"/>
      <c r="N200" s="195">
        <f>+Elementos_[[#This Row],[Cantidad 
LDV]]*Elementos_[[#This Row],[Valor de referencia]]</f>
        <v>0</v>
      </c>
      <c r="O200" s="166"/>
      <c r="P200" s="159">
        <f>+Elementos_[[#This Row],[Cantidad LNDV]]*Elementos_[[#This Row],[Valor de referencia]]</f>
        <v>0</v>
      </c>
      <c r="Q200" s="196"/>
      <c r="R200" s="159">
        <f>+Elementos_[[#This Row],[GGCA]]*Elementos_[[#This Row],[Valor de referencia]]</f>
        <v>0</v>
      </c>
      <c r="S200" s="166">
        <v>4</v>
      </c>
      <c r="T200" s="159">
        <f>+Elementos_[[#This Row],[Cantidad LDF]]*Elementos_[[#This Row],[Valor de referencia]]</f>
        <v>359856</v>
      </c>
      <c r="U200" s="197">
        <v>1</v>
      </c>
      <c r="V200" s="159">
        <f>+Elementos_[[#This Row],[Cantidad LDF&amp;MR]]*Elementos_[[#This Row],[Valor de referencia]]</f>
        <v>89964</v>
      </c>
      <c r="W200" s="166"/>
      <c r="X200" s="159">
        <f>+Elementos_[[#This Row],[Cantidad RED LASE]]*Elementos_[[#This Row],[Valor de referencia]]</f>
        <v>0</v>
      </c>
      <c r="Y200" s="196">
        <v>10</v>
      </c>
      <c r="Z200" s="159">
        <f>+Elementos_[[#This Row],[Cantidad LANIA]]*Elementos_[[#This Row],[Valor de referencia]]</f>
        <v>899640</v>
      </c>
      <c r="AA200" s="196"/>
      <c r="AB200" s="159">
        <f>+Elementos_[[#This Row],[Cantidad SPA]]*Elementos_[[#This Row],[Valor de referencia]]</f>
        <v>0</v>
      </c>
      <c r="AC200" s="166" t="s">
        <v>2041</v>
      </c>
    </row>
    <row r="201" spans="1:29" ht="36" x14ac:dyDescent="0.2">
      <c r="A201" s="294" t="str">
        <f>IF(B201=Elementos_[[#This Row],[Cantidad LANIP]],"LANIP",IF(B201=Elementos_[[#This Row],[Cantidad 
LDV]],"LDV",IF(B201=Elementos_[[#This Row],[Cantidad LNDV]],"LNDV",IF(B201=Elementos_[[#This Row],[GGCA]],"GGCA",IF(B201=Elementos_[[#This Row],[Cantidad LDF]],"LDF",IF(B201=Elementos_[[#This Row],[Cantidad LDF&amp;MR]],"LDF&amp;MR",IF(B201=Elementos_[[#This Row],[Cantidad RED LASE]],"LASE",IF(B201=Elementos_[[#This Row],[Cantidad LANIA]],"LANIA",IF(B201=Elementos_[[#This Row],[Cantidad SPA]],"SPA"," ")))))))))</f>
        <v>LDF</v>
      </c>
      <c r="B20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201" s="298">
        <v>199</v>
      </c>
      <c r="D201" s="190">
        <v>285</v>
      </c>
      <c r="E201" s="273" t="s">
        <v>2376</v>
      </c>
      <c r="F201" s="201" t="s">
        <v>2377</v>
      </c>
      <c r="G201" s="192" t="s">
        <v>2092</v>
      </c>
      <c r="H20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201" s="194">
        <v>84528</v>
      </c>
      <c r="J201" s="194">
        <f>+Elementos_[[#This Row],[Valor de referencia]]*Elementos_[[#This Row],[Cantidad]]</f>
        <v>1098864</v>
      </c>
      <c r="K201" s="166"/>
      <c r="L201" s="159">
        <f>+Elementos_[[#This Row],[Cantidad LANIP]]*Elementos_[[#This Row],[Valor de referencia]]</f>
        <v>0</v>
      </c>
      <c r="M201" s="270"/>
      <c r="N201" s="195">
        <f>+Elementos_[[#This Row],[Cantidad 
LDV]]*Elementos_[[#This Row],[Valor de referencia]]</f>
        <v>0</v>
      </c>
      <c r="O201" s="166"/>
      <c r="P201" s="159">
        <f>+Elementos_[[#This Row],[Cantidad LNDV]]*Elementos_[[#This Row],[Valor de referencia]]</f>
        <v>0</v>
      </c>
      <c r="Q201" s="196"/>
      <c r="R201" s="159">
        <f>+Elementos_[[#This Row],[GGCA]]*Elementos_[[#This Row],[Valor de referencia]]</f>
        <v>0</v>
      </c>
      <c r="S201" s="166">
        <v>8</v>
      </c>
      <c r="T201" s="159">
        <f>+Elementos_[[#This Row],[Cantidad LDF]]*Elementos_[[#This Row],[Valor de referencia]]</f>
        <v>676224</v>
      </c>
      <c r="U201" s="197"/>
      <c r="V201" s="159">
        <f>+Elementos_[[#This Row],[Cantidad LDF&amp;MR]]*Elementos_[[#This Row],[Valor de referencia]]</f>
        <v>0</v>
      </c>
      <c r="W201" s="166"/>
      <c r="X201" s="159">
        <f>+Elementos_[[#This Row],[Cantidad RED LASE]]*Elementos_[[#This Row],[Valor de referencia]]</f>
        <v>0</v>
      </c>
      <c r="Y201" s="196">
        <v>5</v>
      </c>
      <c r="Z201" s="159">
        <f>+Elementos_[[#This Row],[Cantidad LANIA]]*Elementos_[[#This Row],[Valor de referencia]]</f>
        <v>422640</v>
      </c>
      <c r="AA201" s="196"/>
      <c r="AB201" s="159">
        <f>+Elementos_[[#This Row],[Cantidad SPA]]*Elementos_[[#This Row],[Valor de referencia]]</f>
        <v>0</v>
      </c>
      <c r="AC201" s="166" t="s">
        <v>2041</v>
      </c>
    </row>
    <row r="202" spans="1:29" ht="24" x14ac:dyDescent="0.2">
      <c r="A202" s="294" t="str">
        <f>IF(B202=Elementos_[[#This Row],[Cantidad LANIP]],"LANIP",IF(B202=Elementos_[[#This Row],[Cantidad 
LDV]],"LDV",IF(B202=Elementos_[[#This Row],[Cantidad LNDV]],"LNDV",IF(B202=Elementos_[[#This Row],[GGCA]],"GGCA",IF(B202=Elementos_[[#This Row],[Cantidad LDF]],"LDF",IF(B202=Elementos_[[#This Row],[Cantidad LDF&amp;MR]],"LDF&amp;MR",IF(B202=Elementos_[[#This Row],[Cantidad RED LASE]],"LASE",IF(B202=Elementos_[[#This Row],[Cantidad LANIA]],"LANIA",IF(B202=Elementos_[[#This Row],[Cantidad SPA]],"SPA"," ")))))))))</f>
        <v>LANIA</v>
      </c>
      <c r="B20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202" s="298">
        <v>200</v>
      </c>
      <c r="D202" s="190">
        <v>286</v>
      </c>
      <c r="E202" s="274" t="s">
        <v>2378</v>
      </c>
      <c r="F202" s="201" t="s">
        <v>2379</v>
      </c>
      <c r="G202" s="202" t="s">
        <v>1726</v>
      </c>
      <c r="H20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202" s="194">
        <v>92888</v>
      </c>
      <c r="J202" s="194">
        <f>+Elementos_[[#This Row],[Valor de referencia]]*Elementos_[[#This Row],[Cantidad]]</f>
        <v>743104</v>
      </c>
      <c r="K202" s="166">
        <v>2</v>
      </c>
      <c r="L202" s="159">
        <f>+Elementos_[[#This Row],[Cantidad LANIP]]*Elementos_[[#This Row],[Valor de referencia]]</f>
        <v>185776</v>
      </c>
      <c r="M202" s="270"/>
      <c r="N202" s="195">
        <f>+Elementos_[[#This Row],[Cantidad 
LDV]]*Elementos_[[#This Row],[Valor de referencia]]</f>
        <v>0</v>
      </c>
      <c r="O202" s="166"/>
      <c r="P202" s="159">
        <f>+Elementos_[[#This Row],[Cantidad LNDV]]*Elementos_[[#This Row],[Valor de referencia]]</f>
        <v>0</v>
      </c>
      <c r="Q202" s="196"/>
      <c r="R202" s="159">
        <f>+Elementos_[[#This Row],[GGCA]]*Elementos_[[#This Row],[Valor de referencia]]</f>
        <v>0</v>
      </c>
      <c r="S202" s="166"/>
      <c r="T202" s="159">
        <f>+Elementos_[[#This Row],[Cantidad LDF]]*Elementos_[[#This Row],[Valor de referencia]]</f>
        <v>0</v>
      </c>
      <c r="U202" s="197"/>
      <c r="V202" s="159">
        <f>+Elementos_[[#This Row],[Cantidad LDF&amp;MR]]*Elementos_[[#This Row],[Valor de referencia]]</f>
        <v>0</v>
      </c>
      <c r="W202" s="166"/>
      <c r="X202" s="159">
        <f>+Elementos_[[#This Row],[Cantidad RED LASE]]*Elementos_[[#This Row],[Valor de referencia]]</f>
        <v>0</v>
      </c>
      <c r="Y202" s="196">
        <v>6</v>
      </c>
      <c r="Z202" s="159">
        <f>+Elementos_[[#This Row],[Cantidad LANIA]]*Elementos_[[#This Row],[Valor de referencia]]</f>
        <v>557328</v>
      </c>
      <c r="AA202" s="196"/>
      <c r="AB202" s="159">
        <f>+Elementos_[[#This Row],[Cantidad SPA]]*Elementos_[[#This Row],[Valor de referencia]]</f>
        <v>0</v>
      </c>
      <c r="AC202" s="166" t="s">
        <v>2041</v>
      </c>
    </row>
    <row r="203" spans="1:29" ht="24" x14ac:dyDescent="0.2">
      <c r="A203" s="294" t="str">
        <f>IF(B203=Elementos_[[#This Row],[Cantidad LANIP]],"LANIP",IF(B203=Elementos_[[#This Row],[Cantidad 
LDV]],"LDV",IF(B203=Elementos_[[#This Row],[Cantidad LNDV]],"LNDV",IF(B203=Elementos_[[#This Row],[GGCA]],"GGCA",IF(B203=Elementos_[[#This Row],[Cantidad LDF]],"LDF",IF(B203=Elementos_[[#This Row],[Cantidad LDF&amp;MR]],"LDF&amp;MR",IF(B203=Elementos_[[#This Row],[Cantidad RED LASE]],"LASE",IF(B203=Elementos_[[#This Row],[Cantidad LANIA]],"LANIA",IF(B203=Elementos_[[#This Row],[Cantidad SPA]],"SPA"," ")))))))))</f>
        <v>LDF</v>
      </c>
      <c r="B20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203" s="298">
        <v>201</v>
      </c>
      <c r="D203" s="190">
        <v>287</v>
      </c>
      <c r="E203" s="273" t="s">
        <v>2380</v>
      </c>
      <c r="F203" s="201" t="s">
        <v>2265</v>
      </c>
      <c r="G203" s="192" t="s">
        <v>525</v>
      </c>
      <c r="H20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203" s="194">
        <v>48195</v>
      </c>
      <c r="J203" s="194">
        <f>+Elementos_[[#This Row],[Valor de referencia]]*Elementos_[[#This Row],[Cantidad]]</f>
        <v>96390</v>
      </c>
      <c r="K203" s="166"/>
      <c r="L203" s="159">
        <f>+Elementos_[[#This Row],[Cantidad LANIP]]*Elementos_[[#This Row],[Valor de referencia]]</f>
        <v>0</v>
      </c>
      <c r="M203" s="270">
        <v>0</v>
      </c>
      <c r="N203" s="195">
        <f>+Elementos_[[#This Row],[Cantidad 
LDV]]*Elementos_[[#This Row],[Valor de referencia]]</f>
        <v>0</v>
      </c>
      <c r="O203" s="166"/>
      <c r="P203" s="159">
        <f>+Elementos_[[#This Row],[Cantidad LNDV]]*Elementos_[[#This Row],[Valor de referencia]]</f>
        <v>0</v>
      </c>
      <c r="Q203" s="196"/>
      <c r="R203" s="159">
        <f>+Elementos_[[#This Row],[GGCA]]*Elementos_[[#This Row],[Valor de referencia]]</f>
        <v>0</v>
      </c>
      <c r="S203" s="166">
        <v>2</v>
      </c>
      <c r="T203" s="159">
        <f>+Elementos_[[#This Row],[Cantidad LDF]]*Elementos_[[#This Row],[Valor de referencia]]</f>
        <v>96390</v>
      </c>
      <c r="U203" s="197"/>
      <c r="V203" s="159">
        <f>+Elementos_[[#This Row],[Cantidad LDF&amp;MR]]*Elementos_[[#This Row],[Valor de referencia]]</f>
        <v>0</v>
      </c>
      <c r="W203" s="166"/>
      <c r="X203" s="159">
        <f>+Elementos_[[#This Row],[Cantidad RED LASE]]*Elementos_[[#This Row],[Valor de referencia]]</f>
        <v>0</v>
      </c>
      <c r="Y203" s="196">
        <v>0</v>
      </c>
      <c r="Z203" s="159">
        <f>+Elementos_[[#This Row],[Cantidad LANIA]]*Elementos_[[#This Row],[Valor de referencia]]</f>
        <v>0</v>
      </c>
      <c r="AA203" s="196"/>
      <c r="AB203" s="159">
        <f>+Elementos_[[#This Row],[Cantidad SPA]]*Elementos_[[#This Row],[Valor de referencia]]</f>
        <v>0</v>
      </c>
      <c r="AC203" s="166" t="s">
        <v>2041</v>
      </c>
    </row>
    <row r="204" spans="1:29" ht="12.75" x14ac:dyDescent="0.2">
      <c r="A204" s="294" t="str">
        <f>IF(B204=Elementos_[[#This Row],[Cantidad LANIP]],"LANIP",IF(B204=Elementos_[[#This Row],[Cantidad 
LDV]],"LDV",IF(B204=Elementos_[[#This Row],[Cantidad LNDV]],"LNDV",IF(B204=Elementos_[[#This Row],[GGCA]],"GGCA",IF(B204=Elementos_[[#This Row],[Cantidad LDF]],"LDF",IF(B204=Elementos_[[#This Row],[Cantidad LDF&amp;MR]],"LDF&amp;MR",IF(B204=Elementos_[[#This Row],[Cantidad RED LASE]],"LASE",IF(B204=Elementos_[[#This Row],[Cantidad LANIA]],"LANIA",IF(B204=Elementos_[[#This Row],[Cantidad SPA]],"SPA"," ")))))))))</f>
        <v>LDF</v>
      </c>
      <c r="B20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204" s="298">
        <v>202</v>
      </c>
      <c r="D204" s="190">
        <v>288</v>
      </c>
      <c r="E204" s="285" t="s">
        <v>2381</v>
      </c>
      <c r="F204" s="200" t="s">
        <v>183</v>
      </c>
      <c r="G204" s="192" t="s">
        <v>2092</v>
      </c>
      <c r="H20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204" s="194">
        <v>51884</v>
      </c>
      <c r="J204" s="194">
        <f>+Elementos_[[#This Row],[Valor de referencia]]*Elementos_[[#This Row],[Cantidad]]</f>
        <v>518840</v>
      </c>
      <c r="K204" s="166"/>
      <c r="L204" s="159">
        <f>+Elementos_[[#This Row],[Cantidad LANIP]]*Elementos_[[#This Row],[Valor de referencia]]</f>
        <v>0</v>
      </c>
      <c r="M204" s="270">
        <v>0</v>
      </c>
      <c r="N204" s="195">
        <f>+Elementos_[[#This Row],[Cantidad 
LDV]]*Elementos_[[#This Row],[Valor de referencia]]</f>
        <v>0</v>
      </c>
      <c r="O204" s="166">
        <v>2</v>
      </c>
      <c r="P204" s="159">
        <f>+Elementos_[[#This Row],[Cantidad LNDV]]*Elementos_[[#This Row],[Valor de referencia]]</f>
        <v>103768</v>
      </c>
      <c r="Q204" s="196"/>
      <c r="R204" s="159">
        <f>+Elementos_[[#This Row],[GGCA]]*Elementos_[[#This Row],[Valor de referencia]]</f>
        <v>0</v>
      </c>
      <c r="S204" s="166">
        <v>8</v>
      </c>
      <c r="T204" s="159">
        <f>+Elementos_[[#This Row],[Cantidad LDF]]*Elementos_[[#This Row],[Valor de referencia]]</f>
        <v>415072</v>
      </c>
      <c r="U204" s="197"/>
      <c r="V204" s="159">
        <f>+Elementos_[[#This Row],[Cantidad LDF&amp;MR]]*Elementos_[[#This Row],[Valor de referencia]]</f>
        <v>0</v>
      </c>
      <c r="W204" s="166"/>
      <c r="X204" s="159">
        <f>+Elementos_[[#This Row],[Cantidad RED LASE]]*Elementos_[[#This Row],[Valor de referencia]]</f>
        <v>0</v>
      </c>
      <c r="Y204" s="196"/>
      <c r="Z204" s="159">
        <f>+Elementos_[[#This Row],[Cantidad LANIA]]*Elementos_[[#This Row],[Valor de referencia]]</f>
        <v>0</v>
      </c>
      <c r="AA204" s="196"/>
      <c r="AB204" s="159">
        <f>+Elementos_[[#This Row],[Cantidad SPA]]*Elementos_[[#This Row],[Valor de referencia]]</f>
        <v>0</v>
      </c>
      <c r="AC204" s="166" t="s">
        <v>2049</v>
      </c>
    </row>
    <row r="205" spans="1:29" ht="24" x14ac:dyDescent="0.2">
      <c r="A205" s="294" t="str">
        <f>IF(B205=Elementos_[[#This Row],[Cantidad LANIP]],"LANIP",IF(B205=Elementos_[[#This Row],[Cantidad 
LDV]],"LDV",IF(B205=Elementos_[[#This Row],[Cantidad LNDV]],"LNDV",IF(B205=Elementos_[[#This Row],[GGCA]],"GGCA",IF(B205=Elementos_[[#This Row],[Cantidad LDF]],"LDF",IF(B205=Elementos_[[#This Row],[Cantidad LDF&amp;MR]],"LDF&amp;MR",IF(B205=Elementos_[[#This Row],[Cantidad RED LASE]],"LASE",IF(B205=Elementos_[[#This Row],[Cantidad LANIA]],"LANIA",IF(B205=Elementos_[[#This Row],[Cantidad SPA]],"SPA"," ")))))))))</f>
        <v>LDF</v>
      </c>
      <c r="B20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205" s="298">
        <v>203</v>
      </c>
      <c r="D205" s="190">
        <v>290</v>
      </c>
      <c r="E205" s="425" t="s">
        <v>2382</v>
      </c>
      <c r="F205" s="200" t="s">
        <v>183</v>
      </c>
      <c r="G205" s="192" t="s">
        <v>525</v>
      </c>
      <c r="H20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205" s="194">
        <v>92275</v>
      </c>
      <c r="J205" s="194">
        <f>+Elementos_[[#This Row],[Valor de referencia]]*Elementos_[[#This Row],[Cantidad]]</f>
        <v>1107300</v>
      </c>
      <c r="K205" s="166"/>
      <c r="L205" s="159">
        <f>+Elementos_[[#This Row],[Cantidad LANIP]]*Elementos_[[#This Row],[Valor de referencia]]</f>
        <v>0</v>
      </c>
      <c r="M205" s="270"/>
      <c r="N205" s="195">
        <f>+Elementos_[[#This Row],[Cantidad 
LDV]]*Elementos_[[#This Row],[Valor de referencia]]</f>
        <v>0</v>
      </c>
      <c r="O205" s="166"/>
      <c r="P205" s="159">
        <f>+Elementos_[[#This Row],[Cantidad LNDV]]*Elementos_[[#This Row],[Valor de referencia]]</f>
        <v>0</v>
      </c>
      <c r="Q205" s="196"/>
      <c r="R205" s="159">
        <f>+Elementos_[[#This Row],[GGCA]]*Elementos_[[#This Row],[Valor de referencia]]</f>
        <v>0</v>
      </c>
      <c r="S205" s="166">
        <v>6</v>
      </c>
      <c r="T205" s="159">
        <f>+Elementos_[[#This Row],[Cantidad LDF]]*Elementos_[[#This Row],[Valor de referencia]]</f>
        <v>553650</v>
      </c>
      <c r="U205" s="197"/>
      <c r="V205" s="159">
        <f>+Elementos_[[#This Row],[Cantidad LDF&amp;MR]]*Elementos_[[#This Row],[Valor de referencia]]</f>
        <v>0</v>
      </c>
      <c r="W205" s="166">
        <v>6</v>
      </c>
      <c r="X205" s="159">
        <f>+Elementos_[[#This Row],[Cantidad RED LASE]]*Elementos_[[#This Row],[Valor de referencia]]</f>
        <v>553650</v>
      </c>
      <c r="Y205" s="196"/>
      <c r="Z205" s="159">
        <f>+Elementos_[[#This Row],[Cantidad LANIA]]*Elementos_[[#This Row],[Valor de referencia]]</f>
        <v>0</v>
      </c>
      <c r="AA205" s="196"/>
      <c r="AB205" s="159">
        <f>+Elementos_[[#This Row],[Cantidad SPA]]*Elementos_[[#This Row],[Valor de referencia]]</f>
        <v>0</v>
      </c>
      <c r="AC205" s="166" t="s">
        <v>2049</v>
      </c>
    </row>
    <row r="206" spans="1:29" ht="60" x14ac:dyDescent="0.2">
      <c r="A206" s="294" t="str">
        <f>IF(B206=Elementos_[[#This Row],[Cantidad LANIP]],"LANIP",IF(B206=Elementos_[[#This Row],[Cantidad 
LDV]],"LDV",IF(B206=Elementos_[[#This Row],[Cantidad LNDV]],"LNDV",IF(B206=Elementos_[[#This Row],[GGCA]],"GGCA",IF(B206=Elementos_[[#This Row],[Cantidad LDF]],"LDF",IF(B206=Elementos_[[#This Row],[Cantidad LDF&amp;MR]],"LDF&amp;MR",IF(B206=Elementos_[[#This Row],[Cantidad RED LASE]],"LASE",IF(B206=Elementos_[[#This Row],[Cantidad LANIA]],"LANIA",IF(B206=Elementos_[[#This Row],[Cantidad SPA]],"SPA"," ")))))))))</f>
        <v>LANIA</v>
      </c>
      <c r="B20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206" s="298">
        <v>204</v>
      </c>
      <c r="D206" s="190">
        <v>294</v>
      </c>
      <c r="E206" s="273" t="s">
        <v>2383</v>
      </c>
      <c r="F206" s="201" t="s">
        <v>2384</v>
      </c>
      <c r="G206" s="192" t="s">
        <v>1391</v>
      </c>
      <c r="H20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206" s="194">
        <v>1410573</v>
      </c>
      <c r="J206" s="194">
        <f>+Elementos_[[#This Row],[Valor de referencia]]*Elementos_[[#This Row],[Cantidad]]</f>
        <v>4231719</v>
      </c>
      <c r="K206" s="166"/>
      <c r="L206" s="159">
        <f>+Elementos_[[#This Row],[Cantidad LANIP]]*Elementos_[[#This Row],[Valor de referencia]]</f>
        <v>0</v>
      </c>
      <c r="M206" s="270"/>
      <c r="N206" s="195">
        <f>+Elementos_[[#This Row],[Cantidad 
LDV]]*Elementos_[[#This Row],[Valor de referencia]]</f>
        <v>0</v>
      </c>
      <c r="O206" s="166"/>
      <c r="P206" s="159">
        <f>+Elementos_[[#This Row],[Cantidad LNDV]]*Elementos_[[#This Row],[Valor de referencia]]</f>
        <v>0</v>
      </c>
      <c r="Q206" s="196"/>
      <c r="R206" s="159">
        <f>+Elementos_[[#This Row],[GGCA]]*Elementos_[[#This Row],[Valor de referencia]]</f>
        <v>0</v>
      </c>
      <c r="S206" s="166"/>
      <c r="T206" s="159">
        <f>+Elementos_[[#This Row],[Cantidad LDF]]*Elementos_[[#This Row],[Valor de referencia]]</f>
        <v>0</v>
      </c>
      <c r="U206" s="197"/>
      <c r="V206" s="159">
        <f>+Elementos_[[#This Row],[Cantidad LDF&amp;MR]]*Elementos_[[#This Row],[Valor de referencia]]</f>
        <v>0</v>
      </c>
      <c r="W206" s="166"/>
      <c r="X206" s="159">
        <f>+Elementos_[[#This Row],[Cantidad RED LASE]]*Elementos_[[#This Row],[Valor de referencia]]</f>
        <v>0</v>
      </c>
      <c r="Y206" s="196">
        <v>3</v>
      </c>
      <c r="Z206" s="159">
        <f>+Elementos_[[#This Row],[Cantidad LANIA]]*Elementos_[[#This Row],[Valor de referencia]]</f>
        <v>4231719</v>
      </c>
      <c r="AA206" s="196"/>
      <c r="AB206" s="159">
        <f>+Elementos_[[#This Row],[Cantidad SPA]]*Elementos_[[#This Row],[Valor de referencia]]</f>
        <v>0</v>
      </c>
      <c r="AC206" s="166" t="s">
        <v>2041</v>
      </c>
    </row>
    <row r="207" spans="1:29" ht="24" x14ac:dyDescent="0.2">
      <c r="A207" s="294" t="str">
        <f>IF(B207=Elementos_[[#This Row],[Cantidad LANIP]],"LANIP",IF(B207=Elementos_[[#This Row],[Cantidad 
LDV]],"LDV",IF(B207=Elementos_[[#This Row],[Cantidad LNDV]],"LNDV",IF(B207=Elementos_[[#This Row],[GGCA]],"GGCA",IF(B207=Elementos_[[#This Row],[Cantidad LDF]],"LDF",IF(B207=Elementos_[[#This Row],[Cantidad LDF&amp;MR]],"LDF&amp;MR",IF(B207=Elementos_[[#This Row],[Cantidad RED LASE]],"LASE",IF(B207=Elementos_[[#This Row],[Cantidad LANIA]],"LANIA",IF(B207=Elementos_[[#This Row],[Cantidad SPA]],"SPA"," ")))))))))</f>
        <v>LNDV</v>
      </c>
      <c r="B20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07" s="298">
        <v>205</v>
      </c>
      <c r="D207" s="190">
        <v>296</v>
      </c>
      <c r="E207" s="286" t="s">
        <v>2385</v>
      </c>
      <c r="F207" s="225" t="s">
        <v>2386</v>
      </c>
      <c r="G207" s="226" t="s">
        <v>2387</v>
      </c>
      <c r="H20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207" s="194">
        <v>868886</v>
      </c>
      <c r="J207" s="194">
        <f>+Elementos_[[#This Row],[Valor de referencia]]*Elementos_[[#This Row],[Cantidad]]</f>
        <v>8688860</v>
      </c>
      <c r="K207" s="166"/>
      <c r="L207" s="159">
        <f>+Elementos_[[#This Row],[Cantidad LANIP]]*Elementos_[[#This Row],[Valor de referencia]]</f>
        <v>0</v>
      </c>
      <c r="M207" s="270"/>
      <c r="N207" s="195">
        <f>+Elementos_[[#This Row],[Cantidad 
LDV]]*Elementos_[[#This Row],[Valor de referencia]]</f>
        <v>0</v>
      </c>
      <c r="O207" s="166">
        <v>10</v>
      </c>
      <c r="P207" s="159">
        <f>+Elementos_[[#This Row],[Cantidad LNDV]]*Elementos_[[#This Row],[Valor de referencia]]</f>
        <v>8688860</v>
      </c>
      <c r="Q207" s="196"/>
      <c r="R207" s="159">
        <f>+Elementos_[[#This Row],[GGCA]]*Elementos_[[#This Row],[Valor de referencia]]</f>
        <v>0</v>
      </c>
      <c r="S207" s="166"/>
      <c r="T207" s="159">
        <f>+Elementos_[[#This Row],[Cantidad LDF]]*Elementos_[[#This Row],[Valor de referencia]]</f>
        <v>0</v>
      </c>
      <c r="U207" s="197"/>
      <c r="V207" s="159">
        <f>+Elementos_[[#This Row],[Cantidad LDF&amp;MR]]*Elementos_[[#This Row],[Valor de referencia]]</f>
        <v>0</v>
      </c>
      <c r="W207" s="166"/>
      <c r="X207" s="159">
        <f>+Elementos_[[#This Row],[Cantidad RED LASE]]*Elementos_[[#This Row],[Valor de referencia]]</f>
        <v>0</v>
      </c>
      <c r="Y207" s="196"/>
      <c r="Z207" s="159">
        <f>+Elementos_[[#This Row],[Cantidad LANIA]]*Elementos_[[#This Row],[Valor de referencia]]</f>
        <v>0</v>
      </c>
      <c r="AA207" s="196"/>
      <c r="AB207" s="159">
        <f>+Elementos_[[#This Row],[Cantidad SPA]]*Elementos_[[#This Row],[Valor de referencia]]</f>
        <v>0</v>
      </c>
      <c r="AC207" s="166" t="s">
        <v>2041</v>
      </c>
    </row>
    <row r="208" spans="1:29" ht="24" x14ac:dyDescent="0.2">
      <c r="A208" s="294" t="str">
        <f>IF(B208=Elementos_[[#This Row],[Cantidad LANIP]],"LANIP",IF(B208=Elementos_[[#This Row],[Cantidad 
LDV]],"LDV",IF(B208=Elementos_[[#This Row],[Cantidad LNDV]],"LNDV",IF(B208=Elementos_[[#This Row],[GGCA]],"GGCA",IF(B208=Elementos_[[#This Row],[Cantidad LDF]],"LDF",IF(B208=Elementos_[[#This Row],[Cantidad LDF&amp;MR]],"LDF&amp;MR",IF(B208=Elementos_[[#This Row],[Cantidad RED LASE]],"LASE",IF(B208=Elementos_[[#This Row],[Cantidad LANIA]],"LANIA",IF(B208=Elementos_[[#This Row],[Cantidad SPA]],"SPA"," ")))))))))</f>
        <v>LNDV</v>
      </c>
      <c r="B20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08" s="298">
        <v>206</v>
      </c>
      <c r="D208" s="190">
        <v>297</v>
      </c>
      <c r="E208" s="273" t="s">
        <v>2388</v>
      </c>
      <c r="F208" s="227" t="s">
        <v>2389</v>
      </c>
      <c r="G208" s="192" t="s">
        <v>2390</v>
      </c>
      <c r="H20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208" s="194">
        <v>659932</v>
      </c>
      <c r="J208" s="194">
        <f>+Elementos_[[#This Row],[Valor de referencia]]*Elementos_[[#This Row],[Cantidad]]</f>
        <v>6599320</v>
      </c>
      <c r="K208" s="166"/>
      <c r="L208" s="159">
        <f>+Elementos_[[#This Row],[Cantidad LANIP]]*Elementos_[[#This Row],[Valor de referencia]]</f>
        <v>0</v>
      </c>
      <c r="M208" s="270"/>
      <c r="N208" s="195">
        <f>+Elementos_[[#This Row],[Cantidad 
LDV]]*Elementos_[[#This Row],[Valor de referencia]]</f>
        <v>0</v>
      </c>
      <c r="O208" s="166">
        <v>10</v>
      </c>
      <c r="P208" s="159">
        <f>+Elementos_[[#This Row],[Cantidad LNDV]]*Elementos_[[#This Row],[Valor de referencia]]</f>
        <v>6599320</v>
      </c>
      <c r="Q208" s="196"/>
      <c r="R208" s="159">
        <f>+Elementos_[[#This Row],[GGCA]]*Elementos_[[#This Row],[Valor de referencia]]</f>
        <v>0</v>
      </c>
      <c r="S208" s="166"/>
      <c r="T208" s="159">
        <f>+Elementos_[[#This Row],[Cantidad LDF]]*Elementos_[[#This Row],[Valor de referencia]]</f>
        <v>0</v>
      </c>
      <c r="U208" s="197"/>
      <c r="V208" s="159">
        <f>+Elementos_[[#This Row],[Cantidad LDF&amp;MR]]*Elementos_[[#This Row],[Valor de referencia]]</f>
        <v>0</v>
      </c>
      <c r="W208" s="166"/>
      <c r="X208" s="159">
        <f>+Elementos_[[#This Row],[Cantidad RED LASE]]*Elementos_[[#This Row],[Valor de referencia]]</f>
        <v>0</v>
      </c>
      <c r="Y208" s="196"/>
      <c r="Z208" s="159">
        <f>+Elementos_[[#This Row],[Cantidad LANIA]]*Elementos_[[#This Row],[Valor de referencia]]</f>
        <v>0</v>
      </c>
      <c r="AA208" s="196"/>
      <c r="AB208" s="159">
        <f>+Elementos_[[#This Row],[Cantidad SPA]]*Elementos_[[#This Row],[Valor de referencia]]</f>
        <v>0</v>
      </c>
      <c r="AC208" s="166" t="s">
        <v>2041</v>
      </c>
    </row>
    <row r="209" spans="1:29" ht="24" x14ac:dyDescent="0.2">
      <c r="A209" s="294" t="str">
        <f>IF(B209=Elementos_[[#This Row],[Cantidad LANIP]],"LANIP",IF(B209=Elementos_[[#This Row],[Cantidad 
LDV]],"LDV",IF(B209=Elementos_[[#This Row],[Cantidad LNDV]],"LNDV",IF(B209=Elementos_[[#This Row],[GGCA]],"GGCA",IF(B209=Elementos_[[#This Row],[Cantidad LDF]],"LDF",IF(B209=Elementos_[[#This Row],[Cantidad LDF&amp;MR]],"LDF&amp;MR",IF(B209=Elementos_[[#This Row],[Cantidad RED LASE]],"LASE",IF(B209=Elementos_[[#This Row],[Cantidad LANIA]],"LANIA",IF(B209=Elementos_[[#This Row],[Cantidad SPA]],"SPA"," ")))))))))</f>
        <v>LANIA</v>
      </c>
      <c r="B20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209" s="298">
        <v>207</v>
      </c>
      <c r="D209" s="190">
        <v>301</v>
      </c>
      <c r="E209" s="277" t="s">
        <v>2391</v>
      </c>
      <c r="F209" s="200" t="s">
        <v>2392</v>
      </c>
      <c r="G209" s="192" t="s">
        <v>2268</v>
      </c>
      <c r="H20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209" s="194">
        <v>204924</v>
      </c>
      <c r="J209" s="194">
        <f>+Elementos_[[#This Row],[Valor de referencia]]*Elementos_[[#This Row],[Cantidad]]</f>
        <v>204924</v>
      </c>
      <c r="K209" s="166"/>
      <c r="L209" s="159">
        <f>+Elementos_[[#This Row],[Cantidad LANIP]]*Elementos_[[#This Row],[Valor de referencia]]</f>
        <v>0</v>
      </c>
      <c r="M209" s="270">
        <v>0</v>
      </c>
      <c r="N209" s="195">
        <f>+Elementos_[[#This Row],[Cantidad 
LDV]]*Elementos_[[#This Row],[Valor de referencia]]</f>
        <v>0</v>
      </c>
      <c r="O209" s="166"/>
      <c r="P209" s="159">
        <f>+Elementos_[[#This Row],[Cantidad LNDV]]*Elementos_[[#This Row],[Valor de referencia]]</f>
        <v>0</v>
      </c>
      <c r="Q209" s="196"/>
      <c r="R209" s="159">
        <f>+Elementos_[[#This Row],[GGCA]]*Elementos_[[#This Row],[Valor de referencia]]</f>
        <v>0</v>
      </c>
      <c r="S209" s="166"/>
      <c r="T209" s="159">
        <f>+Elementos_[[#This Row],[Cantidad LDF]]*Elementos_[[#This Row],[Valor de referencia]]</f>
        <v>0</v>
      </c>
      <c r="U209" s="197"/>
      <c r="V209" s="159">
        <f>+Elementos_[[#This Row],[Cantidad LDF&amp;MR]]*Elementos_[[#This Row],[Valor de referencia]]</f>
        <v>0</v>
      </c>
      <c r="W209" s="166"/>
      <c r="X209" s="159">
        <f>+Elementos_[[#This Row],[Cantidad RED LASE]]*Elementos_[[#This Row],[Valor de referencia]]</f>
        <v>0</v>
      </c>
      <c r="Y209" s="196">
        <v>1</v>
      </c>
      <c r="Z209" s="159">
        <f>+Elementos_[[#This Row],[Cantidad LANIA]]*Elementos_[[#This Row],[Valor de referencia]]</f>
        <v>204924</v>
      </c>
      <c r="AA209" s="196"/>
      <c r="AB209" s="159">
        <f>+Elementos_[[#This Row],[Cantidad SPA]]*Elementos_[[#This Row],[Valor de referencia]]</f>
        <v>0</v>
      </c>
      <c r="AC209" s="166" t="s">
        <v>2049</v>
      </c>
    </row>
    <row r="210" spans="1:29" ht="60" x14ac:dyDescent="0.2">
      <c r="A210" s="294" t="str">
        <f>IF(B210=Elementos_[[#This Row],[Cantidad LANIP]],"LANIP",IF(B210=Elementos_[[#This Row],[Cantidad 
LDV]],"LDV",IF(B210=Elementos_[[#This Row],[Cantidad LNDV]],"LNDV",IF(B210=Elementos_[[#This Row],[GGCA]],"GGCA",IF(B210=Elementos_[[#This Row],[Cantidad LDF]],"LDF",IF(B210=Elementos_[[#This Row],[Cantidad LDF&amp;MR]],"LDF&amp;MR",IF(B210=Elementos_[[#This Row],[Cantidad RED LASE]],"LASE",IF(B210=Elementos_[[#This Row],[Cantidad LANIA]],"LANIA",IF(B210=Elementos_[[#This Row],[Cantidad SPA]],"SPA"," ")))))))))</f>
        <v>LANIP</v>
      </c>
      <c r="B21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210" s="298">
        <v>208</v>
      </c>
      <c r="D210" s="190">
        <v>303</v>
      </c>
      <c r="E210" s="299" t="s">
        <v>2393</v>
      </c>
      <c r="F210" s="201" t="s">
        <v>2394</v>
      </c>
      <c r="G210" s="192" t="s">
        <v>1391</v>
      </c>
      <c r="H21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210" s="194">
        <v>1021407</v>
      </c>
      <c r="J210" s="194">
        <f>+Elementos_[[#This Row],[Valor de referencia]]*Elementos_[[#This Row],[Cantidad]]</f>
        <v>5107035</v>
      </c>
      <c r="K210" s="166">
        <v>3</v>
      </c>
      <c r="L210" s="159">
        <f>+Elementos_[[#This Row],[Cantidad LANIP]]*Elementos_[[#This Row],[Valor de referencia]]</f>
        <v>3064221</v>
      </c>
      <c r="M210" s="270">
        <v>0</v>
      </c>
      <c r="N210" s="195">
        <f>+Elementos_[[#This Row],[Cantidad 
LDV]]*Elementos_[[#This Row],[Valor de referencia]]</f>
        <v>0</v>
      </c>
      <c r="O210" s="166"/>
      <c r="P210" s="159">
        <f>+Elementos_[[#This Row],[Cantidad LNDV]]*Elementos_[[#This Row],[Valor de referencia]]</f>
        <v>0</v>
      </c>
      <c r="Q210" s="196"/>
      <c r="R210" s="159">
        <f>+Elementos_[[#This Row],[GGCA]]*Elementos_[[#This Row],[Valor de referencia]]</f>
        <v>0</v>
      </c>
      <c r="S210" s="166"/>
      <c r="T210" s="159">
        <f>+Elementos_[[#This Row],[Cantidad LDF]]*Elementos_[[#This Row],[Valor de referencia]]</f>
        <v>0</v>
      </c>
      <c r="U210" s="197">
        <v>1</v>
      </c>
      <c r="V210" s="159">
        <f>+Elementos_[[#This Row],[Cantidad LDF&amp;MR]]*Elementos_[[#This Row],[Valor de referencia]]</f>
        <v>1021407</v>
      </c>
      <c r="W210" s="166"/>
      <c r="X210" s="159">
        <f>+Elementos_[[#This Row],[Cantidad RED LASE]]*Elementos_[[#This Row],[Valor de referencia]]</f>
        <v>0</v>
      </c>
      <c r="Y210" s="196">
        <v>1</v>
      </c>
      <c r="Z210" s="159">
        <f>+Elementos_[[#This Row],[Cantidad LANIA]]*Elementos_[[#This Row],[Valor de referencia]]</f>
        <v>1021407</v>
      </c>
      <c r="AA210" s="196"/>
      <c r="AB210" s="159">
        <f>+Elementos_[[#This Row],[Cantidad SPA]]*Elementos_[[#This Row],[Valor de referencia]]</f>
        <v>0</v>
      </c>
      <c r="AC210" s="166" t="s">
        <v>2041</v>
      </c>
    </row>
    <row r="211" spans="1:29" ht="60" x14ac:dyDescent="0.2">
      <c r="A211" s="294" t="str">
        <f>IF(B211=Elementos_[[#This Row],[Cantidad LANIP]],"LANIP",IF(B211=Elementos_[[#This Row],[Cantidad 
LDV]],"LDV",IF(B211=Elementos_[[#This Row],[Cantidad LNDV]],"LNDV",IF(B211=Elementos_[[#This Row],[GGCA]],"GGCA",IF(B211=Elementos_[[#This Row],[Cantidad LDF]],"LDF",IF(B211=Elementos_[[#This Row],[Cantidad LDF&amp;MR]],"LDF&amp;MR",IF(B211=Elementos_[[#This Row],[Cantidad RED LASE]],"LASE",IF(B211=Elementos_[[#This Row],[Cantidad LANIA]],"LANIA",IF(B211=Elementos_[[#This Row],[Cantidad SPA]],"SPA"," ")))))))))</f>
        <v>LANIP</v>
      </c>
      <c r="B21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211" s="298">
        <v>209</v>
      </c>
      <c r="D211" s="190">
        <v>304</v>
      </c>
      <c r="E211" s="299" t="s">
        <v>2395</v>
      </c>
      <c r="F211" s="204" t="s">
        <v>2396</v>
      </c>
      <c r="G211" s="192" t="s">
        <v>2054</v>
      </c>
      <c r="H21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211" s="194">
        <v>1125435</v>
      </c>
      <c r="J211" s="194">
        <f>+Elementos_[[#This Row],[Valor de referencia]]*Elementos_[[#This Row],[Cantidad]]</f>
        <v>3376305</v>
      </c>
      <c r="K211" s="166">
        <v>1</v>
      </c>
      <c r="L211" s="159">
        <f>+Elementos_[[#This Row],[Cantidad LANIP]]*Elementos_[[#This Row],[Valor de referencia]]</f>
        <v>1125435</v>
      </c>
      <c r="M211" s="270">
        <v>0</v>
      </c>
      <c r="N211" s="195">
        <f>+Elementos_[[#This Row],[Cantidad 
LDV]]*Elementos_[[#This Row],[Valor de referencia]]</f>
        <v>0</v>
      </c>
      <c r="O211" s="166"/>
      <c r="P211" s="159">
        <f>+Elementos_[[#This Row],[Cantidad LNDV]]*Elementos_[[#This Row],[Valor de referencia]]</f>
        <v>0</v>
      </c>
      <c r="Q211" s="196"/>
      <c r="R211" s="159">
        <f>+Elementos_[[#This Row],[GGCA]]*Elementos_[[#This Row],[Valor de referencia]]</f>
        <v>0</v>
      </c>
      <c r="S211" s="166">
        <v>1</v>
      </c>
      <c r="T211" s="159">
        <f>+Elementos_[[#This Row],[Cantidad LDF]]*Elementos_[[#This Row],[Valor de referencia]]</f>
        <v>1125435</v>
      </c>
      <c r="U211" s="197">
        <v>1</v>
      </c>
      <c r="V211" s="159">
        <f>+Elementos_[[#This Row],[Cantidad LDF&amp;MR]]*Elementos_[[#This Row],[Valor de referencia]]</f>
        <v>1125435</v>
      </c>
      <c r="W211" s="166"/>
      <c r="X211" s="159">
        <f>+Elementos_[[#This Row],[Cantidad RED LASE]]*Elementos_[[#This Row],[Valor de referencia]]</f>
        <v>0</v>
      </c>
      <c r="Y211" s="196"/>
      <c r="Z211" s="159">
        <f>+Elementos_[[#This Row],[Cantidad LANIA]]*Elementos_[[#This Row],[Valor de referencia]]</f>
        <v>0</v>
      </c>
      <c r="AA211" s="196"/>
      <c r="AB211" s="159">
        <f>+Elementos_[[#This Row],[Cantidad SPA]]*Elementos_[[#This Row],[Valor de referencia]]</f>
        <v>0</v>
      </c>
      <c r="AC211" s="166" t="s">
        <v>2041</v>
      </c>
    </row>
    <row r="212" spans="1:29" ht="36" x14ac:dyDescent="0.2">
      <c r="A212" s="294" t="str">
        <f>IF(B212=Elementos_[[#This Row],[Cantidad LANIP]],"LANIP",IF(B212=Elementos_[[#This Row],[Cantidad 
LDV]],"LDV",IF(B212=Elementos_[[#This Row],[Cantidad LNDV]],"LNDV",IF(B212=Elementos_[[#This Row],[GGCA]],"GGCA",IF(B212=Elementos_[[#This Row],[Cantidad LDF]],"LDF",IF(B212=Elementos_[[#This Row],[Cantidad LDF&amp;MR]],"LDF&amp;MR",IF(B212=Elementos_[[#This Row],[Cantidad RED LASE]],"LASE",IF(B212=Elementos_[[#This Row],[Cantidad LANIA]],"LANIA",IF(B212=Elementos_[[#This Row],[Cantidad SPA]],"SPA"," ")))))))))</f>
        <v>LANIA</v>
      </c>
      <c r="B21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42</v>
      </c>
      <c r="C212" s="298">
        <v>210</v>
      </c>
      <c r="D212" s="190">
        <v>305</v>
      </c>
      <c r="E212" s="273" t="s">
        <v>2395</v>
      </c>
      <c r="F212" s="201" t="s">
        <v>2397</v>
      </c>
      <c r="G212" s="192" t="s">
        <v>2054</v>
      </c>
      <c r="H21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58</v>
      </c>
      <c r="I212" s="194">
        <v>1081472</v>
      </c>
      <c r="J212" s="194">
        <f>+Elementos_[[#This Row],[Valor de referencia]]*Elementos_[[#This Row],[Cantidad]]</f>
        <v>62725376</v>
      </c>
      <c r="K212" s="166">
        <v>10</v>
      </c>
      <c r="L212" s="159">
        <f>+Elementos_[[#This Row],[Cantidad LANIP]]*Elementos_[[#This Row],[Valor de referencia]]</f>
        <v>10814720</v>
      </c>
      <c r="M212" s="270">
        <v>0</v>
      </c>
      <c r="N212" s="195">
        <f>+Elementos_[[#This Row],[Cantidad 
LDV]]*Elementos_[[#This Row],[Valor de referencia]]</f>
        <v>0</v>
      </c>
      <c r="O212" s="166">
        <v>6</v>
      </c>
      <c r="P212" s="159">
        <f>+Elementos_[[#This Row],[Cantidad LNDV]]*Elementos_[[#This Row],[Valor de referencia]]</f>
        <v>6488832</v>
      </c>
      <c r="Q212" s="196"/>
      <c r="R212" s="159">
        <f>+Elementos_[[#This Row],[GGCA]]*Elementos_[[#This Row],[Valor de referencia]]</f>
        <v>0</v>
      </c>
      <c r="S212" s="166"/>
      <c r="T212" s="159">
        <f>+Elementos_[[#This Row],[Cantidad LDF]]*Elementos_[[#This Row],[Valor de referencia]]</f>
        <v>0</v>
      </c>
      <c r="U212" s="197"/>
      <c r="V212" s="159">
        <f>+Elementos_[[#This Row],[Cantidad LDF&amp;MR]]*Elementos_[[#This Row],[Valor de referencia]]</f>
        <v>0</v>
      </c>
      <c r="W212" s="166"/>
      <c r="X212" s="159">
        <f>+Elementos_[[#This Row],[Cantidad RED LASE]]*Elementos_[[#This Row],[Valor de referencia]]</f>
        <v>0</v>
      </c>
      <c r="Y212" s="196">
        <v>42</v>
      </c>
      <c r="Z212" s="159">
        <f>+Elementos_[[#This Row],[Cantidad LANIA]]*Elementos_[[#This Row],[Valor de referencia]]</f>
        <v>45421824</v>
      </c>
      <c r="AA212" s="196"/>
      <c r="AB212" s="159">
        <f>+Elementos_[[#This Row],[Cantidad SPA]]*Elementos_[[#This Row],[Valor de referencia]]</f>
        <v>0</v>
      </c>
      <c r="AC212" s="166" t="s">
        <v>2041</v>
      </c>
    </row>
    <row r="213" spans="1:29" ht="72" x14ac:dyDescent="0.2">
      <c r="A213" s="294" t="str">
        <f>IF(B213=Elementos_[[#This Row],[Cantidad LANIP]],"LANIP",IF(B213=Elementos_[[#This Row],[Cantidad 
LDV]],"LDV",IF(B213=Elementos_[[#This Row],[Cantidad LNDV]],"LNDV",IF(B213=Elementos_[[#This Row],[GGCA]],"GGCA",IF(B213=Elementos_[[#This Row],[Cantidad LDF]],"LDF",IF(B213=Elementos_[[#This Row],[Cantidad LDF&amp;MR]],"LDF&amp;MR",IF(B213=Elementos_[[#This Row],[Cantidad RED LASE]],"LASE",IF(B213=Elementos_[[#This Row],[Cantidad LANIA]],"LANIA",IF(B213=Elementos_[[#This Row],[Cantidad SPA]],"SPA"," ")))))))))</f>
        <v>LANIP</v>
      </c>
      <c r="B21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213" s="298">
        <v>211</v>
      </c>
      <c r="D213" s="190">
        <v>306</v>
      </c>
      <c r="E213" s="273" t="s">
        <v>2398</v>
      </c>
      <c r="F213" s="201" t="s">
        <v>2399</v>
      </c>
      <c r="G213" s="192" t="s">
        <v>2328</v>
      </c>
      <c r="H21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213" s="194">
        <v>1313846</v>
      </c>
      <c r="J213" s="194">
        <f>+Elementos_[[#This Row],[Valor de referencia]]*Elementos_[[#This Row],[Cantidad]]</f>
        <v>17079998</v>
      </c>
      <c r="K213" s="166">
        <v>8</v>
      </c>
      <c r="L213" s="159">
        <f>+Elementos_[[#This Row],[Cantidad LANIP]]*Elementos_[[#This Row],[Valor de referencia]]</f>
        <v>10510768</v>
      </c>
      <c r="M213" s="270">
        <v>0</v>
      </c>
      <c r="N213" s="195">
        <f>+Elementos_[[#This Row],[Cantidad 
LDV]]*Elementos_[[#This Row],[Valor de referencia]]</f>
        <v>0</v>
      </c>
      <c r="O213" s="166">
        <v>3</v>
      </c>
      <c r="P213" s="159">
        <f>+Elementos_[[#This Row],[Cantidad LNDV]]*Elementos_[[#This Row],[Valor de referencia]]</f>
        <v>3941538</v>
      </c>
      <c r="Q213" s="196"/>
      <c r="R213" s="159">
        <f>+Elementos_[[#This Row],[GGCA]]*Elementos_[[#This Row],[Valor de referencia]]</f>
        <v>0</v>
      </c>
      <c r="S213" s="166"/>
      <c r="T213" s="159">
        <f>+Elementos_[[#This Row],[Cantidad LDF]]*Elementos_[[#This Row],[Valor de referencia]]</f>
        <v>0</v>
      </c>
      <c r="U213" s="197"/>
      <c r="V213" s="159">
        <f>+Elementos_[[#This Row],[Cantidad LDF&amp;MR]]*Elementos_[[#This Row],[Valor de referencia]]</f>
        <v>0</v>
      </c>
      <c r="W213" s="166"/>
      <c r="X213" s="159">
        <f>+Elementos_[[#This Row],[Cantidad RED LASE]]*Elementos_[[#This Row],[Valor de referencia]]</f>
        <v>0</v>
      </c>
      <c r="Y213" s="196">
        <v>2</v>
      </c>
      <c r="Z213" s="159">
        <f>+Elementos_[[#This Row],[Cantidad LANIA]]*Elementos_[[#This Row],[Valor de referencia]]</f>
        <v>2627692</v>
      </c>
      <c r="AA213" s="196"/>
      <c r="AB213" s="159">
        <f>+Elementos_[[#This Row],[Cantidad SPA]]*Elementos_[[#This Row],[Valor de referencia]]</f>
        <v>0</v>
      </c>
      <c r="AC213" s="166" t="s">
        <v>2041</v>
      </c>
    </row>
    <row r="214" spans="1:29" ht="48" x14ac:dyDescent="0.2">
      <c r="A214" s="294" t="str">
        <f>IF(B214=Elementos_[[#This Row],[Cantidad LANIP]],"LANIP",IF(B214=Elementos_[[#This Row],[Cantidad 
LDV]],"LDV",IF(B214=Elementos_[[#This Row],[Cantidad LNDV]],"LNDV",IF(B214=Elementos_[[#This Row],[GGCA]],"GGCA",IF(B214=Elementos_[[#This Row],[Cantidad LDF]],"LDF",IF(B214=Elementos_[[#This Row],[Cantidad LDF&amp;MR]],"LDF&amp;MR",IF(B214=Elementos_[[#This Row],[Cantidad RED LASE]],"LASE",IF(B214=Elementos_[[#This Row],[Cantidad LANIA]],"LANIA",IF(B214=Elementos_[[#This Row],[Cantidad SPA]],"SPA"," ")))))))))</f>
        <v>LANIP</v>
      </c>
      <c r="B21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214" s="298">
        <v>212</v>
      </c>
      <c r="D214" s="190">
        <v>307</v>
      </c>
      <c r="E214" s="424" t="s">
        <v>2400</v>
      </c>
      <c r="F214" s="201" t="s">
        <v>2401</v>
      </c>
      <c r="G214" s="202" t="s">
        <v>2054</v>
      </c>
      <c r="H21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214" s="194">
        <v>1437171</v>
      </c>
      <c r="J214" s="194">
        <f>+Elementos_[[#This Row],[Valor de referencia]]*Elementos_[[#This Row],[Cantidad]]</f>
        <v>8623026</v>
      </c>
      <c r="K214" s="166">
        <v>6</v>
      </c>
      <c r="L214" s="159">
        <f>+Elementos_[[#This Row],[Cantidad LANIP]]*Elementos_[[#This Row],[Valor de referencia]]</f>
        <v>8623026</v>
      </c>
      <c r="M214" s="270">
        <v>0</v>
      </c>
      <c r="N214" s="195">
        <f>+Elementos_[[#This Row],[Cantidad 
LDV]]*Elementos_[[#This Row],[Valor de referencia]]</f>
        <v>0</v>
      </c>
      <c r="O214" s="166"/>
      <c r="P214" s="159">
        <f>+Elementos_[[#This Row],[Cantidad LNDV]]*Elementos_[[#This Row],[Valor de referencia]]</f>
        <v>0</v>
      </c>
      <c r="Q214" s="196"/>
      <c r="R214" s="159">
        <f>+Elementos_[[#This Row],[GGCA]]*Elementos_[[#This Row],[Valor de referencia]]</f>
        <v>0</v>
      </c>
      <c r="S214" s="166"/>
      <c r="T214" s="159">
        <f>+Elementos_[[#This Row],[Cantidad LDF]]*Elementos_[[#This Row],[Valor de referencia]]</f>
        <v>0</v>
      </c>
      <c r="U214" s="197"/>
      <c r="V214" s="159">
        <f>+Elementos_[[#This Row],[Cantidad LDF&amp;MR]]*Elementos_[[#This Row],[Valor de referencia]]</f>
        <v>0</v>
      </c>
      <c r="W214" s="166"/>
      <c r="X214" s="159">
        <f>+Elementos_[[#This Row],[Cantidad RED LASE]]*Elementos_[[#This Row],[Valor de referencia]]</f>
        <v>0</v>
      </c>
      <c r="Y214" s="196"/>
      <c r="Z214" s="159">
        <f>+Elementos_[[#This Row],[Cantidad LANIA]]*Elementos_[[#This Row],[Valor de referencia]]</f>
        <v>0</v>
      </c>
      <c r="AA214" s="196"/>
      <c r="AB214" s="159">
        <f>+Elementos_[[#This Row],[Cantidad SPA]]*Elementos_[[#This Row],[Valor de referencia]]</f>
        <v>0</v>
      </c>
      <c r="AC214" s="166" t="s">
        <v>2041</v>
      </c>
    </row>
    <row r="215" spans="1:29" ht="36" x14ac:dyDescent="0.2">
      <c r="A215" s="294" t="str">
        <f>IF(B215=Elementos_[[#This Row],[Cantidad LANIP]],"LANIP",IF(B215=Elementos_[[#This Row],[Cantidad 
LDV]],"LDV",IF(B215=Elementos_[[#This Row],[Cantidad LNDV]],"LNDV",IF(B215=Elementos_[[#This Row],[GGCA]],"GGCA",IF(B215=Elementos_[[#This Row],[Cantidad LDF]],"LDF",IF(B215=Elementos_[[#This Row],[Cantidad LDF&amp;MR]],"LDF&amp;MR",IF(B215=Elementos_[[#This Row],[Cantidad RED LASE]],"LASE",IF(B215=Elementos_[[#This Row],[Cantidad LANIA]],"LANIA",IF(B215=Elementos_[[#This Row],[Cantidad SPA]],"SPA"," ")))))))))</f>
        <v>LNDV</v>
      </c>
      <c r="B21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215" s="298">
        <v>213</v>
      </c>
      <c r="D215" s="190">
        <v>310</v>
      </c>
      <c r="E215" s="273" t="s">
        <v>2402</v>
      </c>
      <c r="F215" s="201" t="s">
        <v>2403</v>
      </c>
      <c r="G215" s="192" t="s">
        <v>525</v>
      </c>
      <c r="H21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215" s="194">
        <v>87404</v>
      </c>
      <c r="J215" s="194">
        <f>+Elementos_[[#This Row],[Valor de referencia]]*Elementos_[[#This Row],[Cantidad]]</f>
        <v>87404</v>
      </c>
      <c r="K215" s="166"/>
      <c r="L215" s="159">
        <f>+Elementos_[[#This Row],[Cantidad LANIP]]*Elementos_[[#This Row],[Valor de referencia]]</f>
        <v>0</v>
      </c>
      <c r="M215" s="270">
        <v>0</v>
      </c>
      <c r="N215" s="195">
        <f>+Elementos_[[#This Row],[Cantidad 
LDV]]*Elementos_[[#This Row],[Valor de referencia]]</f>
        <v>0</v>
      </c>
      <c r="O215" s="166">
        <v>1</v>
      </c>
      <c r="P215" s="159">
        <f>+Elementos_[[#This Row],[Cantidad LNDV]]*Elementos_[[#This Row],[Valor de referencia]]</f>
        <v>87404</v>
      </c>
      <c r="Q215" s="196"/>
      <c r="R215" s="159">
        <f>+Elementos_[[#This Row],[GGCA]]*Elementos_[[#This Row],[Valor de referencia]]</f>
        <v>0</v>
      </c>
      <c r="S215" s="166"/>
      <c r="T215" s="159">
        <f>+Elementos_[[#This Row],[Cantidad LDF]]*Elementos_[[#This Row],[Valor de referencia]]</f>
        <v>0</v>
      </c>
      <c r="U215" s="197"/>
      <c r="V215" s="159">
        <f>+Elementos_[[#This Row],[Cantidad LDF&amp;MR]]*Elementos_[[#This Row],[Valor de referencia]]</f>
        <v>0</v>
      </c>
      <c r="W215" s="166"/>
      <c r="X215" s="159">
        <f>+Elementos_[[#This Row],[Cantidad RED LASE]]*Elementos_[[#This Row],[Valor de referencia]]</f>
        <v>0</v>
      </c>
      <c r="Y215" s="196"/>
      <c r="Z215" s="159">
        <f>+Elementos_[[#This Row],[Cantidad LANIA]]*Elementos_[[#This Row],[Valor de referencia]]</f>
        <v>0</v>
      </c>
      <c r="AA215" s="196"/>
      <c r="AB215" s="159">
        <f>+Elementos_[[#This Row],[Cantidad SPA]]*Elementos_[[#This Row],[Valor de referencia]]</f>
        <v>0</v>
      </c>
      <c r="AC215" s="166" t="s">
        <v>2041</v>
      </c>
    </row>
    <row r="216" spans="1:29" ht="84" x14ac:dyDescent="0.2">
      <c r="A216" s="294" t="str">
        <f>IF(B216=Elementos_[[#This Row],[Cantidad LANIP]],"LANIP",IF(B216=Elementos_[[#This Row],[Cantidad 
LDV]],"LDV",IF(B216=Elementos_[[#This Row],[Cantidad LNDV]],"LNDV",IF(B216=Elementos_[[#This Row],[GGCA]],"GGCA",IF(B216=Elementos_[[#This Row],[Cantidad LDF]],"LDF",IF(B216=Elementos_[[#This Row],[Cantidad LDF&amp;MR]],"LDF&amp;MR",IF(B216=Elementos_[[#This Row],[Cantidad RED LASE]],"LASE",IF(B216=Elementos_[[#This Row],[Cantidad LANIA]],"LANIA",IF(B216=Elementos_[[#This Row],[Cantidad SPA]],"SPA"," ")))))))))</f>
        <v>LDF</v>
      </c>
      <c r="B21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C216" s="298">
        <v>214</v>
      </c>
      <c r="D216" s="190">
        <v>312</v>
      </c>
      <c r="E216" s="273" t="s">
        <v>2404</v>
      </c>
      <c r="F216" s="205" t="s">
        <v>2405</v>
      </c>
      <c r="G216" s="192" t="s">
        <v>525</v>
      </c>
      <c r="H21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I216" s="194">
        <v>111113</v>
      </c>
      <c r="J216" s="194">
        <f>+Elementos_[[#This Row],[Valor de referencia]]*Elementos_[[#This Row],[Cantidad]]</f>
        <v>1555582</v>
      </c>
      <c r="K216" s="166"/>
      <c r="L216" s="159">
        <f>+Elementos_[[#This Row],[Cantidad LANIP]]*Elementos_[[#This Row],[Valor de referencia]]</f>
        <v>0</v>
      </c>
      <c r="M216" s="270">
        <v>0</v>
      </c>
      <c r="N216" s="195">
        <f>+Elementos_[[#This Row],[Cantidad 
LDV]]*Elementos_[[#This Row],[Valor de referencia]]</f>
        <v>0</v>
      </c>
      <c r="O216" s="166"/>
      <c r="P216" s="159">
        <f>+Elementos_[[#This Row],[Cantidad LNDV]]*Elementos_[[#This Row],[Valor de referencia]]</f>
        <v>0</v>
      </c>
      <c r="Q216" s="196"/>
      <c r="R216" s="159">
        <f>+Elementos_[[#This Row],[GGCA]]*Elementos_[[#This Row],[Valor de referencia]]</f>
        <v>0</v>
      </c>
      <c r="S216" s="166">
        <v>14</v>
      </c>
      <c r="T216" s="159">
        <f>+Elementos_[[#This Row],[Cantidad LDF]]*Elementos_[[#This Row],[Valor de referencia]]</f>
        <v>1555582</v>
      </c>
      <c r="U216" s="197"/>
      <c r="V216" s="159">
        <f>+Elementos_[[#This Row],[Cantidad LDF&amp;MR]]*Elementos_[[#This Row],[Valor de referencia]]</f>
        <v>0</v>
      </c>
      <c r="W216" s="166"/>
      <c r="X216" s="159">
        <f>+Elementos_[[#This Row],[Cantidad RED LASE]]*Elementos_[[#This Row],[Valor de referencia]]</f>
        <v>0</v>
      </c>
      <c r="Y216" s="196"/>
      <c r="Z216" s="159">
        <f>+Elementos_[[#This Row],[Cantidad LANIA]]*Elementos_[[#This Row],[Valor de referencia]]</f>
        <v>0</v>
      </c>
      <c r="AA216" s="196"/>
      <c r="AB216" s="159">
        <f>+Elementos_[[#This Row],[Cantidad SPA]]*Elementos_[[#This Row],[Valor de referencia]]</f>
        <v>0</v>
      </c>
      <c r="AC216" s="166" t="s">
        <v>2041</v>
      </c>
    </row>
    <row r="217" spans="1:29" ht="72" x14ac:dyDescent="0.2">
      <c r="A217" s="294" t="str">
        <f>IF(B217=Elementos_[[#This Row],[Cantidad LANIP]],"LANIP",IF(B217=Elementos_[[#This Row],[Cantidad 
LDV]],"LDV",IF(B217=Elementos_[[#This Row],[Cantidad LNDV]],"LNDV",IF(B217=Elementos_[[#This Row],[GGCA]],"GGCA",IF(B217=Elementos_[[#This Row],[Cantidad LDF]],"LDF",IF(B217=Elementos_[[#This Row],[Cantidad LDF&amp;MR]],"LDF&amp;MR",IF(B217=Elementos_[[#This Row],[Cantidad RED LASE]],"LASE",IF(B217=Elementos_[[#This Row],[Cantidad LANIA]],"LANIA",IF(B217=Elementos_[[#This Row],[Cantidad SPA]],"SPA"," ")))))))))</f>
        <v>LANIP</v>
      </c>
      <c r="B21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17" s="298">
        <v>215</v>
      </c>
      <c r="D217" s="190">
        <v>313</v>
      </c>
      <c r="E217" s="273" t="s">
        <v>2406</v>
      </c>
      <c r="F217" s="201" t="s">
        <v>2407</v>
      </c>
      <c r="G217" s="202" t="s">
        <v>525</v>
      </c>
      <c r="H21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217" s="194">
        <v>194529</v>
      </c>
      <c r="J217" s="194">
        <f>+Elementos_[[#This Row],[Valor de referencia]]*Elementos_[[#This Row],[Cantidad]]</f>
        <v>2917935</v>
      </c>
      <c r="K217" s="166">
        <v>10</v>
      </c>
      <c r="L217" s="159">
        <f>+Elementos_[[#This Row],[Cantidad LANIP]]*Elementos_[[#This Row],[Valor de referencia]]</f>
        <v>1945290</v>
      </c>
      <c r="M217" s="270">
        <v>0</v>
      </c>
      <c r="N217" s="195">
        <f>+Elementos_[[#This Row],[Cantidad 
LDV]]*Elementos_[[#This Row],[Valor de referencia]]</f>
        <v>0</v>
      </c>
      <c r="O217" s="166">
        <v>1</v>
      </c>
      <c r="P217" s="159">
        <f>+Elementos_[[#This Row],[Cantidad LNDV]]*Elementos_[[#This Row],[Valor de referencia]]</f>
        <v>194529</v>
      </c>
      <c r="Q217" s="196"/>
      <c r="R217" s="159">
        <f>+Elementos_[[#This Row],[GGCA]]*Elementos_[[#This Row],[Valor de referencia]]</f>
        <v>0</v>
      </c>
      <c r="S217" s="166">
        <v>2</v>
      </c>
      <c r="T217" s="159">
        <f>+Elementos_[[#This Row],[Cantidad LDF]]*Elementos_[[#This Row],[Valor de referencia]]</f>
        <v>389058</v>
      </c>
      <c r="U217" s="197">
        <v>2</v>
      </c>
      <c r="V217" s="159">
        <f>+Elementos_[[#This Row],[Cantidad LDF&amp;MR]]*Elementos_[[#This Row],[Valor de referencia]]</f>
        <v>389058</v>
      </c>
      <c r="W217" s="166"/>
      <c r="X217" s="159">
        <f>+Elementos_[[#This Row],[Cantidad RED LASE]]*Elementos_[[#This Row],[Valor de referencia]]</f>
        <v>0</v>
      </c>
      <c r="Y217" s="196"/>
      <c r="Z217" s="159">
        <f>+Elementos_[[#This Row],[Cantidad LANIA]]*Elementos_[[#This Row],[Valor de referencia]]</f>
        <v>0</v>
      </c>
      <c r="AA217" s="196"/>
      <c r="AB217" s="159">
        <f>+Elementos_[[#This Row],[Cantidad SPA]]*Elementos_[[#This Row],[Valor de referencia]]</f>
        <v>0</v>
      </c>
      <c r="AC217" s="166" t="s">
        <v>2041</v>
      </c>
    </row>
    <row r="218" spans="1:29" ht="84" x14ac:dyDescent="0.2">
      <c r="A218" s="294" t="str">
        <f>IF(B218=Elementos_[[#This Row],[Cantidad LANIP]],"LANIP",IF(B218=Elementos_[[#This Row],[Cantidad 
LDV]],"LDV",IF(B218=Elementos_[[#This Row],[Cantidad LNDV]],"LNDV",IF(B218=Elementos_[[#This Row],[GGCA]],"GGCA",IF(B218=Elementos_[[#This Row],[Cantidad LDF]],"LDF",IF(B218=Elementos_[[#This Row],[Cantidad LDF&amp;MR]],"LDF&amp;MR",IF(B218=Elementos_[[#This Row],[Cantidad RED LASE]],"LASE",IF(B218=Elementos_[[#This Row],[Cantidad LANIA]],"LANIA",IF(B218=Elementos_[[#This Row],[Cantidad SPA]],"SPA"," ")))))))))</f>
        <v>LANIP</v>
      </c>
      <c r="B21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18" s="298">
        <v>216</v>
      </c>
      <c r="D218" s="190">
        <v>315</v>
      </c>
      <c r="E218" s="299" t="s">
        <v>2408</v>
      </c>
      <c r="F218" s="204" t="s">
        <v>2409</v>
      </c>
      <c r="G218" s="192" t="s">
        <v>525</v>
      </c>
      <c r="H21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218" s="194">
        <v>175561</v>
      </c>
      <c r="J218" s="194">
        <f>+Elementos_[[#This Row],[Valor de referencia]]*Elementos_[[#This Row],[Cantidad]]</f>
        <v>3160098</v>
      </c>
      <c r="K218" s="166">
        <v>10</v>
      </c>
      <c r="L218" s="159">
        <f>+Elementos_[[#This Row],[Cantidad LANIP]]*Elementos_[[#This Row],[Valor de referencia]]</f>
        <v>1755610</v>
      </c>
      <c r="M218" s="270">
        <v>0</v>
      </c>
      <c r="N218" s="195">
        <f>+Elementos_[[#This Row],[Cantidad 
LDV]]*Elementos_[[#This Row],[Valor de referencia]]</f>
        <v>0</v>
      </c>
      <c r="O218" s="166"/>
      <c r="P218" s="159">
        <f>+Elementos_[[#This Row],[Cantidad LNDV]]*Elementos_[[#This Row],[Valor de referencia]]</f>
        <v>0</v>
      </c>
      <c r="Q218" s="196"/>
      <c r="R218" s="159">
        <f>+Elementos_[[#This Row],[GGCA]]*Elementos_[[#This Row],[Valor de referencia]]</f>
        <v>0</v>
      </c>
      <c r="S218" s="166">
        <v>8</v>
      </c>
      <c r="T218" s="159">
        <f>+Elementos_[[#This Row],[Cantidad LDF]]*Elementos_[[#This Row],[Valor de referencia]]</f>
        <v>1404488</v>
      </c>
      <c r="U218" s="197"/>
      <c r="V218" s="159">
        <f>+Elementos_[[#This Row],[Cantidad LDF&amp;MR]]*Elementos_[[#This Row],[Valor de referencia]]</f>
        <v>0</v>
      </c>
      <c r="W218" s="166"/>
      <c r="X218" s="159">
        <f>+Elementos_[[#This Row],[Cantidad RED LASE]]*Elementos_[[#This Row],[Valor de referencia]]</f>
        <v>0</v>
      </c>
      <c r="Y218" s="196"/>
      <c r="Z218" s="159">
        <f>+Elementos_[[#This Row],[Cantidad LANIA]]*Elementos_[[#This Row],[Valor de referencia]]</f>
        <v>0</v>
      </c>
      <c r="AA218" s="196"/>
      <c r="AB218" s="159">
        <f>+Elementos_[[#This Row],[Cantidad SPA]]*Elementos_[[#This Row],[Valor de referencia]]</f>
        <v>0</v>
      </c>
      <c r="AC218" s="166" t="s">
        <v>2041</v>
      </c>
    </row>
    <row r="219" spans="1:29" ht="72" x14ac:dyDescent="0.2">
      <c r="A219" s="294" t="str">
        <f>IF(B219=Elementos_[[#This Row],[Cantidad LANIP]],"LANIP",IF(B219=Elementos_[[#This Row],[Cantidad 
LDV]],"LDV",IF(B219=Elementos_[[#This Row],[Cantidad LNDV]],"LNDV",IF(B219=Elementos_[[#This Row],[GGCA]],"GGCA",IF(B219=Elementos_[[#This Row],[Cantidad LDF]],"LDF",IF(B219=Elementos_[[#This Row],[Cantidad LDF&amp;MR]],"LDF&amp;MR",IF(B219=Elementos_[[#This Row],[Cantidad RED LASE]],"LASE",IF(B219=Elementos_[[#This Row],[Cantidad LANIA]],"LANIA",IF(B219=Elementos_[[#This Row],[Cantidad SPA]],"SPA"," ")))))))))</f>
        <v>LDF&amp;MR</v>
      </c>
      <c r="B21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219" s="298">
        <v>217</v>
      </c>
      <c r="D219" s="190">
        <v>316</v>
      </c>
      <c r="E219" s="274" t="s">
        <v>2410</v>
      </c>
      <c r="F219" s="201" t="s">
        <v>2411</v>
      </c>
      <c r="G219" s="202" t="s">
        <v>525</v>
      </c>
      <c r="H21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219" s="194">
        <v>464636</v>
      </c>
      <c r="J219" s="194">
        <f>+Elementos_[[#This Row],[Valor de referencia]]*Elementos_[[#This Row],[Cantidad]]</f>
        <v>1858544</v>
      </c>
      <c r="K219" s="166"/>
      <c r="L219" s="159">
        <f>+Elementos_[[#This Row],[Cantidad LANIP]]*Elementos_[[#This Row],[Valor de referencia]]</f>
        <v>0</v>
      </c>
      <c r="M219" s="270">
        <v>0</v>
      </c>
      <c r="N219" s="195">
        <f>+Elementos_[[#This Row],[Cantidad 
LDV]]*Elementos_[[#This Row],[Valor de referencia]]</f>
        <v>0</v>
      </c>
      <c r="O219" s="166">
        <v>1</v>
      </c>
      <c r="P219" s="159">
        <f>+Elementos_[[#This Row],[Cantidad LNDV]]*Elementos_[[#This Row],[Valor de referencia]]</f>
        <v>464636</v>
      </c>
      <c r="Q219" s="196"/>
      <c r="R219" s="159">
        <f>+Elementos_[[#This Row],[GGCA]]*Elementos_[[#This Row],[Valor de referencia]]</f>
        <v>0</v>
      </c>
      <c r="S219" s="166">
        <v>1</v>
      </c>
      <c r="T219" s="159">
        <f>+Elementos_[[#This Row],[Cantidad LDF]]*Elementos_[[#This Row],[Valor de referencia]]</f>
        <v>464636</v>
      </c>
      <c r="U219" s="197">
        <v>2</v>
      </c>
      <c r="V219" s="159">
        <f>+Elementos_[[#This Row],[Cantidad LDF&amp;MR]]*Elementos_[[#This Row],[Valor de referencia]]</f>
        <v>929272</v>
      </c>
      <c r="W219" s="166"/>
      <c r="X219" s="159">
        <f>+Elementos_[[#This Row],[Cantidad RED LASE]]*Elementos_[[#This Row],[Valor de referencia]]</f>
        <v>0</v>
      </c>
      <c r="Y219" s="196"/>
      <c r="Z219" s="159">
        <f>+Elementos_[[#This Row],[Cantidad LANIA]]*Elementos_[[#This Row],[Valor de referencia]]</f>
        <v>0</v>
      </c>
      <c r="AA219" s="196"/>
      <c r="AB219" s="159">
        <f>+Elementos_[[#This Row],[Cantidad SPA]]*Elementos_[[#This Row],[Valor de referencia]]</f>
        <v>0</v>
      </c>
      <c r="AC219" s="166" t="s">
        <v>2041</v>
      </c>
    </row>
    <row r="220" spans="1:29" ht="55.5" customHeight="1" x14ac:dyDescent="0.2">
      <c r="A220" s="294" t="str">
        <f>IF(B220=Elementos_[[#This Row],[Cantidad LANIP]],"LANIP",IF(B220=Elementos_[[#This Row],[Cantidad 
LDV]],"LDV",IF(B220=Elementos_[[#This Row],[Cantidad LNDV]],"LNDV",IF(B220=Elementos_[[#This Row],[GGCA]],"GGCA",IF(B220=Elementos_[[#This Row],[Cantidad LDF]],"LDF",IF(B220=Elementos_[[#This Row],[Cantidad LDF&amp;MR]],"LDF&amp;MR",IF(B220=Elementos_[[#This Row],[Cantidad RED LASE]],"LASE",IF(B220=Elementos_[[#This Row],[Cantidad LANIA]],"LANIA",IF(B220=Elementos_[[#This Row],[Cantidad SPA]],"SPA"," ")))))))))</f>
        <v>SPA</v>
      </c>
      <c r="B22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1240</v>
      </c>
      <c r="C220" s="298">
        <v>218</v>
      </c>
      <c r="D220" s="190">
        <v>317</v>
      </c>
      <c r="E220" s="273" t="s">
        <v>2412</v>
      </c>
      <c r="F220" s="204" t="s">
        <v>183</v>
      </c>
      <c r="G220" s="192" t="s">
        <v>525</v>
      </c>
      <c r="H22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1240</v>
      </c>
      <c r="I220" s="194">
        <v>84459</v>
      </c>
      <c r="J220" s="194">
        <f>+Elementos_[[#This Row],[Valor de referencia]]*Elementos_[[#This Row],[Cantidad]]</f>
        <v>104729160</v>
      </c>
      <c r="K220" s="166"/>
      <c r="L220" s="159">
        <f>+Elementos_[[#This Row],[Cantidad LANIP]]*Elementos_[[#This Row],[Valor de referencia]]</f>
        <v>0</v>
      </c>
      <c r="M220" s="270"/>
      <c r="N220" s="195">
        <f>+Elementos_[[#This Row],[Cantidad 
LDV]]*Elementos_[[#This Row],[Valor de referencia]]</f>
        <v>0</v>
      </c>
      <c r="O220" s="166"/>
      <c r="P220" s="159">
        <f>+Elementos_[[#This Row],[Cantidad LNDV]]*Elementos_[[#This Row],[Valor de referencia]]</f>
        <v>0</v>
      </c>
      <c r="Q220" s="196"/>
      <c r="R220" s="159">
        <f>+Elementos_[[#This Row],[GGCA]]*Elementos_[[#This Row],[Valor de referencia]]</f>
        <v>0</v>
      </c>
      <c r="S220" s="166"/>
      <c r="T220" s="159">
        <f>+Elementos_[[#This Row],[Cantidad LDF]]*Elementos_[[#This Row],[Valor de referencia]]</f>
        <v>0</v>
      </c>
      <c r="U220" s="197"/>
      <c r="V220" s="159">
        <f>+Elementos_[[#This Row],[Cantidad LDF&amp;MR]]*Elementos_[[#This Row],[Valor de referencia]]</f>
        <v>0</v>
      </c>
      <c r="W220" s="166"/>
      <c r="X220" s="159">
        <f>+Elementos_[[#This Row],[Cantidad RED LASE]]*Elementos_[[#This Row],[Valor de referencia]]</f>
        <v>0</v>
      </c>
      <c r="Y220" s="196"/>
      <c r="Z220" s="159">
        <f>+Elementos_[[#This Row],[Cantidad LANIA]]*Elementos_[[#This Row],[Valor de referencia]]</f>
        <v>0</v>
      </c>
      <c r="AA220" s="196">
        <v>1240</v>
      </c>
      <c r="AB220" s="159">
        <f>+Elementos_[[#This Row],[Cantidad SPA]]*Elementos_[[#This Row],[Valor de referencia]]</f>
        <v>104729160</v>
      </c>
      <c r="AC220" s="166" t="s">
        <v>2049</v>
      </c>
    </row>
    <row r="221" spans="1:29" ht="63" customHeight="1" x14ac:dyDescent="0.2">
      <c r="A221" s="294" t="str">
        <f>IF(B221=Elementos_[[#This Row],[Cantidad LANIP]],"LANIP",IF(B221=Elementos_[[#This Row],[Cantidad 
LDV]],"LDV",IF(B221=Elementos_[[#This Row],[Cantidad LNDV]],"LNDV",IF(B221=Elementos_[[#This Row],[GGCA]],"GGCA",IF(B221=Elementos_[[#This Row],[Cantidad LDF]],"LDF",IF(B221=Elementos_[[#This Row],[Cantidad LDF&amp;MR]],"LDF&amp;MR",IF(B221=Elementos_[[#This Row],[Cantidad RED LASE]],"LASE",IF(B221=Elementos_[[#This Row],[Cantidad LANIA]],"LANIA",IF(B221=Elementos_[[#This Row],[Cantidad SPA]],"SPA"," ")))))))))</f>
        <v>LNDV</v>
      </c>
      <c r="B22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221" s="298">
        <v>219</v>
      </c>
      <c r="D221" s="190">
        <v>318</v>
      </c>
      <c r="E221" s="272" t="s">
        <v>2413</v>
      </c>
      <c r="F221" s="200" t="s">
        <v>183</v>
      </c>
      <c r="G221" s="192" t="s">
        <v>1391</v>
      </c>
      <c r="H22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221" s="194">
        <v>533144</v>
      </c>
      <c r="J221" s="194">
        <f>+Elementos_[[#This Row],[Valor de referencia]]*Elementos_[[#This Row],[Cantidad]]</f>
        <v>2665720</v>
      </c>
      <c r="K221" s="166"/>
      <c r="L221" s="159">
        <f>+Elementos_[[#This Row],[Cantidad LANIP]]*Elementos_[[#This Row],[Valor de referencia]]</f>
        <v>0</v>
      </c>
      <c r="M221" s="270"/>
      <c r="N221" s="195">
        <f>+Elementos_[[#This Row],[Cantidad 
LDV]]*Elementos_[[#This Row],[Valor de referencia]]</f>
        <v>0</v>
      </c>
      <c r="O221" s="166">
        <v>5</v>
      </c>
      <c r="P221" s="159">
        <f>+Elementos_[[#This Row],[Cantidad LNDV]]*Elementos_[[#This Row],[Valor de referencia]]</f>
        <v>2665720</v>
      </c>
      <c r="Q221" s="196"/>
      <c r="R221" s="159">
        <f>+Elementos_[[#This Row],[GGCA]]*Elementos_[[#This Row],[Valor de referencia]]</f>
        <v>0</v>
      </c>
      <c r="S221" s="166"/>
      <c r="T221" s="159">
        <f>+Elementos_[[#This Row],[Cantidad LDF]]*Elementos_[[#This Row],[Valor de referencia]]</f>
        <v>0</v>
      </c>
      <c r="U221" s="197"/>
      <c r="V221" s="159">
        <f>+Elementos_[[#This Row],[Cantidad LDF&amp;MR]]*Elementos_[[#This Row],[Valor de referencia]]</f>
        <v>0</v>
      </c>
      <c r="W221" s="166"/>
      <c r="X221" s="159">
        <f>+Elementos_[[#This Row],[Cantidad RED LASE]]*Elementos_[[#This Row],[Valor de referencia]]</f>
        <v>0</v>
      </c>
      <c r="Y221" s="196"/>
      <c r="Z221" s="159">
        <f>+Elementos_[[#This Row],[Cantidad LANIA]]*Elementos_[[#This Row],[Valor de referencia]]</f>
        <v>0</v>
      </c>
      <c r="AA221" s="196"/>
      <c r="AB221" s="159">
        <f>+Elementos_[[#This Row],[Cantidad SPA]]*Elementos_[[#This Row],[Valor de referencia]]</f>
        <v>0</v>
      </c>
      <c r="AC221" s="166" t="s">
        <v>2049</v>
      </c>
    </row>
    <row r="222" spans="1:29" ht="24" x14ac:dyDescent="0.2">
      <c r="A222" s="294" t="str">
        <f>IF(B222=Elementos_[[#This Row],[Cantidad LANIP]],"LANIP",IF(B222=Elementos_[[#This Row],[Cantidad 
LDV]],"LDV",IF(B222=Elementos_[[#This Row],[Cantidad LNDV]],"LNDV",IF(B222=Elementos_[[#This Row],[GGCA]],"GGCA",IF(B222=Elementos_[[#This Row],[Cantidad LDF]],"LDF",IF(B222=Elementos_[[#This Row],[Cantidad LDF&amp;MR]],"LDF&amp;MR",IF(B222=Elementos_[[#This Row],[Cantidad RED LASE]],"LASE",IF(B222=Elementos_[[#This Row],[Cantidad LANIA]],"LANIA",IF(B222=Elementos_[[#This Row],[Cantidad SPA]],"SPA"," ")))))))))</f>
        <v>LANIP</v>
      </c>
      <c r="B22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222" s="298">
        <v>220</v>
      </c>
      <c r="D222" s="190">
        <v>319</v>
      </c>
      <c r="E222" s="272" t="s">
        <v>2414</v>
      </c>
      <c r="F222" s="200" t="s">
        <v>624</v>
      </c>
      <c r="G222" s="192" t="s">
        <v>2415</v>
      </c>
      <c r="H22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I222" s="194">
        <v>53553</v>
      </c>
      <c r="J222" s="194">
        <f>+Elementos_[[#This Row],[Valor de referencia]]*Elementos_[[#This Row],[Cantidad]]</f>
        <v>856848</v>
      </c>
      <c r="K222" s="166">
        <v>8</v>
      </c>
      <c r="L222" s="159">
        <f>+Elementos_[[#This Row],[Cantidad LANIP]]*Elementos_[[#This Row],[Valor de referencia]]</f>
        <v>428424</v>
      </c>
      <c r="M222" s="270"/>
      <c r="N222" s="195">
        <f>+Elementos_[[#This Row],[Cantidad 
LDV]]*Elementos_[[#This Row],[Valor de referencia]]</f>
        <v>0</v>
      </c>
      <c r="O222" s="166">
        <v>6</v>
      </c>
      <c r="P222" s="159">
        <f>+Elementos_[[#This Row],[Cantidad LNDV]]*Elementos_[[#This Row],[Valor de referencia]]</f>
        <v>321318</v>
      </c>
      <c r="Q222" s="196"/>
      <c r="R222" s="159">
        <f>+Elementos_[[#This Row],[GGCA]]*Elementos_[[#This Row],[Valor de referencia]]</f>
        <v>0</v>
      </c>
      <c r="S222" s="166">
        <v>2</v>
      </c>
      <c r="T222" s="159">
        <f>+Elementos_[[#This Row],[Cantidad LDF]]*Elementos_[[#This Row],[Valor de referencia]]</f>
        <v>107106</v>
      </c>
      <c r="U222" s="197"/>
      <c r="V222" s="159">
        <f>+Elementos_[[#This Row],[Cantidad LDF&amp;MR]]*Elementos_[[#This Row],[Valor de referencia]]</f>
        <v>0</v>
      </c>
      <c r="W222" s="166"/>
      <c r="X222" s="159">
        <f>+Elementos_[[#This Row],[Cantidad RED LASE]]*Elementos_[[#This Row],[Valor de referencia]]</f>
        <v>0</v>
      </c>
      <c r="Y222" s="196"/>
      <c r="Z222" s="159">
        <f>+Elementos_[[#This Row],[Cantidad LANIA]]*Elementos_[[#This Row],[Valor de referencia]]</f>
        <v>0</v>
      </c>
      <c r="AA222" s="196"/>
      <c r="AB222" s="159">
        <f>+Elementos_[[#This Row],[Cantidad SPA]]*Elementos_[[#This Row],[Valor de referencia]]</f>
        <v>0</v>
      </c>
      <c r="AC222" s="166" t="s">
        <v>2049</v>
      </c>
    </row>
    <row r="223" spans="1:29" ht="72" x14ac:dyDescent="0.2">
      <c r="A223" s="294" t="str">
        <f>IF(B223=Elementos_[[#This Row],[Cantidad LANIP]],"LANIP",IF(B223=Elementos_[[#This Row],[Cantidad 
LDV]],"LDV",IF(B223=Elementos_[[#This Row],[Cantidad LNDV]],"LNDV",IF(B223=Elementos_[[#This Row],[GGCA]],"GGCA",IF(B223=Elementos_[[#This Row],[Cantidad LDF]],"LDF",IF(B223=Elementos_[[#This Row],[Cantidad LDF&amp;MR]],"LDF&amp;MR",IF(B223=Elementos_[[#This Row],[Cantidad RED LASE]],"LASE",IF(B223=Elementos_[[#This Row],[Cantidad LANIA]],"LANIA",IF(B223=Elementos_[[#This Row],[Cantidad SPA]],"SPA"," ")))))))))</f>
        <v>LANIP</v>
      </c>
      <c r="B22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23" s="298">
        <v>221</v>
      </c>
      <c r="D223" s="190">
        <v>320</v>
      </c>
      <c r="E223" s="287" t="s">
        <v>2416</v>
      </c>
      <c r="F223" s="191" t="s">
        <v>2417</v>
      </c>
      <c r="G223" s="192" t="s">
        <v>525</v>
      </c>
      <c r="H22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24</v>
      </c>
      <c r="I223" s="194">
        <v>119071</v>
      </c>
      <c r="J223" s="194">
        <f>+Elementos_[[#This Row],[Valor de referencia]]*Elementos_[[#This Row],[Cantidad]]</f>
        <v>2857704</v>
      </c>
      <c r="K223" s="166">
        <v>20</v>
      </c>
      <c r="L223" s="159">
        <f>+Elementos_[[#This Row],[Cantidad LANIP]]*Elementos_[[#This Row],[Valor de referencia]]</f>
        <v>2381420</v>
      </c>
      <c r="M223" s="270">
        <v>0</v>
      </c>
      <c r="N223" s="195">
        <f>+Elementos_[[#This Row],[Cantidad 
LDV]]*Elementos_[[#This Row],[Valor de referencia]]</f>
        <v>0</v>
      </c>
      <c r="O223" s="166"/>
      <c r="P223" s="159">
        <f>+Elementos_[[#This Row],[Cantidad LNDV]]*Elementos_[[#This Row],[Valor de referencia]]</f>
        <v>0</v>
      </c>
      <c r="Q223" s="196"/>
      <c r="R223" s="159">
        <f>+Elementos_[[#This Row],[GGCA]]*Elementos_[[#This Row],[Valor de referencia]]</f>
        <v>0</v>
      </c>
      <c r="S223" s="166">
        <v>4</v>
      </c>
      <c r="T223" s="159">
        <f>+Elementos_[[#This Row],[Cantidad LDF]]*Elementos_[[#This Row],[Valor de referencia]]</f>
        <v>476284</v>
      </c>
      <c r="U223" s="197"/>
      <c r="V223" s="159">
        <f>+Elementos_[[#This Row],[Cantidad LDF&amp;MR]]*Elementos_[[#This Row],[Valor de referencia]]</f>
        <v>0</v>
      </c>
      <c r="W223" s="166"/>
      <c r="X223" s="159">
        <f>+Elementos_[[#This Row],[Cantidad RED LASE]]*Elementos_[[#This Row],[Valor de referencia]]</f>
        <v>0</v>
      </c>
      <c r="Y223" s="196"/>
      <c r="Z223" s="159">
        <f>+Elementos_[[#This Row],[Cantidad LANIA]]*Elementos_[[#This Row],[Valor de referencia]]</f>
        <v>0</v>
      </c>
      <c r="AA223" s="196"/>
      <c r="AB223" s="159">
        <f>+Elementos_[[#This Row],[Cantidad SPA]]*Elementos_[[#This Row],[Valor de referencia]]</f>
        <v>0</v>
      </c>
      <c r="AC223" s="166" t="s">
        <v>2041</v>
      </c>
    </row>
    <row r="224" spans="1:29" ht="72" x14ac:dyDescent="0.2">
      <c r="A224" s="294" t="str">
        <f>IF(B224=Elementos_[[#This Row],[Cantidad LANIP]],"LANIP",IF(B224=Elementos_[[#This Row],[Cantidad 
LDV]],"LDV",IF(B224=Elementos_[[#This Row],[Cantidad LNDV]],"LNDV",IF(B224=Elementos_[[#This Row],[GGCA]],"GGCA",IF(B224=Elementos_[[#This Row],[Cantidad LDF]],"LDF",IF(B224=Elementos_[[#This Row],[Cantidad LDF&amp;MR]],"LDF&amp;MR",IF(B224=Elementos_[[#This Row],[Cantidad RED LASE]],"LASE",IF(B224=Elementos_[[#This Row],[Cantidad LANIA]],"LANIA",IF(B224=Elementos_[[#This Row],[Cantidad SPA]],"SPA"," ")))))))))</f>
        <v>LDV</v>
      </c>
      <c r="B22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24" s="298">
        <v>222</v>
      </c>
      <c r="D224" s="190">
        <v>321</v>
      </c>
      <c r="E224" s="272" t="s">
        <v>2418</v>
      </c>
      <c r="F224" s="191" t="s">
        <v>2419</v>
      </c>
      <c r="G224" s="192" t="s">
        <v>525</v>
      </c>
      <c r="H22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42</v>
      </c>
      <c r="I224" s="194">
        <v>204549</v>
      </c>
      <c r="J224" s="194">
        <f>+Elementos_[[#This Row],[Valor de referencia]]*Elementos_[[#This Row],[Cantidad]]</f>
        <v>8591058</v>
      </c>
      <c r="K224" s="166">
        <v>4</v>
      </c>
      <c r="L224" s="159">
        <f>+Elementos_[[#This Row],[Cantidad LANIP]]*Elementos_[[#This Row],[Valor de referencia]]</f>
        <v>818196</v>
      </c>
      <c r="M224" s="270">
        <v>20</v>
      </c>
      <c r="N224" s="195">
        <f>+Elementos_[[#This Row],[Cantidad 
LDV]]*Elementos_[[#This Row],[Valor de referencia]]</f>
        <v>4090980</v>
      </c>
      <c r="O224" s="166">
        <v>3</v>
      </c>
      <c r="P224" s="159">
        <f>+Elementos_[[#This Row],[Cantidad LNDV]]*Elementos_[[#This Row],[Valor de referencia]]</f>
        <v>613647</v>
      </c>
      <c r="Q224" s="196"/>
      <c r="R224" s="159">
        <f>+Elementos_[[#This Row],[GGCA]]*Elementos_[[#This Row],[Valor de referencia]]</f>
        <v>0</v>
      </c>
      <c r="S224" s="166">
        <v>5</v>
      </c>
      <c r="T224" s="159">
        <f>+Elementos_[[#This Row],[Cantidad LDF]]*Elementos_[[#This Row],[Valor de referencia]]</f>
        <v>1022745</v>
      </c>
      <c r="U224" s="197"/>
      <c r="V224" s="159">
        <f>+Elementos_[[#This Row],[Cantidad LDF&amp;MR]]*Elementos_[[#This Row],[Valor de referencia]]</f>
        <v>0</v>
      </c>
      <c r="W224" s="166"/>
      <c r="X224" s="159">
        <f>+Elementos_[[#This Row],[Cantidad RED LASE]]*Elementos_[[#This Row],[Valor de referencia]]</f>
        <v>0</v>
      </c>
      <c r="Y224" s="196">
        <v>10</v>
      </c>
      <c r="Z224" s="159">
        <f>+Elementos_[[#This Row],[Cantidad LANIA]]*Elementos_[[#This Row],[Valor de referencia]]</f>
        <v>2045490</v>
      </c>
      <c r="AA224" s="196"/>
      <c r="AB224" s="159">
        <f>+Elementos_[[#This Row],[Cantidad SPA]]*Elementos_[[#This Row],[Valor de referencia]]</f>
        <v>0</v>
      </c>
      <c r="AC224" s="166" t="s">
        <v>2041</v>
      </c>
    </row>
    <row r="225" spans="1:29" ht="72" x14ac:dyDescent="0.2">
      <c r="A225" s="294" t="str">
        <f>IF(B225=Elementos_[[#This Row],[Cantidad LANIP]],"LANIP",IF(B225=Elementos_[[#This Row],[Cantidad 
LDV]],"LDV",IF(B225=Elementos_[[#This Row],[Cantidad LNDV]],"LNDV",IF(B225=Elementos_[[#This Row],[GGCA]],"GGCA",IF(B225=Elementos_[[#This Row],[Cantidad LDF]],"LDF",IF(B225=Elementos_[[#This Row],[Cantidad LDF&amp;MR]],"LDF&amp;MR",IF(B225=Elementos_[[#This Row],[Cantidad RED LASE]],"LASE",IF(B225=Elementos_[[#This Row],[Cantidad LANIA]],"LANIA",IF(B225=Elementos_[[#This Row],[Cantidad SPA]],"SPA"," ")))))))))</f>
        <v>LANIP</v>
      </c>
      <c r="B22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225" s="298">
        <v>223</v>
      </c>
      <c r="D225" s="190">
        <v>322</v>
      </c>
      <c r="E225" s="273" t="s">
        <v>2420</v>
      </c>
      <c r="F225" s="204" t="s">
        <v>2421</v>
      </c>
      <c r="G225" s="192" t="s">
        <v>525</v>
      </c>
      <c r="H22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225" s="194">
        <v>573149</v>
      </c>
      <c r="J225" s="194">
        <f>+Elementos_[[#This Row],[Valor de referencia]]*Elementos_[[#This Row],[Cantidad]]</f>
        <v>4585192</v>
      </c>
      <c r="K225" s="166">
        <v>6</v>
      </c>
      <c r="L225" s="159">
        <f>+Elementos_[[#This Row],[Cantidad LANIP]]*Elementos_[[#This Row],[Valor de referencia]]</f>
        <v>3438894</v>
      </c>
      <c r="M225" s="270"/>
      <c r="N225" s="195">
        <f>+Elementos_[[#This Row],[Cantidad 
LDV]]*Elementos_[[#This Row],[Valor de referencia]]</f>
        <v>0</v>
      </c>
      <c r="O225" s="166"/>
      <c r="P225" s="159">
        <f>+Elementos_[[#This Row],[Cantidad LNDV]]*Elementos_[[#This Row],[Valor de referencia]]</f>
        <v>0</v>
      </c>
      <c r="Q225" s="196"/>
      <c r="R225" s="159">
        <f>+Elementos_[[#This Row],[GGCA]]*Elementos_[[#This Row],[Valor de referencia]]</f>
        <v>0</v>
      </c>
      <c r="S225" s="166"/>
      <c r="T225" s="159">
        <f>+Elementos_[[#This Row],[Cantidad LDF]]*Elementos_[[#This Row],[Valor de referencia]]</f>
        <v>0</v>
      </c>
      <c r="U225" s="197"/>
      <c r="V225" s="159">
        <f>+Elementos_[[#This Row],[Cantidad LDF&amp;MR]]*Elementos_[[#This Row],[Valor de referencia]]</f>
        <v>0</v>
      </c>
      <c r="W225" s="166"/>
      <c r="X225" s="159">
        <f>+Elementos_[[#This Row],[Cantidad RED LASE]]*Elementos_[[#This Row],[Valor de referencia]]</f>
        <v>0</v>
      </c>
      <c r="Y225" s="196">
        <v>2</v>
      </c>
      <c r="Z225" s="159">
        <f>+Elementos_[[#This Row],[Cantidad LANIA]]*Elementos_[[#This Row],[Valor de referencia]]</f>
        <v>1146298</v>
      </c>
      <c r="AA225" s="196"/>
      <c r="AB225" s="159">
        <f>+Elementos_[[#This Row],[Cantidad SPA]]*Elementos_[[#This Row],[Valor de referencia]]</f>
        <v>0</v>
      </c>
      <c r="AC225" s="166" t="s">
        <v>2041</v>
      </c>
    </row>
    <row r="226" spans="1:29" ht="72" x14ac:dyDescent="0.2">
      <c r="A226" s="294" t="str">
        <f>IF(B226=Elementos_[[#This Row],[Cantidad LANIP]],"LANIP",IF(B226=Elementos_[[#This Row],[Cantidad 
LDV]],"LDV",IF(B226=Elementos_[[#This Row],[Cantidad LNDV]],"LNDV",IF(B226=Elementos_[[#This Row],[GGCA]],"GGCA",IF(B226=Elementos_[[#This Row],[Cantidad LDF]],"LDF",IF(B226=Elementos_[[#This Row],[Cantidad LDF&amp;MR]],"LDF&amp;MR",IF(B226=Elementos_[[#This Row],[Cantidad RED LASE]],"LASE",IF(B226=Elementos_[[#This Row],[Cantidad LANIA]],"LANIA",IF(B226=Elementos_[[#This Row],[Cantidad SPA]],"SPA"," ")))))))))</f>
        <v>LDF</v>
      </c>
      <c r="B22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226" s="298">
        <v>224</v>
      </c>
      <c r="D226" s="190">
        <v>323</v>
      </c>
      <c r="E226" s="305" t="s">
        <v>2422</v>
      </c>
      <c r="F226" s="201" t="s">
        <v>2423</v>
      </c>
      <c r="G226" s="192" t="s">
        <v>525</v>
      </c>
      <c r="H22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226" s="194">
        <v>73899</v>
      </c>
      <c r="J226" s="194">
        <f>+Elementos_[[#This Row],[Valor de referencia]]*Elementos_[[#This Row],[Cantidad]]</f>
        <v>295596</v>
      </c>
      <c r="K226" s="166"/>
      <c r="L226" s="159">
        <f>+Elementos_[[#This Row],[Cantidad LANIP]]*Elementos_[[#This Row],[Valor de referencia]]</f>
        <v>0</v>
      </c>
      <c r="M226" s="270"/>
      <c r="N226" s="195">
        <f>+Elementos_[[#This Row],[Cantidad 
LDV]]*Elementos_[[#This Row],[Valor de referencia]]</f>
        <v>0</v>
      </c>
      <c r="O226" s="166"/>
      <c r="P226" s="159">
        <f>+Elementos_[[#This Row],[Cantidad LNDV]]*Elementos_[[#This Row],[Valor de referencia]]</f>
        <v>0</v>
      </c>
      <c r="Q226" s="196"/>
      <c r="R226" s="159">
        <f>+Elementos_[[#This Row],[GGCA]]*Elementos_[[#This Row],[Valor de referencia]]</f>
        <v>0</v>
      </c>
      <c r="S226" s="166">
        <v>4</v>
      </c>
      <c r="T226" s="159">
        <f>+Elementos_[[#This Row],[Cantidad LDF]]*Elementos_[[#This Row],[Valor de referencia]]</f>
        <v>295596</v>
      </c>
      <c r="U226" s="197"/>
      <c r="V226" s="159">
        <f>+Elementos_[[#This Row],[Cantidad LDF&amp;MR]]*Elementos_[[#This Row],[Valor de referencia]]</f>
        <v>0</v>
      </c>
      <c r="W226" s="166"/>
      <c r="X226" s="159">
        <f>+Elementos_[[#This Row],[Cantidad RED LASE]]*Elementos_[[#This Row],[Valor de referencia]]</f>
        <v>0</v>
      </c>
      <c r="Y226" s="196"/>
      <c r="Z226" s="159">
        <f>+Elementos_[[#This Row],[Cantidad LANIA]]*Elementos_[[#This Row],[Valor de referencia]]</f>
        <v>0</v>
      </c>
      <c r="AA226" s="196"/>
      <c r="AB226" s="159">
        <f>+Elementos_[[#This Row],[Cantidad SPA]]*Elementos_[[#This Row],[Valor de referencia]]</f>
        <v>0</v>
      </c>
      <c r="AC226" s="166" t="s">
        <v>2041</v>
      </c>
    </row>
    <row r="227" spans="1:29" ht="72" x14ac:dyDescent="0.2">
      <c r="A227" s="294" t="str">
        <f>IF(B227=Elementos_[[#This Row],[Cantidad LANIP]],"LANIP",IF(B227=Elementos_[[#This Row],[Cantidad 
LDV]],"LDV",IF(B227=Elementos_[[#This Row],[Cantidad LNDV]],"LNDV",IF(B227=Elementos_[[#This Row],[GGCA]],"GGCA",IF(B227=Elementos_[[#This Row],[Cantidad LDF]],"LDF",IF(B227=Elementos_[[#This Row],[Cantidad LDF&amp;MR]],"LDF&amp;MR",IF(B227=Elementos_[[#This Row],[Cantidad RED LASE]],"LASE",IF(B227=Elementos_[[#This Row],[Cantidad LANIA]],"LANIA",IF(B227=Elementos_[[#This Row],[Cantidad SPA]],"SPA"," ")))))))))</f>
        <v>LANIP</v>
      </c>
      <c r="B22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227" s="298">
        <v>225</v>
      </c>
      <c r="D227" s="190">
        <v>324</v>
      </c>
      <c r="E227" s="274" t="s">
        <v>2424</v>
      </c>
      <c r="F227" s="201" t="s">
        <v>2425</v>
      </c>
      <c r="G227" s="192" t="s">
        <v>525</v>
      </c>
      <c r="H22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48</v>
      </c>
      <c r="I227" s="194">
        <v>137618</v>
      </c>
      <c r="J227" s="194">
        <f>+Elementos_[[#This Row],[Valor de referencia]]*Elementos_[[#This Row],[Cantidad]]</f>
        <v>6605664</v>
      </c>
      <c r="K227" s="166">
        <v>30</v>
      </c>
      <c r="L227" s="159">
        <f>+Elementos_[[#This Row],[Cantidad LANIP]]*Elementos_[[#This Row],[Valor de referencia]]</f>
        <v>4128540</v>
      </c>
      <c r="M227" s="270">
        <v>10</v>
      </c>
      <c r="N227" s="195">
        <f>+Elementos_[[#This Row],[Cantidad 
LDV]]*Elementos_[[#This Row],[Valor de referencia]]</f>
        <v>1376180</v>
      </c>
      <c r="O227" s="166"/>
      <c r="P227" s="159">
        <f>+Elementos_[[#This Row],[Cantidad LNDV]]*Elementos_[[#This Row],[Valor de referencia]]</f>
        <v>0</v>
      </c>
      <c r="Q227" s="196"/>
      <c r="R227" s="159">
        <f>+Elementos_[[#This Row],[GGCA]]*Elementos_[[#This Row],[Valor de referencia]]</f>
        <v>0</v>
      </c>
      <c r="S227" s="166">
        <v>8</v>
      </c>
      <c r="T227" s="159">
        <f>+Elementos_[[#This Row],[Cantidad LDF]]*Elementos_[[#This Row],[Valor de referencia]]</f>
        <v>1100944</v>
      </c>
      <c r="U227" s="197"/>
      <c r="V227" s="159">
        <f>+Elementos_[[#This Row],[Cantidad LDF&amp;MR]]*Elementos_[[#This Row],[Valor de referencia]]</f>
        <v>0</v>
      </c>
      <c r="W227" s="166"/>
      <c r="X227" s="159">
        <f>+Elementos_[[#This Row],[Cantidad RED LASE]]*Elementos_[[#This Row],[Valor de referencia]]</f>
        <v>0</v>
      </c>
      <c r="Y227" s="196"/>
      <c r="Z227" s="159">
        <f>+Elementos_[[#This Row],[Cantidad LANIA]]*Elementos_[[#This Row],[Valor de referencia]]</f>
        <v>0</v>
      </c>
      <c r="AA227" s="196"/>
      <c r="AB227" s="159">
        <f>+Elementos_[[#This Row],[Cantidad SPA]]*Elementos_[[#This Row],[Valor de referencia]]</f>
        <v>0</v>
      </c>
      <c r="AC227" s="166" t="s">
        <v>2041</v>
      </c>
    </row>
    <row r="228" spans="1:29" ht="72" x14ac:dyDescent="0.2">
      <c r="A228" s="294" t="str">
        <f>IF(B228=Elementos_[[#This Row],[Cantidad LANIP]],"LANIP",IF(B228=Elementos_[[#This Row],[Cantidad 
LDV]],"LDV",IF(B228=Elementos_[[#This Row],[Cantidad LNDV]],"LNDV",IF(B228=Elementos_[[#This Row],[GGCA]],"GGCA",IF(B228=Elementos_[[#This Row],[Cantidad LDF]],"LDF",IF(B228=Elementos_[[#This Row],[Cantidad LDF&amp;MR]],"LDF&amp;MR",IF(B228=Elementos_[[#This Row],[Cantidad RED LASE]],"LASE",IF(B228=Elementos_[[#This Row],[Cantidad LANIA]],"LANIA",IF(B228=Elementos_[[#This Row],[Cantidad SPA]],"SPA"," ")))))))))</f>
        <v>LANIP</v>
      </c>
      <c r="B22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150</v>
      </c>
      <c r="C228" s="298">
        <v>226</v>
      </c>
      <c r="D228" s="190">
        <v>325</v>
      </c>
      <c r="E228" s="305" t="s">
        <v>2426</v>
      </c>
      <c r="F228" s="201" t="s">
        <v>2423</v>
      </c>
      <c r="G228" s="192" t="s">
        <v>525</v>
      </c>
      <c r="H22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164</v>
      </c>
      <c r="I228" s="194">
        <v>60988</v>
      </c>
      <c r="J228" s="194">
        <f>+Elementos_[[#This Row],[Valor de referencia]]*Elementos_[[#This Row],[Cantidad]]</f>
        <v>10002032</v>
      </c>
      <c r="K228" s="166">
        <v>150</v>
      </c>
      <c r="L228" s="159">
        <f>+Elementos_[[#This Row],[Cantidad LANIP]]*Elementos_[[#This Row],[Valor de referencia]]</f>
        <v>9148200</v>
      </c>
      <c r="M228" s="270"/>
      <c r="N228" s="195">
        <f>+Elementos_[[#This Row],[Cantidad 
LDV]]*Elementos_[[#This Row],[Valor de referencia]]</f>
        <v>0</v>
      </c>
      <c r="O228" s="166"/>
      <c r="P228" s="159">
        <f>+Elementos_[[#This Row],[Cantidad LNDV]]*Elementos_[[#This Row],[Valor de referencia]]</f>
        <v>0</v>
      </c>
      <c r="Q228" s="196"/>
      <c r="R228" s="159">
        <f>+Elementos_[[#This Row],[GGCA]]*Elementos_[[#This Row],[Valor de referencia]]</f>
        <v>0</v>
      </c>
      <c r="S228" s="166">
        <v>8</v>
      </c>
      <c r="T228" s="159">
        <f>+Elementos_[[#This Row],[Cantidad LDF]]*Elementos_[[#This Row],[Valor de referencia]]</f>
        <v>487904</v>
      </c>
      <c r="U228" s="197"/>
      <c r="V228" s="159">
        <f>+Elementos_[[#This Row],[Cantidad LDF&amp;MR]]*Elementos_[[#This Row],[Valor de referencia]]</f>
        <v>0</v>
      </c>
      <c r="W228" s="166"/>
      <c r="X228" s="159">
        <f>+Elementos_[[#This Row],[Cantidad RED LASE]]*Elementos_[[#This Row],[Valor de referencia]]</f>
        <v>0</v>
      </c>
      <c r="Y228" s="196">
        <v>6</v>
      </c>
      <c r="Z228" s="159">
        <f>+Elementos_[[#This Row],[Cantidad LANIA]]*Elementos_[[#This Row],[Valor de referencia]]</f>
        <v>365928</v>
      </c>
      <c r="AA228" s="196"/>
      <c r="AB228" s="159">
        <f>+Elementos_[[#This Row],[Cantidad SPA]]*Elementos_[[#This Row],[Valor de referencia]]</f>
        <v>0</v>
      </c>
      <c r="AC228" s="166" t="s">
        <v>2041</v>
      </c>
    </row>
    <row r="229" spans="1:29" ht="72" x14ac:dyDescent="0.2">
      <c r="A229" s="294" t="str">
        <f>IF(B229=Elementos_[[#This Row],[Cantidad LANIP]],"LANIP",IF(B229=Elementos_[[#This Row],[Cantidad 
LDV]],"LDV",IF(B229=Elementos_[[#This Row],[Cantidad LNDV]],"LNDV",IF(B229=Elementos_[[#This Row],[GGCA]],"GGCA",IF(B229=Elementos_[[#This Row],[Cantidad LDF]],"LDF",IF(B229=Elementos_[[#This Row],[Cantidad LDF&amp;MR]],"LDF&amp;MR",IF(B229=Elementos_[[#This Row],[Cantidad RED LASE]],"LASE",IF(B229=Elementos_[[#This Row],[Cantidad LANIA]],"LANIA",IF(B229=Elementos_[[#This Row],[Cantidad SPA]],"SPA"," ")))))))))</f>
        <v>LDV</v>
      </c>
      <c r="B22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29" s="298">
        <v>227</v>
      </c>
      <c r="D229" s="190">
        <v>326</v>
      </c>
      <c r="E229" s="274" t="s">
        <v>2427</v>
      </c>
      <c r="F229" s="201" t="s">
        <v>2428</v>
      </c>
      <c r="G229" s="192" t="s">
        <v>525</v>
      </c>
      <c r="H22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29</v>
      </c>
      <c r="I229" s="194">
        <v>143359</v>
      </c>
      <c r="J229" s="194">
        <f>+Elementos_[[#This Row],[Valor de referencia]]*Elementos_[[#This Row],[Cantidad]]</f>
        <v>4157411</v>
      </c>
      <c r="K229" s="166">
        <v>3</v>
      </c>
      <c r="L229" s="159">
        <f>+Elementos_[[#This Row],[Cantidad LANIP]]*Elementos_[[#This Row],[Valor de referencia]]</f>
        <v>430077</v>
      </c>
      <c r="M229" s="270">
        <v>20</v>
      </c>
      <c r="N229" s="195">
        <f>+Elementos_[[#This Row],[Cantidad 
LDV]]*Elementos_[[#This Row],[Valor de referencia]]</f>
        <v>2867180</v>
      </c>
      <c r="O229" s="166"/>
      <c r="P229" s="159">
        <f>+Elementos_[[#This Row],[Cantidad LNDV]]*Elementos_[[#This Row],[Valor de referencia]]</f>
        <v>0</v>
      </c>
      <c r="Q229" s="196"/>
      <c r="R229" s="159">
        <f>+Elementos_[[#This Row],[GGCA]]*Elementos_[[#This Row],[Valor de referencia]]</f>
        <v>0</v>
      </c>
      <c r="S229" s="166">
        <v>6</v>
      </c>
      <c r="T229" s="159">
        <f>+Elementos_[[#This Row],[Cantidad LDF]]*Elementos_[[#This Row],[Valor de referencia]]</f>
        <v>860154</v>
      </c>
      <c r="U229" s="197"/>
      <c r="V229" s="159">
        <f>+Elementos_[[#This Row],[Cantidad LDF&amp;MR]]*Elementos_[[#This Row],[Valor de referencia]]</f>
        <v>0</v>
      </c>
      <c r="W229" s="166"/>
      <c r="X229" s="159">
        <f>+Elementos_[[#This Row],[Cantidad RED LASE]]*Elementos_[[#This Row],[Valor de referencia]]</f>
        <v>0</v>
      </c>
      <c r="Y229" s="196"/>
      <c r="Z229" s="159">
        <f>+Elementos_[[#This Row],[Cantidad LANIA]]*Elementos_[[#This Row],[Valor de referencia]]</f>
        <v>0</v>
      </c>
      <c r="AA229" s="196"/>
      <c r="AB229" s="159">
        <f>+Elementos_[[#This Row],[Cantidad SPA]]*Elementos_[[#This Row],[Valor de referencia]]</f>
        <v>0</v>
      </c>
      <c r="AC229" s="166" t="s">
        <v>2041</v>
      </c>
    </row>
    <row r="230" spans="1:29" ht="60" x14ac:dyDescent="0.2">
      <c r="A230" s="294" t="str">
        <f>IF(B230=Elementos_[[#This Row],[Cantidad LANIP]],"LANIP",IF(B230=Elementos_[[#This Row],[Cantidad 
LDV]],"LDV",IF(B230=Elementos_[[#This Row],[Cantidad LNDV]],"LNDV",IF(B230=Elementos_[[#This Row],[GGCA]],"GGCA",IF(B230=Elementos_[[#This Row],[Cantidad LDF]],"LDF",IF(B230=Elementos_[[#This Row],[Cantidad LDF&amp;MR]],"LDF&amp;MR",IF(B230=Elementos_[[#This Row],[Cantidad RED LASE]],"LASE",IF(B230=Elementos_[[#This Row],[Cantidad LANIA]],"LANIA",IF(B230=Elementos_[[#This Row],[Cantidad SPA]],"SPA"," ")))))))))</f>
        <v>SPA</v>
      </c>
      <c r="B23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4700</v>
      </c>
      <c r="C230" s="298">
        <v>228</v>
      </c>
      <c r="D230" s="190">
        <v>327</v>
      </c>
      <c r="E230" s="273" t="s">
        <v>2429</v>
      </c>
      <c r="F230" s="201" t="s">
        <v>2430</v>
      </c>
      <c r="G230" s="192" t="s">
        <v>525</v>
      </c>
      <c r="H23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5000</v>
      </c>
      <c r="I230" s="194">
        <v>5238</v>
      </c>
      <c r="J230" s="194">
        <f>+Elementos_[[#This Row],[Valor de referencia]]*Elementos_[[#This Row],[Cantidad]]</f>
        <v>26190000</v>
      </c>
      <c r="K230" s="166"/>
      <c r="L230" s="159">
        <f>+Elementos_[[#This Row],[Cantidad LANIP]]*Elementos_[[#This Row],[Valor de referencia]]</f>
        <v>0</v>
      </c>
      <c r="M230" s="270">
        <v>300</v>
      </c>
      <c r="N230" s="195">
        <f>+Elementos_[[#This Row],[Cantidad 
LDV]]*Elementos_[[#This Row],[Valor de referencia]]</f>
        <v>1571400</v>
      </c>
      <c r="O230" s="166"/>
      <c r="P230" s="159">
        <f>+Elementos_[[#This Row],[Cantidad LNDV]]*Elementos_[[#This Row],[Valor de referencia]]</f>
        <v>0</v>
      </c>
      <c r="Q230" s="196"/>
      <c r="R230" s="159">
        <f>+Elementos_[[#This Row],[GGCA]]*Elementos_[[#This Row],[Valor de referencia]]</f>
        <v>0</v>
      </c>
      <c r="S230" s="166"/>
      <c r="T230" s="159">
        <f>+Elementos_[[#This Row],[Cantidad LDF]]*Elementos_[[#This Row],[Valor de referencia]]</f>
        <v>0</v>
      </c>
      <c r="U230" s="197"/>
      <c r="V230" s="159">
        <f>+Elementos_[[#This Row],[Cantidad LDF&amp;MR]]*Elementos_[[#This Row],[Valor de referencia]]</f>
        <v>0</v>
      </c>
      <c r="W230" s="166"/>
      <c r="X230" s="159">
        <f>+Elementos_[[#This Row],[Cantidad RED LASE]]*Elementos_[[#This Row],[Valor de referencia]]</f>
        <v>0</v>
      </c>
      <c r="Y230" s="196"/>
      <c r="Z230" s="159">
        <f>+Elementos_[[#This Row],[Cantidad LANIA]]*Elementos_[[#This Row],[Valor de referencia]]</f>
        <v>0</v>
      </c>
      <c r="AA230" s="196">
        <v>4700</v>
      </c>
      <c r="AB230" s="159">
        <f>+Elementos_[[#This Row],[Cantidad SPA]]*Elementos_[[#This Row],[Valor de referencia]]</f>
        <v>24618600</v>
      </c>
      <c r="AC230" s="166" t="s">
        <v>2041</v>
      </c>
    </row>
    <row r="231" spans="1:29" ht="24" x14ac:dyDescent="0.2">
      <c r="A231" s="294" t="str">
        <f>IF(B231=Elementos_[[#This Row],[Cantidad LANIP]],"LANIP",IF(B231=Elementos_[[#This Row],[Cantidad 
LDV]],"LDV",IF(B231=Elementos_[[#This Row],[Cantidad LNDV]],"LNDV",IF(B231=Elementos_[[#This Row],[GGCA]],"GGCA",IF(B231=Elementos_[[#This Row],[Cantidad LDF]],"LDF",IF(B231=Elementos_[[#This Row],[Cantidad LDF&amp;MR]],"LDF&amp;MR",IF(B231=Elementos_[[#This Row],[Cantidad RED LASE]],"LASE",IF(B231=Elementos_[[#This Row],[Cantidad LANIA]],"LANIA",IF(B231=Elementos_[[#This Row],[Cantidad SPA]],"SPA"," ")))))))))</f>
        <v>LANIA</v>
      </c>
      <c r="B23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C231" s="298">
        <v>229</v>
      </c>
      <c r="D231" s="190">
        <v>329</v>
      </c>
      <c r="E231" s="273" t="s">
        <v>2431</v>
      </c>
      <c r="F231" s="201" t="s">
        <v>183</v>
      </c>
      <c r="G231" s="192" t="s">
        <v>525</v>
      </c>
      <c r="H23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23</v>
      </c>
      <c r="I231" s="194">
        <v>9758</v>
      </c>
      <c r="J231" s="194">
        <f>+Elementos_[[#This Row],[Valor de referencia]]*Elementos_[[#This Row],[Cantidad]]</f>
        <v>224434</v>
      </c>
      <c r="K231" s="166"/>
      <c r="L231" s="159">
        <f>+Elementos_[[#This Row],[Cantidad LANIP]]*Elementos_[[#This Row],[Valor de referencia]]</f>
        <v>0</v>
      </c>
      <c r="M231" s="270">
        <v>0</v>
      </c>
      <c r="N231" s="195">
        <f>+Elementos_[[#This Row],[Cantidad 
LDV]]*Elementos_[[#This Row],[Valor de referencia]]</f>
        <v>0</v>
      </c>
      <c r="O231" s="166"/>
      <c r="P231" s="159">
        <f>+Elementos_[[#This Row],[Cantidad LNDV]]*Elementos_[[#This Row],[Valor de referencia]]</f>
        <v>0</v>
      </c>
      <c r="Q231" s="196"/>
      <c r="R231" s="159">
        <f>+Elementos_[[#This Row],[GGCA]]*Elementos_[[#This Row],[Valor de referencia]]</f>
        <v>0</v>
      </c>
      <c r="S231" s="166">
        <v>10</v>
      </c>
      <c r="T231" s="159">
        <f>+Elementos_[[#This Row],[Cantidad LDF]]*Elementos_[[#This Row],[Valor de referencia]]</f>
        <v>97580</v>
      </c>
      <c r="U231" s="197"/>
      <c r="V231" s="159">
        <f>+Elementos_[[#This Row],[Cantidad LDF&amp;MR]]*Elementos_[[#This Row],[Valor de referencia]]</f>
        <v>0</v>
      </c>
      <c r="W231" s="166"/>
      <c r="X231" s="159">
        <f>+Elementos_[[#This Row],[Cantidad RED LASE]]*Elementos_[[#This Row],[Valor de referencia]]</f>
        <v>0</v>
      </c>
      <c r="Y231" s="196">
        <f>8+5</f>
        <v>13</v>
      </c>
      <c r="Z231" s="159">
        <f>+Elementos_[[#This Row],[Cantidad LANIA]]*Elementos_[[#This Row],[Valor de referencia]]</f>
        <v>126854</v>
      </c>
      <c r="AA231" s="196"/>
      <c r="AB231" s="159">
        <f>+Elementos_[[#This Row],[Cantidad SPA]]*Elementos_[[#This Row],[Valor de referencia]]</f>
        <v>0</v>
      </c>
      <c r="AC231" s="166" t="s">
        <v>2049</v>
      </c>
    </row>
    <row r="232" spans="1:29" ht="60" x14ac:dyDescent="0.2">
      <c r="A232" s="294" t="str">
        <f>IF(B232=Elementos_[[#This Row],[Cantidad LANIP]],"LANIP",IF(B232=Elementos_[[#This Row],[Cantidad 
LDV]],"LDV",IF(B232=Elementos_[[#This Row],[Cantidad LNDV]],"LNDV",IF(B232=Elementos_[[#This Row],[GGCA]],"GGCA",IF(B232=Elementos_[[#This Row],[Cantidad LDF]],"LDF",IF(B232=Elementos_[[#This Row],[Cantidad LDF&amp;MR]],"LDF&amp;MR",IF(B232=Elementos_[[#This Row],[Cantidad RED LASE]],"LASE",IF(B232=Elementos_[[#This Row],[Cantidad LANIA]],"LANIA",IF(B232=Elementos_[[#This Row],[Cantidad SPA]],"SPA"," ")))))))))</f>
        <v>LDF</v>
      </c>
      <c r="B23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232" s="298">
        <v>230</v>
      </c>
      <c r="D232" s="190">
        <v>330</v>
      </c>
      <c r="E232" s="273" t="s">
        <v>2432</v>
      </c>
      <c r="F232" s="201" t="s">
        <v>2433</v>
      </c>
      <c r="G232" s="192" t="s">
        <v>2434</v>
      </c>
      <c r="H23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232" s="194">
        <v>293661</v>
      </c>
      <c r="J232" s="194">
        <f>+Elementos_[[#This Row],[Valor de referencia]]*Elementos_[[#This Row],[Cantidad]]</f>
        <v>587322</v>
      </c>
      <c r="K232" s="166"/>
      <c r="L232" s="159">
        <f>+Elementos_[[#This Row],[Cantidad LANIP]]*Elementos_[[#This Row],[Valor de referencia]]</f>
        <v>0</v>
      </c>
      <c r="M232" s="270">
        <v>0</v>
      </c>
      <c r="N232" s="195">
        <f>+Elementos_[[#This Row],[Cantidad 
LDV]]*Elementos_[[#This Row],[Valor de referencia]]</f>
        <v>0</v>
      </c>
      <c r="O232" s="166"/>
      <c r="P232" s="159">
        <f>+Elementos_[[#This Row],[Cantidad LNDV]]*Elementos_[[#This Row],[Valor de referencia]]</f>
        <v>0</v>
      </c>
      <c r="Q232" s="196"/>
      <c r="R232" s="159">
        <f>+Elementos_[[#This Row],[GGCA]]*Elementos_[[#This Row],[Valor de referencia]]</f>
        <v>0</v>
      </c>
      <c r="S232" s="166">
        <v>1</v>
      </c>
      <c r="T232" s="159">
        <f>+Elementos_[[#This Row],[Cantidad LDF]]*Elementos_[[#This Row],[Valor de referencia]]</f>
        <v>293661</v>
      </c>
      <c r="U232" s="197">
        <v>1</v>
      </c>
      <c r="V232" s="159">
        <f>+Elementos_[[#This Row],[Cantidad LDF&amp;MR]]*Elementos_[[#This Row],[Valor de referencia]]</f>
        <v>293661</v>
      </c>
      <c r="W232" s="166"/>
      <c r="X232" s="159">
        <f>+Elementos_[[#This Row],[Cantidad RED LASE]]*Elementos_[[#This Row],[Valor de referencia]]</f>
        <v>0</v>
      </c>
      <c r="Y232" s="196"/>
      <c r="Z232" s="159">
        <f>+Elementos_[[#This Row],[Cantidad LANIA]]*Elementos_[[#This Row],[Valor de referencia]]</f>
        <v>0</v>
      </c>
      <c r="AA232" s="196"/>
      <c r="AB232" s="159">
        <f>+Elementos_[[#This Row],[Cantidad SPA]]*Elementos_[[#This Row],[Valor de referencia]]</f>
        <v>0</v>
      </c>
      <c r="AC232" s="166" t="s">
        <v>2041</v>
      </c>
    </row>
    <row r="233" spans="1:29" ht="48" x14ac:dyDescent="0.2">
      <c r="A233" s="294" t="str">
        <f>IF(B233=Elementos_[[#This Row],[Cantidad LANIP]],"LANIP",IF(B233=Elementos_[[#This Row],[Cantidad 
LDV]],"LDV",IF(B233=Elementos_[[#This Row],[Cantidad LNDV]],"LNDV",IF(B233=Elementos_[[#This Row],[GGCA]],"GGCA",IF(B233=Elementos_[[#This Row],[Cantidad LDF]],"LDF",IF(B233=Elementos_[[#This Row],[Cantidad LDF&amp;MR]],"LDF&amp;MR",IF(B233=Elementos_[[#This Row],[Cantidad RED LASE]],"LASE",IF(B233=Elementos_[[#This Row],[Cantidad LANIA]],"LANIA",IF(B233=Elementos_[[#This Row],[Cantidad SPA]],"SPA"," ")))))))))</f>
        <v>LDF</v>
      </c>
      <c r="B23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233" s="298">
        <v>231</v>
      </c>
      <c r="D233" s="190">
        <v>331</v>
      </c>
      <c r="E233" s="273" t="s">
        <v>2435</v>
      </c>
      <c r="F233" s="201" t="s">
        <v>2436</v>
      </c>
      <c r="G233" s="192" t="s">
        <v>2434</v>
      </c>
      <c r="H23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233" s="194">
        <v>335360</v>
      </c>
      <c r="J233" s="194">
        <f>+Elementos_[[#This Row],[Valor de referencia]]*Elementos_[[#This Row],[Cantidad]]</f>
        <v>335360</v>
      </c>
      <c r="K233" s="166"/>
      <c r="L233" s="159">
        <f>+Elementos_[[#This Row],[Cantidad LANIP]]*Elementos_[[#This Row],[Valor de referencia]]</f>
        <v>0</v>
      </c>
      <c r="M233" s="270">
        <v>0</v>
      </c>
      <c r="N233" s="195">
        <f>+Elementos_[[#This Row],[Cantidad 
LDV]]*Elementos_[[#This Row],[Valor de referencia]]</f>
        <v>0</v>
      </c>
      <c r="O233" s="166"/>
      <c r="P233" s="159">
        <f>+Elementos_[[#This Row],[Cantidad LNDV]]*Elementos_[[#This Row],[Valor de referencia]]</f>
        <v>0</v>
      </c>
      <c r="Q233" s="196"/>
      <c r="R233" s="159">
        <f>+Elementos_[[#This Row],[GGCA]]*Elementos_[[#This Row],[Valor de referencia]]</f>
        <v>0</v>
      </c>
      <c r="S233" s="166">
        <v>1</v>
      </c>
      <c r="T233" s="159">
        <f>+Elementos_[[#This Row],[Cantidad LDF]]*Elementos_[[#This Row],[Valor de referencia]]</f>
        <v>335360</v>
      </c>
      <c r="U233" s="197"/>
      <c r="V233" s="159">
        <f>+Elementos_[[#This Row],[Cantidad LDF&amp;MR]]*Elementos_[[#This Row],[Valor de referencia]]</f>
        <v>0</v>
      </c>
      <c r="W233" s="166"/>
      <c r="X233" s="159">
        <f>+Elementos_[[#This Row],[Cantidad RED LASE]]*Elementos_[[#This Row],[Valor de referencia]]</f>
        <v>0</v>
      </c>
      <c r="Y233" s="196"/>
      <c r="Z233" s="159">
        <f>+Elementos_[[#This Row],[Cantidad LANIA]]*Elementos_[[#This Row],[Valor de referencia]]</f>
        <v>0</v>
      </c>
      <c r="AA233" s="196"/>
      <c r="AB233" s="159">
        <f>+Elementos_[[#This Row],[Cantidad SPA]]*Elementos_[[#This Row],[Valor de referencia]]</f>
        <v>0</v>
      </c>
      <c r="AC233" s="166" t="s">
        <v>2041</v>
      </c>
    </row>
    <row r="234" spans="1:29" ht="36" x14ac:dyDescent="0.2">
      <c r="A234" s="294" t="str">
        <f>IF(B234=Elementos_[[#This Row],[Cantidad LANIP]],"LANIP",IF(B234=Elementos_[[#This Row],[Cantidad 
LDV]],"LDV",IF(B234=Elementos_[[#This Row],[Cantidad LNDV]],"LNDV",IF(B234=Elementos_[[#This Row],[GGCA]],"GGCA",IF(B234=Elementos_[[#This Row],[Cantidad LDF]],"LDF",IF(B234=Elementos_[[#This Row],[Cantidad LDF&amp;MR]],"LDF&amp;MR",IF(B234=Elementos_[[#This Row],[Cantidad RED LASE]],"LASE",IF(B234=Elementos_[[#This Row],[Cantidad LANIA]],"LANIA",IF(B234=Elementos_[[#This Row],[Cantidad SPA]],"SPA"," ")))))))))</f>
        <v>LANIP</v>
      </c>
      <c r="B23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234" s="298">
        <v>232</v>
      </c>
      <c r="D234" s="190">
        <v>332</v>
      </c>
      <c r="E234" s="273" t="s">
        <v>2437</v>
      </c>
      <c r="F234" s="204" t="s">
        <v>2438</v>
      </c>
      <c r="G234" s="192" t="s">
        <v>525</v>
      </c>
      <c r="H23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234" s="194">
        <v>77332</v>
      </c>
      <c r="J234" s="194">
        <f>+Elementos_[[#This Row],[Valor de referencia]]*Elementos_[[#This Row],[Cantidad]]</f>
        <v>309328</v>
      </c>
      <c r="K234" s="166">
        <v>4</v>
      </c>
      <c r="L234" s="159">
        <f>+Elementos_[[#This Row],[Cantidad LANIP]]*Elementos_[[#This Row],[Valor de referencia]]</f>
        <v>309328</v>
      </c>
      <c r="M234" s="270"/>
      <c r="N234" s="195">
        <f>+Elementos_[[#This Row],[Cantidad 
LDV]]*Elementos_[[#This Row],[Valor de referencia]]</f>
        <v>0</v>
      </c>
      <c r="O234" s="166"/>
      <c r="P234" s="159">
        <f>+Elementos_[[#This Row],[Cantidad LNDV]]*Elementos_[[#This Row],[Valor de referencia]]</f>
        <v>0</v>
      </c>
      <c r="Q234" s="196"/>
      <c r="R234" s="159">
        <f>+Elementos_[[#This Row],[GGCA]]*Elementos_[[#This Row],[Valor de referencia]]</f>
        <v>0</v>
      </c>
      <c r="S234" s="166"/>
      <c r="T234" s="159">
        <f>+Elementos_[[#This Row],[Cantidad LDF]]*Elementos_[[#This Row],[Valor de referencia]]</f>
        <v>0</v>
      </c>
      <c r="U234" s="197"/>
      <c r="V234" s="159">
        <f>+Elementos_[[#This Row],[Cantidad LDF&amp;MR]]*Elementos_[[#This Row],[Valor de referencia]]</f>
        <v>0</v>
      </c>
      <c r="W234" s="166"/>
      <c r="X234" s="159">
        <f>+Elementos_[[#This Row],[Cantidad RED LASE]]*Elementos_[[#This Row],[Valor de referencia]]</f>
        <v>0</v>
      </c>
      <c r="Y234" s="196"/>
      <c r="Z234" s="159">
        <f>+Elementos_[[#This Row],[Cantidad LANIA]]*Elementos_[[#This Row],[Valor de referencia]]</f>
        <v>0</v>
      </c>
      <c r="AA234" s="196"/>
      <c r="AB234" s="159">
        <f>+Elementos_[[#This Row],[Cantidad SPA]]*Elementos_[[#This Row],[Valor de referencia]]</f>
        <v>0</v>
      </c>
      <c r="AC234" s="166" t="s">
        <v>2041</v>
      </c>
    </row>
    <row r="235" spans="1:29" ht="48" x14ac:dyDescent="0.2">
      <c r="A235" s="294" t="str">
        <f>IF(B235=Elementos_[[#This Row],[Cantidad LANIP]],"LANIP",IF(B235=Elementos_[[#This Row],[Cantidad 
LDV]],"LDV",IF(B235=Elementos_[[#This Row],[Cantidad LNDV]],"LNDV",IF(B235=Elementos_[[#This Row],[GGCA]],"GGCA",IF(B235=Elementos_[[#This Row],[Cantidad LDF]],"LDF",IF(B235=Elementos_[[#This Row],[Cantidad LDF&amp;MR]],"LDF&amp;MR",IF(B235=Elementos_[[#This Row],[Cantidad RED LASE]],"LASE",IF(B235=Elementos_[[#This Row],[Cantidad LANIA]],"LANIA",IF(B235=Elementos_[[#This Row],[Cantidad SPA]],"SPA"," ")))))))))</f>
        <v>LNDV</v>
      </c>
      <c r="B23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235" s="298">
        <v>233</v>
      </c>
      <c r="D235" s="190">
        <v>334</v>
      </c>
      <c r="E235" s="273" t="s">
        <v>2439</v>
      </c>
      <c r="F235" s="201" t="s">
        <v>2440</v>
      </c>
      <c r="G235" s="192" t="s">
        <v>1391</v>
      </c>
      <c r="H23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235" s="194">
        <v>2315549</v>
      </c>
      <c r="J235" s="194">
        <f>+Elementos_[[#This Row],[Valor de referencia]]*Elementos_[[#This Row],[Cantidad]]</f>
        <v>11577745</v>
      </c>
      <c r="K235" s="166"/>
      <c r="L235" s="159">
        <f>+Elementos_[[#This Row],[Cantidad LANIP]]*Elementos_[[#This Row],[Valor de referencia]]</f>
        <v>0</v>
      </c>
      <c r="M235" s="270">
        <v>0</v>
      </c>
      <c r="N235" s="195">
        <f>+Elementos_[[#This Row],[Cantidad 
LDV]]*Elementos_[[#This Row],[Valor de referencia]]</f>
        <v>0</v>
      </c>
      <c r="O235" s="166">
        <v>5</v>
      </c>
      <c r="P235" s="159">
        <f>+Elementos_[[#This Row],[Cantidad LNDV]]*Elementos_[[#This Row],[Valor de referencia]]</f>
        <v>11577745</v>
      </c>
      <c r="Q235" s="196"/>
      <c r="R235" s="159">
        <f>+Elementos_[[#This Row],[GGCA]]*Elementos_[[#This Row],[Valor de referencia]]</f>
        <v>0</v>
      </c>
      <c r="S235" s="166"/>
      <c r="T235" s="159">
        <f>+Elementos_[[#This Row],[Cantidad LDF]]*Elementos_[[#This Row],[Valor de referencia]]</f>
        <v>0</v>
      </c>
      <c r="U235" s="197"/>
      <c r="V235" s="159">
        <f>+Elementos_[[#This Row],[Cantidad LDF&amp;MR]]*Elementos_[[#This Row],[Valor de referencia]]</f>
        <v>0</v>
      </c>
      <c r="W235" s="166"/>
      <c r="X235" s="159">
        <f>+Elementos_[[#This Row],[Cantidad RED LASE]]*Elementos_[[#This Row],[Valor de referencia]]</f>
        <v>0</v>
      </c>
      <c r="Y235" s="196"/>
      <c r="Z235" s="159">
        <f>+Elementos_[[#This Row],[Cantidad LANIA]]*Elementos_[[#This Row],[Valor de referencia]]</f>
        <v>0</v>
      </c>
      <c r="AA235" s="196"/>
      <c r="AB235" s="159">
        <f>+Elementos_[[#This Row],[Cantidad SPA]]*Elementos_[[#This Row],[Valor de referencia]]</f>
        <v>0</v>
      </c>
      <c r="AC235" s="166" t="s">
        <v>2041</v>
      </c>
    </row>
    <row r="236" spans="1:29" ht="48" x14ac:dyDescent="0.2">
      <c r="A236" s="294" t="str">
        <f>IF(B236=Elementos_[[#This Row],[Cantidad LANIP]],"LANIP",IF(B236=Elementos_[[#This Row],[Cantidad 
LDV]],"LDV",IF(B236=Elementos_[[#This Row],[Cantidad LNDV]],"LNDV",IF(B236=Elementos_[[#This Row],[GGCA]],"GGCA",IF(B236=Elementos_[[#This Row],[Cantidad LDF]],"LDF",IF(B236=Elementos_[[#This Row],[Cantidad LDF&amp;MR]],"LDF&amp;MR",IF(B236=Elementos_[[#This Row],[Cantidad RED LASE]],"LASE",IF(B236=Elementos_[[#This Row],[Cantidad LANIA]],"LANIA",IF(B236=Elementos_[[#This Row],[Cantidad SPA]],"SPA"," ")))))))))</f>
        <v>LNDV</v>
      </c>
      <c r="B23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236" s="298">
        <v>234</v>
      </c>
      <c r="D236" s="190">
        <v>335</v>
      </c>
      <c r="E236" s="273" t="s">
        <v>2441</v>
      </c>
      <c r="F236" s="201" t="s">
        <v>2442</v>
      </c>
      <c r="G236" s="306" t="s">
        <v>2443</v>
      </c>
      <c r="H23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236" s="194">
        <v>2405799</v>
      </c>
      <c r="J236" s="194">
        <f>+Elementos_[[#This Row],[Valor de referencia]]*Elementos_[[#This Row],[Cantidad]]</f>
        <v>12028995</v>
      </c>
      <c r="K236" s="166"/>
      <c r="L236" s="159">
        <f>+Elementos_[[#This Row],[Cantidad LANIP]]*Elementos_[[#This Row],[Valor de referencia]]</f>
        <v>0</v>
      </c>
      <c r="M236" s="270">
        <v>0</v>
      </c>
      <c r="N236" s="195">
        <f>+Elementos_[[#This Row],[Cantidad 
LDV]]*Elementos_[[#This Row],[Valor de referencia]]</f>
        <v>0</v>
      </c>
      <c r="O236" s="166">
        <v>5</v>
      </c>
      <c r="P236" s="159">
        <f>+Elementos_[[#This Row],[Cantidad LNDV]]*Elementos_[[#This Row],[Valor de referencia]]</f>
        <v>12028995</v>
      </c>
      <c r="Q236" s="196"/>
      <c r="R236" s="159">
        <f>+Elementos_[[#This Row],[GGCA]]*Elementos_[[#This Row],[Valor de referencia]]</f>
        <v>0</v>
      </c>
      <c r="S236" s="166"/>
      <c r="T236" s="159">
        <f>+Elementos_[[#This Row],[Cantidad LDF]]*Elementos_[[#This Row],[Valor de referencia]]</f>
        <v>0</v>
      </c>
      <c r="U236" s="197"/>
      <c r="V236" s="159">
        <f>+Elementos_[[#This Row],[Cantidad LDF&amp;MR]]*Elementos_[[#This Row],[Valor de referencia]]</f>
        <v>0</v>
      </c>
      <c r="W236" s="166"/>
      <c r="X236" s="159">
        <f>+Elementos_[[#This Row],[Cantidad RED LASE]]*Elementos_[[#This Row],[Valor de referencia]]</f>
        <v>0</v>
      </c>
      <c r="Y236" s="196"/>
      <c r="Z236" s="159">
        <f>+Elementos_[[#This Row],[Cantidad LANIA]]*Elementos_[[#This Row],[Valor de referencia]]</f>
        <v>0</v>
      </c>
      <c r="AA236" s="196"/>
      <c r="AB236" s="159">
        <f>+Elementos_[[#This Row],[Cantidad SPA]]*Elementos_[[#This Row],[Valor de referencia]]</f>
        <v>0</v>
      </c>
      <c r="AC236" s="166" t="s">
        <v>2041</v>
      </c>
    </row>
    <row r="237" spans="1:29" ht="36" x14ac:dyDescent="0.2">
      <c r="A237" s="294" t="str">
        <f>IF(B237=Elementos_[[#This Row],[Cantidad LANIP]],"LANIP",IF(B237=Elementos_[[#This Row],[Cantidad 
LDV]],"LDV",IF(B237=Elementos_[[#This Row],[Cantidad LNDV]],"LNDV",IF(B237=Elementos_[[#This Row],[GGCA]],"GGCA",IF(B237=Elementos_[[#This Row],[Cantidad LDF]],"LDF",IF(B237=Elementos_[[#This Row],[Cantidad LDF&amp;MR]],"LDF&amp;MR",IF(B237=Elementos_[[#This Row],[Cantidad RED LASE]],"LASE",IF(B237=Elementos_[[#This Row],[Cantidad LANIA]],"LANIA",IF(B237=Elementos_[[#This Row],[Cantidad SPA]],"SPA"," ")))))))))</f>
        <v>LNDV</v>
      </c>
      <c r="B23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237" s="298">
        <v>235</v>
      </c>
      <c r="D237" s="190">
        <v>336</v>
      </c>
      <c r="E237" s="277" t="s">
        <v>2444</v>
      </c>
      <c r="F237" s="204" t="s">
        <v>2445</v>
      </c>
      <c r="G237" s="192" t="s">
        <v>2328</v>
      </c>
      <c r="H23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237" s="194">
        <v>3080825</v>
      </c>
      <c r="J237" s="194">
        <f>+Elementos_[[#This Row],[Valor de referencia]]*Elementos_[[#This Row],[Cantidad]]</f>
        <v>6161650</v>
      </c>
      <c r="K237" s="166"/>
      <c r="L237" s="159">
        <f>+Elementos_[[#This Row],[Cantidad LANIP]]*Elementos_[[#This Row],[Valor de referencia]]</f>
        <v>0</v>
      </c>
      <c r="M237" s="270">
        <v>0</v>
      </c>
      <c r="N237" s="195">
        <f>+Elementos_[[#This Row],[Cantidad 
LDV]]*Elementos_[[#This Row],[Valor de referencia]]</f>
        <v>0</v>
      </c>
      <c r="O237" s="166">
        <v>2</v>
      </c>
      <c r="P237" s="159">
        <f>+Elementos_[[#This Row],[Cantidad LNDV]]*Elementos_[[#This Row],[Valor de referencia]]</f>
        <v>6161650</v>
      </c>
      <c r="Q237" s="196"/>
      <c r="R237" s="159">
        <f>+Elementos_[[#This Row],[GGCA]]*Elementos_[[#This Row],[Valor de referencia]]</f>
        <v>0</v>
      </c>
      <c r="S237" s="166"/>
      <c r="T237" s="159">
        <f>+Elementos_[[#This Row],[Cantidad LDF]]*Elementos_[[#This Row],[Valor de referencia]]</f>
        <v>0</v>
      </c>
      <c r="U237" s="197"/>
      <c r="V237" s="159">
        <f>+Elementos_[[#This Row],[Cantidad LDF&amp;MR]]*Elementos_[[#This Row],[Valor de referencia]]</f>
        <v>0</v>
      </c>
      <c r="W237" s="166"/>
      <c r="X237" s="159">
        <f>+Elementos_[[#This Row],[Cantidad RED LASE]]*Elementos_[[#This Row],[Valor de referencia]]</f>
        <v>0</v>
      </c>
      <c r="Y237" s="196"/>
      <c r="Z237" s="159">
        <f>+Elementos_[[#This Row],[Cantidad LANIA]]*Elementos_[[#This Row],[Valor de referencia]]</f>
        <v>0</v>
      </c>
      <c r="AA237" s="196"/>
      <c r="AB237" s="159">
        <f>+Elementos_[[#This Row],[Cantidad SPA]]*Elementos_[[#This Row],[Valor de referencia]]</f>
        <v>0</v>
      </c>
      <c r="AC237" s="166" t="s">
        <v>2041</v>
      </c>
    </row>
    <row r="238" spans="1:29" ht="12.75" x14ac:dyDescent="0.2">
      <c r="A238" s="294" t="str">
        <f>IF(B238=Elementos_[[#This Row],[Cantidad LANIP]],"LANIP",IF(B238=Elementos_[[#This Row],[Cantidad 
LDV]],"LDV",IF(B238=Elementos_[[#This Row],[Cantidad LNDV]],"LNDV",IF(B238=Elementos_[[#This Row],[GGCA]],"GGCA",IF(B238=Elementos_[[#This Row],[Cantidad LDF]],"LDF",IF(B238=Elementos_[[#This Row],[Cantidad LDF&amp;MR]],"LDF&amp;MR",IF(B238=Elementos_[[#This Row],[Cantidad RED LASE]],"LASE",IF(B238=Elementos_[[#This Row],[Cantidad LANIA]],"LANIA",IF(B238=Elementos_[[#This Row],[Cantidad SPA]],"SPA"," ")))))))))</f>
        <v>LASE</v>
      </c>
      <c r="B23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238" s="298">
        <v>236</v>
      </c>
      <c r="D238" s="190">
        <v>337</v>
      </c>
      <c r="E238" s="273" t="s">
        <v>2446</v>
      </c>
      <c r="F238" s="201" t="s">
        <v>183</v>
      </c>
      <c r="G238" s="192" t="s">
        <v>2064</v>
      </c>
      <c r="H23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I238" s="194">
        <v>37247</v>
      </c>
      <c r="J238" s="194">
        <f>+Elementos_[[#This Row],[Valor de referencia]]*Elementos_[[#This Row],[Cantidad]]</f>
        <v>3724700</v>
      </c>
      <c r="K238" s="166"/>
      <c r="L238" s="159">
        <f>+Elementos_[[#This Row],[Cantidad LANIP]]*Elementos_[[#This Row],[Valor de referencia]]</f>
        <v>0</v>
      </c>
      <c r="M238" s="270">
        <v>0</v>
      </c>
      <c r="N238" s="195">
        <f>+Elementos_[[#This Row],[Cantidad 
LDV]]*Elementos_[[#This Row],[Valor de referencia]]</f>
        <v>0</v>
      </c>
      <c r="O238" s="166"/>
      <c r="P238" s="159">
        <f>+Elementos_[[#This Row],[Cantidad LNDV]]*Elementos_[[#This Row],[Valor de referencia]]</f>
        <v>0</v>
      </c>
      <c r="Q238" s="196"/>
      <c r="R238" s="159">
        <f>+Elementos_[[#This Row],[GGCA]]*Elementos_[[#This Row],[Valor de referencia]]</f>
        <v>0</v>
      </c>
      <c r="S238" s="166"/>
      <c r="T238" s="159">
        <f>+Elementos_[[#This Row],[Cantidad LDF]]*Elementos_[[#This Row],[Valor de referencia]]</f>
        <v>0</v>
      </c>
      <c r="U238" s="197"/>
      <c r="V238" s="159">
        <f>+Elementos_[[#This Row],[Cantidad LDF&amp;MR]]*Elementos_[[#This Row],[Valor de referencia]]</f>
        <v>0</v>
      </c>
      <c r="W238" s="166">
        <v>100</v>
      </c>
      <c r="X238" s="159">
        <f>+Elementos_[[#This Row],[Cantidad RED LASE]]*Elementos_[[#This Row],[Valor de referencia]]</f>
        <v>3724700</v>
      </c>
      <c r="Y238" s="196"/>
      <c r="Z238" s="159">
        <f>+Elementos_[[#This Row],[Cantidad LANIA]]*Elementos_[[#This Row],[Valor de referencia]]</f>
        <v>0</v>
      </c>
      <c r="AA238" s="196"/>
      <c r="AB238" s="159">
        <f>+Elementos_[[#This Row],[Cantidad SPA]]*Elementos_[[#This Row],[Valor de referencia]]</f>
        <v>0</v>
      </c>
      <c r="AC238" s="166" t="s">
        <v>2049</v>
      </c>
    </row>
    <row r="239" spans="1:29" ht="12.75" x14ac:dyDescent="0.2">
      <c r="A239" s="294" t="str">
        <f>IF(B239=Elementos_[[#This Row],[Cantidad LANIP]],"LANIP",IF(B239=Elementos_[[#This Row],[Cantidad 
LDV]],"LDV",IF(B239=Elementos_[[#This Row],[Cantidad LNDV]],"LNDV",IF(B239=Elementos_[[#This Row],[GGCA]],"GGCA",IF(B239=Elementos_[[#This Row],[Cantidad LDF]],"LDF",IF(B239=Elementos_[[#This Row],[Cantidad LDF&amp;MR]],"LDF&amp;MR",IF(B239=Elementos_[[#This Row],[Cantidad RED LASE]],"LASE",IF(B239=Elementos_[[#This Row],[Cantidad LANIA]],"LANIA",IF(B239=Elementos_[[#This Row],[Cantidad SPA]],"SPA"," ")))))))))</f>
        <v>LNDV</v>
      </c>
      <c r="B23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239" s="298">
        <v>237</v>
      </c>
      <c r="D239" s="190">
        <v>338</v>
      </c>
      <c r="E239" s="273" t="s">
        <v>2447</v>
      </c>
      <c r="F239" s="204" t="s">
        <v>183</v>
      </c>
      <c r="G239" s="192" t="s">
        <v>2064</v>
      </c>
      <c r="H23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239" s="194">
        <v>83968</v>
      </c>
      <c r="J239" s="194">
        <f>+Elementos_[[#This Row],[Valor de referencia]]*Elementos_[[#This Row],[Cantidad]]</f>
        <v>335872</v>
      </c>
      <c r="K239" s="166"/>
      <c r="L239" s="159">
        <f>+Elementos_[[#This Row],[Cantidad LANIP]]*Elementos_[[#This Row],[Valor de referencia]]</f>
        <v>0</v>
      </c>
      <c r="M239" s="270">
        <v>0</v>
      </c>
      <c r="N239" s="195">
        <f>+Elementos_[[#This Row],[Cantidad 
LDV]]*Elementos_[[#This Row],[Valor de referencia]]</f>
        <v>0</v>
      </c>
      <c r="O239" s="166">
        <v>4</v>
      </c>
      <c r="P239" s="159">
        <f>+Elementos_[[#This Row],[Cantidad LNDV]]*Elementos_[[#This Row],[Valor de referencia]]</f>
        <v>335872</v>
      </c>
      <c r="Q239" s="196"/>
      <c r="R239" s="159">
        <f>+Elementos_[[#This Row],[GGCA]]*Elementos_[[#This Row],[Valor de referencia]]</f>
        <v>0</v>
      </c>
      <c r="S239" s="166"/>
      <c r="T239" s="159">
        <f>+Elementos_[[#This Row],[Cantidad LDF]]*Elementos_[[#This Row],[Valor de referencia]]</f>
        <v>0</v>
      </c>
      <c r="U239" s="197"/>
      <c r="V239" s="159">
        <f>+Elementos_[[#This Row],[Cantidad LDF&amp;MR]]*Elementos_[[#This Row],[Valor de referencia]]</f>
        <v>0</v>
      </c>
      <c r="W239" s="166"/>
      <c r="X239" s="159">
        <f>+Elementos_[[#This Row],[Cantidad RED LASE]]*Elementos_[[#This Row],[Valor de referencia]]</f>
        <v>0</v>
      </c>
      <c r="Y239" s="196"/>
      <c r="Z239" s="159">
        <f>+Elementos_[[#This Row],[Cantidad LANIA]]*Elementos_[[#This Row],[Valor de referencia]]</f>
        <v>0</v>
      </c>
      <c r="AA239" s="196"/>
      <c r="AB239" s="159">
        <f>+Elementos_[[#This Row],[Cantidad SPA]]*Elementos_[[#This Row],[Valor de referencia]]</f>
        <v>0</v>
      </c>
      <c r="AC239" s="166" t="s">
        <v>2049</v>
      </c>
    </row>
    <row r="240" spans="1:29" ht="52.5" customHeight="1" x14ac:dyDescent="0.2">
      <c r="A240" s="294" t="str">
        <f>IF(B240=Elementos_[[#This Row],[Cantidad LANIP]],"LANIP",IF(B240=Elementos_[[#This Row],[Cantidad 
LDV]],"LDV",IF(B240=Elementos_[[#This Row],[Cantidad LNDV]],"LNDV",IF(B240=Elementos_[[#This Row],[GGCA]],"GGCA",IF(B240=Elementos_[[#This Row],[Cantidad LDF]],"LDF",IF(B240=Elementos_[[#This Row],[Cantidad LDF&amp;MR]],"LDF&amp;MR",IF(B240=Elementos_[[#This Row],[Cantidad RED LASE]],"LASE",IF(B240=Elementos_[[#This Row],[Cantidad LANIA]],"LANIA",IF(B240=Elementos_[[#This Row],[Cantidad SPA]],"SPA"," ")))))))))</f>
        <v>SPA</v>
      </c>
      <c r="B24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80</v>
      </c>
      <c r="C240" s="298">
        <v>238</v>
      </c>
      <c r="D240" s="190">
        <v>341</v>
      </c>
      <c r="E240" s="273" t="s">
        <v>2448</v>
      </c>
      <c r="F240" s="201" t="s">
        <v>2449</v>
      </c>
      <c r="G240" s="192" t="s">
        <v>2450</v>
      </c>
      <c r="H24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88</v>
      </c>
      <c r="I240" s="194">
        <v>402100</v>
      </c>
      <c r="J240" s="194">
        <f>+Elementos_[[#This Row],[Valor de referencia]]*Elementos_[[#This Row],[Cantidad]]</f>
        <v>35384800</v>
      </c>
      <c r="K240" s="166">
        <v>8</v>
      </c>
      <c r="L240" s="159">
        <f>+Elementos_[[#This Row],[Cantidad LANIP]]*Elementos_[[#This Row],[Valor de referencia]]</f>
        <v>3216800</v>
      </c>
      <c r="M240" s="270"/>
      <c r="N240" s="195">
        <f>+Elementos_[[#This Row],[Cantidad 
LDV]]*Elementos_[[#This Row],[Valor de referencia]]</f>
        <v>0</v>
      </c>
      <c r="O240" s="166"/>
      <c r="P240" s="159">
        <f>+Elementos_[[#This Row],[Cantidad LNDV]]*Elementos_[[#This Row],[Valor de referencia]]</f>
        <v>0</v>
      </c>
      <c r="Q240" s="196"/>
      <c r="R240" s="159">
        <f>+Elementos_[[#This Row],[GGCA]]*Elementos_[[#This Row],[Valor de referencia]]</f>
        <v>0</v>
      </c>
      <c r="S240" s="166"/>
      <c r="T240" s="194">
        <f>+Elementos_[[#This Row],[Cantidad LDF]]*Elementos_[[#This Row],[Valor de referencia]]</f>
        <v>0</v>
      </c>
      <c r="U240" s="197"/>
      <c r="V240" s="194">
        <f>+Elementos_[[#This Row],[Cantidad LDF&amp;MR]]*Elementos_[[#This Row],[Valor de referencia]]</f>
        <v>0</v>
      </c>
      <c r="W240" s="166"/>
      <c r="X240" s="194">
        <f>+Elementos_[[#This Row],[Cantidad RED LASE]]*Elementos_[[#This Row],[Valor de referencia]]</f>
        <v>0</v>
      </c>
      <c r="Y240" s="196"/>
      <c r="Z240" s="194">
        <f>+Elementos_[[#This Row],[Cantidad LANIA]]*Elementos_[[#This Row],[Valor de referencia]]</f>
        <v>0</v>
      </c>
      <c r="AA240" s="196">
        <v>80</v>
      </c>
      <c r="AB240" s="194">
        <f>+Elementos_[[#This Row],[Cantidad SPA]]*Elementos_[[#This Row],[Valor de referencia]]</f>
        <v>32168000</v>
      </c>
      <c r="AC240" s="166" t="s">
        <v>2041</v>
      </c>
    </row>
    <row r="241" spans="1:29" ht="36" x14ac:dyDescent="0.2">
      <c r="A241" s="294" t="str">
        <f>IF(B241=Elementos_[[#This Row],[Cantidad LANIP]],"LANIP",IF(B241=Elementos_[[#This Row],[Cantidad 
LDV]],"LDV",IF(B241=Elementos_[[#This Row],[Cantidad LNDV]],"LNDV",IF(B241=Elementos_[[#This Row],[GGCA]],"GGCA",IF(B241=Elementos_[[#This Row],[Cantidad LDF]],"LDF",IF(B241=Elementos_[[#This Row],[Cantidad LDF&amp;MR]],"LDF&amp;MR",IF(B241=Elementos_[[#This Row],[Cantidad RED LASE]],"LASE",IF(B241=Elementos_[[#This Row],[Cantidad LANIA]],"LANIA",IF(B241=Elementos_[[#This Row],[Cantidad SPA]],"SPA"," ")))))))))</f>
        <v>LASE</v>
      </c>
      <c r="B24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241" s="298">
        <v>239</v>
      </c>
      <c r="D241" s="190">
        <v>342</v>
      </c>
      <c r="E241" s="274" t="s">
        <v>2451</v>
      </c>
      <c r="F241" s="216" t="s">
        <v>2452</v>
      </c>
      <c r="G241" s="192" t="s">
        <v>525</v>
      </c>
      <c r="H24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I241" s="194">
        <v>48758</v>
      </c>
      <c r="J241" s="194">
        <f>+Elementos_[[#This Row],[Valor de referencia]]*Elementos_[[#This Row],[Cantidad]]</f>
        <v>4875800</v>
      </c>
      <c r="K241" s="166"/>
      <c r="L241" s="159">
        <f>+Elementos_[[#This Row],[Cantidad LANIP]]*Elementos_[[#This Row],[Valor de referencia]]</f>
        <v>0</v>
      </c>
      <c r="M241" s="270">
        <v>0</v>
      </c>
      <c r="N241" s="195">
        <f>+Elementos_[[#This Row],[Cantidad 
LDV]]*Elementos_[[#This Row],[Valor de referencia]]</f>
        <v>0</v>
      </c>
      <c r="O241" s="166"/>
      <c r="P241" s="159">
        <f>+Elementos_[[#This Row],[Cantidad LNDV]]*Elementos_[[#This Row],[Valor de referencia]]</f>
        <v>0</v>
      </c>
      <c r="Q241" s="196"/>
      <c r="R241" s="159">
        <f>+Elementos_[[#This Row],[GGCA]]*Elementos_[[#This Row],[Valor de referencia]]</f>
        <v>0</v>
      </c>
      <c r="S241" s="166"/>
      <c r="T241" s="159">
        <f>+Elementos_[[#This Row],[Cantidad LDF]]*Elementos_[[#This Row],[Valor de referencia]]</f>
        <v>0</v>
      </c>
      <c r="U241" s="197"/>
      <c r="V241" s="159">
        <f>+Elementos_[[#This Row],[Cantidad LDF&amp;MR]]*Elementos_[[#This Row],[Valor de referencia]]</f>
        <v>0</v>
      </c>
      <c r="W241" s="166">
        <v>100</v>
      </c>
      <c r="X241" s="159">
        <f>+Elementos_[[#This Row],[Cantidad RED LASE]]*Elementos_[[#This Row],[Valor de referencia]]</f>
        <v>4875800</v>
      </c>
      <c r="Y241" s="196"/>
      <c r="Z241" s="159">
        <f>+Elementos_[[#This Row],[Cantidad LANIA]]*Elementos_[[#This Row],[Valor de referencia]]</f>
        <v>0</v>
      </c>
      <c r="AA241" s="196"/>
      <c r="AB241" s="159">
        <f>+Elementos_[[#This Row],[Cantidad SPA]]*Elementos_[[#This Row],[Valor de referencia]]</f>
        <v>0</v>
      </c>
      <c r="AC241" s="166" t="s">
        <v>2041</v>
      </c>
    </row>
    <row r="242" spans="1:29" ht="60" x14ac:dyDescent="0.2">
      <c r="A242" s="294" t="str">
        <f>IF(B242=Elementos_[[#This Row],[Cantidad LANIP]],"LANIP",IF(B242=Elementos_[[#This Row],[Cantidad 
LDV]],"LDV",IF(B242=Elementos_[[#This Row],[Cantidad LNDV]],"LNDV",IF(B242=Elementos_[[#This Row],[GGCA]],"GGCA",IF(B242=Elementos_[[#This Row],[Cantidad LDF]],"LDF",IF(B242=Elementos_[[#This Row],[Cantidad LDF&amp;MR]],"LDF&amp;MR",IF(B242=Elementos_[[#This Row],[Cantidad RED LASE]],"LASE",IF(B242=Elementos_[[#This Row],[Cantidad LANIA]],"LANIA",IF(B242=Elementos_[[#This Row],[Cantidad SPA]],"SPA"," ")))))))))</f>
        <v>LNDV</v>
      </c>
      <c r="B24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242" s="298">
        <v>240</v>
      </c>
      <c r="D242" s="190">
        <v>344</v>
      </c>
      <c r="E242" s="273" t="s">
        <v>2453</v>
      </c>
      <c r="F242" s="214" t="s">
        <v>2454</v>
      </c>
      <c r="G242" s="192" t="s">
        <v>2455</v>
      </c>
      <c r="H24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242" s="194">
        <v>624207</v>
      </c>
      <c r="J242" s="194">
        <f>+Elementos_[[#This Row],[Valor de referencia]]*Elementos_[[#This Row],[Cantidad]]</f>
        <v>4993656</v>
      </c>
      <c r="K242" s="166"/>
      <c r="L242" s="159">
        <f>+Elementos_[[#This Row],[Cantidad LANIP]]*Elementos_[[#This Row],[Valor de referencia]]</f>
        <v>0</v>
      </c>
      <c r="M242" s="270">
        <v>0</v>
      </c>
      <c r="N242" s="195">
        <f>+Elementos_[[#This Row],[Cantidad 
LDV]]*Elementos_[[#This Row],[Valor de referencia]]</f>
        <v>0</v>
      </c>
      <c r="O242" s="166">
        <v>8</v>
      </c>
      <c r="P242" s="159">
        <f>+Elementos_[[#This Row],[Cantidad LNDV]]*Elementos_[[#This Row],[Valor de referencia]]</f>
        <v>4993656</v>
      </c>
      <c r="Q242" s="196"/>
      <c r="R242" s="159">
        <f>+Elementos_[[#This Row],[GGCA]]*Elementos_[[#This Row],[Valor de referencia]]</f>
        <v>0</v>
      </c>
      <c r="S242" s="166"/>
      <c r="T242" s="159">
        <f>+Elementos_[[#This Row],[Cantidad LDF]]*Elementos_[[#This Row],[Valor de referencia]]</f>
        <v>0</v>
      </c>
      <c r="U242" s="197"/>
      <c r="V242" s="159">
        <f>+Elementos_[[#This Row],[Cantidad LDF&amp;MR]]*Elementos_[[#This Row],[Valor de referencia]]</f>
        <v>0</v>
      </c>
      <c r="W242" s="166"/>
      <c r="X242" s="159">
        <f>+Elementos_[[#This Row],[Cantidad RED LASE]]*Elementos_[[#This Row],[Valor de referencia]]</f>
        <v>0</v>
      </c>
      <c r="Y242" s="196"/>
      <c r="Z242" s="159">
        <f>+Elementos_[[#This Row],[Cantidad LANIA]]*Elementos_[[#This Row],[Valor de referencia]]</f>
        <v>0</v>
      </c>
      <c r="AA242" s="196"/>
      <c r="AB242" s="159">
        <f>+Elementos_[[#This Row],[Cantidad SPA]]*Elementos_[[#This Row],[Valor de referencia]]</f>
        <v>0</v>
      </c>
      <c r="AC242" s="166" t="s">
        <v>2041</v>
      </c>
    </row>
    <row r="243" spans="1:29" ht="24" x14ac:dyDescent="0.2">
      <c r="A243" s="294" t="str">
        <f>IF(B243=Elementos_[[#This Row],[Cantidad LANIP]],"LANIP",IF(B243=Elementos_[[#This Row],[Cantidad 
LDV]],"LDV",IF(B243=Elementos_[[#This Row],[Cantidad LNDV]],"LNDV",IF(B243=Elementos_[[#This Row],[GGCA]],"GGCA",IF(B243=Elementos_[[#This Row],[Cantidad LDF]],"LDF",IF(B243=Elementos_[[#This Row],[Cantidad LDF&amp;MR]],"LDF&amp;MR",IF(B243=Elementos_[[#This Row],[Cantidad RED LASE]],"LASE",IF(B243=Elementos_[[#This Row],[Cantidad LANIA]],"LANIA",IF(B243=Elementos_[[#This Row],[Cantidad SPA]],"SPA"," ")))))))))</f>
        <v>LANIA</v>
      </c>
      <c r="B24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43" s="298">
        <v>241</v>
      </c>
      <c r="D243" s="190">
        <v>345</v>
      </c>
      <c r="E243" s="299" t="s">
        <v>2456</v>
      </c>
      <c r="F243" s="214" t="s">
        <v>2457</v>
      </c>
      <c r="G243" s="192" t="s">
        <v>525</v>
      </c>
      <c r="H24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243" s="194">
        <v>83345</v>
      </c>
      <c r="J243" s="194">
        <f>+Elementos_[[#This Row],[Valor de referencia]]*Elementos_[[#This Row],[Cantidad]]</f>
        <v>1666900</v>
      </c>
      <c r="K243" s="166"/>
      <c r="L243" s="159">
        <f>+Elementos_[[#This Row],[Cantidad LANIP]]*Elementos_[[#This Row],[Valor de referencia]]</f>
        <v>0</v>
      </c>
      <c r="M243" s="270">
        <v>0</v>
      </c>
      <c r="N243" s="195">
        <f>+Elementos_[[#This Row],[Cantidad 
LDV]]*Elementos_[[#This Row],[Valor de referencia]]</f>
        <v>0</v>
      </c>
      <c r="O243" s="166"/>
      <c r="P243" s="159">
        <f>+Elementos_[[#This Row],[Cantidad LNDV]]*Elementos_[[#This Row],[Valor de referencia]]</f>
        <v>0</v>
      </c>
      <c r="Q243" s="196"/>
      <c r="R243" s="159">
        <f>+Elementos_[[#This Row],[GGCA]]*Elementos_[[#This Row],[Valor de referencia]]</f>
        <v>0</v>
      </c>
      <c r="S243" s="166"/>
      <c r="T243" s="159">
        <f>+Elementos_[[#This Row],[Cantidad LDF]]*Elementos_[[#This Row],[Valor de referencia]]</f>
        <v>0</v>
      </c>
      <c r="U243" s="197"/>
      <c r="V243" s="159">
        <f>+Elementos_[[#This Row],[Cantidad LDF&amp;MR]]*Elementos_[[#This Row],[Valor de referencia]]</f>
        <v>0</v>
      </c>
      <c r="W243" s="166"/>
      <c r="X243" s="159">
        <f>+Elementos_[[#This Row],[Cantidad RED LASE]]*Elementos_[[#This Row],[Valor de referencia]]</f>
        <v>0</v>
      </c>
      <c r="Y243" s="196">
        <v>20</v>
      </c>
      <c r="Z243" s="159">
        <f>+Elementos_[[#This Row],[Cantidad LANIA]]*Elementos_[[#This Row],[Valor de referencia]]</f>
        <v>1666900</v>
      </c>
      <c r="AA243" s="196"/>
      <c r="AB243" s="159">
        <f>+Elementos_[[#This Row],[Cantidad SPA]]*Elementos_[[#This Row],[Valor de referencia]]</f>
        <v>0</v>
      </c>
      <c r="AC243" s="166" t="s">
        <v>2041</v>
      </c>
    </row>
    <row r="244" spans="1:29" ht="24" x14ac:dyDescent="0.2">
      <c r="A244" s="294" t="str">
        <f>IF(B244=Elementos_[[#This Row],[Cantidad LANIP]],"LANIP",IF(B244=Elementos_[[#This Row],[Cantidad 
LDV]],"LDV",IF(B244=Elementos_[[#This Row],[Cantidad LNDV]],"LNDV",IF(B244=Elementos_[[#This Row],[GGCA]],"GGCA",IF(B244=Elementos_[[#This Row],[Cantidad LDF]],"LDF",IF(B244=Elementos_[[#This Row],[Cantidad LDF&amp;MR]],"LDF&amp;MR",IF(B244=Elementos_[[#This Row],[Cantidad RED LASE]],"LASE",IF(B244=Elementos_[[#This Row],[Cantidad LANIA]],"LANIA",IF(B244=Elementos_[[#This Row],[Cantidad SPA]],"SPA"," ")))))))))</f>
        <v>LANIA</v>
      </c>
      <c r="B24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44" s="298">
        <v>242</v>
      </c>
      <c r="D244" s="190">
        <v>346</v>
      </c>
      <c r="E244" s="299" t="s">
        <v>2458</v>
      </c>
      <c r="F244" s="204" t="s">
        <v>2457</v>
      </c>
      <c r="G244" s="192" t="s">
        <v>525</v>
      </c>
      <c r="H24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244" s="194">
        <v>34351</v>
      </c>
      <c r="J244" s="194">
        <f>+Elementos_[[#This Row],[Valor de referencia]]*Elementos_[[#This Row],[Cantidad]]</f>
        <v>687020</v>
      </c>
      <c r="K244" s="166"/>
      <c r="L244" s="159">
        <f>+Elementos_[[#This Row],[Cantidad LANIP]]*Elementos_[[#This Row],[Valor de referencia]]</f>
        <v>0</v>
      </c>
      <c r="M244" s="270">
        <v>0</v>
      </c>
      <c r="N244" s="195">
        <f>+Elementos_[[#This Row],[Cantidad 
LDV]]*Elementos_[[#This Row],[Valor de referencia]]</f>
        <v>0</v>
      </c>
      <c r="O244" s="166"/>
      <c r="P244" s="159">
        <f>+Elementos_[[#This Row],[Cantidad LNDV]]*Elementos_[[#This Row],[Valor de referencia]]</f>
        <v>0</v>
      </c>
      <c r="Q244" s="196"/>
      <c r="R244" s="159">
        <f>+Elementos_[[#This Row],[GGCA]]*Elementos_[[#This Row],[Valor de referencia]]</f>
        <v>0</v>
      </c>
      <c r="S244" s="166"/>
      <c r="T244" s="159">
        <f>+Elementos_[[#This Row],[Cantidad LDF]]*Elementos_[[#This Row],[Valor de referencia]]</f>
        <v>0</v>
      </c>
      <c r="U244" s="197"/>
      <c r="V244" s="159">
        <f>+Elementos_[[#This Row],[Cantidad LDF&amp;MR]]*Elementos_[[#This Row],[Valor de referencia]]</f>
        <v>0</v>
      </c>
      <c r="W244" s="166"/>
      <c r="X244" s="159">
        <f>+Elementos_[[#This Row],[Cantidad RED LASE]]*Elementos_[[#This Row],[Valor de referencia]]</f>
        <v>0</v>
      </c>
      <c r="Y244" s="196">
        <v>20</v>
      </c>
      <c r="Z244" s="159">
        <f>+Elementos_[[#This Row],[Cantidad LANIA]]*Elementos_[[#This Row],[Valor de referencia]]</f>
        <v>687020</v>
      </c>
      <c r="AA244" s="196"/>
      <c r="AB244" s="159">
        <f>+Elementos_[[#This Row],[Cantidad SPA]]*Elementos_[[#This Row],[Valor de referencia]]</f>
        <v>0</v>
      </c>
      <c r="AC244" s="166" t="s">
        <v>2041</v>
      </c>
    </row>
    <row r="245" spans="1:29" ht="24" x14ac:dyDescent="0.2">
      <c r="A245" s="294" t="str">
        <f>IF(B245=Elementos_[[#This Row],[Cantidad LANIP]],"LANIP",IF(B245=Elementos_[[#This Row],[Cantidad 
LDV]],"LDV",IF(B245=Elementos_[[#This Row],[Cantidad LNDV]],"LNDV",IF(B245=Elementos_[[#This Row],[GGCA]],"GGCA",IF(B245=Elementos_[[#This Row],[Cantidad LDF]],"LDF",IF(B245=Elementos_[[#This Row],[Cantidad LDF&amp;MR]],"LDF&amp;MR",IF(B245=Elementos_[[#This Row],[Cantidad RED LASE]],"LASE",IF(B245=Elementos_[[#This Row],[Cantidad LANIA]],"LANIA",IF(B245=Elementos_[[#This Row],[Cantidad SPA]],"SPA"," ")))))))))</f>
        <v>SPA</v>
      </c>
      <c r="B24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756</v>
      </c>
      <c r="C245" s="298">
        <v>243</v>
      </c>
      <c r="D245" s="190">
        <v>348</v>
      </c>
      <c r="E245" s="235" t="s">
        <v>2459</v>
      </c>
      <c r="F245" s="207" t="s">
        <v>2460</v>
      </c>
      <c r="G245" s="192" t="s">
        <v>525</v>
      </c>
      <c r="H24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781</v>
      </c>
      <c r="I245" s="194">
        <v>3087</v>
      </c>
      <c r="J245" s="194">
        <f>+Elementos_[[#This Row],[Valor de referencia]]*Elementos_[[#This Row],[Cantidad]]</f>
        <v>2410947</v>
      </c>
      <c r="K245" s="166">
        <v>25</v>
      </c>
      <c r="L245" s="159">
        <f>+Elementos_[[#This Row],[Cantidad LANIP]]*Elementos_[[#This Row],[Valor de referencia]]</f>
        <v>77175</v>
      </c>
      <c r="M245" s="270"/>
      <c r="N245" s="195">
        <f>+Elementos_[[#This Row],[Cantidad 
LDV]]*Elementos_[[#This Row],[Valor de referencia]]</f>
        <v>0</v>
      </c>
      <c r="O245" s="166"/>
      <c r="P245" s="159">
        <f>+Elementos_[[#This Row],[Cantidad LNDV]]*Elementos_[[#This Row],[Valor de referencia]]</f>
        <v>0</v>
      </c>
      <c r="Q245" s="196"/>
      <c r="R245" s="159">
        <f>+Elementos_[[#This Row],[GGCA]]*Elementos_[[#This Row],[Valor de referencia]]</f>
        <v>0</v>
      </c>
      <c r="S245" s="166"/>
      <c r="T245" s="194">
        <f>+Elementos_[[#This Row],[Cantidad LDF]]*Elementos_[[#This Row],[Valor de referencia]]</f>
        <v>0</v>
      </c>
      <c r="U245" s="197"/>
      <c r="V245" s="194">
        <f>+Elementos_[[#This Row],[Cantidad LDF&amp;MR]]*Elementos_[[#This Row],[Valor de referencia]]</f>
        <v>0</v>
      </c>
      <c r="W245" s="166"/>
      <c r="X245" s="194">
        <f>+Elementos_[[#This Row],[Cantidad RED LASE]]*Elementos_[[#This Row],[Valor de referencia]]</f>
        <v>0</v>
      </c>
      <c r="Y245" s="196"/>
      <c r="Z245" s="194">
        <f>+Elementos_[[#This Row],[Cantidad LANIA]]*Elementos_[[#This Row],[Valor de referencia]]</f>
        <v>0</v>
      </c>
      <c r="AA245" s="196">
        <v>756</v>
      </c>
      <c r="AB245" s="194">
        <f>+Elementos_[[#This Row],[Cantidad SPA]]*Elementos_[[#This Row],[Valor de referencia]]</f>
        <v>2333772</v>
      </c>
      <c r="AC245" s="166" t="s">
        <v>2041</v>
      </c>
    </row>
    <row r="246" spans="1:29" ht="36" x14ac:dyDescent="0.2">
      <c r="A246" s="294" t="str">
        <f>IF(B246=Elementos_[[#This Row],[Cantidad LANIP]],"LANIP",IF(B246=Elementos_[[#This Row],[Cantidad 
LDV]],"LDV",IF(B246=Elementos_[[#This Row],[Cantidad LNDV]],"LNDV",IF(B246=Elementos_[[#This Row],[GGCA]],"GGCA",IF(B246=Elementos_[[#This Row],[Cantidad LDF]],"LDF",IF(B246=Elementos_[[#This Row],[Cantidad LDF&amp;MR]],"LDF&amp;MR",IF(B246=Elementos_[[#This Row],[Cantidad RED LASE]],"LASE",IF(B246=Elementos_[[#This Row],[Cantidad LANIA]],"LANIA",IF(B246=Elementos_[[#This Row],[Cantidad SPA]],"SPA"," ")))))))))</f>
        <v>LNDV</v>
      </c>
      <c r="B24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40</v>
      </c>
      <c r="C246" s="298">
        <v>244</v>
      </c>
      <c r="D246" s="190">
        <v>350</v>
      </c>
      <c r="E246" s="235" t="s">
        <v>2461</v>
      </c>
      <c r="F246" s="223" t="s">
        <v>2462</v>
      </c>
      <c r="G246" s="192" t="s">
        <v>2463</v>
      </c>
      <c r="H24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80</v>
      </c>
      <c r="I246" s="194">
        <v>147804</v>
      </c>
      <c r="J246" s="194">
        <f>+Elementos_[[#This Row],[Valor de referencia]]*Elementos_[[#This Row],[Cantidad]]</f>
        <v>11824320</v>
      </c>
      <c r="K246" s="166">
        <v>8</v>
      </c>
      <c r="L246" s="159">
        <f>+Elementos_[[#This Row],[Cantidad LANIP]]*Elementos_[[#This Row],[Valor de referencia]]</f>
        <v>1182432</v>
      </c>
      <c r="M246" s="270">
        <v>20</v>
      </c>
      <c r="N246" s="195">
        <f>+Elementos_[[#This Row],[Cantidad 
LDV]]*Elementos_[[#This Row],[Valor de referencia]]</f>
        <v>2956080</v>
      </c>
      <c r="O246" s="166">
        <v>40</v>
      </c>
      <c r="P246" s="159">
        <f>+Elementos_[[#This Row],[Cantidad LNDV]]*Elementos_[[#This Row],[Valor de referencia]]</f>
        <v>5912160</v>
      </c>
      <c r="Q246" s="196"/>
      <c r="R246" s="159">
        <f>+Elementos_[[#This Row],[GGCA]]*Elementos_[[#This Row],[Valor de referencia]]</f>
        <v>0</v>
      </c>
      <c r="S246" s="166">
        <v>8</v>
      </c>
      <c r="T246" s="159">
        <f>+Elementos_[[#This Row],[Cantidad LDF]]*Elementos_[[#This Row],[Valor de referencia]]</f>
        <v>1182432</v>
      </c>
      <c r="U246" s="197">
        <v>2</v>
      </c>
      <c r="V246" s="159">
        <f>+Elementos_[[#This Row],[Cantidad LDF&amp;MR]]*Elementos_[[#This Row],[Valor de referencia]]</f>
        <v>295608</v>
      </c>
      <c r="W246" s="166"/>
      <c r="X246" s="159">
        <f>+Elementos_[[#This Row],[Cantidad RED LASE]]*Elementos_[[#This Row],[Valor de referencia]]</f>
        <v>0</v>
      </c>
      <c r="Y246" s="196">
        <v>2</v>
      </c>
      <c r="Z246" s="159">
        <f>+Elementos_[[#This Row],[Cantidad LANIA]]*Elementos_[[#This Row],[Valor de referencia]]</f>
        <v>295608</v>
      </c>
      <c r="AA246" s="196"/>
      <c r="AB246" s="159">
        <f>+Elementos_[[#This Row],[Cantidad SPA]]*Elementos_[[#This Row],[Valor de referencia]]</f>
        <v>0</v>
      </c>
      <c r="AC246" s="166" t="s">
        <v>2049</v>
      </c>
    </row>
    <row r="247" spans="1:29" ht="12.75" x14ac:dyDescent="0.2">
      <c r="A247" s="294" t="str">
        <f>IF(B247=Elementos_[[#This Row],[Cantidad LANIP]],"LANIP",IF(B247=Elementos_[[#This Row],[Cantidad 
LDV]],"LDV",IF(B247=Elementos_[[#This Row],[Cantidad LNDV]],"LNDV",IF(B247=Elementos_[[#This Row],[GGCA]],"GGCA",IF(B247=Elementos_[[#This Row],[Cantidad LDF]],"LDF",IF(B247=Elementos_[[#This Row],[Cantidad LDF&amp;MR]],"LDF&amp;MR",IF(B247=Elementos_[[#This Row],[Cantidad RED LASE]],"LASE",IF(B247=Elementos_[[#This Row],[Cantidad LANIA]],"LANIA",IF(B247=Elementos_[[#This Row],[Cantidad SPA]],"SPA"," ")))))))))</f>
        <v>SPA</v>
      </c>
      <c r="B24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247" s="298">
        <v>245</v>
      </c>
      <c r="D247" s="190">
        <v>352</v>
      </c>
      <c r="E247" s="235" t="s">
        <v>2464</v>
      </c>
      <c r="F247" s="208" t="s">
        <v>183</v>
      </c>
      <c r="G247" s="192" t="s">
        <v>2465</v>
      </c>
      <c r="H24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247" s="194">
        <v>367024</v>
      </c>
      <c r="J247" s="194">
        <f>+Elementos_[[#This Row],[Valor de referencia]]*Elementos_[[#This Row],[Cantidad]]</f>
        <v>5505360</v>
      </c>
      <c r="K247" s="166"/>
      <c r="L247" s="159">
        <f>+Elementos_[[#This Row],[Cantidad LANIP]]*Elementos_[[#This Row],[Valor de referencia]]</f>
        <v>0</v>
      </c>
      <c r="M247" s="270"/>
      <c r="N247" s="195">
        <f>+Elementos_[[#This Row],[Cantidad 
LDV]]*Elementos_[[#This Row],[Valor de referencia]]</f>
        <v>0</v>
      </c>
      <c r="O247" s="166"/>
      <c r="P247" s="159">
        <f>+Elementos_[[#This Row],[Cantidad LNDV]]*Elementos_[[#This Row],[Valor de referencia]]</f>
        <v>0</v>
      </c>
      <c r="Q247" s="196"/>
      <c r="R247" s="159">
        <f>+Elementos_[[#This Row],[GGCA]]*Elementos_[[#This Row],[Valor de referencia]]</f>
        <v>0</v>
      </c>
      <c r="S247" s="166"/>
      <c r="T247" s="194">
        <f>+Elementos_[[#This Row],[Cantidad LDF]]*Elementos_[[#This Row],[Valor de referencia]]</f>
        <v>0</v>
      </c>
      <c r="U247" s="197"/>
      <c r="V247" s="194">
        <f>+Elementos_[[#This Row],[Cantidad LDF&amp;MR]]*Elementos_[[#This Row],[Valor de referencia]]</f>
        <v>0</v>
      </c>
      <c r="W247" s="166"/>
      <c r="X247" s="194">
        <f>+Elementos_[[#This Row],[Cantidad RED LASE]]*Elementos_[[#This Row],[Valor de referencia]]</f>
        <v>0</v>
      </c>
      <c r="Y247" s="196"/>
      <c r="Z247" s="194">
        <f>+Elementos_[[#This Row],[Cantidad LANIA]]*Elementos_[[#This Row],[Valor de referencia]]</f>
        <v>0</v>
      </c>
      <c r="AA247" s="196">
        <v>15</v>
      </c>
      <c r="AB247" s="194">
        <f>+Elementos_[[#This Row],[Cantidad SPA]]*Elementos_[[#This Row],[Valor de referencia]]</f>
        <v>5505360</v>
      </c>
      <c r="AC247" s="166" t="s">
        <v>2049</v>
      </c>
    </row>
    <row r="248" spans="1:29" ht="12.75" x14ac:dyDescent="0.2">
      <c r="A248" s="294" t="str">
        <f>IF(B248=Elementos_[[#This Row],[Cantidad LANIP]],"LANIP",IF(B248=Elementos_[[#This Row],[Cantidad 
LDV]],"LDV",IF(B248=Elementos_[[#This Row],[Cantidad LNDV]],"LNDV",IF(B248=Elementos_[[#This Row],[GGCA]],"GGCA",IF(B248=Elementos_[[#This Row],[Cantidad LDF]],"LDF",IF(B248=Elementos_[[#This Row],[Cantidad LDF&amp;MR]],"LDF&amp;MR",IF(B248=Elementos_[[#This Row],[Cantidad RED LASE]],"LASE",IF(B248=Elementos_[[#This Row],[Cantidad LANIA]],"LANIA",IF(B248=Elementos_[[#This Row],[Cantidad SPA]],"SPA"," ")))))))))</f>
        <v>SPA</v>
      </c>
      <c r="B24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39</v>
      </c>
      <c r="C248" s="298">
        <v>246</v>
      </c>
      <c r="D248" s="190">
        <v>353</v>
      </c>
      <c r="E248" s="235" t="s">
        <v>2466</v>
      </c>
      <c r="F248" s="208" t="s">
        <v>183</v>
      </c>
      <c r="G248" s="192" t="s">
        <v>2467</v>
      </c>
      <c r="H24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39</v>
      </c>
      <c r="I248" s="194">
        <v>695983</v>
      </c>
      <c r="J248" s="194">
        <f>+Elementos_[[#This Row],[Valor de referencia]]*Elementos_[[#This Row],[Cantidad]]</f>
        <v>27143337</v>
      </c>
      <c r="K248" s="166"/>
      <c r="L248" s="159">
        <f>+Elementos_[[#This Row],[Cantidad LANIP]]*Elementos_[[#This Row],[Valor de referencia]]</f>
        <v>0</v>
      </c>
      <c r="M248" s="270"/>
      <c r="N248" s="195">
        <f>+Elementos_[[#This Row],[Cantidad 
LDV]]*Elementos_[[#This Row],[Valor de referencia]]</f>
        <v>0</v>
      </c>
      <c r="O248" s="166"/>
      <c r="P248" s="159">
        <f>+Elementos_[[#This Row],[Cantidad LNDV]]*Elementos_[[#This Row],[Valor de referencia]]</f>
        <v>0</v>
      </c>
      <c r="Q248" s="196"/>
      <c r="R248" s="159">
        <f>+Elementos_[[#This Row],[GGCA]]*Elementos_[[#This Row],[Valor de referencia]]</f>
        <v>0</v>
      </c>
      <c r="S248" s="166"/>
      <c r="T248" s="159">
        <f>+Elementos_[[#This Row],[Cantidad LDF]]*Elementos_[[#This Row],[Valor de referencia]]</f>
        <v>0</v>
      </c>
      <c r="U248" s="197"/>
      <c r="V248" s="159">
        <f>+Elementos_[[#This Row],[Cantidad LDF&amp;MR]]*Elementos_[[#This Row],[Valor de referencia]]</f>
        <v>0</v>
      </c>
      <c r="W248" s="166"/>
      <c r="X248" s="159">
        <f>+Elementos_[[#This Row],[Cantidad RED LASE]]*Elementos_[[#This Row],[Valor de referencia]]</f>
        <v>0</v>
      </c>
      <c r="Y248" s="196"/>
      <c r="Z248" s="159">
        <f>+Elementos_[[#This Row],[Cantidad LANIA]]*Elementos_[[#This Row],[Valor de referencia]]</f>
        <v>0</v>
      </c>
      <c r="AA248" s="196">
        <v>39</v>
      </c>
      <c r="AB248" s="159">
        <f>+Elementos_[[#This Row],[Cantidad SPA]]*Elementos_[[#This Row],[Valor de referencia]]</f>
        <v>27143337</v>
      </c>
      <c r="AC248" s="166" t="s">
        <v>2049</v>
      </c>
    </row>
    <row r="249" spans="1:29" ht="24" x14ac:dyDescent="0.2">
      <c r="A249" s="294" t="str">
        <f>IF(B249=Elementos_[[#This Row],[Cantidad LANIP]],"LANIP",IF(B249=Elementos_[[#This Row],[Cantidad 
LDV]],"LDV",IF(B249=Elementos_[[#This Row],[Cantidad LNDV]],"LNDV",IF(B249=Elementos_[[#This Row],[GGCA]],"GGCA",IF(B249=Elementos_[[#This Row],[Cantidad LDF]],"LDF",IF(B249=Elementos_[[#This Row],[Cantidad LDF&amp;MR]],"LDF&amp;MR",IF(B249=Elementos_[[#This Row],[Cantidad RED LASE]],"LASE",IF(B249=Elementos_[[#This Row],[Cantidad LANIA]],"LANIA",IF(B249=Elementos_[[#This Row],[Cantidad SPA]],"SPA"," ")))))))))</f>
        <v>LNDV</v>
      </c>
      <c r="B24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249" s="298">
        <v>247</v>
      </c>
      <c r="D249" s="190">
        <v>355</v>
      </c>
      <c r="E249" s="235" t="s">
        <v>2468</v>
      </c>
      <c r="F249" s="208" t="s">
        <v>183</v>
      </c>
      <c r="G249" s="192" t="s">
        <v>525</v>
      </c>
      <c r="H24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249" s="194">
        <v>29400</v>
      </c>
      <c r="J249" s="194">
        <f>+Elementos_[[#This Row],[Valor de referencia]]*Elementos_[[#This Row],[Cantidad]]</f>
        <v>352800</v>
      </c>
      <c r="K249" s="166"/>
      <c r="L249" s="159">
        <f>+Elementos_[[#This Row],[Cantidad LANIP]]*Elementos_[[#This Row],[Valor de referencia]]</f>
        <v>0</v>
      </c>
      <c r="M249" s="270"/>
      <c r="N249" s="195">
        <f>+Elementos_[[#This Row],[Cantidad 
LDV]]*Elementos_[[#This Row],[Valor de referencia]]</f>
        <v>0</v>
      </c>
      <c r="O249" s="166">
        <v>6</v>
      </c>
      <c r="P249" s="159">
        <f>+Elementos_[[#This Row],[Cantidad LNDV]]*Elementos_[[#This Row],[Valor de referencia]]</f>
        <v>176400</v>
      </c>
      <c r="Q249" s="196"/>
      <c r="R249" s="159">
        <f>+Elementos_[[#This Row],[GGCA]]*Elementos_[[#This Row],[Valor de referencia]]</f>
        <v>0</v>
      </c>
      <c r="S249" s="166">
        <v>6</v>
      </c>
      <c r="T249" s="159">
        <f>+Elementos_[[#This Row],[Cantidad LDF]]*Elementos_[[#This Row],[Valor de referencia]]</f>
        <v>176400</v>
      </c>
      <c r="U249" s="197"/>
      <c r="V249" s="159">
        <f>+Elementos_[[#This Row],[Cantidad LDF&amp;MR]]*Elementos_[[#This Row],[Valor de referencia]]</f>
        <v>0</v>
      </c>
      <c r="W249" s="166"/>
      <c r="X249" s="159">
        <f>+Elementos_[[#This Row],[Cantidad RED LASE]]*Elementos_[[#This Row],[Valor de referencia]]</f>
        <v>0</v>
      </c>
      <c r="Y249" s="196"/>
      <c r="Z249" s="159">
        <f>+Elementos_[[#This Row],[Cantidad LANIA]]*Elementos_[[#This Row],[Valor de referencia]]</f>
        <v>0</v>
      </c>
      <c r="AA249" s="196"/>
      <c r="AB249" s="159">
        <f>+Elementos_[[#This Row],[Cantidad SPA]]*Elementos_[[#This Row],[Valor de referencia]]</f>
        <v>0</v>
      </c>
      <c r="AC249" s="166" t="s">
        <v>2049</v>
      </c>
    </row>
    <row r="250" spans="1:29" ht="36" x14ac:dyDescent="0.2">
      <c r="A250" s="294" t="str">
        <f>IF(B250=Elementos_[[#This Row],[Cantidad LANIP]],"LANIP",IF(B250=Elementos_[[#This Row],[Cantidad 
LDV]],"LDV",IF(B250=Elementos_[[#This Row],[Cantidad LNDV]],"LNDV",IF(B250=Elementos_[[#This Row],[GGCA]],"GGCA",IF(B250=Elementos_[[#This Row],[Cantidad LDF]],"LDF",IF(B250=Elementos_[[#This Row],[Cantidad LDF&amp;MR]],"LDF&amp;MR",IF(B250=Elementos_[[#This Row],[Cantidad RED LASE]],"LASE",IF(B250=Elementos_[[#This Row],[Cantidad LANIA]],"LANIA",IF(B250=Elementos_[[#This Row],[Cantidad SPA]],"SPA"," ")))))))))</f>
        <v>LDF</v>
      </c>
      <c r="B25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250" s="298">
        <v>248</v>
      </c>
      <c r="D250" s="190">
        <v>356</v>
      </c>
      <c r="E250" s="235" t="s">
        <v>2469</v>
      </c>
      <c r="F250" s="223" t="s">
        <v>2470</v>
      </c>
      <c r="G250" s="202" t="s">
        <v>2471</v>
      </c>
      <c r="H25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I250" s="194">
        <v>328871</v>
      </c>
      <c r="J250" s="194">
        <f>+Elementos_[[#This Row],[Valor de referencia]]*Elementos_[[#This Row],[Cantidad]]</f>
        <v>4604194</v>
      </c>
      <c r="K250" s="166"/>
      <c r="L250" s="159">
        <f>+Elementos_[[#This Row],[Cantidad LANIP]]*Elementos_[[#This Row],[Valor de referencia]]</f>
        <v>0</v>
      </c>
      <c r="M250" s="270"/>
      <c r="N250" s="195">
        <f>+Elementos_[[#This Row],[Cantidad 
LDV]]*Elementos_[[#This Row],[Valor de referencia]]</f>
        <v>0</v>
      </c>
      <c r="O250" s="166"/>
      <c r="P250" s="159">
        <f>+Elementos_[[#This Row],[Cantidad LNDV]]*Elementos_[[#This Row],[Valor de referencia]]</f>
        <v>0</v>
      </c>
      <c r="Q250" s="196"/>
      <c r="R250" s="159">
        <f>+Elementos_[[#This Row],[GGCA]]*Elementos_[[#This Row],[Valor de referencia]]</f>
        <v>0</v>
      </c>
      <c r="S250" s="166">
        <v>8</v>
      </c>
      <c r="T250" s="159">
        <f>+Elementos_[[#This Row],[Cantidad LDF]]*Elementos_[[#This Row],[Valor de referencia]]</f>
        <v>2630968</v>
      </c>
      <c r="U250" s="197">
        <v>4</v>
      </c>
      <c r="V250" s="159">
        <f>+Elementos_[[#This Row],[Cantidad LDF&amp;MR]]*Elementos_[[#This Row],[Valor de referencia]]</f>
        <v>1315484</v>
      </c>
      <c r="W250" s="166"/>
      <c r="X250" s="159">
        <f>+Elementos_[[#This Row],[Cantidad RED LASE]]*Elementos_[[#This Row],[Valor de referencia]]</f>
        <v>0</v>
      </c>
      <c r="Y250" s="196">
        <v>2</v>
      </c>
      <c r="Z250" s="159">
        <f>+Elementos_[[#This Row],[Cantidad LANIA]]*Elementos_[[#This Row],[Valor de referencia]]</f>
        <v>657742</v>
      </c>
      <c r="AA250" s="196"/>
      <c r="AB250" s="159">
        <f>+Elementos_[[#This Row],[Cantidad SPA]]*Elementos_[[#This Row],[Valor de referencia]]</f>
        <v>0</v>
      </c>
      <c r="AC250" s="166" t="s">
        <v>2041</v>
      </c>
    </row>
    <row r="251" spans="1:29" ht="36" x14ac:dyDescent="0.2">
      <c r="A251" s="294" t="str">
        <f>IF(B251=Elementos_[[#This Row],[Cantidad LANIP]],"LANIP",IF(B251=Elementos_[[#This Row],[Cantidad 
LDV]],"LDV",IF(B251=Elementos_[[#This Row],[Cantidad LNDV]],"LNDV",IF(B251=Elementos_[[#This Row],[GGCA]],"GGCA",IF(B251=Elementos_[[#This Row],[Cantidad LDF]],"LDF",IF(B251=Elementos_[[#This Row],[Cantidad LDF&amp;MR]],"LDF&amp;MR",IF(B251=Elementos_[[#This Row],[Cantidad RED LASE]],"LASE",IF(B251=Elementos_[[#This Row],[Cantidad LANIA]],"LANIA",IF(B251=Elementos_[[#This Row],[Cantidad SPA]],"SPA"," ")))))))))</f>
        <v>LANIA</v>
      </c>
      <c r="B25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24</v>
      </c>
      <c r="C251" s="298">
        <v>249</v>
      </c>
      <c r="D251" s="190">
        <v>357</v>
      </c>
      <c r="E251" s="235" t="s">
        <v>2472</v>
      </c>
      <c r="F251" s="223" t="s">
        <v>2473</v>
      </c>
      <c r="G251" s="202" t="s">
        <v>525</v>
      </c>
      <c r="H25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38</v>
      </c>
      <c r="I251" s="194">
        <v>106738</v>
      </c>
      <c r="J251" s="194">
        <f>+Elementos_[[#This Row],[Valor de referencia]]*Elementos_[[#This Row],[Cantidad]]</f>
        <v>4056044</v>
      </c>
      <c r="K251" s="166">
        <v>12</v>
      </c>
      <c r="L251" s="159">
        <f>+Elementos_[[#This Row],[Cantidad LANIP]]*Elementos_[[#This Row],[Valor de referencia]]</f>
        <v>1280856</v>
      </c>
      <c r="M251" s="270"/>
      <c r="N251" s="195">
        <f>+Elementos_[[#This Row],[Cantidad 
LDV]]*Elementos_[[#This Row],[Valor de referencia]]</f>
        <v>0</v>
      </c>
      <c r="O251" s="166"/>
      <c r="P251" s="159">
        <f>+Elementos_[[#This Row],[Cantidad LNDV]]*Elementos_[[#This Row],[Valor de referencia]]</f>
        <v>0</v>
      </c>
      <c r="Q251" s="196"/>
      <c r="R251" s="159">
        <f>+Elementos_[[#This Row],[GGCA]]*Elementos_[[#This Row],[Valor de referencia]]</f>
        <v>0</v>
      </c>
      <c r="S251" s="166"/>
      <c r="T251" s="159">
        <f>+Elementos_[[#This Row],[Cantidad LDF]]*Elementos_[[#This Row],[Valor de referencia]]</f>
        <v>0</v>
      </c>
      <c r="U251" s="197">
        <v>2</v>
      </c>
      <c r="V251" s="159">
        <f>+Elementos_[[#This Row],[Cantidad LDF&amp;MR]]*Elementos_[[#This Row],[Valor de referencia]]</f>
        <v>213476</v>
      </c>
      <c r="W251" s="166"/>
      <c r="X251" s="159">
        <f>+Elementos_[[#This Row],[Cantidad RED LASE]]*Elementos_[[#This Row],[Valor de referencia]]</f>
        <v>0</v>
      </c>
      <c r="Y251" s="196">
        <f>20+4</f>
        <v>24</v>
      </c>
      <c r="Z251" s="159">
        <f>+Elementos_[[#This Row],[Cantidad LANIA]]*Elementos_[[#This Row],[Valor de referencia]]</f>
        <v>2561712</v>
      </c>
      <c r="AA251" s="196"/>
      <c r="AB251" s="159">
        <f>+Elementos_[[#This Row],[Cantidad SPA]]*Elementos_[[#This Row],[Valor de referencia]]</f>
        <v>0</v>
      </c>
      <c r="AC251" s="166" t="s">
        <v>2041</v>
      </c>
    </row>
    <row r="252" spans="1:29" ht="36" x14ac:dyDescent="0.2">
      <c r="A252" s="294" t="str">
        <f>IF(B252=Elementos_[[#This Row],[Cantidad LANIP]],"LANIP",IF(B252=Elementos_[[#This Row],[Cantidad 
LDV]],"LDV",IF(B252=Elementos_[[#This Row],[Cantidad LNDV]],"LNDV",IF(B252=Elementos_[[#This Row],[GGCA]],"GGCA",IF(B252=Elementos_[[#This Row],[Cantidad LDF]],"LDF",IF(B252=Elementos_[[#This Row],[Cantidad LDF&amp;MR]],"LDF&amp;MR",IF(B252=Elementos_[[#This Row],[Cantidad RED LASE]],"LASE",IF(B252=Elementos_[[#This Row],[Cantidad LANIA]],"LANIA",IF(B252=Elementos_[[#This Row],[Cantidad SPA]],"SPA"," ")))))))))</f>
        <v>LANIA</v>
      </c>
      <c r="B25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252" s="298">
        <v>250</v>
      </c>
      <c r="D252" s="190">
        <v>358</v>
      </c>
      <c r="E252" s="235" t="s">
        <v>2474</v>
      </c>
      <c r="F252" s="223" t="s">
        <v>2473</v>
      </c>
      <c r="G252" s="192" t="s">
        <v>525</v>
      </c>
      <c r="H25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252" s="194">
        <v>1693378</v>
      </c>
      <c r="J252" s="194">
        <f>+Elementos_[[#This Row],[Valor de referencia]]*Elementos_[[#This Row],[Cantidad]]</f>
        <v>3386756</v>
      </c>
      <c r="K252" s="166"/>
      <c r="L252" s="159">
        <f>+Elementos_[[#This Row],[Cantidad LANIP]]*Elementos_[[#This Row],[Valor de referencia]]</f>
        <v>0</v>
      </c>
      <c r="M252" s="270"/>
      <c r="N252" s="195">
        <f>+Elementos_[[#This Row],[Cantidad 
LDV]]*Elementos_[[#This Row],[Valor de referencia]]</f>
        <v>0</v>
      </c>
      <c r="O252" s="166"/>
      <c r="P252" s="159">
        <f>+Elementos_[[#This Row],[Cantidad LNDV]]*Elementos_[[#This Row],[Valor de referencia]]</f>
        <v>0</v>
      </c>
      <c r="Q252" s="196"/>
      <c r="R252" s="159">
        <f>+Elementos_[[#This Row],[GGCA]]*Elementos_[[#This Row],[Valor de referencia]]</f>
        <v>0</v>
      </c>
      <c r="S252" s="166"/>
      <c r="T252" s="159">
        <f>+Elementos_[[#This Row],[Cantidad LDF]]*Elementos_[[#This Row],[Valor de referencia]]</f>
        <v>0</v>
      </c>
      <c r="U252" s="197"/>
      <c r="V252" s="159">
        <f>+Elementos_[[#This Row],[Cantidad LDF&amp;MR]]*Elementos_[[#This Row],[Valor de referencia]]</f>
        <v>0</v>
      </c>
      <c r="W252" s="166"/>
      <c r="X252" s="159">
        <f>+Elementos_[[#This Row],[Cantidad RED LASE]]*Elementos_[[#This Row],[Valor de referencia]]</f>
        <v>0</v>
      </c>
      <c r="Y252" s="196">
        <v>2</v>
      </c>
      <c r="Z252" s="159">
        <f>+Elementos_[[#This Row],[Cantidad LANIA]]*Elementos_[[#This Row],[Valor de referencia]]</f>
        <v>3386756</v>
      </c>
      <c r="AA252" s="196"/>
      <c r="AB252" s="159">
        <f>+Elementos_[[#This Row],[Cantidad SPA]]*Elementos_[[#This Row],[Valor de referencia]]</f>
        <v>0</v>
      </c>
      <c r="AC252" s="166" t="s">
        <v>2041</v>
      </c>
    </row>
    <row r="253" spans="1:29" ht="36" x14ac:dyDescent="0.2">
      <c r="A253" s="294" t="str">
        <f>IF(B253=Elementos_[[#This Row],[Cantidad LANIP]],"LANIP",IF(B253=Elementos_[[#This Row],[Cantidad 
LDV]],"LDV",IF(B253=Elementos_[[#This Row],[Cantidad LNDV]],"LNDV",IF(B253=Elementos_[[#This Row],[GGCA]],"GGCA",IF(B253=Elementos_[[#This Row],[Cantidad LDF]],"LDF",IF(B253=Elementos_[[#This Row],[Cantidad LDF&amp;MR]],"LDF&amp;MR",IF(B253=Elementos_[[#This Row],[Cantidad RED LASE]],"LASE",IF(B253=Elementos_[[#This Row],[Cantidad LANIA]],"LANIA",IF(B253=Elementos_[[#This Row],[Cantidad SPA]],"SPA"," ")))))))))</f>
        <v>LDF</v>
      </c>
      <c r="B25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253" s="298">
        <v>251</v>
      </c>
      <c r="D253" s="190">
        <v>360</v>
      </c>
      <c r="E253" s="282" t="s">
        <v>2475</v>
      </c>
      <c r="F253" s="223" t="s">
        <v>2473</v>
      </c>
      <c r="G253" s="202" t="s">
        <v>525</v>
      </c>
      <c r="H25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253" s="194">
        <v>131005</v>
      </c>
      <c r="J253" s="194">
        <f>+Elementos_[[#This Row],[Valor de referencia]]*Elementos_[[#This Row],[Cantidad]]</f>
        <v>2358090</v>
      </c>
      <c r="K253" s="166"/>
      <c r="L253" s="159">
        <f>+Elementos_[[#This Row],[Cantidad LANIP]]*Elementos_[[#This Row],[Valor de referencia]]</f>
        <v>0</v>
      </c>
      <c r="M253" s="270"/>
      <c r="N253" s="195">
        <f>+Elementos_[[#This Row],[Cantidad 
LDV]]*Elementos_[[#This Row],[Valor de referencia]]</f>
        <v>0</v>
      </c>
      <c r="O253" s="166">
        <v>5</v>
      </c>
      <c r="P253" s="159">
        <f>+Elementos_[[#This Row],[Cantidad LNDV]]*Elementos_[[#This Row],[Valor de referencia]]</f>
        <v>655025</v>
      </c>
      <c r="Q253" s="196"/>
      <c r="R253" s="159">
        <f>+Elementos_[[#This Row],[GGCA]]*Elementos_[[#This Row],[Valor de referencia]]</f>
        <v>0</v>
      </c>
      <c r="S253" s="166">
        <v>8</v>
      </c>
      <c r="T253" s="159">
        <f>+Elementos_[[#This Row],[Cantidad LDF]]*Elementos_[[#This Row],[Valor de referencia]]</f>
        <v>1048040</v>
      </c>
      <c r="U253" s="197">
        <v>2</v>
      </c>
      <c r="V253" s="159">
        <f>+Elementos_[[#This Row],[Cantidad LDF&amp;MR]]*Elementos_[[#This Row],[Valor de referencia]]</f>
        <v>262010</v>
      </c>
      <c r="W253" s="166"/>
      <c r="X253" s="159">
        <f>+Elementos_[[#This Row],[Cantidad RED LASE]]*Elementos_[[#This Row],[Valor de referencia]]</f>
        <v>0</v>
      </c>
      <c r="Y253" s="196">
        <v>3</v>
      </c>
      <c r="Z253" s="159">
        <f>+Elementos_[[#This Row],[Cantidad LANIA]]*Elementos_[[#This Row],[Valor de referencia]]</f>
        <v>393015</v>
      </c>
      <c r="AA253" s="196"/>
      <c r="AB253" s="159">
        <f>+Elementos_[[#This Row],[Cantidad SPA]]*Elementos_[[#This Row],[Valor de referencia]]</f>
        <v>0</v>
      </c>
      <c r="AC253" s="166" t="s">
        <v>2041</v>
      </c>
    </row>
    <row r="254" spans="1:29" ht="36" x14ac:dyDescent="0.2">
      <c r="A254" s="294" t="str">
        <f>IF(B254=Elementos_[[#This Row],[Cantidad LANIP]],"LANIP",IF(B254=Elementos_[[#This Row],[Cantidad 
LDV]],"LDV",IF(B254=Elementos_[[#This Row],[Cantidad LNDV]],"LNDV",IF(B254=Elementos_[[#This Row],[GGCA]],"GGCA",IF(B254=Elementos_[[#This Row],[Cantidad LDF]],"LDF",IF(B254=Elementos_[[#This Row],[Cantidad LDF&amp;MR]],"LDF&amp;MR",IF(B254=Elementos_[[#This Row],[Cantidad RED LASE]],"LASE",IF(B254=Elementos_[[#This Row],[Cantidad LANIA]],"LANIA",IF(B254=Elementos_[[#This Row],[Cantidad SPA]],"SPA"," ")))))))))</f>
        <v>LDF</v>
      </c>
      <c r="B25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v>
      </c>
      <c r="C254" s="298">
        <v>252</v>
      </c>
      <c r="D254" s="190">
        <v>361</v>
      </c>
      <c r="E254" s="235" t="s">
        <v>2476</v>
      </c>
      <c r="F254" s="223" t="s">
        <v>2477</v>
      </c>
      <c r="G254" s="192" t="s">
        <v>525</v>
      </c>
      <c r="H25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254" s="194">
        <v>170933</v>
      </c>
      <c r="J254" s="194">
        <f>+Elementos_[[#This Row],[Valor de referencia]]*Elementos_[[#This Row],[Cantidad]]</f>
        <v>2222129</v>
      </c>
      <c r="K254" s="166"/>
      <c r="L254" s="159">
        <f>+Elementos_[[#This Row],[Cantidad LANIP]]*Elementos_[[#This Row],[Valor de referencia]]</f>
        <v>0</v>
      </c>
      <c r="M254" s="270"/>
      <c r="N254" s="195">
        <f>+Elementos_[[#This Row],[Cantidad 
LDV]]*Elementos_[[#This Row],[Valor de referencia]]</f>
        <v>0</v>
      </c>
      <c r="O254" s="166"/>
      <c r="P254" s="159">
        <f>+Elementos_[[#This Row],[Cantidad LNDV]]*Elementos_[[#This Row],[Valor de referencia]]</f>
        <v>0</v>
      </c>
      <c r="Q254" s="196"/>
      <c r="R254" s="159">
        <f>+Elementos_[[#This Row],[GGCA]]*Elementos_[[#This Row],[Valor de referencia]]</f>
        <v>0</v>
      </c>
      <c r="S254" s="166">
        <v>7</v>
      </c>
      <c r="T254" s="159">
        <f>+Elementos_[[#This Row],[Cantidad LDF]]*Elementos_[[#This Row],[Valor de referencia]]</f>
        <v>1196531</v>
      </c>
      <c r="U254" s="197"/>
      <c r="V254" s="159">
        <f>+Elementos_[[#This Row],[Cantidad LDF&amp;MR]]*Elementos_[[#This Row],[Valor de referencia]]</f>
        <v>0</v>
      </c>
      <c r="W254" s="166"/>
      <c r="X254" s="159">
        <f>+Elementos_[[#This Row],[Cantidad RED LASE]]*Elementos_[[#This Row],[Valor de referencia]]</f>
        <v>0</v>
      </c>
      <c r="Y254" s="196">
        <v>6</v>
      </c>
      <c r="Z254" s="159">
        <f>+Elementos_[[#This Row],[Cantidad LANIA]]*Elementos_[[#This Row],[Valor de referencia]]</f>
        <v>1025598</v>
      </c>
      <c r="AA254" s="196"/>
      <c r="AB254" s="159">
        <f>+Elementos_[[#This Row],[Cantidad SPA]]*Elementos_[[#This Row],[Valor de referencia]]</f>
        <v>0</v>
      </c>
      <c r="AC254" s="166" t="s">
        <v>2041</v>
      </c>
    </row>
    <row r="255" spans="1:29" ht="72" x14ac:dyDescent="0.2">
      <c r="A255" s="294" t="str">
        <f>IF(B255=Elementos_[[#This Row],[Cantidad LANIP]],"LANIP",IF(B255=Elementos_[[#This Row],[Cantidad 
LDV]],"LDV",IF(B255=Elementos_[[#This Row],[Cantidad LNDV]],"LNDV",IF(B255=Elementos_[[#This Row],[GGCA]],"GGCA",IF(B255=Elementos_[[#This Row],[Cantidad LDF]],"LDF",IF(B255=Elementos_[[#This Row],[Cantidad LDF&amp;MR]],"LDF&amp;MR",IF(B255=Elementos_[[#This Row],[Cantidad RED LASE]],"LASE",IF(B255=Elementos_[[#This Row],[Cantidad LANIA]],"LANIA",IF(B255=Elementos_[[#This Row],[Cantidad SPA]],"SPA"," ")))))))))</f>
        <v>LANIP</v>
      </c>
      <c r="B25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255" s="298">
        <v>253</v>
      </c>
      <c r="D255" s="190">
        <v>362</v>
      </c>
      <c r="E255" s="235" t="s">
        <v>2478</v>
      </c>
      <c r="F255" s="223" t="s">
        <v>2479</v>
      </c>
      <c r="G255" s="192" t="s">
        <v>525</v>
      </c>
      <c r="H25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255" s="194">
        <v>235880</v>
      </c>
      <c r="J255" s="194">
        <f>+Elementos_[[#This Row],[Valor de referencia]]*Elementos_[[#This Row],[Cantidad]]</f>
        <v>1415280</v>
      </c>
      <c r="K255" s="166">
        <v>4</v>
      </c>
      <c r="L255" s="159">
        <f>+Elementos_[[#This Row],[Cantidad LANIP]]*Elementos_[[#This Row],[Valor de referencia]]</f>
        <v>943520</v>
      </c>
      <c r="M255" s="270"/>
      <c r="N255" s="195">
        <f>+Elementos_[[#This Row],[Cantidad 
LDV]]*Elementos_[[#This Row],[Valor de referencia]]</f>
        <v>0</v>
      </c>
      <c r="O255" s="166"/>
      <c r="P255" s="159">
        <f>+Elementos_[[#This Row],[Cantidad LNDV]]*Elementos_[[#This Row],[Valor de referencia]]</f>
        <v>0</v>
      </c>
      <c r="Q255" s="196"/>
      <c r="R255" s="159">
        <f>+Elementos_[[#This Row],[GGCA]]*Elementos_[[#This Row],[Valor de referencia]]</f>
        <v>0</v>
      </c>
      <c r="S255" s="166">
        <v>2</v>
      </c>
      <c r="T255" s="159">
        <f>+Elementos_[[#This Row],[Cantidad LDF]]*Elementos_[[#This Row],[Valor de referencia]]</f>
        <v>471760</v>
      </c>
      <c r="U255" s="197"/>
      <c r="V255" s="159">
        <f>+Elementos_[[#This Row],[Cantidad LDF&amp;MR]]*Elementos_[[#This Row],[Valor de referencia]]</f>
        <v>0</v>
      </c>
      <c r="W255" s="166"/>
      <c r="X255" s="159">
        <f>+Elementos_[[#This Row],[Cantidad RED LASE]]*Elementos_[[#This Row],[Valor de referencia]]</f>
        <v>0</v>
      </c>
      <c r="Y255" s="196"/>
      <c r="Z255" s="159">
        <f>+Elementos_[[#This Row],[Cantidad LANIA]]*Elementos_[[#This Row],[Valor de referencia]]</f>
        <v>0</v>
      </c>
      <c r="AA255" s="196"/>
      <c r="AB255" s="159">
        <f>+Elementos_[[#This Row],[Cantidad SPA]]*Elementos_[[#This Row],[Valor de referencia]]</f>
        <v>0</v>
      </c>
      <c r="AC255" s="166" t="s">
        <v>2041</v>
      </c>
    </row>
    <row r="256" spans="1:29" ht="36" x14ac:dyDescent="0.2">
      <c r="A256" s="294" t="str">
        <f>IF(B256=Elementos_[[#This Row],[Cantidad LANIP]],"LANIP",IF(B256=Elementos_[[#This Row],[Cantidad 
LDV]],"LDV",IF(B256=Elementos_[[#This Row],[Cantidad LNDV]],"LNDV",IF(B256=Elementos_[[#This Row],[GGCA]],"GGCA",IF(B256=Elementos_[[#This Row],[Cantidad LDF]],"LDF",IF(B256=Elementos_[[#This Row],[Cantidad LDF&amp;MR]],"LDF&amp;MR",IF(B256=Elementos_[[#This Row],[Cantidad RED LASE]],"LASE",IF(B256=Elementos_[[#This Row],[Cantidad LANIA]],"LANIA",IF(B256=Elementos_[[#This Row],[Cantidad SPA]],"SPA"," ")))))))))</f>
        <v>LDF&amp;MR</v>
      </c>
      <c r="B25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256" s="298">
        <v>254</v>
      </c>
      <c r="D256" s="190">
        <v>363</v>
      </c>
      <c r="E256" s="235" t="s">
        <v>2480</v>
      </c>
      <c r="F256" s="223" t="s">
        <v>2481</v>
      </c>
      <c r="G256" s="192" t="s">
        <v>2482</v>
      </c>
      <c r="H25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256" s="194">
        <v>573319</v>
      </c>
      <c r="J256" s="194">
        <f>+Elementos_[[#This Row],[Valor de referencia]]*Elementos_[[#This Row],[Cantidad]]</f>
        <v>4586552</v>
      </c>
      <c r="K256" s="166"/>
      <c r="L256" s="159">
        <f>+Elementos_[[#This Row],[Cantidad LANIP]]*Elementos_[[#This Row],[Valor de referencia]]</f>
        <v>0</v>
      </c>
      <c r="M256" s="270"/>
      <c r="N256" s="195">
        <f>+Elementos_[[#This Row],[Cantidad 
LDV]]*Elementos_[[#This Row],[Valor de referencia]]</f>
        <v>0</v>
      </c>
      <c r="O256" s="166"/>
      <c r="P256" s="159">
        <f>+Elementos_[[#This Row],[Cantidad LNDV]]*Elementos_[[#This Row],[Valor de referencia]]</f>
        <v>0</v>
      </c>
      <c r="Q256" s="196"/>
      <c r="R256" s="159">
        <f>+Elementos_[[#This Row],[GGCA]]*Elementos_[[#This Row],[Valor de referencia]]</f>
        <v>0</v>
      </c>
      <c r="S256" s="166">
        <v>3</v>
      </c>
      <c r="T256" s="159">
        <f>+Elementos_[[#This Row],[Cantidad LDF]]*Elementos_[[#This Row],[Valor de referencia]]</f>
        <v>1719957</v>
      </c>
      <c r="U256" s="197">
        <v>5</v>
      </c>
      <c r="V256" s="159">
        <f>+Elementos_[[#This Row],[Cantidad LDF&amp;MR]]*Elementos_[[#This Row],[Valor de referencia]]</f>
        <v>2866595</v>
      </c>
      <c r="W256" s="166"/>
      <c r="X256" s="159">
        <f>+Elementos_[[#This Row],[Cantidad RED LASE]]*Elementos_[[#This Row],[Valor de referencia]]</f>
        <v>0</v>
      </c>
      <c r="Y256" s="196"/>
      <c r="Z256" s="159">
        <f>+Elementos_[[#This Row],[Cantidad LANIA]]*Elementos_[[#This Row],[Valor de referencia]]</f>
        <v>0</v>
      </c>
      <c r="AA256" s="196"/>
      <c r="AB256" s="159">
        <f>+Elementos_[[#This Row],[Cantidad SPA]]*Elementos_[[#This Row],[Valor de referencia]]</f>
        <v>0</v>
      </c>
      <c r="AC256" s="166" t="s">
        <v>2041</v>
      </c>
    </row>
    <row r="257" spans="1:29" ht="24" x14ac:dyDescent="0.2">
      <c r="A257" s="294" t="str">
        <f>IF(B257=Elementos_[[#This Row],[Cantidad LANIP]],"LANIP",IF(B257=Elementos_[[#This Row],[Cantidad 
LDV]],"LDV",IF(B257=Elementos_[[#This Row],[Cantidad LNDV]],"LNDV",IF(B257=Elementos_[[#This Row],[GGCA]],"GGCA",IF(B257=Elementos_[[#This Row],[Cantidad LDF]],"LDF",IF(B257=Elementos_[[#This Row],[Cantidad LDF&amp;MR]],"LDF&amp;MR",IF(B257=Elementos_[[#This Row],[Cantidad RED LASE]],"LASE",IF(B257=Elementos_[[#This Row],[Cantidad LANIA]],"LANIA",IF(B257=Elementos_[[#This Row],[Cantidad SPA]],"SPA"," ")))))))))</f>
        <v>LDF</v>
      </c>
      <c r="B25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257" s="298">
        <v>255</v>
      </c>
      <c r="D257" s="190">
        <v>364</v>
      </c>
      <c r="E257" s="415" t="s">
        <v>2483</v>
      </c>
      <c r="F257" s="223" t="s">
        <v>2484</v>
      </c>
      <c r="G257" s="192" t="s">
        <v>525</v>
      </c>
      <c r="H25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257" s="194">
        <v>229549</v>
      </c>
      <c r="J257" s="194">
        <f>+Elementos_[[#This Row],[Valor de referencia]]*Elementos_[[#This Row],[Cantidad]]</f>
        <v>459098</v>
      </c>
      <c r="K257" s="166"/>
      <c r="L257" s="159">
        <f>+Elementos_[[#This Row],[Cantidad LANIP]]*Elementos_[[#This Row],[Valor de referencia]]</f>
        <v>0</v>
      </c>
      <c r="M257" s="270">
        <v>0</v>
      </c>
      <c r="N257" s="195">
        <f>+Elementos_[[#This Row],[Cantidad 
LDV]]*Elementos_[[#This Row],[Valor de referencia]]</f>
        <v>0</v>
      </c>
      <c r="O257" s="166"/>
      <c r="P257" s="159">
        <f>+Elementos_[[#This Row],[Cantidad LNDV]]*Elementos_[[#This Row],[Valor de referencia]]</f>
        <v>0</v>
      </c>
      <c r="Q257" s="196"/>
      <c r="R257" s="159">
        <f>+Elementos_[[#This Row],[GGCA]]*Elementos_[[#This Row],[Valor de referencia]]</f>
        <v>0</v>
      </c>
      <c r="S257" s="166">
        <v>2</v>
      </c>
      <c r="T257" s="159">
        <f>+Elementos_[[#This Row],[Cantidad LDF]]*Elementos_[[#This Row],[Valor de referencia]]</f>
        <v>459098</v>
      </c>
      <c r="U257" s="197"/>
      <c r="V257" s="159">
        <f>+Elementos_[[#This Row],[Cantidad LDF&amp;MR]]*Elementos_[[#This Row],[Valor de referencia]]</f>
        <v>0</v>
      </c>
      <c r="W257" s="166"/>
      <c r="X257" s="159">
        <f>+Elementos_[[#This Row],[Cantidad RED LASE]]*Elementos_[[#This Row],[Valor de referencia]]</f>
        <v>0</v>
      </c>
      <c r="Y257" s="196"/>
      <c r="Z257" s="159">
        <f>+Elementos_[[#This Row],[Cantidad LANIA]]*Elementos_[[#This Row],[Valor de referencia]]</f>
        <v>0</v>
      </c>
      <c r="AA257" s="196"/>
      <c r="AB257" s="159">
        <f>+Elementos_[[#This Row],[Cantidad SPA]]*Elementos_[[#This Row],[Valor de referencia]]</f>
        <v>0</v>
      </c>
      <c r="AC257" s="166" t="s">
        <v>2041</v>
      </c>
    </row>
    <row r="258" spans="1:29" ht="36" x14ac:dyDescent="0.2">
      <c r="A258" s="294" t="str">
        <f>IF(B258=Elementos_[[#This Row],[Cantidad LANIP]],"LANIP",IF(B258=Elementos_[[#This Row],[Cantidad 
LDV]],"LDV",IF(B258=Elementos_[[#This Row],[Cantidad LNDV]],"LNDV",IF(B258=Elementos_[[#This Row],[GGCA]],"GGCA",IF(B258=Elementos_[[#This Row],[Cantidad LDF]],"LDF",IF(B258=Elementos_[[#This Row],[Cantidad LDF&amp;MR]],"LDF&amp;MR",IF(B258=Elementos_[[#This Row],[Cantidad RED LASE]],"LASE",IF(B258=Elementos_[[#This Row],[Cantidad LANIA]],"LANIA",IF(B258=Elementos_[[#This Row],[Cantidad SPA]],"SPA"," ")))))))))</f>
        <v>LDF&amp;MR</v>
      </c>
      <c r="B25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58" s="298">
        <v>256</v>
      </c>
      <c r="D258" s="190">
        <v>365</v>
      </c>
      <c r="E258" s="235" t="s">
        <v>2485</v>
      </c>
      <c r="F258" s="223" t="s">
        <v>2486</v>
      </c>
      <c r="G258" s="192" t="s">
        <v>2064</v>
      </c>
      <c r="H25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258" s="194">
        <v>295972</v>
      </c>
      <c r="J258" s="194">
        <f>+Elementos_[[#This Row],[Valor de referencia]]*Elementos_[[#This Row],[Cantidad]]</f>
        <v>4439580</v>
      </c>
      <c r="K258" s="166"/>
      <c r="L258" s="159">
        <f>+Elementos_[[#This Row],[Cantidad LANIP]]*Elementos_[[#This Row],[Valor de referencia]]</f>
        <v>0</v>
      </c>
      <c r="M258" s="270">
        <v>0</v>
      </c>
      <c r="N258" s="195">
        <f>+Elementos_[[#This Row],[Cantidad 
LDV]]*Elementos_[[#This Row],[Valor de referencia]]</f>
        <v>0</v>
      </c>
      <c r="O258" s="166"/>
      <c r="P258" s="159">
        <f>+Elementos_[[#This Row],[Cantidad LNDV]]*Elementos_[[#This Row],[Valor de referencia]]</f>
        <v>0</v>
      </c>
      <c r="Q258" s="196"/>
      <c r="R258" s="159">
        <f>+Elementos_[[#This Row],[GGCA]]*Elementos_[[#This Row],[Valor de referencia]]</f>
        <v>0</v>
      </c>
      <c r="S258" s="166">
        <v>3</v>
      </c>
      <c r="T258" s="159">
        <f>+Elementos_[[#This Row],[Cantidad LDF]]*Elementos_[[#This Row],[Valor de referencia]]</f>
        <v>887916</v>
      </c>
      <c r="U258" s="197">
        <v>10</v>
      </c>
      <c r="V258" s="159">
        <f>+Elementos_[[#This Row],[Cantidad LDF&amp;MR]]*Elementos_[[#This Row],[Valor de referencia]]</f>
        <v>2959720</v>
      </c>
      <c r="W258" s="166"/>
      <c r="X258" s="159">
        <f>+Elementos_[[#This Row],[Cantidad RED LASE]]*Elementos_[[#This Row],[Valor de referencia]]</f>
        <v>0</v>
      </c>
      <c r="Y258" s="196">
        <v>2</v>
      </c>
      <c r="Z258" s="159">
        <f>+Elementos_[[#This Row],[Cantidad LANIA]]*Elementos_[[#This Row],[Valor de referencia]]</f>
        <v>591944</v>
      </c>
      <c r="AA258" s="196"/>
      <c r="AB258" s="159">
        <f>+Elementos_[[#This Row],[Cantidad SPA]]*Elementos_[[#This Row],[Valor de referencia]]</f>
        <v>0</v>
      </c>
      <c r="AC258" s="166" t="s">
        <v>2041</v>
      </c>
    </row>
    <row r="259" spans="1:29" ht="12.75" x14ac:dyDescent="0.2">
      <c r="A259" s="294" t="str">
        <f>IF(B259=Elementos_[[#This Row],[Cantidad LANIP]],"LANIP",IF(B259=Elementos_[[#This Row],[Cantidad 
LDV]],"LDV",IF(B259=Elementos_[[#This Row],[Cantidad LNDV]],"LNDV",IF(B259=Elementos_[[#This Row],[GGCA]],"GGCA",IF(B259=Elementos_[[#This Row],[Cantidad LDF]],"LDF",IF(B259=Elementos_[[#This Row],[Cantidad LDF&amp;MR]],"LDF&amp;MR",IF(B259=Elementos_[[#This Row],[Cantidad RED LASE]],"LASE",IF(B259=Elementos_[[#This Row],[Cantidad LANIA]],"LANIA",IF(B259=Elementos_[[#This Row],[Cantidad SPA]],"SPA"," ")))))))))</f>
        <v>LANIA</v>
      </c>
      <c r="B25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59" s="298">
        <v>257</v>
      </c>
      <c r="D259" s="190">
        <v>367</v>
      </c>
      <c r="E259" s="235" t="s">
        <v>2487</v>
      </c>
      <c r="F259" s="208" t="s">
        <v>624</v>
      </c>
      <c r="G259" s="192" t="s">
        <v>525</v>
      </c>
      <c r="H25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I259" s="194">
        <v>114240</v>
      </c>
      <c r="J259" s="194">
        <f>+Elementos_[[#This Row],[Valor de referencia]]*Elementos_[[#This Row],[Cantidad]]</f>
        <v>1827840</v>
      </c>
      <c r="K259" s="166"/>
      <c r="L259" s="159">
        <f>+Elementos_[[#This Row],[Cantidad LANIP]]*Elementos_[[#This Row],[Valor de referencia]]</f>
        <v>0</v>
      </c>
      <c r="M259" s="270">
        <v>0</v>
      </c>
      <c r="N259" s="195">
        <f>+Elementos_[[#This Row],[Cantidad 
LDV]]*Elementos_[[#This Row],[Valor de referencia]]</f>
        <v>0</v>
      </c>
      <c r="O259" s="166"/>
      <c r="P259" s="159">
        <f>+Elementos_[[#This Row],[Cantidad LNDV]]*Elementos_[[#This Row],[Valor de referencia]]</f>
        <v>0</v>
      </c>
      <c r="Q259" s="196"/>
      <c r="R259" s="159">
        <f>+Elementos_[[#This Row],[GGCA]]*Elementos_[[#This Row],[Valor de referencia]]</f>
        <v>0</v>
      </c>
      <c r="S259" s="166">
        <v>6</v>
      </c>
      <c r="T259" s="159">
        <f>+Elementos_[[#This Row],[Cantidad LDF]]*Elementos_[[#This Row],[Valor de referencia]]</f>
        <v>685440</v>
      </c>
      <c r="U259" s="197"/>
      <c r="V259" s="159">
        <f>+Elementos_[[#This Row],[Cantidad LDF&amp;MR]]*Elementos_[[#This Row],[Valor de referencia]]</f>
        <v>0</v>
      </c>
      <c r="W259" s="166"/>
      <c r="X259" s="159">
        <f>+Elementos_[[#This Row],[Cantidad RED LASE]]*Elementos_[[#This Row],[Valor de referencia]]</f>
        <v>0</v>
      </c>
      <c r="Y259" s="196">
        <v>10</v>
      </c>
      <c r="Z259" s="159">
        <f>+Elementos_[[#This Row],[Cantidad LANIA]]*Elementos_[[#This Row],[Valor de referencia]]</f>
        <v>1142400</v>
      </c>
      <c r="AA259" s="196"/>
      <c r="AB259" s="159">
        <f>+Elementos_[[#This Row],[Cantidad SPA]]*Elementos_[[#This Row],[Valor de referencia]]</f>
        <v>0</v>
      </c>
      <c r="AC259" s="166" t="s">
        <v>2041</v>
      </c>
    </row>
    <row r="260" spans="1:29" ht="36" x14ac:dyDescent="0.2">
      <c r="A260" s="294" t="str">
        <f>IF(B260=Elementos_[[#This Row],[Cantidad LANIP]],"LANIP",IF(B260=Elementos_[[#This Row],[Cantidad 
LDV]],"LDV",IF(B260=Elementos_[[#This Row],[Cantidad LNDV]],"LNDV",IF(B260=Elementos_[[#This Row],[GGCA]],"GGCA",IF(B260=Elementos_[[#This Row],[Cantidad LDF]],"LDF",IF(B260=Elementos_[[#This Row],[Cantidad LDF&amp;MR]],"LDF&amp;MR",IF(B260=Elementos_[[#This Row],[Cantidad RED LASE]],"LASE",IF(B260=Elementos_[[#This Row],[Cantidad LANIA]],"LANIA",IF(B260=Elementos_[[#This Row],[Cantidad SPA]],"SPA"," ")))))))))</f>
        <v>LNDV</v>
      </c>
      <c r="B26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60" s="298">
        <v>258</v>
      </c>
      <c r="D260" s="190">
        <v>368</v>
      </c>
      <c r="E260" s="235" t="s">
        <v>2488</v>
      </c>
      <c r="F260" s="223" t="s">
        <v>2489</v>
      </c>
      <c r="G260" s="202" t="s">
        <v>525</v>
      </c>
      <c r="H26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260" s="194">
        <v>192952</v>
      </c>
      <c r="J260" s="194">
        <f>+Elementos_[[#This Row],[Valor de referencia]]*Elementos_[[#This Row],[Cantidad]]</f>
        <v>3859040</v>
      </c>
      <c r="K260" s="166"/>
      <c r="L260" s="159">
        <f>+Elementos_[[#This Row],[Cantidad LANIP]]*Elementos_[[#This Row],[Valor de referencia]]</f>
        <v>0</v>
      </c>
      <c r="M260" s="270"/>
      <c r="N260" s="195">
        <f>+Elementos_[[#This Row],[Cantidad 
LDV]]*Elementos_[[#This Row],[Valor de referencia]]</f>
        <v>0</v>
      </c>
      <c r="O260" s="166">
        <v>10</v>
      </c>
      <c r="P260" s="159">
        <f>+Elementos_[[#This Row],[Cantidad LNDV]]*Elementos_[[#This Row],[Valor de referencia]]</f>
        <v>1929520</v>
      </c>
      <c r="Q260" s="196"/>
      <c r="R260" s="159">
        <f>+Elementos_[[#This Row],[GGCA]]*Elementos_[[#This Row],[Valor de referencia]]</f>
        <v>0</v>
      </c>
      <c r="S260" s="166">
        <v>6</v>
      </c>
      <c r="T260" s="159">
        <f>+Elementos_[[#This Row],[Cantidad LDF]]*Elementos_[[#This Row],[Valor de referencia]]</f>
        <v>1157712</v>
      </c>
      <c r="U260" s="197">
        <v>4</v>
      </c>
      <c r="V260" s="159">
        <f>+Elementos_[[#This Row],[Cantidad LDF&amp;MR]]*Elementos_[[#This Row],[Valor de referencia]]</f>
        <v>771808</v>
      </c>
      <c r="W260" s="166"/>
      <c r="X260" s="159">
        <f>+Elementos_[[#This Row],[Cantidad RED LASE]]*Elementos_[[#This Row],[Valor de referencia]]</f>
        <v>0</v>
      </c>
      <c r="Y260" s="196"/>
      <c r="Z260" s="159">
        <f>+Elementos_[[#This Row],[Cantidad LANIA]]*Elementos_[[#This Row],[Valor de referencia]]</f>
        <v>0</v>
      </c>
      <c r="AA260" s="196"/>
      <c r="AB260" s="159">
        <f>+Elementos_[[#This Row],[Cantidad SPA]]*Elementos_[[#This Row],[Valor de referencia]]</f>
        <v>0</v>
      </c>
      <c r="AC260" s="166" t="s">
        <v>2041</v>
      </c>
    </row>
    <row r="261" spans="1:29" ht="36" x14ac:dyDescent="0.2">
      <c r="A261" s="294" t="str">
        <f>IF(B261=Elementos_[[#This Row],[Cantidad LANIP]],"LANIP",IF(B261=Elementos_[[#This Row],[Cantidad 
LDV]],"LDV",IF(B261=Elementos_[[#This Row],[Cantidad LNDV]],"LNDV",IF(B261=Elementos_[[#This Row],[GGCA]],"GGCA",IF(B261=Elementos_[[#This Row],[Cantidad LDF]],"LDF",IF(B261=Elementos_[[#This Row],[Cantidad LDF&amp;MR]],"LDF&amp;MR",IF(B261=Elementos_[[#This Row],[Cantidad RED LASE]],"LASE",IF(B261=Elementos_[[#This Row],[Cantidad LANIA]],"LANIA",IF(B261=Elementos_[[#This Row],[Cantidad SPA]],"SPA"," ")))))))))</f>
        <v>LDF</v>
      </c>
      <c r="B26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261" s="298">
        <v>259</v>
      </c>
      <c r="D261" s="190">
        <v>369</v>
      </c>
      <c r="E261" s="235" t="s">
        <v>2490</v>
      </c>
      <c r="F261" s="223" t="s">
        <v>2491</v>
      </c>
      <c r="G261" s="192" t="s">
        <v>2492</v>
      </c>
      <c r="H26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261" s="194">
        <v>68418</v>
      </c>
      <c r="J261" s="194">
        <f>+Elementos_[[#This Row],[Valor de referencia]]*Elementos_[[#This Row],[Cantidad]]</f>
        <v>136836</v>
      </c>
      <c r="K261" s="166"/>
      <c r="L261" s="159">
        <f>+Elementos_[[#This Row],[Cantidad LANIP]]*Elementos_[[#This Row],[Valor de referencia]]</f>
        <v>0</v>
      </c>
      <c r="M261" s="270"/>
      <c r="N261" s="195">
        <f>+Elementos_[[#This Row],[Cantidad 
LDV]]*Elementos_[[#This Row],[Valor de referencia]]</f>
        <v>0</v>
      </c>
      <c r="O261" s="166"/>
      <c r="P261" s="159">
        <f>+Elementos_[[#This Row],[Cantidad LNDV]]*Elementos_[[#This Row],[Valor de referencia]]</f>
        <v>0</v>
      </c>
      <c r="Q261" s="196"/>
      <c r="R261" s="159">
        <f>+Elementos_[[#This Row],[GGCA]]*Elementos_[[#This Row],[Valor de referencia]]</f>
        <v>0</v>
      </c>
      <c r="S261" s="166">
        <v>2</v>
      </c>
      <c r="T261" s="159">
        <f>+Elementos_[[#This Row],[Cantidad LDF]]*Elementos_[[#This Row],[Valor de referencia]]</f>
        <v>136836</v>
      </c>
      <c r="U261" s="197"/>
      <c r="V261" s="159">
        <f>+Elementos_[[#This Row],[Cantidad LDF&amp;MR]]*Elementos_[[#This Row],[Valor de referencia]]</f>
        <v>0</v>
      </c>
      <c r="W261" s="166"/>
      <c r="X261" s="159">
        <f>+Elementos_[[#This Row],[Cantidad RED LASE]]*Elementos_[[#This Row],[Valor de referencia]]</f>
        <v>0</v>
      </c>
      <c r="Y261" s="196"/>
      <c r="Z261" s="159">
        <f>+Elementos_[[#This Row],[Cantidad LANIA]]*Elementos_[[#This Row],[Valor de referencia]]</f>
        <v>0</v>
      </c>
      <c r="AA261" s="196"/>
      <c r="AB261" s="159">
        <f>+Elementos_[[#This Row],[Cantidad SPA]]*Elementos_[[#This Row],[Valor de referencia]]</f>
        <v>0</v>
      </c>
      <c r="AC261" s="166" t="s">
        <v>2041</v>
      </c>
    </row>
    <row r="262" spans="1:29" ht="24" x14ac:dyDescent="0.2">
      <c r="A262" s="294" t="str">
        <f>IF(B262=Elementos_[[#This Row],[Cantidad LANIP]],"LANIP",IF(B262=Elementos_[[#This Row],[Cantidad 
LDV]],"LDV",IF(B262=Elementos_[[#This Row],[Cantidad LNDV]],"LNDV",IF(B262=Elementos_[[#This Row],[GGCA]],"GGCA",IF(B262=Elementos_[[#This Row],[Cantidad LDF]],"LDF",IF(B262=Elementos_[[#This Row],[Cantidad LDF&amp;MR]],"LDF&amp;MR",IF(B262=Elementos_[[#This Row],[Cantidad RED LASE]],"LASE",IF(B262=Elementos_[[#This Row],[Cantidad LANIA]],"LANIA",IF(B262=Elementos_[[#This Row],[Cantidad SPA]],"SPA"," ")))))))))</f>
        <v>LANIA</v>
      </c>
      <c r="B26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262" s="298">
        <v>260</v>
      </c>
      <c r="D262" s="190">
        <v>370</v>
      </c>
      <c r="E262" s="276" t="s">
        <v>2493</v>
      </c>
      <c r="F262" s="208" t="s">
        <v>2494</v>
      </c>
      <c r="G262" s="192" t="s">
        <v>2495</v>
      </c>
      <c r="H26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262" s="194">
        <v>1601949</v>
      </c>
      <c r="J262" s="194">
        <f>+Elementos_[[#This Row],[Valor de referencia]]*Elementos_[[#This Row],[Cantidad]]</f>
        <v>1601949</v>
      </c>
      <c r="K262" s="166"/>
      <c r="L262" s="159">
        <f>+Elementos_[[#This Row],[Cantidad LANIP]]*Elementos_[[#This Row],[Valor de referencia]]</f>
        <v>0</v>
      </c>
      <c r="M262" s="270">
        <v>0</v>
      </c>
      <c r="N262" s="195">
        <f>+Elementos_[[#This Row],[Cantidad 
LDV]]*Elementos_[[#This Row],[Valor de referencia]]</f>
        <v>0</v>
      </c>
      <c r="O262" s="166"/>
      <c r="P262" s="159">
        <f>+Elementos_[[#This Row],[Cantidad LNDV]]*Elementos_[[#This Row],[Valor de referencia]]</f>
        <v>0</v>
      </c>
      <c r="Q262" s="196"/>
      <c r="R262" s="159">
        <f>+Elementos_[[#This Row],[GGCA]]*Elementos_[[#This Row],[Valor de referencia]]</f>
        <v>0</v>
      </c>
      <c r="S262" s="166"/>
      <c r="T262" s="159">
        <f>+Elementos_[[#This Row],[Cantidad LDF]]*Elementos_[[#This Row],[Valor de referencia]]</f>
        <v>0</v>
      </c>
      <c r="U262" s="197"/>
      <c r="V262" s="159">
        <f>+Elementos_[[#This Row],[Cantidad LDF&amp;MR]]*Elementos_[[#This Row],[Valor de referencia]]</f>
        <v>0</v>
      </c>
      <c r="W262" s="166"/>
      <c r="X262" s="159">
        <f>+Elementos_[[#This Row],[Cantidad RED LASE]]*Elementos_[[#This Row],[Valor de referencia]]</f>
        <v>0</v>
      </c>
      <c r="Y262" s="196">
        <v>1</v>
      </c>
      <c r="Z262" s="159">
        <f>+Elementos_[[#This Row],[Cantidad LANIA]]*Elementos_[[#This Row],[Valor de referencia]]</f>
        <v>1601949</v>
      </c>
      <c r="AA262" s="196"/>
      <c r="AB262" s="159">
        <f>+Elementos_[[#This Row],[Cantidad SPA]]*Elementos_[[#This Row],[Valor de referencia]]</f>
        <v>0</v>
      </c>
      <c r="AC262" s="166" t="s">
        <v>2041</v>
      </c>
    </row>
    <row r="263" spans="1:29" ht="96" x14ac:dyDescent="0.2">
      <c r="A263" s="294" t="str">
        <f>IF(B263=Elementos_[[#This Row],[Cantidad LANIP]],"LANIP",IF(B263=Elementos_[[#This Row],[Cantidad 
LDV]],"LDV",IF(B263=Elementos_[[#This Row],[Cantidad LNDV]],"LNDV",IF(B263=Elementos_[[#This Row],[GGCA]],"GGCA",IF(B263=Elementos_[[#This Row],[Cantidad LDF]],"LDF",IF(B263=Elementos_[[#This Row],[Cantidad LDF&amp;MR]],"LDF&amp;MR",IF(B263=Elementos_[[#This Row],[Cantidad RED LASE]],"LASE",IF(B263=Elementos_[[#This Row],[Cantidad LANIA]],"LANIA",IF(B263=Elementos_[[#This Row],[Cantidad SPA]],"SPA"," ")))))))))</f>
        <v>LDV</v>
      </c>
      <c r="B26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263" s="298">
        <v>261</v>
      </c>
      <c r="D263" s="190">
        <v>375</v>
      </c>
      <c r="E263" s="312" t="s">
        <v>2496</v>
      </c>
      <c r="F263" s="208" t="s">
        <v>2497</v>
      </c>
      <c r="G263" s="192" t="s">
        <v>2498</v>
      </c>
      <c r="H26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207</v>
      </c>
      <c r="I263" s="194">
        <v>130142</v>
      </c>
      <c r="J263" s="194">
        <f>+Elementos_[[#This Row],[Valor de referencia]]*Elementos_[[#This Row],[Cantidad]]</f>
        <v>26939394</v>
      </c>
      <c r="K263" s="166"/>
      <c r="L263" s="159">
        <f>+Elementos_[[#This Row],[Cantidad LANIP]]*Elementos_[[#This Row],[Valor de referencia]]</f>
        <v>0</v>
      </c>
      <c r="M263" s="270">
        <v>100</v>
      </c>
      <c r="N263" s="195">
        <f>+Elementos_[[#This Row],[Cantidad 
LDV]]*Elementos_[[#This Row],[Valor de referencia]]</f>
        <v>13014200</v>
      </c>
      <c r="O263" s="166">
        <v>60</v>
      </c>
      <c r="P263" s="159">
        <f>+Elementos_[[#This Row],[Cantidad LNDV]]*Elementos_[[#This Row],[Valor de referencia]]</f>
        <v>7808520</v>
      </c>
      <c r="Q263" s="196"/>
      <c r="R263" s="159">
        <f>+Elementos_[[#This Row],[GGCA]]*Elementos_[[#This Row],[Valor de referencia]]</f>
        <v>0</v>
      </c>
      <c r="S263" s="166">
        <v>12</v>
      </c>
      <c r="T263" s="159">
        <f>+Elementos_[[#This Row],[Cantidad LDF]]*Elementos_[[#This Row],[Valor de referencia]]</f>
        <v>1561704</v>
      </c>
      <c r="U263" s="197"/>
      <c r="V263" s="159">
        <f>+Elementos_[[#This Row],[Cantidad LDF&amp;MR]]*Elementos_[[#This Row],[Valor de referencia]]</f>
        <v>0</v>
      </c>
      <c r="W263" s="166"/>
      <c r="X263" s="159">
        <f>+Elementos_[[#This Row],[Cantidad RED LASE]]*Elementos_[[#This Row],[Valor de referencia]]</f>
        <v>0</v>
      </c>
      <c r="Y263" s="196">
        <v>5</v>
      </c>
      <c r="Z263" s="159">
        <f>+Elementos_[[#This Row],[Cantidad LANIA]]*Elementos_[[#This Row],[Valor de referencia]]</f>
        <v>650710</v>
      </c>
      <c r="AA263" s="196">
        <v>30</v>
      </c>
      <c r="AB263" s="159">
        <f>+Elementos_[[#This Row],[Cantidad SPA]]*Elementos_[[#This Row],[Valor de referencia]]</f>
        <v>3904260</v>
      </c>
      <c r="AC263" s="166" t="s">
        <v>2049</v>
      </c>
    </row>
    <row r="264" spans="1:29" ht="96" x14ac:dyDescent="0.2">
      <c r="A264" s="294" t="str">
        <f>IF(B264=Elementos_[[#This Row],[Cantidad LANIP]],"LANIP",IF(B264=Elementos_[[#This Row],[Cantidad 
LDV]],"LDV",IF(B264=Elementos_[[#This Row],[Cantidad LNDV]],"LNDV",IF(B264=Elementos_[[#This Row],[GGCA]],"GGCA",IF(B264=Elementos_[[#This Row],[Cantidad LDF]],"LDF",IF(B264=Elementos_[[#This Row],[Cantidad LDF&amp;MR]],"LDF&amp;MR",IF(B264=Elementos_[[#This Row],[Cantidad RED LASE]],"LASE",IF(B264=Elementos_[[#This Row],[Cantidad LANIA]],"LANIA",IF(B264=Elementos_[[#This Row],[Cantidad SPA]],"SPA"," ")))))))))</f>
        <v>LNDV</v>
      </c>
      <c r="B26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110</v>
      </c>
      <c r="C264" s="298">
        <v>262</v>
      </c>
      <c r="D264" s="190">
        <v>376</v>
      </c>
      <c r="E264" s="312" t="s">
        <v>2499</v>
      </c>
      <c r="F264" s="208" t="s">
        <v>2497</v>
      </c>
      <c r="G264" s="198" t="s">
        <v>2498</v>
      </c>
      <c r="H26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334</v>
      </c>
      <c r="I264" s="194">
        <v>115708</v>
      </c>
      <c r="J264" s="194">
        <f>+Elementos_[[#This Row],[Valor de referencia]]*Elementos_[[#This Row],[Cantidad]]</f>
        <v>38646472</v>
      </c>
      <c r="K264" s="166"/>
      <c r="L264" s="159">
        <f>+Elementos_[[#This Row],[Cantidad LANIP]]*Elementos_[[#This Row],[Valor de referencia]]</f>
        <v>0</v>
      </c>
      <c r="M264" s="270">
        <v>105</v>
      </c>
      <c r="N264" s="195">
        <f>+Elementos_[[#This Row],[Cantidad 
LDV]]*Elementos_[[#This Row],[Valor de referencia]]</f>
        <v>12149340</v>
      </c>
      <c r="O264" s="166">
        <v>110</v>
      </c>
      <c r="P264" s="159">
        <f>+Elementos_[[#This Row],[Cantidad LNDV]]*Elementos_[[#This Row],[Valor de referencia]]</f>
        <v>12727880</v>
      </c>
      <c r="Q264" s="196"/>
      <c r="R264" s="159">
        <f>+Elementos_[[#This Row],[GGCA]]*Elementos_[[#This Row],[Valor de referencia]]</f>
        <v>0</v>
      </c>
      <c r="S264" s="166">
        <v>20</v>
      </c>
      <c r="T264" s="159">
        <f>+Elementos_[[#This Row],[Cantidad LDF]]*Elementos_[[#This Row],[Valor de referencia]]</f>
        <v>2314160</v>
      </c>
      <c r="U264" s="197">
        <v>19</v>
      </c>
      <c r="V264" s="159">
        <f>+Elementos_[[#This Row],[Cantidad LDF&amp;MR]]*Elementos_[[#This Row],[Valor de referencia]]</f>
        <v>2198452</v>
      </c>
      <c r="W264" s="166"/>
      <c r="X264" s="159">
        <f>+Elementos_[[#This Row],[Cantidad RED LASE]]*Elementos_[[#This Row],[Valor de referencia]]</f>
        <v>0</v>
      </c>
      <c r="Y264" s="196">
        <v>50</v>
      </c>
      <c r="Z264" s="159">
        <f>+Elementos_[[#This Row],[Cantidad LANIA]]*Elementos_[[#This Row],[Valor de referencia]]</f>
        <v>5785400</v>
      </c>
      <c r="AA264" s="196">
        <v>30</v>
      </c>
      <c r="AB264" s="159">
        <f>+Elementos_[[#This Row],[Cantidad SPA]]*Elementos_[[#This Row],[Valor de referencia]]</f>
        <v>3471240</v>
      </c>
      <c r="AC264" s="166" t="s">
        <v>2049</v>
      </c>
    </row>
    <row r="265" spans="1:29" ht="96" x14ac:dyDescent="0.2">
      <c r="A265" s="294" t="str">
        <f>IF(B265=Elementos_[[#This Row],[Cantidad LANIP]],"LANIP",IF(B265=Elementos_[[#This Row],[Cantidad 
LDV]],"LDV",IF(B265=Elementos_[[#This Row],[Cantidad LNDV]],"LNDV",IF(B265=Elementos_[[#This Row],[GGCA]],"GGCA",IF(B265=Elementos_[[#This Row],[Cantidad LDF]],"LDF",IF(B265=Elementos_[[#This Row],[Cantidad LDF&amp;MR]],"LDF&amp;MR",IF(B265=Elementos_[[#This Row],[Cantidad RED LASE]],"LASE",IF(B265=Elementos_[[#This Row],[Cantidad LANIA]],"LANIA",IF(B265=Elementos_[[#This Row],[Cantidad SPA]],"SPA"," ")))))))))</f>
        <v>LNDV</v>
      </c>
      <c r="B26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160</v>
      </c>
      <c r="C265" s="298">
        <v>263</v>
      </c>
      <c r="D265" s="190">
        <v>377</v>
      </c>
      <c r="E265" s="312" t="s">
        <v>2500</v>
      </c>
      <c r="F265" s="208" t="s">
        <v>2497</v>
      </c>
      <c r="G265" s="198" t="s">
        <v>2498</v>
      </c>
      <c r="H26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370</v>
      </c>
      <c r="I265" s="194">
        <v>115708</v>
      </c>
      <c r="J265" s="194">
        <f>+Elementos_[[#This Row],[Valor de referencia]]*Elementos_[[#This Row],[Cantidad]]</f>
        <v>42811960</v>
      </c>
      <c r="K265" s="166"/>
      <c r="L265" s="159">
        <f>+Elementos_[[#This Row],[Cantidad LANIP]]*Elementos_[[#This Row],[Valor de referencia]]</f>
        <v>0</v>
      </c>
      <c r="M265" s="270">
        <v>100</v>
      </c>
      <c r="N265" s="195">
        <f>+Elementos_[[#This Row],[Cantidad 
LDV]]*Elementos_[[#This Row],[Valor de referencia]]</f>
        <v>11570800</v>
      </c>
      <c r="O265" s="166">
        <v>160</v>
      </c>
      <c r="P265" s="159">
        <f>+Elementos_[[#This Row],[Cantidad LNDV]]*Elementos_[[#This Row],[Valor de referencia]]</f>
        <v>18513280</v>
      </c>
      <c r="Q265" s="196"/>
      <c r="R265" s="159">
        <f>+Elementos_[[#This Row],[GGCA]]*Elementos_[[#This Row],[Valor de referencia]]</f>
        <v>0</v>
      </c>
      <c r="S265" s="166">
        <v>50</v>
      </c>
      <c r="T265" s="159">
        <f>+Elementos_[[#This Row],[Cantidad LDF]]*Elementos_[[#This Row],[Valor de referencia]]</f>
        <v>5785400</v>
      </c>
      <c r="U265" s="197">
        <v>40</v>
      </c>
      <c r="V265" s="159">
        <f>+Elementos_[[#This Row],[Cantidad LDF&amp;MR]]*Elementos_[[#This Row],[Valor de referencia]]</f>
        <v>4628320</v>
      </c>
      <c r="W265" s="166"/>
      <c r="X265" s="159">
        <f>+Elementos_[[#This Row],[Cantidad RED LASE]]*Elementos_[[#This Row],[Valor de referencia]]</f>
        <v>0</v>
      </c>
      <c r="Y265" s="196">
        <v>20</v>
      </c>
      <c r="Z265" s="159">
        <f>+Elementos_[[#This Row],[Cantidad LANIA]]*Elementos_[[#This Row],[Valor de referencia]]</f>
        <v>2314160</v>
      </c>
      <c r="AA265" s="196"/>
      <c r="AB265" s="159">
        <f>+Elementos_[[#This Row],[Cantidad SPA]]*Elementos_[[#This Row],[Valor de referencia]]</f>
        <v>0</v>
      </c>
      <c r="AC265" s="166" t="s">
        <v>2049</v>
      </c>
    </row>
    <row r="266" spans="1:29" ht="106.5" customHeight="1" x14ac:dyDescent="0.2">
      <c r="A266" s="294" t="str">
        <f>IF(B266=Elementos_[[#This Row],[Cantidad LANIP]],"LANIP",IF(B266=Elementos_[[#This Row],[Cantidad 
LDV]],"LDV",IF(B266=Elementos_[[#This Row],[Cantidad LNDV]],"LNDV",IF(B266=Elementos_[[#This Row],[GGCA]],"GGCA",IF(B266=Elementos_[[#This Row],[Cantidad LDF]],"LDF",IF(B266=Elementos_[[#This Row],[Cantidad LDF&amp;MR]],"LDF&amp;MR",IF(B266=Elementos_[[#This Row],[Cantidad RED LASE]],"LASE",IF(B266=Elementos_[[#This Row],[Cantidad LANIA]],"LANIA",IF(B266=Elementos_[[#This Row],[Cantidad SPA]],"SPA"," ")))))))))</f>
        <v>LDV</v>
      </c>
      <c r="B26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266" s="298">
        <v>264</v>
      </c>
      <c r="D266" s="190">
        <v>378</v>
      </c>
      <c r="E266" s="312" t="s">
        <v>2501</v>
      </c>
      <c r="F266" s="208" t="s">
        <v>2497</v>
      </c>
      <c r="G266" s="198" t="s">
        <v>2498</v>
      </c>
      <c r="H26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71</v>
      </c>
      <c r="I266" s="194">
        <v>192780</v>
      </c>
      <c r="J266" s="194">
        <f>+Elementos_[[#This Row],[Valor de referencia]]*Elementos_[[#This Row],[Cantidad]]</f>
        <v>13687380</v>
      </c>
      <c r="K266" s="166"/>
      <c r="L266" s="159">
        <f>+Elementos_[[#This Row],[Cantidad LANIP]]*Elementos_[[#This Row],[Valor de referencia]]</f>
        <v>0</v>
      </c>
      <c r="M266" s="270">
        <v>30</v>
      </c>
      <c r="N266" s="195">
        <f>+Elementos_[[#This Row],[Cantidad 
LDV]]*Elementos_[[#This Row],[Valor de referencia]]</f>
        <v>5783400</v>
      </c>
      <c r="O266" s="166">
        <v>21</v>
      </c>
      <c r="P266" s="159">
        <f>+Elementos_[[#This Row],[Cantidad LNDV]]*Elementos_[[#This Row],[Valor de referencia]]</f>
        <v>4048380</v>
      </c>
      <c r="Q266" s="196"/>
      <c r="R266" s="159">
        <f>+Elementos_[[#This Row],[GGCA]]*Elementos_[[#This Row],[Valor de referencia]]</f>
        <v>0</v>
      </c>
      <c r="S266" s="166">
        <v>20</v>
      </c>
      <c r="T266" s="159">
        <f>+Elementos_[[#This Row],[Cantidad LDF]]*Elementos_[[#This Row],[Valor de referencia]]</f>
        <v>3855600</v>
      </c>
      <c r="U266" s="197"/>
      <c r="V266" s="159">
        <f>+Elementos_[[#This Row],[Cantidad LDF&amp;MR]]*Elementos_[[#This Row],[Valor de referencia]]</f>
        <v>0</v>
      </c>
      <c r="W266" s="166"/>
      <c r="X266" s="159">
        <f>+Elementos_[[#This Row],[Cantidad RED LASE]]*Elementos_[[#This Row],[Valor de referencia]]</f>
        <v>0</v>
      </c>
      <c r="Y266" s="196"/>
      <c r="Z266" s="159">
        <f>+Elementos_[[#This Row],[Cantidad LANIA]]*Elementos_[[#This Row],[Valor de referencia]]</f>
        <v>0</v>
      </c>
      <c r="AA266" s="196"/>
      <c r="AB266" s="159">
        <f>+Elementos_[[#This Row],[Cantidad SPA]]*Elementos_[[#This Row],[Valor de referencia]]</f>
        <v>0</v>
      </c>
      <c r="AC266" s="166" t="s">
        <v>2049</v>
      </c>
    </row>
    <row r="267" spans="1:29" ht="96" x14ac:dyDescent="0.2">
      <c r="A267" s="294" t="str">
        <f>IF(B267=Elementos_[[#This Row],[Cantidad LANIP]],"LANIP",IF(B267=Elementos_[[#This Row],[Cantidad 
LDV]],"LDV",IF(B267=Elementos_[[#This Row],[Cantidad LNDV]],"LNDV",IF(B267=Elementos_[[#This Row],[GGCA]],"GGCA",IF(B267=Elementos_[[#This Row],[Cantidad LDF]],"LDF",IF(B267=Elementos_[[#This Row],[Cantidad LDF&amp;MR]],"LDF&amp;MR",IF(B267=Elementos_[[#This Row],[Cantidad RED LASE]],"LASE",IF(B267=Elementos_[[#This Row],[Cantidad LANIA]],"LANIA",IF(B267=Elementos_[[#This Row],[Cantidad SPA]],"SPA"," ")))))))))</f>
        <v>LDV</v>
      </c>
      <c r="B26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67" s="298">
        <v>265</v>
      </c>
      <c r="D267" s="190">
        <v>379</v>
      </c>
      <c r="E267" s="312" t="s">
        <v>2502</v>
      </c>
      <c r="F267" s="208" t="s">
        <v>2497</v>
      </c>
      <c r="G267" s="198" t="s">
        <v>2498</v>
      </c>
      <c r="H26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I267" s="194">
        <v>192780</v>
      </c>
      <c r="J267" s="194">
        <f>+Elementos_[[#This Row],[Valor de referencia]]*Elementos_[[#This Row],[Cantidad]]</f>
        <v>4819500</v>
      </c>
      <c r="K267" s="166"/>
      <c r="L267" s="159">
        <f>+Elementos_[[#This Row],[Cantidad LANIP]]*Elementos_[[#This Row],[Valor de referencia]]</f>
        <v>0</v>
      </c>
      <c r="M267" s="270">
        <v>20</v>
      </c>
      <c r="N267" s="195">
        <f>+Elementos_[[#This Row],[Cantidad 
LDV]]*Elementos_[[#This Row],[Valor de referencia]]</f>
        <v>3855600</v>
      </c>
      <c r="O267" s="166">
        <v>3</v>
      </c>
      <c r="P267" s="159">
        <f>+Elementos_[[#This Row],[Cantidad LNDV]]*Elementos_[[#This Row],[Valor de referencia]]</f>
        <v>578340</v>
      </c>
      <c r="Q267" s="196"/>
      <c r="R267" s="159">
        <f>+Elementos_[[#This Row],[GGCA]]*Elementos_[[#This Row],[Valor de referencia]]</f>
        <v>0</v>
      </c>
      <c r="S267" s="166">
        <v>2</v>
      </c>
      <c r="T267" s="159">
        <f>+Elementos_[[#This Row],[Cantidad LDF]]*Elementos_[[#This Row],[Valor de referencia]]</f>
        <v>385560</v>
      </c>
      <c r="U267" s="197"/>
      <c r="V267" s="159">
        <f>+Elementos_[[#This Row],[Cantidad LDF&amp;MR]]*Elementos_[[#This Row],[Valor de referencia]]</f>
        <v>0</v>
      </c>
      <c r="W267" s="166"/>
      <c r="X267" s="159">
        <f>+Elementos_[[#This Row],[Cantidad RED LASE]]*Elementos_[[#This Row],[Valor de referencia]]</f>
        <v>0</v>
      </c>
      <c r="Y267" s="196"/>
      <c r="Z267" s="159">
        <f>+Elementos_[[#This Row],[Cantidad LANIA]]*Elementos_[[#This Row],[Valor de referencia]]</f>
        <v>0</v>
      </c>
      <c r="AA267" s="196"/>
      <c r="AB267" s="159">
        <f>+Elementos_[[#This Row],[Cantidad SPA]]*Elementos_[[#This Row],[Valor de referencia]]</f>
        <v>0</v>
      </c>
      <c r="AC267" s="166" t="s">
        <v>2049</v>
      </c>
    </row>
    <row r="268" spans="1:29" ht="36" x14ac:dyDescent="0.2">
      <c r="A268" s="294" t="str">
        <f>IF(B268=Elementos_[[#This Row],[Cantidad LANIP]],"LANIP",IF(B268=Elementos_[[#This Row],[Cantidad 
LDV]],"LDV",IF(B268=Elementos_[[#This Row],[Cantidad LNDV]],"LNDV",IF(B268=Elementos_[[#This Row],[GGCA]],"GGCA",IF(B268=Elementos_[[#This Row],[Cantidad LDF]],"LDF",IF(B268=Elementos_[[#This Row],[Cantidad LDF&amp;MR]],"LDF&amp;MR",IF(B268=Elementos_[[#This Row],[Cantidad RED LASE]],"LASE",IF(B268=Elementos_[[#This Row],[Cantidad LANIA]],"LANIA",IF(B268=Elementos_[[#This Row],[Cantidad SPA]],"SPA"," ")))))))))</f>
        <v>LDF</v>
      </c>
      <c r="B26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268" s="298">
        <v>266</v>
      </c>
      <c r="D268" s="190">
        <v>381</v>
      </c>
      <c r="E268" s="235" t="s">
        <v>2503</v>
      </c>
      <c r="F268" s="223" t="s">
        <v>2332</v>
      </c>
      <c r="G268" s="192" t="s">
        <v>525</v>
      </c>
      <c r="H26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268" s="194">
        <v>201432</v>
      </c>
      <c r="J268" s="194">
        <f>+Elementos_[[#This Row],[Valor de referencia]]*Elementos_[[#This Row],[Cantidad]]</f>
        <v>805728</v>
      </c>
      <c r="K268" s="166"/>
      <c r="L268" s="159">
        <f>+Elementos_[[#This Row],[Cantidad LANIP]]*Elementos_[[#This Row],[Valor de referencia]]</f>
        <v>0</v>
      </c>
      <c r="M268" s="270">
        <v>0</v>
      </c>
      <c r="N268" s="195">
        <f>+Elementos_[[#This Row],[Cantidad 
LDV]]*Elementos_[[#This Row],[Valor de referencia]]</f>
        <v>0</v>
      </c>
      <c r="O268" s="166"/>
      <c r="P268" s="159">
        <f>+Elementos_[[#This Row],[Cantidad LNDV]]*Elementos_[[#This Row],[Valor de referencia]]</f>
        <v>0</v>
      </c>
      <c r="Q268" s="196"/>
      <c r="R268" s="159">
        <f>+Elementos_[[#This Row],[GGCA]]*Elementos_[[#This Row],[Valor de referencia]]</f>
        <v>0</v>
      </c>
      <c r="S268" s="166">
        <v>3</v>
      </c>
      <c r="T268" s="159">
        <f>+Elementos_[[#This Row],[Cantidad LDF]]*Elementos_[[#This Row],[Valor de referencia]]</f>
        <v>604296</v>
      </c>
      <c r="U268" s="197">
        <v>1</v>
      </c>
      <c r="V268" s="159">
        <f>+Elementos_[[#This Row],[Cantidad LDF&amp;MR]]*Elementos_[[#This Row],[Valor de referencia]]</f>
        <v>201432</v>
      </c>
      <c r="W268" s="166"/>
      <c r="X268" s="159">
        <f>+Elementos_[[#This Row],[Cantidad RED LASE]]*Elementos_[[#This Row],[Valor de referencia]]</f>
        <v>0</v>
      </c>
      <c r="Y268" s="196"/>
      <c r="Z268" s="159">
        <f>+Elementos_[[#This Row],[Cantidad LANIA]]*Elementos_[[#This Row],[Valor de referencia]]</f>
        <v>0</v>
      </c>
      <c r="AA268" s="196"/>
      <c r="AB268" s="159">
        <f>+Elementos_[[#This Row],[Cantidad SPA]]*Elementos_[[#This Row],[Valor de referencia]]</f>
        <v>0</v>
      </c>
      <c r="AC268" s="166" t="s">
        <v>2049</v>
      </c>
    </row>
    <row r="269" spans="1:29" ht="36" x14ac:dyDescent="0.2">
      <c r="A269" s="294" t="str">
        <f>IF(B269=Elementos_[[#This Row],[Cantidad LANIP]],"LANIP",IF(B269=Elementos_[[#This Row],[Cantidad 
LDV]],"LDV",IF(B269=Elementos_[[#This Row],[Cantidad LNDV]],"LNDV",IF(B269=Elementos_[[#This Row],[GGCA]],"GGCA",IF(B269=Elementos_[[#This Row],[Cantidad LDF]],"LDF",IF(B269=Elementos_[[#This Row],[Cantidad LDF&amp;MR]],"LDF&amp;MR",IF(B269=Elementos_[[#This Row],[Cantidad RED LASE]],"LASE",IF(B269=Elementos_[[#This Row],[Cantidad LANIA]],"LANIA",IF(B269=Elementos_[[#This Row],[Cantidad SPA]],"SPA"," ")))))))))</f>
        <v>LDV</v>
      </c>
      <c r="B26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C269" s="298">
        <v>267</v>
      </c>
      <c r="D269" s="190">
        <v>383</v>
      </c>
      <c r="E269" s="235" t="s">
        <v>2504</v>
      </c>
      <c r="F269" s="208" t="s">
        <v>2505</v>
      </c>
      <c r="G269" s="192" t="s">
        <v>2047</v>
      </c>
      <c r="H26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I269" s="194">
        <v>495819</v>
      </c>
      <c r="J269" s="194">
        <f>+Elementos_[[#This Row],[Valor de referencia]]*Elementos_[[#This Row],[Cantidad]]</f>
        <v>12395475</v>
      </c>
      <c r="K269" s="166"/>
      <c r="L269" s="159">
        <f>+Elementos_[[#This Row],[Cantidad LANIP]]*Elementos_[[#This Row],[Valor de referencia]]</f>
        <v>0</v>
      </c>
      <c r="M269" s="270">
        <v>13</v>
      </c>
      <c r="N269" s="195">
        <f>+Elementos_[[#This Row],[Cantidad 
LDV]]*Elementos_[[#This Row],[Valor de referencia]]</f>
        <v>6445647</v>
      </c>
      <c r="O269" s="166">
        <v>10</v>
      </c>
      <c r="P269" s="159">
        <f>+Elementos_[[#This Row],[Cantidad LNDV]]*Elementos_[[#This Row],[Valor de referencia]]</f>
        <v>4958190</v>
      </c>
      <c r="Q269" s="196"/>
      <c r="R269" s="159">
        <f>+Elementos_[[#This Row],[GGCA]]*Elementos_[[#This Row],[Valor de referencia]]</f>
        <v>0</v>
      </c>
      <c r="S269" s="166"/>
      <c r="T269" s="159">
        <f>+Elementos_[[#This Row],[Cantidad LDF]]*Elementos_[[#This Row],[Valor de referencia]]</f>
        <v>0</v>
      </c>
      <c r="U269" s="197"/>
      <c r="V269" s="159">
        <f>+Elementos_[[#This Row],[Cantidad LDF&amp;MR]]*Elementos_[[#This Row],[Valor de referencia]]</f>
        <v>0</v>
      </c>
      <c r="W269" s="166"/>
      <c r="X269" s="159">
        <f>+Elementos_[[#This Row],[Cantidad RED LASE]]*Elementos_[[#This Row],[Valor de referencia]]</f>
        <v>0</v>
      </c>
      <c r="Y269" s="196">
        <v>2</v>
      </c>
      <c r="Z269" s="159">
        <f>+Elementos_[[#This Row],[Cantidad LANIA]]*Elementos_[[#This Row],[Valor de referencia]]</f>
        <v>991638</v>
      </c>
      <c r="AA269" s="196"/>
      <c r="AB269" s="159">
        <f>+Elementos_[[#This Row],[Cantidad SPA]]*Elementos_[[#This Row],[Valor de referencia]]</f>
        <v>0</v>
      </c>
      <c r="AC269" s="166" t="s">
        <v>2041</v>
      </c>
    </row>
    <row r="270" spans="1:29" ht="24" x14ac:dyDescent="0.2">
      <c r="A270" s="294" t="str">
        <f>IF(B270=Elementos_[[#This Row],[Cantidad LANIP]],"LANIP",IF(B270=Elementos_[[#This Row],[Cantidad 
LDV]],"LDV",IF(B270=Elementos_[[#This Row],[Cantidad LNDV]],"LNDV",IF(B270=Elementos_[[#This Row],[GGCA]],"GGCA",IF(B270=Elementos_[[#This Row],[Cantidad LDF]],"LDF",IF(B270=Elementos_[[#This Row],[Cantidad LDF&amp;MR]],"LDF&amp;MR",IF(B270=Elementos_[[#This Row],[Cantidad RED LASE]],"LASE",IF(B270=Elementos_[[#This Row],[Cantidad LANIA]],"LANIA",IF(B270=Elementos_[[#This Row],[Cantidad SPA]],"SPA"," ")))))))))</f>
        <v>LNDV</v>
      </c>
      <c r="B27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270" s="298">
        <v>268</v>
      </c>
      <c r="D270" s="190">
        <v>385</v>
      </c>
      <c r="E270" s="235" t="s">
        <v>2506</v>
      </c>
      <c r="F270" s="223" t="s">
        <v>183</v>
      </c>
      <c r="G270" s="192" t="s">
        <v>2054</v>
      </c>
      <c r="H27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v>
      </c>
      <c r="I270" s="194">
        <v>259618</v>
      </c>
      <c r="J270" s="194">
        <f>+Elementos_[[#This Row],[Valor de referencia]]*Elementos_[[#This Row],[Cantidad]]</f>
        <v>2336562</v>
      </c>
      <c r="K270" s="166"/>
      <c r="L270" s="159">
        <f>+Elementos_[[#This Row],[Cantidad LANIP]]*Elementos_[[#This Row],[Valor de referencia]]</f>
        <v>0</v>
      </c>
      <c r="M270" s="270">
        <v>2</v>
      </c>
      <c r="N270" s="195">
        <f>+Elementos_[[#This Row],[Cantidad 
LDV]]*Elementos_[[#This Row],[Valor de referencia]]</f>
        <v>519236</v>
      </c>
      <c r="O270" s="166">
        <v>6</v>
      </c>
      <c r="P270" s="159">
        <f>+Elementos_[[#This Row],[Cantidad LNDV]]*Elementos_[[#This Row],[Valor de referencia]]</f>
        <v>1557708</v>
      </c>
      <c r="Q270" s="196"/>
      <c r="R270" s="159">
        <f>+Elementos_[[#This Row],[GGCA]]*Elementos_[[#This Row],[Valor de referencia]]</f>
        <v>0</v>
      </c>
      <c r="S270" s="166">
        <v>1</v>
      </c>
      <c r="T270" s="159">
        <f>+Elementos_[[#This Row],[Cantidad LDF]]*Elementos_[[#This Row],[Valor de referencia]]</f>
        <v>259618</v>
      </c>
      <c r="U270" s="197"/>
      <c r="V270" s="159">
        <f>+Elementos_[[#This Row],[Cantidad LDF&amp;MR]]*Elementos_[[#This Row],[Valor de referencia]]</f>
        <v>0</v>
      </c>
      <c r="W270" s="166"/>
      <c r="X270" s="159">
        <f>+Elementos_[[#This Row],[Cantidad RED LASE]]*Elementos_[[#This Row],[Valor de referencia]]</f>
        <v>0</v>
      </c>
      <c r="Y270" s="196"/>
      <c r="Z270" s="159">
        <f>+Elementos_[[#This Row],[Cantidad LANIA]]*Elementos_[[#This Row],[Valor de referencia]]</f>
        <v>0</v>
      </c>
      <c r="AA270" s="196"/>
      <c r="AB270" s="159">
        <f>+Elementos_[[#This Row],[Cantidad SPA]]*Elementos_[[#This Row],[Valor de referencia]]</f>
        <v>0</v>
      </c>
      <c r="AC270" s="166" t="s">
        <v>2041</v>
      </c>
    </row>
    <row r="271" spans="1:29" ht="12.75" x14ac:dyDescent="0.2">
      <c r="A271" s="294" t="str">
        <f>IF(B271=Elementos_[[#This Row],[Cantidad LANIP]],"LANIP",IF(B271=Elementos_[[#This Row],[Cantidad 
LDV]],"LDV",IF(B271=Elementos_[[#This Row],[Cantidad LNDV]],"LNDV",IF(B271=Elementos_[[#This Row],[GGCA]],"GGCA",IF(B271=Elementos_[[#This Row],[Cantidad LDF]],"LDF",IF(B271=Elementos_[[#This Row],[Cantidad LDF&amp;MR]],"LDF&amp;MR",IF(B271=Elementos_[[#This Row],[Cantidad RED LASE]],"LASE",IF(B271=Elementos_[[#This Row],[Cantidad LANIA]],"LANIA",IF(B271=Elementos_[[#This Row],[Cantidad SPA]],"SPA"," ")))))))))</f>
        <v>SPA</v>
      </c>
      <c r="B27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271" s="298">
        <v>269</v>
      </c>
      <c r="D271" s="190">
        <v>386</v>
      </c>
      <c r="E271" s="288" t="s">
        <v>2507</v>
      </c>
      <c r="F271" s="228" t="s">
        <v>183</v>
      </c>
      <c r="G271" s="219" t="s">
        <v>2136</v>
      </c>
      <c r="H27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271" s="194">
        <v>3947587</v>
      </c>
      <c r="J271" s="194">
        <f>+Elementos_[[#This Row],[Valor de referencia]]*Elementos_[[#This Row],[Cantidad]]</f>
        <v>15790348</v>
      </c>
      <c r="K271" s="166"/>
      <c r="L271" s="159">
        <f>+Elementos_[[#This Row],[Cantidad LANIP]]*Elementos_[[#This Row],[Valor de referencia]]</f>
        <v>0</v>
      </c>
      <c r="M271" s="270">
        <v>0</v>
      </c>
      <c r="N271" s="195">
        <f>+Elementos_[[#This Row],[Cantidad 
LDV]]*Elementos_[[#This Row],[Valor de referencia]]</f>
        <v>0</v>
      </c>
      <c r="O271" s="166"/>
      <c r="P271" s="159">
        <f>+Elementos_[[#This Row],[Cantidad LNDV]]*Elementos_[[#This Row],[Valor de referencia]]</f>
        <v>0</v>
      </c>
      <c r="Q271" s="196"/>
      <c r="R271" s="159">
        <f>+Elementos_[[#This Row],[GGCA]]*Elementos_[[#This Row],[Valor de referencia]]</f>
        <v>0</v>
      </c>
      <c r="S271" s="166"/>
      <c r="T271" s="159">
        <f>+Elementos_[[#This Row],[Cantidad LDF]]*Elementos_[[#This Row],[Valor de referencia]]</f>
        <v>0</v>
      </c>
      <c r="U271" s="197"/>
      <c r="V271" s="159">
        <f>+Elementos_[[#This Row],[Cantidad LDF&amp;MR]]*Elementos_[[#This Row],[Valor de referencia]]</f>
        <v>0</v>
      </c>
      <c r="W271" s="166"/>
      <c r="X271" s="159">
        <f>+Elementos_[[#This Row],[Cantidad RED LASE]]*Elementos_[[#This Row],[Valor de referencia]]</f>
        <v>0</v>
      </c>
      <c r="Y271" s="196"/>
      <c r="Z271" s="159">
        <f>+Elementos_[[#This Row],[Cantidad LANIA]]*Elementos_[[#This Row],[Valor de referencia]]</f>
        <v>0</v>
      </c>
      <c r="AA271" s="196">
        <v>4</v>
      </c>
      <c r="AB271" s="159">
        <f>+Elementos_[[#This Row],[Cantidad SPA]]*Elementos_[[#This Row],[Valor de referencia]]</f>
        <v>15790348</v>
      </c>
      <c r="AC271" s="166" t="s">
        <v>2041</v>
      </c>
    </row>
    <row r="272" spans="1:29" ht="24" x14ac:dyDescent="0.2">
      <c r="A272" s="294" t="str">
        <f>IF(B272=Elementos_[[#This Row],[Cantidad LANIP]],"LANIP",IF(B272=Elementos_[[#This Row],[Cantidad 
LDV]],"LDV",IF(B272=Elementos_[[#This Row],[Cantidad LNDV]],"LNDV",IF(B272=Elementos_[[#This Row],[GGCA]],"GGCA",IF(B272=Elementos_[[#This Row],[Cantidad LDF]],"LDF",IF(B272=Elementos_[[#This Row],[Cantidad LDF&amp;MR]],"LDF&amp;MR",IF(B272=Elementos_[[#This Row],[Cantidad RED LASE]],"LASE",IF(B272=Elementos_[[#This Row],[Cantidad LANIA]],"LANIA",IF(B272=Elementos_[[#This Row],[Cantidad SPA]],"SPA"," ")))))))))</f>
        <v>LANIP</v>
      </c>
      <c r="B27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72" s="298">
        <v>270</v>
      </c>
      <c r="D272" s="190">
        <v>389</v>
      </c>
      <c r="E272" s="235" t="s">
        <v>2508</v>
      </c>
      <c r="F272" s="223" t="s">
        <v>2509</v>
      </c>
      <c r="G272" s="192" t="s">
        <v>2054</v>
      </c>
      <c r="H27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272" s="194">
        <v>263643</v>
      </c>
      <c r="J272" s="194">
        <f>+Elementos_[[#This Row],[Valor de referencia]]*Elementos_[[#This Row],[Cantidad]]</f>
        <v>3954645</v>
      </c>
      <c r="K272" s="166">
        <v>10</v>
      </c>
      <c r="L272" s="159">
        <f>+Elementos_[[#This Row],[Cantidad LANIP]]*Elementos_[[#This Row],[Valor de referencia]]</f>
        <v>2636430</v>
      </c>
      <c r="M272" s="270">
        <v>0</v>
      </c>
      <c r="N272" s="195">
        <f>+Elementos_[[#This Row],[Cantidad 
LDV]]*Elementos_[[#This Row],[Valor de referencia]]</f>
        <v>0</v>
      </c>
      <c r="O272" s="166"/>
      <c r="P272" s="159">
        <f>+Elementos_[[#This Row],[Cantidad LNDV]]*Elementos_[[#This Row],[Valor de referencia]]</f>
        <v>0</v>
      </c>
      <c r="Q272" s="196"/>
      <c r="R272" s="159">
        <f>+Elementos_[[#This Row],[GGCA]]*Elementos_[[#This Row],[Valor de referencia]]</f>
        <v>0</v>
      </c>
      <c r="S272" s="166"/>
      <c r="T272" s="159">
        <f>+Elementos_[[#This Row],[Cantidad LDF]]*Elementos_[[#This Row],[Valor de referencia]]</f>
        <v>0</v>
      </c>
      <c r="U272" s="197"/>
      <c r="V272" s="159">
        <f>+Elementos_[[#This Row],[Cantidad LDF&amp;MR]]*Elementos_[[#This Row],[Valor de referencia]]</f>
        <v>0</v>
      </c>
      <c r="W272" s="166"/>
      <c r="X272" s="159">
        <f>+Elementos_[[#This Row],[Cantidad RED LASE]]*Elementos_[[#This Row],[Valor de referencia]]</f>
        <v>0</v>
      </c>
      <c r="Y272" s="196">
        <v>5</v>
      </c>
      <c r="Z272" s="159">
        <f>+Elementos_[[#This Row],[Cantidad LANIA]]*Elementos_[[#This Row],[Valor de referencia]]</f>
        <v>1318215</v>
      </c>
      <c r="AA272" s="196"/>
      <c r="AB272" s="159">
        <f>+Elementos_[[#This Row],[Cantidad SPA]]*Elementos_[[#This Row],[Valor de referencia]]</f>
        <v>0</v>
      </c>
      <c r="AC272" s="166" t="s">
        <v>2041</v>
      </c>
    </row>
    <row r="273" spans="1:29" ht="36" x14ac:dyDescent="0.2">
      <c r="A273" s="294" t="str">
        <f>IF(B273=Elementos_[[#This Row],[Cantidad LANIP]],"LANIP",IF(B273=Elementos_[[#This Row],[Cantidad 
LDV]],"LDV",IF(B273=Elementos_[[#This Row],[Cantidad LNDV]],"LNDV",IF(B273=Elementos_[[#This Row],[GGCA]],"GGCA",IF(B273=Elementos_[[#This Row],[Cantidad LDF]],"LDF",IF(B273=Elementos_[[#This Row],[Cantidad LDF&amp;MR]],"LDF&amp;MR",IF(B273=Elementos_[[#This Row],[Cantidad RED LASE]],"LASE",IF(B273=Elementos_[[#This Row],[Cantidad LANIA]],"LANIA",IF(B273=Elementos_[[#This Row],[Cantidad SPA]],"SPA"," ")))))))))</f>
        <v>LDV</v>
      </c>
      <c r="B27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273" s="298">
        <v>271</v>
      </c>
      <c r="D273" s="190">
        <v>391</v>
      </c>
      <c r="E273" s="235" t="s">
        <v>2510</v>
      </c>
      <c r="F273" s="223" t="s">
        <v>2511</v>
      </c>
      <c r="G273" s="192" t="s">
        <v>525</v>
      </c>
      <c r="H27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273" s="194">
        <v>2275756</v>
      </c>
      <c r="J273" s="194">
        <f>+Elementos_[[#This Row],[Valor de referencia]]*Elementos_[[#This Row],[Cantidad]]</f>
        <v>18206048</v>
      </c>
      <c r="K273" s="166">
        <v>2</v>
      </c>
      <c r="L273" s="159">
        <f>+Elementos_[[#This Row],[Cantidad LANIP]]*Elementos_[[#This Row],[Valor de referencia]]</f>
        <v>4551512</v>
      </c>
      <c r="M273" s="270">
        <v>4</v>
      </c>
      <c r="N273" s="195">
        <f>+Elementos_[[#This Row],[Cantidad 
LDV]]*Elementos_[[#This Row],[Valor de referencia]]</f>
        <v>9103024</v>
      </c>
      <c r="O273" s="166">
        <v>1</v>
      </c>
      <c r="P273" s="159">
        <f>+Elementos_[[#This Row],[Cantidad LNDV]]*Elementos_[[#This Row],[Valor de referencia]]</f>
        <v>2275756</v>
      </c>
      <c r="Q273" s="196"/>
      <c r="R273" s="159">
        <f>+Elementos_[[#This Row],[GGCA]]*Elementos_[[#This Row],[Valor de referencia]]</f>
        <v>0</v>
      </c>
      <c r="S273" s="166">
        <v>1</v>
      </c>
      <c r="T273" s="159">
        <f>+Elementos_[[#This Row],[Cantidad LDF]]*Elementos_[[#This Row],[Valor de referencia]]</f>
        <v>2275756</v>
      </c>
      <c r="U273" s="197"/>
      <c r="V273" s="159">
        <f>+Elementos_[[#This Row],[Cantidad LDF&amp;MR]]*Elementos_[[#This Row],[Valor de referencia]]</f>
        <v>0</v>
      </c>
      <c r="W273" s="166"/>
      <c r="X273" s="159">
        <f>+Elementos_[[#This Row],[Cantidad RED LASE]]*Elementos_[[#This Row],[Valor de referencia]]</f>
        <v>0</v>
      </c>
      <c r="Y273" s="196"/>
      <c r="Z273" s="159">
        <f>+Elementos_[[#This Row],[Cantidad LANIA]]*Elementos_[[#This Row],[Valor de referencia]]</f>
        <v>0</v>
      </c>
      <c r="AA273" s="196"/>
      <c r="AB273" s="159">
        <f>+Elementos_[[#This Row],[Cantidad SPA]]*Elementos_[[#This Row],[Valor de referencia]]</f>
        <v>0</v>
      </c>
      <c r="AC273" s="166" t="s">
        <v>2041</v>
      </c>
    </row>
    <row r="274" spans="1:29" ht="24" x14ac:dyDescent="0.2">
      <c r="A274" s="294" t="str">
        <f>IF(B274=Elementos_[[#This Row],[Cantidad LANIP]],"LANIP",IF(B274=Elementos_[[#This Row],[Cantidad 
LDV]],"LDV",IF(B274=Elementos_[[#This Row],[Cantidad LNDV]],"LNDV",IF(B274=Elementos_[[#This Row],[GGCA]],"GGCA",IF(B274=Elementos_[[#This Row],[Cantidad LDF]],"LDF",IF(B274=Elementos_[[#This Row],[Cantidad LDF&amp;MR]],"LDF&amp;MR",IF(B274=Elementos_[[#This Row],[Cantidad RED LASE]],"LASE",IF(B274=Elementos_[[#This Row],[Cantidad LANIA]],"LANIA",IF(B274=Elementos_[[#This Row],[Cantidad SPA]],"SPA"," ")))))))))</f>
        <v>LANIA</v>
      </c>
      <c r="B27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274" s="298">
        <v>272</v>
      </c>
      <c r="D274" s="190">
        <v>392</v>
      </c>
      <c r="E274" s="235" t="s">
        <v>2512</v>
      </c>
      <c r="F274" s="223" t="s">
        <v>2513</v>
      </c>
      <c r="G274" s="192" t="s">
        <v>2092</v>
      </c>
      <c r="H27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274" s="194">
        <v>97142</v>
      </c>
      <c r="J274" s="194">
        <f>+Elementos_[[#This Row],[Valor de referencia]]*Elementos_[[#This Row],[Cantidad]]</f>
        <v>388568</v>
      </c>
      <c r="K274" s="166"/>
      <c r="L274" s="159">
        <f>+Elementos_[[#This Row],[Cantidad LANIP]]*Elementos_[[#This Row],[Valor de referencia]]</f>
        <v>0</v>
      </c>
      <c r="M274" s="270">
        <v>0</v>
      </c>
      <c r="N274" s="195">
        <f>+Elementos_[[#This Row],[Cantidad 
LDV]]*Elementos_[[#This Row],[Valor de referencia]]</f>
        <v>0</v>
      </c>
      <c r="O274" s="166"/>
      <c r="P274" s="159">
        <f>+Elementos_[[#This Row],[Cantidad LNDV]]*Elementos_[[#This Row],[Valor de referencia]]</f>
        <v>0</v>
      </c>
      <c r="Q274" s="196"/>
      <c r="R274" s="159">
        <f>+Elementos_[[#This Row],[GGCA]]*Elementos_[[#This Row],[Valor de referencia]]</f>
        <v>0</v>
      </c>
      <c r="S274" s="166"/>
      <c r="T274" s="159">
        <f>+Elementos_[[#This Row],[Cantidad LDF]]*Elementos_[[#This Row],[Valor de referencia]]</f>
        <v>0</v>
      </c>
      <c r="U274" s="197"/>
      <c r="V274" s="159">
        <f>+Elementos_[[#This Row],[Cantidad LDF&amp;MR]]*Elementos_[[#This Row],[Valor de referencia]]</f>
        <v>0</v>
      </c>
      <c r="W274" s="166"/>
      <c r="X274" s="159">
        <f>+Elementos_[[#This Row],[Cantidad RED LASE]]*Elementos_[[#This Row],[Valor de referencia]]</f>
        <v>0</v>
      </c>
      <c r="Y274" s="196">
        <v>4</v>
      </c>
      <c r="Z274" s="159">
        <f>+Elementos_[[#This Row],[Cantidad LANIA]]*Elementos_[[#This Row],[Valor de referencia]]</f>
        <v>388568</v>
      </c>
      <c r="AA274" s="196"/>
      <c r="AB274" s="159">
        <f>+Elementos_[[#This Row],[Cantidad SPA]]*Elementos_[[#This Row],[Valor de referencia]]</f>
        <v>0</v>
      </c>
      <c r="AC274" s="166" t="s">
        <v>2041</v>
      </c>
    </row>
    <row r="275" spans="1:29" ht="84" x14ac:dyDescent="0.2">
      <c r="A275" s="294" t="str">
        <f>IF(B275=Elementos_[[#This Row],[Cantidad LANIP]],"LANIP",IF(B275=Elementos_[[#This Row],[Cantidad 
LDV]],"LDV",IF(B275=Elementos_[[#This Row],[Cantidad LNDV]],"LNDV",IF(B275=Elementos_[[#This Row],[GGCA]],"GGCA",IF(B275=Elementos_[[#This Row],[Cantidad LDF]],"LDF",IF(B275=Elementos_[[#This Row],[Cantidad LDF&amp;MR]],"LDF&amp;MR",IF(B275=Elementos_[[#This Row],[Cantidad RED LASE]],"LASE",IF(B275=Elementos_[[#This Row],[Cantidad LANIA]],"LANIA",IF(B275=Elementos_[[#This Row],[Cantidad SPA]],"SPA"," ")))))))))</f>
        <v>LDF&amp;MR</v>
      </c>
      <c r="B27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275" s="298">
        <v>273</v>
      </c>
      <c r="D275" s="190">
        <v>394</v>
      </c>
      <c r="E275" s="235" t="s">
        <v>2514</v>
      </c>
      <c r="F275" s="223" t="s">
        <v>2039</v>
      </c>
      <c r="G275" s="202" t="s">
        <v>525</v>
      </c>
      <c r="H27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275" s="194">
        <v>1086553</v>
      </c>
      <c r="J275" s="194">
        <f>+Elementos_[[#This Row],[Valor de referencia]]*Elementos_[[#This Row],[Cantidad]]</f>
        <v>2173106</v>
      </c>
      <c r="K275" s="166"/>
      <c r="L275" s="159">
        <f>+Elementos_[[#This Row],[Cantidad LANIP]]*Elementos_[[#This Row],[Valor de referencia]]</f>
        <v>0</v>
      </c>
      <c r="M275" s="270">
        <v>0</v>
      </c>
      <c r="N275" s="195">
        <f>+Elementos_[[#This Row],[Cantidad 
LDV]]*Elementos_[[#This Row],[Valor de referencia]]</f>
        <v>0</v>
      </c>
      <c r="O275" s="166"/>
      <c r="P275" s="159">
        <f>+Elementos_[[#This Row],[Cantidad LNDV]]*Elementos_[[#This Row],[Valor de referencia]]</f>
        <v>0</v>
      </c>
      <c r="Q275" s="196"/>
      <c r="R275" s="159">
        <f>+Elementos_[[#This Row],[GGCA]]*Elementos_[[#This Row],[Valor de referencia]]</f>
        <v>0</v>
      </c>
      <c r="S275" s="166"/>
      <c r="T275" s="159">
        <f>+Elementos_[[#This Row],[Cantidad LDF]]*Elementos_[[#This Row],[Valor de referencia]]</f>
        <v>0</v>
      </c>
      <c r="U275" s="197">
        <v>2</v>
      </c>
      <c r="V275" s="159">
        <f>+Elementos_[[#This Row],[Cantidad LDF&amp;MR]]*Elementos_[[#This Row],[Valor de referencia]]</f>
        <v>2173106</v>
      </c>
      <c r="W275" s="166"/>
      <c r="X275" s="159">
        <f>+Elementos_[[#This Row],[Cantidad RED LASE]]*Elementos_[[#This Row],[Valor de referencia]]</f>
        <v>0</v>
      </c>
      <c r="Y275" s="196"/>
      <c r="Z275" s="159">
        <f>+Elementos_[[#This Row],[Cantidad LANIA]]*Elementos_[[#This Row],[Valor de referencia]]</f>
        <v>0</v>
      </c>
      <c r="AA275" s="196"/>
      <c r="AB275" s="159">
        <f>+Elementos_[[#This Row],[Cantidad SPA]]*Elementos_[[#This Row],[Valor de referencia]]</f>
        <v>0</v>
      </c>
      <c r="AC275" s="166" t="s">
        <v>2041</v>
      </c>
    </row>
    <row r="276" spans="1:29" ht="36" x14ac:dyDescent="0.2">
      <c r="A276" s="294" t="str">
        <f>IF(B276=Elementos_[[#This Row],[Cantidad LANIP]],"LANIP",IF(B276=Elementos_[[#This Row],[Cantidad 
LDV]],"LDV",IF(B276=Elementos_[[#This Row],[Cantidad LNDV]],"LNDV",IF(B276=Elementos_[[#This Row],[GGCA]],"GGCA",IF(B276=Elementos_[[#This Row],[Cantidad LDF]],"LDF",IF(B276=Elementos_[[#This Row],[Cantidad LDF&amp;MR]],"LDF&amp;MR",IF(B276=Elementos_[[#This Row],[Cantidad RED LASE]],"LASE",IF(B276=Elementos_[[#This Row],[Cantidad LANIA]],"LANIA",IF(B276=Elementos_[[#This Row],[Cantidad SPA]],"SPA"," ")))))))))</f>
        <v>LANIP</v>
      </c>
      <c r="B27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C276" s="298">
        <v>274</v>
      </c>
      <c r="D276" s="190">
        <v>396</v>
      </c>
      <c r="E276" s="235" t="s">
        <v>2515</v>
      </c>
      <c r="F276" s="223" t="s">
        <v>2516</v>
      </c>
      <c r="G276" s="192" t="s">
        <v>2047</v>
      </c>
      <c r="H27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28</v>
      </c>
      <c r="I276" s="194">
        <v>129133</v>
      </c>
      <c r="J276" s="194">
        <f>+Elementos_[[#This Row],[Valor de referencia]]*Elementos_[[#This Row],[Cantidad]]</f>
        <v>3615724</v>
      </c>
      <c r="K276" s="166">
        <v>25</v>
      </c>
      <c r="L276" s="159">
        <f>+Elementos_[[#This Row],[Cantidad LANIP]]*Elementos_[[#This Row],[Valor de referencia]]</f>
        <v>3228325</v>
      </c>
      <c r="M276" s="270">
        <v>0</v>
      </c>
      <c r="N276" s="195">
        <f>+Elementos_[[#This Row],[Cantidad 
LDV]]*Elementos_[[#This Row],[Valor de referencia]]</f>
        <v>0</v>
      </c>
      <c r="O276" s="166">
        <v>3</v>
      </c>
      <c r="P276" s="159">
        <f>+Elementos_[[#This Row],[Cantidad LNDV]]*Elementos_[[#This Row],[Valor de referencia]]</f>
        <v>387399</v>
      </c>
      <c r="Q276" s="196"/>
      <c r="R276" s="159">
        <f>+Elementos_[[#This Row],[GGCA]]*Elementos_[[#This Row],[Valor de referencia]]</f>
        <v>0</v>
      </c>
      <c r="S276" s="166"/>
      <c r="T276" s="159">
        <f>+Elementos_[[#This Row],[Cantidad LDF]]*Elementos_[[#This Row],[Valor de referencia]]</f>
        <v>0</v>
      </c>
      <c r="U276" s="197"/>
      <c r="V276" s="159">
        <f>+Elementos_[[#This Row],[Cantidad LDF&amp;MR]]*Elementos_[[#This Row],[Valor de referencia]]</f>
        <v>0</v>
      </c>
      <c r="W276" s="166"/>
      <c r="X276" s="159">
        <f>+Elementos_[[#This Row],[Cantidad RED LASE]]*Elementos_[[#This Row],[Valor de referencia]]</f>
        <v>0</v>
      </c>
      <c r="Y276" s="196"/>
      <c r="Z276" s="159">
        <f>+Elementos_[[#This Row],[Cantidad LANIA]]*Elementos_[[#This Row],[Valor de referencia]]</f>
        <v>0</v>
      </c>
      <c r="AA276" s="196"/>
      <c r="AB276" s="159">
        <f>+Elementos_[[#This Row],[Cantidad SPA]]*Elementos_[[#This Row],[Valor de referencia]]</f>
        <v>0</v>
      </c>
      <c r="AC276" s="166" t="s">
        <v>2049</v>
      </c>
    </row>
    <row r="277" spans="1:29" ht="24" x14ac:dyDescent="0.2">
      <c r="A277" s="294" t="str">
        <f>IF(B277=Elementos_[[#This Row],[Cantidad LANIP]],"LANIP",IF(B277=Elementos_[[#This Row],[Cantidad 
LDV]],"LDV",IF(B277=Elementos_[[#This Row],[Cantidad LNDV]],"LNDV",IF(B277=Elementos_[[#This Row],[GGCA]],"GGCA",IF(B277=Elementos_[[#This Row],[Cantidad LDF]],"LDF",IF(B277=Elementos_[[#This Row],[Cantidad LDF&amp;MR]],"LDF&amp;MR",IF(B277=Elementos_[[#This Row],[Cantidad RED LASE]],"LASE",IF(B277=Elementos_[[#This Row],[Cantidad LANIA]],"LANIA",IF(B277=Elementos_[[#This Row],[Cantidad SPA]],"SPA"," ")))))))))</f>
        <v>LANIA</v>
      </c>
      <c r="B27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77" s="298">
        <v>275</v>
      </c>
      <c r="D277" s="190">
        <v>397</v>
      </c>
      <c r="E277" s="235" t="s">
        <v>2517</v>
      </c>
      <c r="F277" s="223" t="s">
        <v>2518</v>
      </c>
      <c r="G277" s="202" t="s">
        <v>2047</v>
      </c>
      <c r="H27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41</v>
      </c>
      <c r="I277" s="194">
        <v>141270</v>
      </c>
      <c r="J277" s="194">
        <f>+Elementos_[[#This Row],[Valor de referencia]]*Elementos_[[#This Row],[Cantidad]]</f>
        <v>5792070</v>
      </c>
      <c r="K277" s="166">
        <v>18</v>
      </c>
      <c r="L277" s="159">
        <f>+Elementos_[[#This Row],[Cantidad LANIP]]*Elementos_[[#This Row],[Valor de referencia]]</f>
        <v>2542860</v>
      </c>
      <c r="M277" s="270">
        <v>0</v>
      </c>
      <c r="N277" s="195">
        <f>+Elementos_[[#This Row],[Cantidad 
LDV]]*Elementos_[[#This Row],[Valor de referencia]]</f>
        <v>0</v>
      </c>
      <c r="O277" s="166">
        <v>1</v>
      </c>
      <c r="P277" s="159">
        <f>+Elementos_[[#This Row],[Cantidad LNDV]]*Elementos_[[#This Row],[Valor de referencia]]</f>
        <v>141270</v>
      </c>
      <c r="Q277" s="196"/>
      <c r="R277" s="159">
        <f>+Elementos_[[#This Row],[GGCA]]*Elementos_[[#This Row],[Valor de referencia]]</f>
        <v>0</v>
      </c>
      <c r="S277" s="166">
        <v>2</v>
      </c>
      <c r="T277" s="159">
        <f>+Elementos_[[#This Row],[Cantidad LDF]]*Elementos_[[#This Row],[Valor de referencia]]</f>
        <v>282540</v>
      </c>
      <c r="U277" s="197"/>
      <c r="V277" s="159">
        <f>+Elementos_[[#This Row],[Cantidad LDF&amp;MR]]*Elementos_[[#This Row],[Valor de referencia]]</f>
        <v>0</v>
      </c>
      <c r="W277" s="166"/>
      <c r="X277" s="159">
        <f>+Elementos_[[#This Row],[Cantidad RED LASE]]*Elementos_[[#This Row],[Valor de referencia]]</f>
        <v>0</v>
      </c>
      <c r="Y277" s="196">
        <f>20</f>
        <v>20</v>
      </c>
      <c r="Z277" s="159">
        <f>+Elementos_[[#This Row],[Cantidad LANIA]]*Elementos_[[#This Row],[Valor de referencia]]</f>
        <v>2825400</v>
      </c>
      <c r="AA277" s="196"/>
      <c r="AB277" s="159">
        <f>+Elementos_[[#This Row],[Cantidad SPA]]*Elementos_[[#This Row],[Valor de referencia]]</f>
        <v>0</v>
      </c>
      <c r="AC277" s="166" t="s">
        <v>2041</v>
      </c>
    </row>
    <row r="278" spans="1:29" ht="36" x14ac:dyDescent="0.2">
      <c r="A278" s="294" t="str">
        <f>IF(B278=Elementos_[[#This Row],[Cantidad LANIP]],"LANIP",IF(B278=Elementos_[[#This Row],[Cantidad 
LDV]],"LDV",IF(B278=Elementos_[[#This Row],[Cantidad LNDV]],"LNDV",IF(B278=Elementos_[[#This Row],[GGCA]],"GGCA",IF(B278=Elementos_[[#This Row],[Cantidad LDF]],"LDF",IF(B278=Elementos_[[#This Row],[Cantidad LDF&amp;MR]],"LDF&amp;MR",IF(B278=Elementos_[[#This Row],[Cantidad RED LASE]],"LASE",IF(B278=Elementos_[[#This Row],[Cantidad LANIA]],"LANIA",IF(B278=Elementos_[[#This Row],[Cantidad SPA]],"SPA"," ")))))))))</f>
        <v>LANIP</v>
      </c>
      <c r="B27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278" s="298">
        <v>276</v>
      </c>
      <c r="D278" s="190">
        <v>398</v>
      </c>
      <c r="E278" s="235" t="s">
        <v>2519</v>
      </c>
      <c r="F278" s="223" t="s">
        <v>2520</v>
      </c>
      <c r="G278" s="192" t="s">
        <v>2047</v>
      </c>
      <c r="H27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125</v>
      </c>
      <c r="I278" s="194">
        <v>98932</v>
      </c>
      <c r="J278" s="194">
        <f>+Elementos_[[#This Row],[Valor de referencia]]*Elementos_[[#This Row],[Cantidad]]</f>
        <v>12366500</v>
      </c>
      <c r="K278" s="166">
        <v>100</v>
      </c>
      <c r="L278" s="159">
        <f>+Elementos_[[#This Row],[Cantidad LANIP]]*Elementos_[[#This Row],[Valor de referencia]]</f>
        <v>9893200</v>
      </c>
      <c r="M278" s="270">
        <v>0</v>
      </c>
      <c r="N278" s="195">
        <f>+Elementos_[[#This Row],[Cantidad 
LDV]]*Elementos_[[#This Row],[Valor de referencia]]</f>
        <v>0</v>
      </c>
      <c r="O278" s="166">
        <v>5</v>
      </c>
      <c r="P278" s="159">
        <f>+Elementos_[[#This Row],[Cantidad LNDV]]*Elementos_[[#This Row],[Valor de referencia]]</f>
        <v>494660</v>
      </c>
      <c r="Q278" s="196"/>
      <c r="R278" s="159">
        <f>+Elementos_[[#This Row],[GGCA]]*Elementos_[[#This Row],[Valor de referencia]]</f>
        <v>0</v>
      </c>
      <c r="S278" s="166"/>
      <c r="T278" s="159">
        <f>+Elementos_[[#This Row],[Cantidad LDF]]*Elementos_[[#This Row],[Valor de referencia]]</f>
        <v>0</v>
      </c>
      <c r="U278" s="197"/>
      <c r="V278" s="159">
        <f>+Elementos_[[#This Row],[Cantidad LDF&amp;MR]]*Elementos_[[#This Row],[Valor de referencia]]</f>
        <v>0</v>
      </c>
      <c r="W278" s="166"/>
      <c r="X278" s="159">
        <f>+Elementos_[[#This Row],[Cantidad RED LASE]]*Elementos_[[#This Row],[Valor de referencia]]</f>
        <v>0</v>
      </c>
      <c r="Y278" s="166">
        <v>20</v>
      </c>
      <c r="Z278" s="159">
        <f>+Elementos_[[#This Row],[Cantidad LANIA]]*Elementos_[[#This Row],[Valor de referencia]]</f>
        <v>1978640</v>
      </c>
      <c r="AA278" s="196"/>
      <c r="AB278" s="159">
        <f>+Elementos_[[#This Row],[Cantidad SPA]]*Elementos_[[#This Row],[Valor de referencia]]</f>
        <v>0</v>
      </c>
      <c r="AC278" s="166" t="s">
        <v>2041</v>
      </c>
    </row>
    <row r="279" spans="1:29" ht="24" x14ac:dyDescent="0.2">
      <c r="A279" s="294" t="str">
        <f>IF(B279=Elementos_[[#This Row],[Cantidad LANIP]],"LANIP",IF(B279=Elementos_[[#This Row],[Cantidad 
LDV]],"LDV",IF(B279=Elementos_[[#This Row],[Cantidad LNDV]],"LNDV",IF(B279=Elementos_[[#This Row],[GGCA]],"GGCA",IF(B279=Elementos_[[#This Row],[Cantidad LDF]],"LDF",IF(B279=Elementos_[[#This Row],[Cantidad LDF&amp;MR]],"LDF&amp;MR",IF(B279=Elementos_[[#This Row],[Cantidad RED LASE]],"LASE",IF(B279=Elementos_[[#This Row],[Cantidad LANIA]],"LANIA",IF(B279=Elementos_[[#This Row],[Cantidad SPA]],"SPA"," ")))))))))</f>
        <v>LANIP</v>
      </c>
      <c r="B27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83</v>
      </c>
      <c r="C279" s="298">
        <v>277</v>
      </c>
      <c r="D279" s="190">
        <v>399</v>
      </c>
      <c r="E279" s="235" t="s">
        <v>2521</v>
      </c>
      <c r="F279" s="208" t="s">
        <v>2044</v>
      </c>
      <c r="G279" s="192" t="s">
        <v>1391</v>
      </c>
      <c r="H27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83</v>
      </c>
      <c r="I279" s="194">
        <v>78282</v>
      </c>
      <c r="J279" s="194">
        <f>+Elementos_[[#This Row],[Valor de referencia]]*Elementos_[[#This Row],[Cantidad]]</f>
        <v>6497406</v>
      </c>
      <c r="K279" s="166">
        <v>83</v>
      </c>
      <c r="L279" s="159">
        <f>+Elementos_[[#This Row],[Cantidad LANIP]]*Elementos_[[#This Row],[Valor de referencia]]</f>
        <v>6497406</v>
      </c>
      <c r="M279" s="270">
        <v>0</v>
      </c>
      <c r="N279" s="195">
        <f>+Elementos_[[#This Row],[Cantidad 
LDV]]*Elementos_[[#This Row],[Valor de referencia]]</f>
        <v>0</v>
      </c>
      <c r="O279" s="166"/>
      <c r="P279" s="159">
        <f>+Elementos_[[#This Row],[Cantidad LNDV]]*Elementos_[[#This Row],[Valor de referencia]]</f>
        <v>0</v>
      </c>
      <c r="Q279" s="196"/>
      <c r="R279" s="159">
        <f>+Elementos_[[#This Row],[GGCA]]*Elementos_[[#This Row],[Valor de referencia]]</f>
        <v>0</v>
      </c>
      <c r="S279" s="166"/>
      <c r="T279" s="159">
        <f>+Elementos_[[#This Row],[Cantidad LDF]]*Elementos_[[#This Row],[Valor de referencia]]</f>
        <v>0</v>
      </c>
      <c r="U279" s="197"/>
      <c r="V279" s="159">
        <f>+Elementos_[[#This Row],[Cantidad LDF&amp;MR]]*Elementos_[[#This Row],[Valor de referencia]]</f>
        <v>0</v>
      </c>
      <c r="W279" s="166"/>
      <c r="X279" s="159">
        <f>+Elementos_[[#This Row],[Cantidad RED LASE]]*Elementos_[[#This Row],[Valor de referencia]]</f>
        <v>0</v>
      </c>
      <c r="Y279" s="196"/>
      <c r="Z279" s="159">
        <f>+Elementos_[[#This Row],[Cantidad LANIA]]*Elementos_[[#This Row],[Valor de referencia]]</f>
        <v>0</v>
      </c>
      <c r="AA279" s="196"/>
      <c r="AB279" s="159">
        <f>+Elementos_[[#This Row],[Cantidad SPA]]*Elementos_[[#This Row],[Valor de referencia]]</f>
        <v>0</v>
      </c>
      <c r="AC279" s="166" t="s">
        <v>2041</v>
      </c>
    </row>
    <row r="280" spans="1:29" ht="36" x14ac:dyDescent="0.2">
      <c r="A280" s="294" t="str">
        <f>IF(B280=Elementos_[[#This Row],[Cantidad LANIP]],"LANIP",IF(B280=Elementos_[[#This Row],[Cantidad 
LDV]],"LDV",IF(B280=Elementos_[[#This Row],[Cantidad LNDV]],"LNDV",IF(B280=Elementos_[[#This Row],[GGCA]],"GGCA",IF(B280=Elementos_[[#This Row],[Cantidad LDF]],"LDF",IF(B280=Elementos_[[#This Row],[Cantidad LDF&amp;MR]],"LDF&amp;MR",IF(B280=Elementos_[[#This Row],[Cantidad RED LASE]],"LASE",IF(B280=Elementos_[[#This Row],[Cantidad LANIA]],"LANIA",IF(B280=Elementos_[[#This Row],[Cantidad SPA]],"SPA"," ")))))))))</f>
        <v>LANIA</v>
      </c>
      <c r="B28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80" s="298">
        <v>278</v>
      </c>
      <c r="D280" s="190">
        <v>400</v>
      </c>
      <c r="E280" s="272" t="s">
        <v>2522</v>
      </c>
      <c r="F280" s="217" t="s">
        <v>2523</v>
      </c>
      <c r="G280" s="192" t="s">
        <v>2047</v>
      </c>
      <c r="H28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31</v>
      </c>
      <c r="I280" s="194">
        <v>110169</v>
      </c>
      <c r="J280" s="194">
        <f>+Elementos_[[#This Row],[Valor de referencia]]*Elementos_[[#This Row],[Cantidad]]</f>
        <v>3415239</v>
      </c>
      <c r="K280" s="166"/>
      <c r="L280" s="159">
        <f>+Elementos_[[#This Row],[Cantidad LANIP]]*Elementos_[[#This Row],[Valor de referencia]]</f>
        <v>0</v>
      </c>
      <c r="M280" s="270">
        <v>1</v>
      </c>
      <c r="N280" s="195">
        <f>+Elementos_[[#This Row],[Cantidad 
LDV]]*Elementos_[[#This Row],[Valor de referencia]]</f>
        <v>110169</v>
      </c>
      <c r="O280" s="166">
        <v>10</v>
      </c>
      <c r="P280" s="159">
        <f>+Elementos_[[#This Row],[Cantidad LNDV]]*Elementos_[[#This Row],[Valor de referencia]]</f>
        <v>1101690</v>
      </c>
      <c r="Q280" s="196"/>
      <c r="R280" s="159">
        <f>+Elementos_[[#This Row],[GGCA]]*Elementos_[[#This Row],[Valor de referencia]]</f>
        <v>0</v>
      </c>
      <c r="S280" s="166"/>
      <c r="T280" s="159">
        <f>+Elementos_[[#This Row],[Cantidad LDF]]*Elementos_[[#This Row],[Valor de referencia]]</f>
        <v>0</v>
      </c>
      <c r="U280" s="197"/>
      <c r="V280" s="159">
        <f>+Elementos_[[#This Row],[Cantidad LDF&amp;MR]]*Elementos_[[#This Row],[Valor de referencia]]</f>
        <v>0</v>
      </c>
      <c r="W280" s="166"/>
      <c r="X280" s="159">
        <f>+Elementos_[[#This Row],[Cantidad RED LASE]]*Elementos_[[#This Row],[Valor de referencia]]</f>
        <v>0</v>
      </c>
      <c r="Y280" s="166">
        <v>20</v>
      </c>
      <c r="Z280" s="159">
        <f>+Elementos_[[#This Row],[Cantidad LANIA]]*Elementos_[[#This Row],[Valor de referencia]]</f>
        <v>2203380</v>
      </c>
      <c r="AA280" s="196"/>
      <c r="AB280" s="159">
        <f>+Elementos_[[#This Row],[Cantidad SPA]]*Elementos_[[#This Row],[Valor de referencia]]</f>
        <v>0</v>
      </c>
      <c r="AC280" s="166" t="s">
        <v>2041</v>
      </c>
    </row>
    <row r="281" spans="1:29" ht="36" x14ac:dyDescent="0.2">
      <c r="A281" s="294" t="str">
        <f>IF(B281=Elementos_[[#This Row],[Cantidad LANIP]],"LANIP",IF(B281=Elementos_[[#This Row],[Cantidad 
LDV]],"LDV",IF(B281=Elementos_[[#This Row],[Cantidad LNDV]],"LNDV",IF(B281=Elementos_[[#This Row],[GGCA]],"GGCA",IF(B281=Elementos_[[#This Row],[Cantidad LDF]],"LDF",IF(B281=Elementos_[[#This Row],[Cantidad LDF&amp;MR]],"LDF&amp;MR",IF(B281=Elementos_[[#This Row],[Cantidad RED LASE]],"LASE",IF(B281=Elementos_[[#This Row],[Cantidad LANIA]],"LANIA",IF(B281=Elementos_[[#This Row],[Cantidad SPA]],"SPA"," ")))))))))</f>
        <v>LANIP</v>
      </c>
      <c r="B28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281" s="298">
        <v>279</v>
      </c>
      <c r="D281" s="190">
        <v>401</v>
      </c>
      <c r="E281" s="299" t="s">
        <v>2524</v>
      </c>
      <c r="F281" s="201" t="s">
        <v>2525</v>
      </c>
      <c r="G281" s="192" t="s">
        <v>2526</v>
      </c>
      <c r="H28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281" s="194">
        <v>449439</v>
      </c>
      <c r="J281" s="194">
        <f>+Elementos_[[#This Row],[Valor de referencia]]*Elementos_[[#This Row],[Cantidad]]</f>
        <v>2696634</v>
      </c>
      <c r="K281" s="166">
        <v>4</v>
      </c>
      <c r="L281" s="159">
        <f>+Elementos_[[#This Row],[Cantidad LANIP]]*Elementos_[[#This Row],[Valor de referencia]]</f>
        <v>1797756</v>
      </c>
      <c r="M281" s="270">
        <v>0</v>
      </c>
      <c r="N281" s="195">
        <f>+Elementos_[[#This Row],[Cantidad 
LDV]]*Elementos_[[#This Row],[Valor de referencia]]</f>
        <v>0</v>
      </c>
      <c r="O281" s="166"/>
      <c r="P281" s="159">
        <f>+Elementos_[[#This Row],[Cantidad LNDV]]*Elementos_[[#This Row],[Valor de referencia]]</f>
        <v>0</v>
      </c>
      <c r="Q281" s="196"/>
      <c r="R281" s="159">
        <f>+Elementos_[[#This Row],[GGCA]]*Elementos_[[#This Row],[Valor de referencia]]</f>
        <v>0</v>
      </c>
      <c r="S281" s="166">
        <v>2</v>
      </c>
      <c r="T281" s="159">
        <f>+Elementos_[[#This Row],[Cantidad LDF]]*Elementos_[[#This Row],[Valor de referencia]]</f>
        <v>898878</v>
      </c>
      <c r="U281" s="197"/>
      <c r="V281" s="159">
        <f>+Elementos_[[#This Row],[Cantidad LDF&amp;MR]]*Elementos_[[#This Row],[Valor de referencia]]</f>
        <v>0</v>
      </c>
      <c r="W281" s="166"/>
      <c r="X281" s="159">
        <f>+Elementos_[[#This Row],[Cantidad RED LASE]]*Elementos_[[#This Row],[Valor de referencia]]</f>
        <v>0</v>
      </c>
      <c r="Y281" s="196"/>
      <c r="Z281" s="159">
        <f>+Elementos_[[#This Row],[Cantidad LANIA]]*Elementos_[[#This Row],[Valor de referencia]]</f>
        <v>0</v>
      </c>
      <c r="AA281" s="196"/>
      <c r="AB281" s="159">
        <f>+Elementos_[[#This Row],[Cantidad SPA]]*Elementos_[[#This Row],[Valor de referencia]]</f>
        <v>0</v>
      </c>
      <c r="AC281" s="166" t="s">
        <v>2041</v>
      </c>
    </row>
    <row r="282" spans="1:29" ht="36" x14ac:dyDescent="0.2">
      <c r="A282" s="294" t="str">
        <f>IF(B282=Elementos_[[#This Row],[Cantidad LANIP]],"LANIP",IF(B282=Elementos_[[#This Row],[Cantidad 
LDV]],"LDV",IF(B282=Elementos_[[#This Row],[Cantidad LNDV]],"LNDV",IF(B282=Elementos_[[#This Row],[GGCA]],"GGCA",IF(B282=Elementos_[[#This Row],[Cantidad LDF]],"LDF",IF(B282=Elementos_[[#This Row],[Cantidad LDF&amp;MR]],"LDF&amp;MR",IF(B282=Elementos_[[#This Row],[Cantidad RED LASE]],"LASE",IF(B282=Elementos_[[#This Row],[Cantidad LANIA]],"LANIA",IF(B282=Elementos_[[#This Row],[Cantidad SPA]],"SPA"," ")))))))))</f>
        <v>LANIP</v>
      </c>
      <c r="B28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45</v>
      </c>
      <c r="C282" s="298">
        <v>280</v>
      </c>
      <c r="D282" s="190">
        <v>402</v>
      </c>
      <c r="E282" s="273" t="s">
        <v>2527</v>
      </c>
      <c r="F282" s="200" t="s">
        <v>2528</v>
      </c>
      <c r="G282" s="192" t="s">
        <v>2529</v>
      </c>
      <c r="H28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45</v>
      </c>
      <c r="I282" s="194">
        <v>221214</v>
      </c>
      <c r="J282" s="194">
        <f>+Elementos_[[#This Row],[Valor de referencia]]*Elementos_[[#This Row],[Cantidad]]</f>
        <v>9954630</v>
      </c>
      <c r="K282" s="166">
        <v>45</v>
      </c>
      <c r="L282" s="159">
        <f>+Elementos_[[#This Row],[Cantidad LANIP]]*Elementos_[[#This Row],[Valor de referencia]]</f>
        <v>9954630</v>
      </c>
      <c r="M282" s="270">
        <v>0</v>
      </c>
      <c r="N282" s="195">
        <f>+Elementos_[[#This Row],[Cantidad 
LDV]]*Elementos_[[#This Row],[Valor de referencia]]</f>
        <v>0</v>
      </c>
      <c r="O282" s="166"/>
      <c r="P282" s="159">
        <f>+Elementos_[[#This Row],[Cantidad LNDV]]*Elementos_[[#This Row],[Valor de referencia]]</f>
        <v>0</v>
      </c>
      <c r="Q282" s="196"/>
      <c r="R282" s="159">
        <f>+Elementos_[[#This Row],[GGCA]]*Elementos_[[#This Row],[Valor de referencia]]</f>
        <v>0</v>
      </c>
      <c r="S282" s="166"/>
      <c r="T282" s="159">
        <f>+Elementos_[[#This Row],[Cantidad LDF]]*Elementos_[[#This Row],[Valor de referencia]]</f>
        <v>0</v>
      </c>
      <c r="U282" s="197"/>
      <c r="V282" s="159">
        <f>+Elementos_[[#This Row],[Cantidad LDF&amp;MR]]*Elementos_[[#This Row],[Valor de referencia]]</f>
        <v>0</v>
      </c>
      <c r="W282" s="166"/>
      <c r="X282" s="159">
        <f>+Elementos_[[#This Row],[Cantidad RED LASE]]*Elementos_[[#This Row],[Valor de referencia]]</f>
        <v>0</v>
      </c>
      <c r="Y282" s="196"/>
      <c r="Z282" s="159">
        <f>+Elementos_[[#This Row],[Cantidad LANIA]]*Elementos_[[#This Row],[Valor de referencia]]</f>
        <v>0</v>
      </c>
      <c r="AA282" s="196"/>
      <c r="AB282" s="159">
        <f>+Elementos_[[#This Row],[Cantidad SPA]]*Elementos_[[#This Row],[Valor de referencia]]</f>
        <v>0</v>
      </c>
      <c r="AC282" s="166" t="s">
        <v>2041</v>
      </c>
    </row>
    <row r="283" spans="1:29" ht="48" x14ac:dyDescent="0.2">
      <c r="A283" s="294" t="str">
        <f>IF(B283=Elementos_[[#This Row],[Cantidad LANIP]],"LANIP",IF(B283=Elementos_[[#This Row],[Cantidad 
LDV]],"LDV",IF(B283=Elementos_[[#This Row],[Cantidad LNDV]],"LNDV",IF(B283=Elementos_[[#This Row],[GGCA]],"GGCA",IF(B283=Elementos_[[#This Row],[Cantidad LDF]],"LDF",IF(B283=Elementos_[[#This Row],[Cantidad LDF&amp;MR]],"LDF&amp;MR",IF(B283=Elementos_[[#This Row],[Cantidad RED LASE]],"LASE",IF(B283=Elementos_[[#This Row],[Cantidad LANIA]],"LANIA",IF(B283=Elementos_[[#This Row],[Cantidad SPA]],"SPA"," ")))))))))</f>
        <v>LDF&amp;MR</v>
      </c>
      <c r="B28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83" s="298">
        <v>281</v>
      </c>
      <c r="D283" s="190">
        <v>403</v>
      </c>
      <c r="E283" s="273" t="s">
        <v>2530</v>
      </c>
      <c r="F283" s="216" t="s">
        <v>2531</v>
      </c>
      <c r="G283" s="202" t="s">
        <v>2532</v>
      </c>
      <c r="H28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I283" s="194">
        <v>152646</v>
      </c>
      <c r="J283" s="194">
        <f>+Elementos_[[#This Row],[Valor de referencia]]*Elementos_[[#This Row],[Cantidad]]</f>
        <v>4579380</v>
      </c>
      <c r="K283" s="166">
        <v>7</v>
      </c>
      <c r="L283" s="159">
        <f>+Elementos_[[#This Row],[Cantidad LANIP]]*Elementos_[[#This Row],[Valor de referencia]]</f>
        <v>1068522</v>
      </c>
      <c r="M283" s="270">
        <v>0</v>
      </c>
      <c r="N283" s="195">
        <f>+Elementos_[[#This Row],[Cantidad 
LDV]]*Elementos_[[#This Row],[Valor de referencia]]</f>
        <v>0</v>
      </c>
      <c r="O283" s="166"/>
      <c r="P283" s="159">
        <f>+Elementos_[[#This Row],[Cantidad LNDV]]*Elementos_[[#This Row],[Valor de referencia]]</f>
        <v>0</v>
      </c>
      <c r="Q283" s="196"/>
      <c r="R283" s="159">
        <f>+Elementos_[[#This Row],[GGCA]]*Elementos_[[#This Row],[Valor de referencia]]</f>
        <v>0</v>
      </c>
      <c r="S283" s="166">
        <v>3</v>
      </c>
      <c r="T283" s="159">
        <f>+Elementos_[[#This Row],[Cantidad LDF]]*Elementos_[[#This Row],[Valor de referencia]]</f>
        <v>457938</v>
      </c>
      <c r="U283" s="197">
        <v>20</v>
      </c>
      <c r="V283" s="159">
        <f>+Elementos_[[#This Row],[Cantidad LDF&amp;MR]]*Elementos_[[#This Row],[Valor de referencia]]</f>
        <v>3052920</v>
      </c>
      <c r="W283" s="166"/>
      <c r="X283" s="159">
        <f>+Elementos_[[#This Row],[Cantidad RED LASE]]*Elementos_[[#This Row],[Valor de referencia]]</f>
        <v>0</v>
      </c>
      <c r="Y283" s="196"/>
      <c r="Z283" s="159">
        <f>+Elementos_[[#This Row],[Cantidad LANIA]]*Elementos_[[#This Row],[Valor de referencia]]</f>
        <v>0</v>
      </c>
      <c r="AA283" s="196"/>
      <c r="AB283" s="159">
        <f>+Elementos_[[#This Row],[Cantidad SPA]]*Elementos_[[#This Row],[Valor de referencia]]</f>
        <v>0</v>
      </c>
      <c r="AC283" s="166" t="s">
        <v>2041</v>
      </c>
    </row>
    <row r="284" spans="1:29" ht="12.75" x14ac:dyDescent="0.2">
      <c r="A284" s="294" t="str">
        <f>IF(B284=Elementos_[[#This Row],[Cantidad LANIP]],"LANIP",IF(B284=Elementos_[[#This Row],[Cantidad 
LDV]],"LDV",IF(B284=Elementos_[[#This Row],[Cantidad LNDV]],"LNDV",IF(B284=Elementos_[[#This Row],[GGCA]],"GGCA",IF(B284=Elementos_[[#This Row],[Cantidad LDF]],"LDF",IF(B284=Elementos_[[#This Row],[Cantidad LDF&amp;MR]],"LDF&amp;MR",IF(B284=Elementos_[[#This Row],[Cantidad RED LASE]],"LASE",IF(B284=Elementos_[[#This Row],[Cantidad LANIA]],"LANIA",IF(B284=Elementos_[[#This Row],[Cantidad SPA]],"SPA"," ")))))))))</f>
        <v>LDF</v>
      </c>
      <c r="B28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284" s="298">
        <v>282</v>
      </c>
      <c r="D284" s="190">
        <v>409</v>
      </c>
      <c r="E284" s="273" t="s">
        <v>2533</v>
      </c>
      <c r="F284" s="201" t="s">
        <v>183</v>
      </c>
      <c r="G284" s="202" t="s">
        <v>2534</v>
      </c>
      <c r="H28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284" s="194">
        <v>1527265</v>
      </c>
      <c r="J284" s="194">
        <f>+Elementos_[[#This Row],[Valor de referencia]]*Elementos_[[#This Row],[Cantidad]]</f>
        <v>7636325</v>
      </c>
      <c r="K284" s="166"/>
      <c r="L284" s="159">
        <f>+Elementos_[[#This Row],[Cantidad LANIP]]*Elementos_[[#This Row],[Valor de referencia]]</f>
        <v>0</v>
      </c>
      <c r="M284" s="270">
        <v>0</v>
      </c>
      <c r="N284" s="195">
        <f>+Elementos_[[#This Row],[Cantidad 
LDV]]*Elementos_[[#This Row],[Valor de referencia]]</f>
        <v>0</v>
      </c>
      <c r="O284" s="166"/>
      <c r="P284" s="159">
        <f>+Elementos_[[#This Row],[Cantidad LNDV]]*Elementos_[[#This Row],[Valor de referencia]]</f>
        <v>0</v>
      </c>
      <c r="Q284" s="196"/>
      <c r="R284" s="159">
        <f>+Elementos_[[#This Row],[GGCA]]*Elementos_[[#This Row],[Valor de referencia]]</f>
        <v>0</v>
      </c>
      <c r="S284" s="166">
        <v>5</v>
      </c>
      <c r="T284" s="159">
        <f>+Elementos_[[#This Row],[Cantidad LDF]]*Elementos_[[#This Row],[Valor de referencia]]</f>
        <v>7636325</v>
      </c>
      <c r="U284" s="197"/>
      <c r="V284" s="159">
        <f>+Elementos_[[#This Row],[Cantidad LDF&amp;MR]]*Elementos_[[#This Row],[Valor de referencia]]</f>
        <v>0</v>
      </c>
      <c r="W284" s="166"/>
      <c r="X284" s="159">
        <f>+Elementos_[[#This Row],[Cantidad RED LASE]]*Elementos_[[#This Row],[Valor de referencia]]</f>
        <v>0</v>
      </c>
      <c r="Y284" s="196"/>
      <c r="Z284" s="159">
        <f>+Elementos_[[#This Row],[Cantidad LANIA]]*Elementos_[[#This Row],[Valor de referencia]]</f>
        <v>0</v>
      </c>
      <c r="AA284" s="196"/>
      <c r="AB284" s="159">
        <f>+Elementos_[[#This Row],[Cantidad SPA]]*Elementos_[[#This Row],[Valor de referencia]]</f>
        <v>0</v>
      </c>
      <c r="AC284" s="166" t="s">
        <v>2041</v>
      </c>
    </row>
    <row r="285" spans="1:29" ht="24" x14ac:dyDescent="0.2">
      <c r="A285" s="294" t="str">
        <f>IF(B285=Elementos_[[#This Row],[Cantidad LANIP]],"LANIP",IF(B285=Elementos_[[#This Row],[Cantidad 
LDV]],"LDV",IF(B285=Elementos_[[#This Row],[Cantidad LNDV]],"LNDV",IF(B285=Elementos_[[#This Row],[GGCA]],"GGCA",IF(B285=Elementos_[[#This Row],[Cantidad LDF]],"LDF",IF(B285=Elementos_[[#This Row],[Cantidad LDF&amp;MR]],"LDF&amp;MR",IF(B285=Elementos_[[#This Row],[Cantidad RED LASE]],"LASE",IF(B285=Elementos_[[#This Row],[Cantidad LANIA]],"LANIA",IF(B285=Elementos_[[#This Row],[Cantidad SPA]],"SPA"," ")))))))))</f>
        <v>LANIA</v>
      </c>
      <c r="B28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285" s="298">
        <v>283</v>
      </c>
      <c r="D285" s="190">
        <v>410</v>
      </c>
      <c r="E285" s="280" t="s">
        <v>2535</v>
      </c>
      <c r="F285" s="204" t="s">
        <v>2536</v>
      </c>
      <c r="G285" s="192" t="s">
        <v>2537</v>
      </c>
      <c r="H28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285" s="194">
        <v>130662</v>
      </c>
      <c r="J285" s="194">
        <f>+Elementos_[[#This Row],[Valor de referencia]]*Elementos_[[#This Row],[Cantidad]]</f>
        <v>130662</v>
      </c>
      <c r="K285" s="166"/>
      <c r="L285" s="159">
        <f>+Elementos_[[#This Row],[Cantidad LANIP]]*Elementos_[[#This Row],[Valor de referencia]]</f>
        <v>0</v>
      </c>
      <c r="M285" s="270">
        <v>0</v>
      </c>
      <c r="N285" s="195">
        <f>+Elementos_[[#This Row],[Cantidad 
LDV]]*Elementos_[[#This Row],[Valor de referencia]]</f>
        <v>0</v>
      </c>
      <c r="O285" s="166"/>
      <c r="P285" s="159">
        <f>+Elementos_[[#This Row],[Cantidad LNDV]]*Elementos_[[#This Row],[Valor de referencia]]</f>
        <v>0</v>
      </c>
      <c r="Q285" s="196"/>
      <c r="R285" s="159">
        <f>+Elementos_[[#This Row],[GGCA]]*Elementos_[[#This Row],[Valor de referencia]]</f>
        <v>0</v>
      </c>
      <c r="S285" s="166"/>
      <c r="T285" s="159">
        <f>+Elementos_[[#This Row],[Cantidad LDF]]*Elementos_[[#This Row],[Valor de referencia]]</f>
        <v>0</v>
      </c>
      <c r="U285" s="197"/>
      <c r="V285" s="159">
        <f>+Elementos_[[#This Row],[Cantidad LDF&amp;MR]]*Elementos_[[#This Row],[Valor de referencia]]</f>
        <v>0</v>
      </c>
      <c r="W285" s="166"/>
      <c r="X285" s="159">
        <f>+Elementos_[[#This Row],[Cantidad RED LASE]]*Elementos_[[#This Row],[Valor de referencia]]</f>
        <v>0</v>
      </c>
      <c r="Y285" s="196">
        <v>1</v>
      </c>
      <c r="Z285" s="159">
        <f>+Elementos_[[#This Row],[Cantidad LANIA]]*Elementos_[[#This Row],[Valor de referencia]]</f>
        <v>130662</v>
      </c>
      <c r="AA285" s="196"/>
      <c r="AB285" s="159">
        <f>+Elementos_[[#This Row],[Cantidad SPA]]*Elementos_[[#This Row],[Valor de referencia]]</f>
        <v>0</v>
      </c>
      <c r="AC285" s="166" t="s">
        <v>2049</v>
      </c>
    </row>
    <row r="286" spans="1:29" ht="132" x14ac:dyDescent="0.2">
      <c r="A286" s="294" t="str">
        <f>IF(B286=Elementos_[[#This Row],[Cantidad LANIP]],"LANIP",IF(B286=Elementos_[[#This Row],[Cantidad 
LDV]],"LDV",IF(B286=Elementos_[[#This Row],[Cantidad LNDV]],"LNDV",IF(B286=Elementos_[[#This Row],[GGCA]],"GGCA",IF(B286=Elementos_[[#This Row],[Cantidad LDF]],"LDF",IF(B286=Elementos_[[#This Row],[Cantidad LDF&amp;MR]],"LDF&amp;MR",IF(B286=Elementos_[[#This Row],[Cantidad RED LASE]],"LASE",IF(B286=Elementos_[[#This Row],[Cantidad LANIA]],"LANIA",IF(B286=Elementos_[[#This Row],[Cantidad SPA]],"SPA"," ")))))))))</f>
        <v>SPA</v>
      </c>
      <c r="B28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86" s="298">
        <v>284</v>
      </c>
      <c r="D286" s="190">
        <v>412</v>
      </c>
      <c r="E286" s="273" t="s">
        <v>2538</v>
      </c>
      <c r="F286" s="204" t="s">
        <v>2539</v>
      </c>
      <c r="G286" s="192" t="s">
        <v>525</v>
      </c>
      <c r="H28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286" s="194">
        <v>1607107</v>
      </c>
      <c r="J286" s="194">
        <f>+Elementos_[[#This Row],[Valor de referencia]]*Elementos_[[#This Row],[Cantidad]]</f>
        <v>32142140</v>
      </c>
      <c r="K286" s="166"/>
      <c r="L286" s="159">
        <f>+Elementos_[[#This Row],[Cantidad LANIP]]*Elementos_[[#This Row],[Valor de referencia]]</f>
        <v>0</v>
      </c>
      <c r="M286" s="270"/>
      <c r="N286" s="195">
        <f>+Elementos_[[#This Row],[Cantidad 
LDV]]*Elementos_[[#This Row],[Valor de referencia]]</f>
        <v>0</v>
      </c>
      <c r="O286" s="166"/>
      <c r="P286" s="159">
        <f>+Elementos_[[#This Row],[Cantidad LNDV]]*Elementos_[[#This Row],[Valor de referencia]]</f>
        <v>0</v>
      </c>
      <c r="Q286" s="196"/>
      <c r="R286" s="159">
        <f>+Elementos_[[#This Row],[GGCA]]*Elementos_[[#This Row],[Valor de referencia]]</f>
        <v>0</v>
      </c>
      <c r="S286" s="166"/>
      <c r="T286" s="194">
        <f>+Elementos_[[#This Row],[Cantidad LDF]]*Elementos_[[#This Row],[Valor de referencia]]</f>
        <v>0</v>
      </c>
      <c r="U286" s="197"/>
      <c r="V286" s="194">
        <f>+Elementos_[[#This Row],[Cantidad LDF&amp;MR]]*Elementos_[[#This Row],[Valor de referencia]]</f>
        <v>0</v>
      </c>
      <c r="W286" s="166"/>
      <c r="X286" s="194">
        <f>+Elementos_[[#This Row],[Cantidad RED LASE]]*Elementos_[[#This Row],[Valor de referencia]]</f>
        <v>0</v>
      </c>
      <c r="Y286" s="196"/>
      <c r="Z286" s="194">
        <f>+Elementos_[[#This Row],[Cantidad LANIA]]*Elementos_[[#This Row],[Valor de referencia]]</f>
        <v>0</v>
      </c>
      <c r="AA286" s="196">
        <v>20</v>
      </c>
      <c r="AB286" s="194">
        <f>+Elementos_[[#This Row],[Cantidad SPA]]*Elementos_[[#This Row],[Valor de referencia]]</f>
        <v>32142140</v>
      </c>
      <c r="AC286" s="166" t="s">
        <v>2049</v>
      </c>
    </row>
    <row r="287" spans="1:29" ht="132" x14ac:dyDescent="0.2">
      <c r="A287" s="294" t="str">
        <f>IF(B287=Elementos_[[#This Row],[Cantidad LANIP]],"LANIP",IF(B287=Elementos_[[#This Row],[Cantidad 
LDV]],"LDV",IF(B287=Elementos_[[#This Row],[Cantidad LNDV]],"LNDV",IF(B287=Elementos_[[#This Row],[GGCA]],"GGCA",IF(B287=Elementos_[[#This Row],[Cantidad LDF]],"LDF",IF(B287=Elementos_[[#This Row],[Cantidad LDF&amp;MR]],"LDF&amp;MR",IF(B287=Elementos_[[#This Row],[Cantidad RED LASE]],"LASE",IF(B287=Elementos_[[#This Row],[Cantidad LANIA]],"LANIA",IF(B287=Elementos_[[#This Row],[Cantidad SPA]],"SPA"," ")))))))))</f>
        <v>SPA</v>
      </c>
      <c r="B28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C287" s="298">
        <v>285</v>
      </c>
      <c r="D287" s="190">
        <v>413</v>
      </c>
      <c r="E287" s="235" t="s">
        <v>2540</v>
      </c>
      <c r="F287" s="208" t="s">
        <v>2541</v>
      </c>
      <c r="G287" s="192" t="s">
        <v>525</v>
      </c>
      <c r="H28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27</v>
      </c>
      <c r="I287" s="194">
        <v>2062383</v>
      </c>
      <c r="J287" s="194">
        <f>+Elementos_[[#This Row],[Valor de referencia]]*Elementos_[[#This Row],[Cantidad]]</f>
        <v>55684341</v>
      </c>
      <c r="K287" s="166"/>
      <c r="L287" s="159">
        <f>+Elementos_[[#This Row],[Cantidad LANIP]]*Elementos_[[#This Row],[Valor de referencia]]</f>
        <v>0</v>
      </c>
      <c r="M287" s="270">
        <v>2</v>
      </c>
      <c r="N287" s="195">
        <f>+Elementos_[[#This Row],[Cantidad 
LDV]]*Elementos_[[#This Row],[Valor de referencia]]</f>
        <v>4124766</v>
      </c>
      <c r="O287" s="166"/>
      <c r="P287" s="159">
        <f>+Elementos_[[#This Row],[Cantidad LNDV]]*Elementos_[[#This Row],[Valor de referencia]]</f>
        <v>0</v>
      </c>
      <c r="Q287" s="196"/>
      <c r="R287" s="159">
        <f>+Elementos_[[#This Row],[GGCA]]*Elementos_[[#This Row],[Valor de referencia]]</f>
        <v>0</v>
      </c>
      <c r="S287" s="166"/>
      <c r="T287" s="194">
        <f>+Elementos_[[#This Row],[Cantidad LDF]]*Elementos_[[#This Row],[Valor de referencia]]</f>
        <v>0</v>
      </c>
      <c r="U287" s="197"/>
      <c r="V287" s="194">
        <f>+Elementos_[[#This Row],[Cantidad LDF&amp;MR]]*Elementos_[[#This Row],[Valor de referencia]]</f>
        <v>0</v>
      </c>
      <c r="W287" s="166"/>
      <c r="X287" s="194">
        <f>+Elementos_[[#This Row],[Cantidad RED LASE]]*Elementos_[[#This Row],[Valor de referencia]]</f>
        <v>0</v>
      </c>
      <c r="Y287" s="196"/>
      <c r="Z287" s="194">
        <f>+Elementos_[[#This Row],[Cantidad LANIA]]*Elementos_[[#This Row],[Valor de referencia]]</f>
        <v>0</v>
      </c>
      <c r="AA287" s="196">
        <v>25</v>
      </c>
      <c r="AB287" s="194">
        <f>+Elementos_[[#This Row],[Cantidad SPA]]*Elementos_[[#This Row],[Valor de referencia]]</f>
        <v>51559575</v>
      </c>
      <c r="AC287" s="166" t="s">
        <v>2049</v>
      </c>
    </row>
    <row r="288" spans="1:29" ht="120" x14ac:dyDescent="0.2">
      <c r="A288" s="294" t="str">
        <f>IF(B288=Elementos_[[#This Row],[Cantidad LANIP]],"LANIP",IF(B288=Elementos_[[#This Row],[Cantidad 
LDV]],"LDV",IF(B288=Elementos_[[#This Row],[Cantidad LNDV]],"LNDV",IF(B288=Elementos_[[#This Row],[GGCA]],"GGCA",IF(B288=Elementos_[[#This Row],[Cantidad LDF]],"LDF",IF(B288=Elementos_[[#This Row],[Cantidad LDF&amp;MR]],"LDF&amp;MR",IF(B288=Elementos_[[#This Row],[Cantidad RED LASE]],"LASE",IF(B288=Elementos_[[#This Row],[Cantidad LANIA]],"LANIA",IF(B288=Elementos_[[#This Row],[Cantidad SPA]],"SPA"," ")))))))))</f>
        <v>SPA</v>
      </c>
      <c r="B28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C288" s="298">
        <v>286</v>
      </c>
      <c r="D288" s="190">
        <v>414</v>
      </c>
      <c r="E288" s="273" t="s">
        <v>2542</v>
      </c>
      <c r="F288" s="214" t="s">
        <v>183</v>
      </c>
      <c r="G288" s="192" t="s">
        <v>525</v>
      </c>
      <c r="H28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288" s="194">
        <v>1098865</v>
      </c>
      <c r="J288" s="194">
        <f>+Elementos_[[#This Row],[Valor de referencia]]*Elementos_[[#This Row],[Cantidad]]</f>
        <v>19779570</v>
      </c>
      <c r="K288" s="166"/>
      <c r="L288" s="159">
        <f>+Elementos_[[#This Row],[Cantidad LANIP]]*Elementos_[[#This Row],[Valor de referencia]]</f>
        <v>0</v>
      </c>
      <c r="M288" s="270"/>
      <c r="N288" s="195">
        <f>+Elementos_[[#This Row],[Cantidad 
LDV]]*Elementos_[[#This Row],[Valor de referencia]]</f>
        <v>0</v>
      </c>
      <c r="O288" s="166"/>
      <c r="P288" s="159">
        <f>+Elementos_[[#This Row],[Cantidad LNDV]]*Elementos_[[#This Row],[Valor de referencia]]</f>
        <v>0</v>
      </c>
      <c r="Q288" s="196"/>
      <c r="R288" s="159">
        <f>+Elementos_[[#This Row],[GGCA]]*Elementos_[[#This Row],[Valor de referencia]]</f>
        <v>0</v>
      </c>
      <c r="S288" s="166"/>
      <c r="T288" s="194">
        <f>+Elementos_[[#This Row],[Cantidad LDF]]*Elementos_[[#This Row],[Valor de referencia]]</f>
        <v>0</v>
      </c>
      <c r="U288" s="197"/>
      <c r="V288" s="194">
        <f>+Elementos_[[#This Row],[Cantidad LDF&amp;MR]]*Elementos_[[#This Row],[Valor de referencia]]</f>
        <v>0</v>
      </c>
      <c r="W288" s="166"/>
      <c r="X288" s="194">
        <f>+Elementos_[[#This Row],[Cantidad RED LASE]]*Elementos_[[#This Row],[Valor de referencia]]</f>
        <v>0</v>
      </c>
      <c r="Y288" s="196"/>
      <c r="Z288" s="194">
        <f>+Elementos_[[#This Row],[Cantidad LANIA]]*Elementos_[[#This Row],[Valor de referencia]]</f>
        <v>0</v>
      </c>
      <c r="AA288" s="196">
        <v>18</v>
      </c>
      <c r="AB288" s="194">
        <f>+Elementos_[[#This Row],[Cantidad SPA]]*Elementos_[[#This Row],[Valor de referencia]]</f>
        <v>19779570</v>
      </c>
      <c r="AC288" s="166" t="s">
        <v>2049</v>
      </c>
    </row>
    <row r="289" spans="1:29" ht="132" x14ac:dyDescent="0.2">
      <c r="A289" s="294" t="str">
        <f>IF(B289=Elementos_[[#This Row],[Cantidad LANIP]],"LANIP",IF(B289=Elementos_[[#This Row],[Cantidad 
LDV]],"LDV",IF(B289=Elementos_[[#This Row],[Cantidad LNDV]],"LNDV",IF(B289=Elementos_[[#This Row],[GGCA]],"GGCA",IF(B289=Elementos_[[#This Row],[Cantidad LDF]],"LDF",IF(B289=Elementos_[[#This Row],[Cantidad LDF&amp;MR]],"LDF&amp;MR",IF(B289=Elementos_[[#This Row],[Cantidad RED LASE]],"LASE",IF(B289=Elementos_[[#This Row],[Cantidad LANIA]],"LANIA",IF(B289=Elementos_[[#This Row],[Cantidad SPA]],"SPA"," ")))))))))</f>
        <v>LANIP</v>
      </c>
      <c r="B28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v>
      </c>
      <c r="C289" s="298">
        <v>287</v>
      </c>
      <c r="D289" s="190">
        <v>415</v>
      </c>
      <c r="E289" s="274" t="s">
        <v>2543</v>
      </c>
      <c r="F289" s="216" t="s">
        <v>183</v>
      </c>
      <c r="G289" s="202" t="s">
        <v>1394</v>
      </c>
      <c r="H28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289" s="194">
        <v>249900</v>
      </c>
      <c r="J289" s="194">
        <f>+Elementos_[[#This Row],[Valor de referencia]]*Elementos_[[#This Row],[Cantidad]]</f>
        <v>3248700</v>
      </c>
      <c r="K289" s="166">
        <v>9</v>
      </c>
      <c r="L289" s="159">
        <f>+Elementos_[[#This Row],[Cantidad LANIP]]*Elementos_[[#This Row],[Valor de referencia]]</f>
        <v>2249100</v>
      </c>
      <c r="M289" s="270">
        <v>4</v>
      </c>
      <c r="N289" s="195">
        <f>+Elementos_[[#This Row],[Cantidad 
LDV]]*Elementos_[[#This Row],[Valor de referencia]]</f>
        <v>999600</v>
      </c>
      <c r="O289" s="166"/>
      <c r="P289" s="159">
        <f>+Elementos_[[#This Row],[Cantidad LNDV]]*Elementos_[[#This Row],[Valor de referencia]]</f>
        <v>0</v>
      </c>
      <c r="Q289" s="196"/>
      <c r="R289" s="159">
        <f>+Elementos_[[#This Row],[GGCA]]*Elementos_[[#This Row],[Valor de referencia]]</f>
        <v>0</v>
      </c>
      <c r="S289" s="166"/>
      <c r="T289" s="159">
        <f>+Elementos_[[#This Row],[Cantidad LDF]]*Elementos_[[#This Row],[Valor de referencia]]</f>
        <v>0</v>
      </c>
      <c r="U289" s="197"/>
      <c r="V289" s="159">
        <f>+Elementos_[[#This Row],[Cantidad LDF&amp;MR]]*Elementos_[[#This Row],[Valor de referencia]]</f>
        <v>0</v>
      </c>
      <c r="W289" s="166"/>
      <c r="X289" s="159">
        <f>+Elementos_[[#This Row],[Cantidad RED LASE]]*Elementos_[[#This Row],[Valor de referencia]]</f>
        <v>0</v>
      </c>
      <c r="Y289" s="196"/>
      <c r="Z289" s="159">
        <f>+Elementos_[[#This Row],[Cantidad LANIA]]*Elementos_[[#This Row],[Valor de referencia]]</f>
        <v>0</v>
      </c>
      <c r="AA289" s="196"/>
      <c r="AB289" s="159">
        <f>+Elementos_[[#This Row],[Cantidad SPA]]*Elementos_[[#This Row],[Valor de referencia]]</f>
        <v>0</v>
      </c>
      <c r="AC289" s="166" t="s">
        <v>2049</v>
      </c>
    </row>
    <row r="290" spans="1:29" ht="133.5" customHeight="1" x14ac:dyDescent="0.2">
      <c r="A290" s="294" t="str">
        <f>IF(B290=Elementos_[[#This Row],[Cantidad LANIP]],"LANIP",IF(B290=Elementos_[[#This Row],[Cantidad 
LDV]],"LDV",IF(B290=Elementos_[[#This Row],[Cantidad LNDV]],"LNDV",IF(B290=Elementos_[[#This Row],[GGCA]],"GGCA",IF(B290=Elementos_[[#This Row],[Cantidad LDF]],"LDF",IF(B290=Elementos_[[#This Row],[Cantidad LDF&amp;MR]],"LDF&amp;MR",IF(B290=Elementos_[[#This Row],[Cantidad RED LASE]],"LASE",IF(B290=Elementos_[[#This Row],[Cantidad LANIA]],"LANIA",IF(B290=Elementos_[[#This Row],[Cantidad SPA]],"SPA"," ")))))))))</f>
        <v>SPA</v>
      </c>
      <c r="B29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290" s="298">
        <v>288</v>
      </c>
      <c r="D290" s="190">
        <v>416</v>
      </c>
      <c r="E290" s="300" t="s">
        <v>2544</v>
      </c>
      <c r="F290" s="204" t="s">
        <v>183</v>
      </c>
      <c r="G290" s="192" t="s">
        <v>1394</v>
      </c>
      <c r="H29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290" s="194">
        <v>1161055</v>
      </c>
      <c r="J290" s="194">
        <f>+Elementos_[[#This Row],[Valor de referencia]]*Elementos_[[#This Row],[Cantidad]]</f>
        <v>20898990</v>
      </c>
      <c r="K290" s="166"/>
      <c r="L290" s="159">
        <f>+Elementos_[[#This Row],[Cantidad LANIP]]*Elementos_[[#This Row],[Valor de referencia]]</f>
        <v>0</v>
      </c>
      <c r="M290" s="270">
        <v>2</v>
      </c>
      <c r="N290" s="195">
        <f>+Elementos_[[#This Row],[Cantidad 
LDV]]*Elementos_[[#This Row],[Valor de referencia]]</f>
        <v>2322110</v>
      </c>
      <c r="O290" s="166">
        <v>1</v>
      </c>
      <c r="P290" s="159">
        <f>+Elementos_[[#This Row],[Cantidad LNDV]]*Elementos_[[#This Row],[Valor de referencia]]</f>
        <v>1161055</v>
      </c>
      <c r="Q290" s="196"/>
      <c r="R290" s="159">
        <f>+Elementos_[[#This Row],[GGCA]]*Elementos_[[#This Row],[Valor de referencia]]</f>
        <v>0</v>
      </c>
      <c r="S290" s="166"/>
      <c r="T290" s="194">
        <f>+Elementos_[[#This Row],[Cantidad LDF]]*Elementos_[[#This Row],[Valor de referencia]]</f>
        <v>0</v>
      </c>
      <c r="U290" s="197"/>
      <c r="V290" s="194">
        <f>+Elementos_[[#This Row],[Cantidad LDF&amp;MR]]*Elementos_[[#This Row],[Valor de referencia]]</f>
        <v>0</v>
      </c>
      <c r="W290" s="166"/>
      <c r="X290" s="194">
        <f>+Elementos_[[#This Row],[Cantidad RED LASE]]*Elementos_[[#This Row],[Valor de referencia]]</f>
        <v>0</v>
      </c>
      <c r="Y290" s="196"/>
      <c r="Z290" s="194">
        <f>+Elementos_[[#This Row],[Cantidad LANIA]]*Elementos_[[#This Row],[Valor de referencia]]</f>
        <v>0</v>
      </c>
      <c r="AA290" s="196">
        <v>15</v>
      </c>
      <c r="AB290" s="194">
        <f>+Elementos_[[#This Row],[Cantidad SPA]]*Elementos_[[#This Row],[Valor de referencia]]</f>
        <v>17415825</v>
      </c>
      <c r="AC290" s="166" t="s">
        <v>2049</v>
      </c>
    </row>
    <row r="291" spans="1:29" ht="48" x14ac:dyDescent="0.2">
      <c r="A291" s="294" t="str">
        <f>IF(B291=Elementos_[[#This Row],[Cantidad LANIP]],"LANIP",IF(B291=Elementos_[[#This Row],[Cantidad 
LDV]],"LDV",IF(B291=Elementos_[[#This Row],[Cantidad LNDV]],"LNDV",IF(B291=Elementos_[[#This Row],[GGCA]],"GGCA",IF(B291=Elementos_[[#This Row],[Cantidad LDF]],"LDF",IF(B291=Elementos_[[#This Row],[Cantidad LDF&amp;MR]],"LDF&amp;MR",IF(B291=Elementos_[[#This Row],[Cantidad RED LASE]],"LASE",IF(B291=Elementos_[[#This Row],[Cantidad LANIA]],"LANIA",IF(B291=Elementos_[[#This Row],[Cantidad SPA]],"SPA"," ")))))))))</f>
        <v>LNDV</v>
      </c>
      <c r="B29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91" s="298">
        <v>289</v>
      </c>
      <c r="D291" s="190">
        <v>417</v>
      </c>
      <c r="E291" s="279" t="s">
        <v>2545</v>
      </c>
      <c r="F291" s="201" t="s">
        <v>2546</v>
      </c>
      <c r="G291" s="192" t="s">
        <v>2547</v>
      </c>
      <c r="H29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291" s="194">
        <v>1968571</v>
      </c>
      <c r="J291" s="194">
        <f>+Elementos_[[#This Row],[Valor de referencia]]*Elementos_[[#This Row],[Cantidad]]</f>
        <v>19685710</v>
      </c>
      <c r="K291" s="166"/>
      <c r="L291" s="159">
        <f>+Elementos_[[#This Row],[Cantidad LANIP]]*Elementos_[[#This Row],[Valor de referencia]]</f>
        <v>0</v>
      </c>
      <c r="M291" s="270"/>
      <c r="N291" s="195">
        <f>+Elementos_[[#This Row],[Cantidad 
LDV]]*Elementos_[[#This Row],[Valor de referencia]]</f>
        <v>0</v>
      </c>
      <c r="O291" s="166">
        <v>10</v>
      </c>
      <c r="P291" s="159">
        <f>+Elementos_[[#This Row],[Cantidad LNDV]]*Elementos_[[#This Row],[Valor de referencia]]</f>
        <v>19685710</v>
      </c>
      <c r="Q291" s="196"/>
      <c r="R291" s="159">
        <f>+Elementos_[[#This Row],[GGCA]]*Elementos_[[#This Row],[Valor de referencia]]</f>
        <v>0</v>
      </c>
      <c r="S291" s="166"/>
      <c r="T291" s="159">
        <f>+Elementos_[[#This Row],[Cantidad LDF]]*Elementos_[[#This Row],[Valor de referencia]]</f>
        <v>0</v>
      </c>
      <c r="U291" s="197"/>
      <c r="V291" s="159">
        <f>+Elementos_[[#This Row],[Cantidad LDF&amp;MR]]*Elementos_[[#This Row],[Valor de referencia]]</f>
        <v>0</v>
      </c>
      <c r="W291" s="166"/>
      <c r="X291" s="159">
        <f>+Elementos_[[#This Row],[Cantidad RED LASE]]*Elementos_[[#This Row],[Valor de referencia]]</f>
        <v>0</v>
      </c>
      <c r="Y291" s="196"/>
      <c r="Z291" s="159">
        <f>+Elementos_[[#This Row],[Cantidad LANIA]]*Elementos_[[#This Row],[Valor de referencia]]</f>
        <v>0</v>
      </c>
      <c r="AA291" s="196"/>
      <c r="AB291" s="159">
        <f>+Elementos_[[#This Row],[Cantidad SPA]]*Elementos_[[#This Row],[Valor de referencia]]</f>
        <v>0</v>
      </c>
      <c r="AC291" s="166" t="s">
        <v>2041</v>
      </c>
    </row>
    <row r="292" spans="1:29" ht="24" x14ac:dyDescent="0.2">
      <c r="A292" s="294" t="str">
        <f>IF(B292=Elementos_[[#This Row],[Cantidad LANIP]],"LANIP",IF(B292=Elementos_[[#This Row],[Cantidad 
LDV]],"LDV",IF(B292=Elementos_[[#This Row],[Cantidad LNDV]],"LNDV",IF(B292=Elementos_[[#This Row],[GGCA]],"GGCA",IF(B292=Elementos_[[#This Row],[Cantidad LDF]],"LDF",IF(B292=Elementos_[[#This Row],[Cantidad LDF&amp;MR]],"LDF&amp;MR",IF(B292=Elementos_[[#This Row],[Cantidad RED LASE]],"LASE",IF(B292=Elementos_[[#This Row],[Cantidad LANIA]],"LANIA",IF(B292=Elementos_[[#This Row],[Cantidad SPA]],"SPA"," ")))))))))</f>
        <v>LNDV</v>
      </c>
      <c r="B29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180</v>
      </c>
      <c r="C292" s="298">
        <v>290</v>
      </c>
      <c r="D292" s="190">
        <v>418</v>
      </c>
      <c r="E292" s="311" t="s">
        <v>2548</v>
      </c>
      <c r="F292" s="201" t="s">
        <v>183</v>
      </c>
      <c r="G292" s="202" t="s">
        <v>2549</v>
      </c>
      <c r="H29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335</v>
      </c>
      <c r="I292" s="194">
        <v>7140</v>
      </c>
      <c r="J292" s="194">
        <f>+Elementos_[[#This Row],[Valor de referencia]]*Elementos_[[#This Row],[Cantidad]]</f>
        <v>2391900</v>
      </c>
      <c r="K292" s="166"/>
      <c r="L292" s="159">
        <f>+Elementos_[[#This Row],[Cantidad LANIP]]*Elementos_[[#This Row],[Valor de referencia]]</f>
        <v>0</v>
      </c>
      <c r="M292" s="270">
        <v>50</v>
      </c>
      <c r="N292" s="195">
        <f>+Elementos_[[#This Row],[Cantidad 
LDV]]*Elementos_[[#This Row],[Valor de referencia]]</f>
        <v>357000</v>
      </c>
      <c r="O292" s="166">
        <v>180</v>
      </c>
      <c r="P292" s="159">
        <f>+Elementos_[[#This Row],[Cantidad LNDV]]*Elementos_[[#This Row],[Valor de referencia]]</f>
        <v>1285200</v>
      </c>
      <c r="Q292" s="196"/>
      <c r="R292" s="159">
        <f>+Elementos_[[#This Row],[GGCA]]*Elementos_[[#This Row],[Valor de referencia]]</f>
        <v>0</v>
      </c>
      <c r="S292" s="166">
        <v>90</v>
      </c>
      <c r="T292" s="159">
        <f>+Elementos_[[#This Row],[Cantidad LDF]]*Elementos_[[#This Row],[Valor de referencia]]</f>
        <v>642600</v>
      </c>
      <c r="U292" s="197">
        <v>15</v>
      </c>
      <c r="V292" s="159">
        <f>+Elementos_[[#This Row],[Cantidad LDF&amp;MR]]*Elementos_[[#This Row],[Valor de referencia]]</f>
        <v>107100</v>
      </c>
      <c r="W292" s="166"/>
      <c r="X292" s="159">
        <f>+Elementos_[[#This Row],[Cantidad RED LASE]]*Elementos_[[#This Row],[Valor de referencia]]</f>
        <v>0</v>
      </c>
      <c r="Y292" s="196"/>
      <c r="Z292" s="159">
        <f>+Elementos_[[#This Row],[Cantidad LANIA]]*Elementos_[[#This Row],[Valor de referencia]]</f>
        <v>0</v>
      </c>
      <c r="AA292" s="196"/>
      <c r="AB292" s="159">
        <f>+Elementos_[[#This Row],[Cantidad SPA]]*Elementos_[[#This Row],[Valor de referencia]]</f>
        <v>0</v>
      </c>
      <c r="AC292" s="166" t="s">
        <v>2049</v>
      </c>
    </row>
    <row r="293" spans="1:29" ht="24" x14ac:dyDescent="0.2">
      <c r="A293" s="294" t="str">
        <f>IF(B293=Elementos_[[#This Row],[Cantidad LANIP]],"LANIP",IF(B293=Elementos_[[#This Row],[Cantidad 
LDV]],"LDV",IF(B293=Elementos_[[#This Row],[Cantidad LNDV]],"LNDV",IF(B293=Elementos_[[#This Row],[GGCA]],"GGCA",IF(B293=Elementos_[[#This Row],[Cantidad LDF]],"LDF",IF(B293=Elementos_[[#This Row],[Cantidad LDF&amp;MR]],"LDF&amp;MR",IF(B293=Elementos_[[#This Row],[Cantidad RED LASE]],"LASE",IF(B293=Elementos_[[#This Row],[Cantidad LANIA]],"LANIA",IF(B293=Elementos_[[#This Row],[Cantidad SPA]],"SPA"," ")))))))))</f>
        <v>LNDV</v>
      </c>
      <c r="B29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293" s="298">
        <v>291</v>
      </c>
      <c r="D293" s="190">
        <v>419</v>
      </c>
      <c r="E293" s="303" t="s">
        <v>2550</v>
      </c>
      <c r="F293" s="223" t="s">
        <v>2551</v>
      </c>
      <c r="G293" s="192" t="s">
        <v>2549</v>
      </c>
      <c r="H29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22</v>
      </c>
      <c r="I293" s="194">
        <v>20891</v>
      </c>
      <c r="J293" s="194">
        <f>+Elementos_[[#This Row],[Valor de referencia]]*Elementos_[[#This Row],[Cantidad]]</f>
        <v>459602</v>
      </c>
      <c r="K293" s="166"/>
      <c r="L293" s="159">
        <f>+Elementos_[[#This Row],[Cantidad LANIP]]*Elementos_[[#This Row],[Valor de referencia]]</f>
        <v>0</v>
      </c>
      <c r="M293" s="270">
        <v>0</v>
      </c>
      <c r="N293" s="195">
        <f>+Elementos_[[#This Row],[Cantidad 
LDV]]*Elementos_[[#This Row],[Valor de referencia]]</f>
        <v>0</v>
      </c>
      <c r="O293" s="166">
        <v>12</v>
      </c>
      <c r="P293" s="159">
        <f>+Elementos_[[#This Row],[Cantidad LNDV]]*Elementos_[[#This Row],[Valor de referencia]]</f>
        <v>250692</v>
      </c>
      <c r="Q293" s="196"/>
      <c r="R293" s="159">
        <f>+Elementos_[[#This Row],[GGCA]]*Elementos_[[#This Row],[Valor de referencia]]</f>
        <v>0</v>
      </c>
      <c r="S293" s="166"/>
      <c r="T293" s="159">
        <f>+Elementos_[[#This Row],[Cantidad LDF]]*Elementos_[[#This Row],[Valor de referencia]]</f>
        <v>0</v>
      </c>
      <c r="U293" s="197">
        <v>5</v>
      </c>
      <c r="V293" s="159">
        <f>+Elementos_[[#This Row],[Cantidad LDF&amp;MR]]*Elementos_[[#This Row],[Valor de referencia]]</f>
        <v>104455</v>
      </c>
      <c r="W293" s="166"/>
      <c r="X293" s="159">
        <f>+Elementos_[[#This Row],[Cantidad RED LASE]]*Elementos_[[#This Row],[Valor de referencia]]</f>
        <v>0</v>
      </c>
      <c r="Y293" s="196">
        <v>5</v>
      </c>
      <c r="Z293" s="159">
        <f>+Elementos_[[#This Row],[Cantidad LANIA]]*Elementos_[[#This Row],[Valor de referencia]]</f>
        <v>104455</v>
      </c>
      <c r="AA293" s="196"/>
      <c r="AB293" s="159">
        <f>+Elementos_[[#This Row],[Cantidad SPA]]*Elementos_[[#This Row],[Valor de referencia]]</f>
        <v>0</v>
      </c>
      <c r="AC293" s="166" t="s">
        <v>2049</v>
      </c>
    </row>
    <row r="294" spans="1:29" ht="36" x14ac:dyDescent="0.2">
      <c r="A294" s="294" t="str">
        <f>IF(B294=Elementos_[[#This Row],[Cantidad LANIP]],"LANIP",IF(B294=Elementos_[[#This Row],[Cantidad 
LDV]],"LDV",IF(B294=Elementos_[[#This Row],[Cantidad LNDV]],"LNDV",IF(B294=Elementos_[[#This Row],[GGCA]],"GGCA",IF(B294=Elementos_[[#This Row],[Cantidad LDF]],"LDF",IF(B294=Elementos_[[#This Row],[Cantidad LDF&amp;MR]],"LDF&amp;MR",IF(B294=Elementos_[[#This Row],[Cantidad RED LASE]],"LASE",IF(B294=Elementos_[[#This Row],[Cantidad LANIA]],"LANIA",IF(B294=Elementos_[[#This Row],[Cantidad SPA]],"SPA"," ")))))))))</f>
        <v>LNDV</v>
      </c>
      <c r="B29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294" s="298">
        <v>292</v>
      </c>
      <c r="D294" s="190">
        <v>420</v>
      </c>
      <c r="E294" s="279" t="s">
        <v>2552</v>
      </c>
      <c r="F294" s="201" t="s">
        <v>2553</v>
      </c>
      <c r="G294" s="202" t="s">
        <v>2549</v>
      </c>
      <c r="H29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I294" s="194">
        <v>180534</v>
      </c>
      <c r="J294" s="194">
        <f>+Elementos_[[#This Row],[Valor de referencia]]*Elementos_[[#This Row],[Cantidad]]</f>
        <v>4513350</v>
      </c>
      <c r="K294" s="166"/>
      <c r="L294" s="159">
        <f>+Elementos_[[#This Row],[Cantidad LANIP]]*Elementos_[[#This Row],[Valor de referencia]]</f>
        <v>0</v>
      </c>
      <c r="M294" s="270">
        <v>0</v>
      </c>
      <c r="N294" s="195">
        <f>+Elementos_[[#This Row],[Cantidad 
LDV]]*Elementos_[[#This Row],[Valor de referencia]]</f>
        <v>0</v>
      </c>
      <c r="O294" s="166">
        <v>20</v>
      </c>
      <c r="P294" s="159">
        <f>+Elementos_[[#This Row],[Cantidad LNDV]]*Elementos_[[#This Row],[Valor de referencia]]</f>
        <v>3610680</v>
      </c>
      <c r="Q294" s="196"/>
      <c r="R294" s="159">
        <f>+Elementos_[[#This Row],[GGCA]]*Elementos_[[#This Row],[Valor de referencia]]</f>
        <v>0</v>
      </c>
      <c r="S294" s="166">
        <v>2</v>
      </c>
      <c r="T294" s="159">
        <f>+Elementos_[[#This Row],[Cantidad LDF]]*Elementos_[[#This Row],[Valor de referencia]]</f>
        <v>361068</v>
      </c>
      <c r="U294" s="197">
        <v>2</v>
      </c>
      <c r="V294" s="159">
        <f>+Elementos_[[#This Row],[Cantidad LDF&amp;MR]]*Elementos_[[#This Row],[Valor de referencia]]</f>
        <v>361068</v>
      </c>
      <c r="W294" s="166"/>
      <c r="X294" s="159">
        <f>+Elementos_[[#This Row],[Cantidad RED LASE]]*Elementos_[[#This Row],[Valor de referencia]]</f>
        <v>0</v>
      </c>
      <c r="Y294" s="196">
        <v>1</v>
      </c>
      <c r="Z294" s="159">
        <f>+Elementos_[[#This Row],[Cantidad LANIA]]*Elementos_[[#This Row],[Valor de referencia]]</f>
        <v>180534</v>
      </c>
      <c r="AA294" s="196"/>
      <c r="AB294" s="159">
        <f>+Elementos_[[#This Row],[Cantidad SPA]]*Elementos_[[#This Row],[Valor de referencia]]</f>
        <v>0</v>
      </c>
      <c r="AC294" s="166" t="s">
        <v>2049</v>
      </c>
    </row>
    <row r="295" spans="1:29" ht="24" x14ac:dyDescent="0.2">
      <c r="A295" s="294" t="str">
        <f>IF(B295=Elementos_[[#This Row],[Cantidad LANIP]],"LANIP",IF(B295=Elementos_[[#This Row],[Cantidad 
LDV]],"LDV",IF(B295=Elementos_[[#This Row],[Cantidad LNDV]],"LNDV",IF(B295=Elementos_[[#This Row],[GGCA]],"GGCA",IF(B295=Elementos_[[#This Row],[Cantidad LDF]],"LDF",IF(B295=Elementos_[[#This Row],[Cantidad LDF&amp;MR]],"LDF&amp;MR",IF(B295=Elementos_[[#This Row],[Cantidad RED LASE]],"LASE",IF(B295=Elementos_[[#This Row],[Cantidad LANIA]],"LANIA",IF(B295=Elementos_[[#This Row],[Cantidad SPA]],"SPA"," ")))))))))</f>
        <v>LDF</v>
      </c>
      <c r="B29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295" s="298">
        <v>293</v>
      </c>
      <c r="D295" s="190">
        <v>422</v>
      </c>
      <c r="E295" s="279" t="s">
        <v>2554</v>
      </c>
      <c r="F295" s="215" t="s">
        <v>2555</v>
      </c>
      <c r="G295" s="202" t="s">
        <v>1391</v>
      </c>
      <c r="H29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295" s="194">
        <v>315595</v>
      </c>
      <c r="J295" s="194">
        <f>+Elementos_[[#This Row],[Valor de referencia]]*Elementos_[[#This Row],[Cantidad]]</f>
        <v>631190</v>
      </c>
      <c r="K295" s="166"/>
      <c r="L295" s="159">
        <f>+Elementos_[[#This Row],[Cantidad LANIP]]*Elementos_[[#This Row],[Valor de referencia]]</f>
        <v>0</v>
      </c>
      <c r="M295" s="270">
        <v>0</v>
      </c>
      <c r="N295" s="195">
        <f>+Elementos_[[#This Row],[Cantidad 
LDV]]*Elementos_[[#This Row],[Valor de referencia]]</f>
        <v>0</v>
      </c>
      <c r="O295" s="166"/>
      <c r="P295" s="159">
        <f>+Elementos_[[#This Row],[Cantidad LNDV]]*Elementos_[[#This Row],[Valor de referencia]]</f>
        <v>0</v>
      </c>
      <c r="Q295" s="196"/>
      <c r="R295" s="159">
        <f>+Elementos_[[#This Row],[GGCA]]*Elementos_[[#This Row],[Valor de referencia]]</f>
        <v>0</v>
      </c>
      <c r="S295" s="166">
        <v>2</v>
      </c>
      <c r="T295" s="159">
        <f>+Elementos_[[#This Row],[Cantidad LDF]]*Elementos_[[#This Row],[Valor de referencia]]</f>
        <v>631190</v>
      </c>
      <c r="U295" s="197"/>
      <c r="V295" s="159">
        <f>+Elementos_[[#This Row],[Cantidad LDF&amp;MR]]*Elementos_[[#This Row],[Valor de referencia]]</f>
        <v>0</v>
      </c>
      <c r="W295" s="166"/>
      <c r="X295" s="159">
        <f>+Elementos_[[#This Row],[Cantidad RED LASE]]*Elementos_[[#This Row],[Valor de referencia]]</f>
        <v>0</v>
      </c>
      <c r="Y295" s="196"/>
      <c r="Z295" s="159">
        <f>+Elementos_[[#This Row],[Cantidad LANIA]]*Elementos_[[#This Row],[Valor de referencia]]</f>
        <v>0</v>
      </c>
      <c r="AA295" s="196"/>
      <c r="AB295" s="159">
        <f>+Elementos_[[#This Row],[Cantidad SPA]]*Elementos_[[#This Row],[Valor de referencia]]</f>
        <v>0</v>
      </c>
      <c r="AC295" s="166" t="s">
        <v>2041</v>
      </c>
    </row>
    <row r="296" spans="1:29" ht="24" x14ac:dyDescent="0.2">
      <c r="A296" s="294" t="str">
        <f>IF(B296=Elementos_[[#This Row],[Cantidad LANIP]],"LANIP",IF(B296=Elementos_[[#This Row],[Cantidad 
LDV]],"LDV",IF(B296=Elementos_[[#This Row],[Cantidad LNDV]],"LNDV",IF(B296=Elementos_[[#This Row],[GGCA]],"GGCA",IF(B296=Elementos_[[#This Row],[Cantidad LDF]],"LDF",IF(B296=Elementos_[[#This Row],[Cantidad LDF&amp;MR]],"LDF&amp;MR",IF(B296=Elementos_[[#This Row],[Cantidad RED LASE]],"LASE",IF(B296=Elementos_[[#This Row],[Cantidad LANIA]],"LANIA",IF(B296=Elementos_[[#This Row],[Cantidad SPA]],"SPA"," ")))))))))</f>
        <v>LANIP</v>
      </c>
      <c r="B29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65</v>
      </c>
      <c r="C296" s="298">
        <v>294</v>
      </c>
      <c r="D296" s="190">
        <v>423</v>
      </c>
      <c r="E296" s="229" t="s">
        <v>2556</v>
      </c>
      <c r="F296" s="201" t="s">
        <v>2557</v>
      </c>
      <c r="G296" s="192" t="s">
        <v>2047</v>
      </c>
      <c r="H29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114</v>
      </c>
      <c r="I296" s="194">
        <v>5830</v>
      </c>
      <c r="J296" s="194">
        <f>+Elementos_[[#This Row],[Valor de referencia]]*Elementos_[[#This Row],[Cantidad]]</f>
        <v>664620</v>
      </c>
      <c r="K296" s="166">
        <v>65</v>
      </c>
      <c r="L296" s="159">
        <f>+Elementos_[[#This Row],[Cantidad LANIP]]*Elementos_[[#This Row],[Valor de referencia]]</f>
        <v>378950</v>
      </c>
      <c r="M296" s="270">
        <v>0</v>
      </c>
      <c r="N296" s="195">
        <f>+Elementos_[[#This Row],[Cantidad 
LDV]]*Elementos_[[#This Row],[Valor de referencia]]</f>
        <v>0</v>
      </c>
      <c r="O296" s="166"/>
      <c r="P296" s="159">
        <f>+Elementos_[[#This Row],[Cantidad LNDV]]*Elementos_[[#This Row],[Valor de referencia]]</f>
        <v>0</v>
      </c>
      <c r="Q296" s="196"/>
      <c r="R296" s="159">
        <f>+Elementos_[[#This Row],[GGCA]]*Elementos_[[#This Row],[Valor de referencia]]</f>
        <v>0</v>
      </c>
      <c r="S296" s="166">
        <v>40</v>
      </c>
      <c r="T296" s="159">
        <f>+Elementos_[[#This Row],[Cantidad LDF]]*Elementos_[[#This Row],[Valor de referencia]]</f>
        <v>233200</v>
      </c>
      <c r="U296" s="197">
        <v>9</v>
      </c>
      <c r="V296" s="159">
        <f>+Elementos_[[#This Row],[Cantidad LDF&amp;MR]]*Elementos_[[#This Row],[Valor de referencia]]</f>
        <v>52470</v>
      </c>
      <c r="W296" s="166"/>
      <c r="X296" s="159">
        <f>+Elementos_[[#This Row],[Cantidad RED LASE]]*Elementos_[[#This Row],[Valor de referencia]]</f>
        <v>0</v>
      </c>
      <c r="Y296" s="196"/>
      <c r="Z296" s="159">
        <f>+Elementos_[[#This Row],[Cantidad LANIA]]*Elementos_[[#This Row],[Valor de referencia]]</f>
        <v>0</v>
      </c>
      <c r="AA296" s="196"/>
      <c r="AB296" s="159">
        <f>+Elementos_[[#This Row],[Cantidad SPA]]*Elementos_[[#This Row],[Valor de referencia]]</f>
        <v>0</v>
      </c>
      <c r="AC296" s="166" t="s">
        <v>2049</v>
      </c>
    </row>
    <row r="297" spans="1:29" ht="24" x14ac:dyDescent="0.2">
      <c r="A297" s="294" t="str">
        <f>IF(B297=Elementos_[[#This Row],[Cantidad LANIP]],"LANIP",IF(B297=Elementos_[[#This Row],[Cantidad 
LDV]],"LDV",IF(B297=Elementos_[[#This Row],[Cantidad LNDV]],"LNDV",IF(B297=Elementos_[[#This Row],[GGCA]],"GGCA",IF(B297=Elementos_[[#This Row],[Cantidad LDF]],"LDF",IF(B297=Elementos_[[#This Row],[Cantidad LDF&amp;MR]],"LDF&amp;MR",IF(B297=Elementos_[[#This Row],[Cantidad RED LASE]],"LASE",IF(B297=Elementos_[[#This Row],[Cantidad LANIA]],"LANIA",IF(B297=Elementos_[[#This Row],[Cantidad SPA]],"SPA"," ")))))))))</f>
        <v>LDF</v>
      </c>
      <c r="B29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97" s="298">
        <v>295</v>
      </c>
      <c r="D297" s="190">
        <v>424</v>
      </c>
      <c r="E297" s="412" t="s">
        <v>2558</v>
      </c>
      <c r="F297" s="204" t="s">
        <v>2559</v>
      </c>
      <c r="G297" s="192" t="s">
        <v>2047</v>
      </c>
      <c r="H29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297" s="194">
        <v>13707</v>
      </c>
      <c r="J297" s="194">
        <f>+Elementos_[[#This Row],[Valor de referencia]]*Elementos_[[#This Row],[Cantidad]]</f>
        <v>137070</v>
      </c>
      <c r="K297" s="166"/>
      <c r="L297" s="159">
        <f>+Elementos_[[#This Row],[Cantidad LANIP]]*Elementos_[[#This Row],[Valor de referencia]]</f>
        <v>0</v>
      </c>
      <c r="M297" s="270"/>
      <c r="N297" s="195">
        <f>+Elementos_[[#This Row],[Cantidad 
LDV]]*Elementos_[[#This Row],[Valor de referencia]]</f>
        <v>0</v>
      </c>
      <c r="O297" s="166"/>
      <c r="P297" s="159">
        <f>+Elementos_[[#This Row],[Cantidad LNDV]]*Elementos_[[#This Row],[Valor de referencia]]</f>
        <v>0</v>
      </c>
      <c r="Q297" s="196"/>
      <c r="R297" s="159">
        <f>+Elementos_[[#This Row],[GGCA]]*Elementos_[[#This Row],[Valor de referencia]]</f>
        <v>0</v>
      </c>
      <c r="S297" s="166">
        <v>10</v>
      </c>
      <c r="T297" s="159">
        <f>+Elementos_[[#This Row],[Cantidad LDF]]*Elementos_[[#This Row],[Valor de referencia]]</f>
        <v>137070</v>
      </c>
      <c r="U297" s="197"/>
      <c r="V297" s="159">
        <f>+Elementos_[[#This Row],[Cantidad LDF&amp;MR]]*Elementos_[[#This Row],[Valor de referencia]]</f>
        <v>0</v>
      </c>
      <c r="W297" s="166"/>
      <c r="X297" s="159">
        <f>+Elementos_[[#This Row],[Cantidad RED LASE]]*Elementos_[[#This Row],[Valor de referencia]]</f>
        <v>0</v>
      </c>
      <c r="Y297" s="196"/>
      <c r="Z297" s="159">
        <f>+Elementos_[[#This Row],[Cantidad LANIA]]*Elementos_[[#This Row],[Valor de referencia]]</f>
        <v>0</v>
      </c>
      <c r="AA297" s="196"/>
      <c r="AB297" s="159">
        <f>+Elementos_[[#This Row],[Cantidad SPA]]*Elementos_[[#This Row],[Valor de referencia]]</f>
        <v>0</v>
      </c>
      <c r="AC297" s="166" t="s">
        <v>2049</v>
      </c>
    </row>
    <row r="298" spans="1:29" ht="36" x14ac:dyDescent="0.2">
      <c r="A298" s="294" t="str">
        <f>IF(B298=Elementos_[[#This Row],[Cantidad LANIP]],"LANIP",IF(B298=Elementos_[[#This Row],[Cantidad 
LDV]],"LDV",IF(B298=Elementos_[[#This Row],[Cantidad LNDV]],"LNDV",IF(B298=Elementos_[[#This Row],[GGCA]],"GGCA",IF(B298=Elementos_[[#This Row],[Cantidad LDF]],"LDF",IF(B298=Elementos_[[#This Row],[Cantidad LDF&amp;MR]],"LDF&amp;MR",IF(B298=Elementos_[[#This Row],[Cantidad RED LASE]],"LASE",IF(B298=Elementos_[[#This Row],[Cantidad LANIA]],"LANIA",IF(B298=Elementos_[[#This Row],[Cantidad SPA]],"SPA"," ")))))))))</f>
        <v>LDV</v>
      </c>
      <c r="B29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298" s="298">
        <v>296</v>
      </c>
      <c r="D298" s="190">
        <v>425</v>
      </c>
      <c r="E298" s="299" t="s">
        <v>2560</v>
      </c>
      <c r="F298" s="204" t="s">
        <v>2561</v>
      </c>
      <c r="G298" s="192" t="s">
        <v>2047</v>
      </c>
      <c r="H29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298" s="194">
        <v>23073</v>
      </c>
      <c r="J298" s="194">
        <f>+Elementos_[[#This Row],[Valor de referencia]]*Elementos_[[#This Row],[Cantidad]]</f>
        <v>461460</v>
      </c>
      <c r="K298" s="166"/>
      <c r="L298" s="159">
        <f>+Elementos_[[#This Row],[Cantidad LANIP]]*Elementos_[[#This Row],[Valor de referencia]]</f>
        <v>0</v>
      </c>
      <c r="M298" s="270">
        <v>10</v>
      </c>
      <c r="N298" s="195">
        <f>+Elementos_[[#This Row],[Cantidad 
LDV]]*Elementos_[[#This Row],[Valor de referencia]]</f>
        <v>230730</v>
      </c>
      <c r="O298" s="166">
        <v>5</v>
      </c>
      <c r="P298" s="159">
        <f>+Elementos_[[#This Row],[Cantidad LNDV]]*Elementos_[[#This Row],[Valor de referencia]]</f>
        <v>115365</v>
      </c>
      <c r="Q298" s="196"/>
      <c r="R298" s="159">
        <f>+Elementos_[[#This Row],[GGCA]]*Elementos_[[#This Row],[Valor de referencia]]</f>
        <v>0</v>
      </c>
      <c r="S298" s="166">
        <v>5</v>
      </c>
      <c r="T298" s="159">
        <f>+Elementos_[[#This Row],[Cantidad LDF]]*Elementos_[[#This Row],[Valor de referencia]]</f>
        <v>115365</v>
      </c>
      <c r="U298" s="197"/>
      <c r="V298" s="159">
        <f>+Elementos_[[#This Row],[Cantidad LDF&amp;MR]]*Elementos_[[#This Row],[Valor de referencia]]</f>
        <v>0</v>
      </c>
      <c r="W298" s="166"/>
      <c r="X298" s="159">
        <f>+Elementos_[[#This Row],[Cantidad RED LASE]]*Elementos_[[#This Row],[Valor de referencia]]</f>
        <v>0</v>
      </c>
      <c r="Y298" s="196"/>
      <c r="Z298" s="159">
        <f>+Elementos_[[#This Row],[Cantidad LANIA]]*Elementos_[[#This Row],[Valor de referencia]]</f>
        <v>0</v>
      </c>
      <c r="AA298" s="196"/>
      <c r="AB298" s="159">
        <f>+Elementos_[[#This Row],[Cantidad SPA]]*Elementos_[[#This Row],[Valor de referencia]]</f>
        <v>0</v>
      </c>
      <c r="AC298" s="166" t="s">
        <v>2049</v>
      </c>
    </row>
    <row r="299" spans="1:29" ht="12.75" x14ac:dyDescent="0.2">
      <c r="A299" s="294" t="str">
        <f>IF(B299=Elementos_[[#This Row],[Cantidad LANIP]],"LANIP",IF(B299=Elementos_[[#This Row],[Cantidad 
LDV]],"LDV",IF(B299=Elementos_[[#This Row],[Cantidad LNDV]],"LNDV",IF(B299=Elementos_[[#This Row],[GGCA]],"GGCA",IF(B299=Elementos_[[#This Row],[Cantidad LDF]],"LDF",IF(B299=Elementos_[[#This Row],[Cantidad LDF&amp;MR]],"LDF&amp;MR",IF(B299=Elementos_[[#This Row],[Cantidad RED LASE]],"LASE",IF(B299=Elementos_[[#This Row],[Cantidad LANIA]],"LANIA",IF(B299=Elementos_[[#This Row],[Cantidad SPA]],"SPA"," ")))))))))</f>
        <v>LDF&amp;MR</v>
      </c>
      <c r="B29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299" s="298">
        <v>297</v>
      </c>
      <c r="D299" s="190">
        <v>426</v>
      </c>
      <c r="E299" s="273" t="s">
        <v>2562</v>
      </c>
      <c r="F299" s="201" t="s">
        <v>183</v>
      </c>
      <c r="G299" s="426" t="s">
        <v>2563</v>
      </c>
      <c r="H29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299" s="194">
        <v>164775</v>
      </c>
      <c r="J299" s="194">
        <f>+Elementos_[[#This Row],[Valor de referencia]]*Elementos_[[#This Row],[Cantidad]]</f>
        <v>659100</v>
      </c>
      <c r="K299" s="166"/>
      <c r="L299" s="159">
        <f>+Elementos_[[#This Row],[Cantidad LANIP]]*Elementos_[[#This Row],[Valor de referencia]]</f>
        <v>0</v>
      </c>
      <c r="M299" s="270">
        <v>0</v>
      </c>
      <c r="N299" s="195">
        <f>+Elementos_[[#This Row],[Cantidad 
LDV]]*Elementos_[[#This Row],[Valor de referencia]]</f>
        <v>0</v>
      </c>
      <c r="O299" s="166"/>
      <c r="P299" s="159">
        <f>+Elementos_[[#This Row],[Cantidad LNDV]]*Elementos_[[#This Row],[Valor de referencia]]</f>
        <v>0</v>
      </c>
      <c r="Q299" s="196"/>
      <c r="R299" s="159">
        <f>+Elementos_[[#This Row],[GGCA]]*Elementos_[[#This Row],[Valor de referencia]]</f>
        <v>0</v>
      </c>
      <c r="S299" s="166">
        <v>1</v>
      </c>
      <c r="T299" s="159">
        <f>+Elementos_[[#This Row],[Cantidad LDF]]*Elementos_[[#This Row],[Valor de referencia]]</f>
        <v>164775</v>
      </c>
      <c r="U299" s="197">
        <v>3</v>
      </c>
      <c r="V299" s="159">
        <f>+Elementos_[[#This Row],[Cantidad LDF&amp;MR]]*Elementos_[[#This Row],[Valor de referencia]]</f>
        <v>494325</v>
      </c>
      <c r="W299" s="166"/>
      <c r="X299" s="159">
        <f>+Elementos_[[#This Row],[Cantidad RED LASE]]*Elementos_[[#This Row],[Valor de referencia]]</f>
        <v>0</v>
      </c>
      <c r="Y299" s="196"/>
      <c r="Z299" s="159">
        <f>+Elementos_[[#This Row],[Cantidad LANIA]]*Elementos_[[#This Row],[Valor de referencia]]</f>
        <v>0</v>
      </c>
      <c r="AA299" s="196"/>
      <c r="AB299" s="159">
        <f>+Elementos_[[#This Row],[Cantidad SPA]]*Elementos_[[#This Row],[Valor de referencia]]</f>
        <v>0</v>
      </c>
      <c r="AC299" s="166" t="s">
        <v>2049</v>
      </c>
    </row>
    <row r="300" spans="1:29" ht="24" x14ac:dyDescent="0.2">
      <c r="A300" s="294" t="str">
        <f>IF(B300=Elementos_[[#This Row],[Cantidad LANIP]],"LANIP",IF(B300=Elementos_[[#This Row],[Cantidad 
LDV]],"LDV",IF(B300=Elementos_[[#This Row],[Cantidad LNDV]],"LNDV",IF(B300=Elementos_[[#This Row],[GGCA]],"GGCA",IF(B300=Elementos_[[#This Row],[Cantidad LDF]],"LDF",IF(B300=Elementos_[[#This Row],[Cantidad LDF&amp;MR]],"LDF&amp;MR",IF(B300=Elementos_[[#This Row],[Cantidad RED LASE]],"LASE",IF(B300=Elementos_[[#This Row],[Cantidad LANIA]],"LANIA",IF(B300=Elementos_[[#This Row],[Cantidad SPA]],"SPA"," ")))))))))</f>
        <v>LANIP</v>
      </c>
      <c r="B30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C300" s="298">
        <v>298</v>
      </c>
      <c r="D300" s="190">
        <v>427</v>
      </c>
      <c r="E300" s="273" t="s">
        <v>2564</v>
      </c>
      <c r="F300" s="201" t="s">
        <v>2565</v>
      </c>
      <c r="G300" s="192" t="s">
        <v>2566</v>
      </c>
      <c r="H30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I300" s="194">
        <v>239930</v>
      </c>
      <c r="J300" s="194">
        <f>+Elementos_[[#This Row],[Valor de referencia]]*Elementos_[[#This Row],[Cantidad]]</f>
        <v>5998250</v>
      </c>
      <c r="K300" s="166">
        <v>13</v>
      </c>
      <c r="L300" s="159">
        <f>+Elementos_[[#This Row],[Cantidad LANIP]]*Elementos_[[#This Row],[Valor de referencia]]</f>
        <v>3119090</v>
      </c>
      <c r="M300" s="270">
        <v>10</v>
      </c>
      <c r="N300" s="195">
        <f>+Elementos_[[#This Row],[Cantidad 
LDV]]*Elementos_[[#This Row],[Valor de referencia]]</f>
        <v>2399300</v>
      </c>
      <c r="O300" s="166">
        <v>1</v>
      </c>
      <c r="P300" s="159">
        <f>+Elementos_[[#This Row],[Cantidad LNDV]]*Elementos_[[#This Row],[Valor de referencia]]</f>
        <v>239930</v>
      </c>
      <c r="Q300" s="196"/>
      <c r="R300" s="159">
        <f>+Elementos_[[#This Row],[GGCA]]*Elementos_[[#This Row],[Valor de referencia]]</f>
        <v>0</v>
      </c>
      <c r="S300" s="166"/>
      <c r="T300" s="159">
        <f>+Elementos_[[#This Row],[Cantidad LDF]]*Elementos_[[#This Row],[Valor de referencia]]</f>
        <v>0</v>
      </c>
      <c r="U300" s="197"/>
      <c r="V300" s="159">
        <f>+Elementos_[[#This Row],[Cantidad LDF&amp;MR]]*Elementos_[[#This Row],[Valor de referencia]]</f>
        <v>0</v>
      </c>
      <c r="W300" s="166"/>
      <c r="X300" s="159">
        <f>+Elementos_[[#This Row],[Cantidad RED LASE]]*Elementos_[[#This Row],[Valor de referencia]]</f>
        <v>0</v>
      </c>
      <c r="Y300" s="196">
        <v>1</v>
      </c>
      <c r="Z300" s="159">
        <f>+Elementos_[[#This Row],[Cantidad LANIA]]*Elementos_[[#This Row],[Valor de referencia]]</f>
        <v>239930</v>
      </c>
      <c r="AA300" s="196"/>
      <c r="AB300" s="159">
        <f>+Elementos_[[#This Row],[Cantidad SPA]]*Elementos_[[#This Row],[Valor de referencia]]</f>
        <v>0</v>
      </c>
      <c r="AC300" s="166" t="s">
        <v>2049</v>
      </c>
    </row>
    <row r="301" spans="1:29" ht="48" x14ac:dyDescent="0.2">
      <c r="A301" s="294" t="str">
        <f>IF(B301=Elementos_[[#This Row],[Cantidad LANIP]],"LANIP",IF(B301=Elementos_[[#This Row],[Cantidad 
LDV]],"LDV",IF(B301=Elementos_[[#This Row],[Cantidad LNDV]],"LNDV",IF(B301=Elementos_[[#This Row],[GGCA]],"GGCA",IF(B301=Elementos_[[#This Row],[Cantidad LDF]],"LDF",IF(B301=Elementos_[[#This Row],[Cantidad LDF&amp;MR]],"LDF&amp;MR",IF(B301=Elementos_[[#This Row],[Cantidad RED LASE]],"LASE",IF(B301=Elementos_[[#This Row],[Cantidad LANIA]],"LANIA",IF(B301=Elementos_[[#This Row],[Cantidad SPA]],"SPA"," ")))))))))</f>
        <v>LANIP</v>
      </c>
      <c r="B30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C301" s="298">
        <v>299</v>
      </c>
      <c r="D301" s="190">
        <v>430</v>
      </c>
      <c r="E301" s="273" t="s">
        <v>2567</v>
      </c>
      <c r="F301" s="201" t="s">
        <v>2568</v>
      </c>
      <c r="G301" s="192" t="s">
        <v>525</v>
      </c>
      <c r="H30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I301" s="194">
        <v>301310</v>
      </c>
      <c r="J301" s="194">
        <f>+Elementos_[[#This Row],[Valor de referencia]]*Elementos_[[#This Row],[Cantidad]]</f>
        <v>4820960</v>
      </c>
      <c r="K301" s="166">
        <v>14</v>
      </c>
      <c r="L301" s="159">
        <f>+Elementos_[[#This Row],[Cantidad LANIP]]*Elementos_[[#This Row],[Valor de referencia]]</f>
        <v>4218340</v>
      </c>
      <c r="M301" s="270">
        <v>0</v>
      </c>
      <c r="N301" s="195">
        <f>+Elementos_[[#This Row],[Cantidad 
LDV]]*Elementos_[[#This Row],[Valor de referencia]]</f>
        <v>0</v>
      </c>
      <c r="O301" s="166"/>
      <c r="P301" s="159">
        <f>+Elementos_[[#This Row],[Cantidad LNDV]]*Elementos_[[#This Row],[Valor de referencia]]</f>
        <v>0</v>
      </c>
      <c r="Q301" s="196"/>
      <c r="R301" s="159">
        <f>+Elementos_[[#This Row],[GGCA]]*Elementos_[[#This Row],[Valor de referencia]]</f>
        <v>0</v>
      </c>
      <c r="S301" s="166"/>
      <c r="T301" s="159">
        <f>+Elementos_[[#This Row],[Cantidad LDF]]*Elementos_[[#This Row],[Valor de referencia]]</f>
        <v>0</v>
      </c>
      <c r="U301" s="197"/>
      <c r="V301" s="159">
        <f>+Elementos_[[#This Row],[Cantidad LDF&amp;MR]]*Elementos_[[#This Row],[Valor de referencia]]</f>
        <v>0</v>
      </c>
      <c r="W301" s="166"/>
      <c r="X301" s="159">
        <f>+Elementos_[[#This Row],[Cantidad RED LASE]]*Elementos_[[#This Row],[Valor de referencia]]</f>
        <v>0</v>
      </c>
      <c r="Y301" s="196">
        <v>2</v>
      </c>
      <c r="Z301" s="159">
        <f>+Elementos_[[#This Row],[Cantidad LANIA]]*Elementos_[[#This Row],[Valor de referencia]]</f>
        <v>602620</v>
      </c>
      <c r="AA301" s="196"/>
      <c r="AB301" s="159">
        <f>+Elementos_[[#This Row],[Cantidad SPA]]*Elementos_[[#This Row],[Valor de referencia]]</f>
        <v>0</v>
      </c>
      <c r="AC301" s="166" t="s">
        <v>2041</v>
      </c>
    </row>
    <row r="302" spans="1:29" ht="36" x14ac:dyDescent="0.2">
      <c r="A302" s="294" t="str">
        <f>IF(B302=Elementos_[[#This Row],[Cantidad LANIP]],"LANIP",IF(B302=Elementos_[[#This Row],[Cantidad 
LDV]],"LDV",IF(B302=Elementos_[[#This Row],[Cantidad LNDV]],"LNDV",IF(B302=Elementos_[[#This Row],[GGCA]],"GGCA",IF(B302=Elementos_[[#This Row],[Cantidad LDF]],"LDF",IF(B302=Elementos_[[#This Row],[Cantidad LDF&amp;MR]],"LDF&amp;MR",IF(B302=Elementos_[[#This Row],[Cantidad RED LASE]],"LASE",IF(B302=Elementos_[[#This Row],[Cantidad LANIA]],"LANIA",IF(B302=Elementos_[[#This Row],[Cantidad SPA]],"SPA"," ")))))))))</f>
        <v>LANIP</v>
      </c>
      <c r="B30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02" s="298">
        <v>300</v>
      </c>
      <c r="D302" s="190">
        <v>432</v>
      </c>
      <c r="E302" s="273" t="s">
        <v>2569</v>
      </c>
      <c r="F302" s="204" t="s">
        <v>2570</v>
      </c>
      <c r="G302" s="192" t="s">
        <v>525</v>
      </c>
      <c r="H30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02" s="194">
        <v>9610656</v>
      </c>
      <c r="J302" s="194">
        <f>+Elementos_[[#This Row],[Valor de referencia]]*Elementos_[[#This Row],[Cantidad]]</f>
        <v>19221312</v>
      </c>
      <c r="K302" s="166">
        <v>2</v>
      </c>
      <c r="L302" s="159">
        <f>+Elementos_[[#This Row],[Cantidad LANIP]]*Elementos_[[#This Row],[Valor de referencia]]</f>
        <v>19221312</v>
      </c>
      <c r="M302" s="270">
        <v>0</v>
      </c>
      <c r="N302" s="195">
        <f>+Elementos_[[#This Row],[Cantidad 
LDV]]*Elementos_[[#This Row],[Valor de referencia]]</f>
        <v>0</v>
      </c>
      <c r="O302" s="166"/>
      <c r="P302" s="159">
        <f>+Elementos_[[#This Row],[Cantidad LNDV]]*Elementos_[[#This Row],[Valor de referencia]]</f>
        <v>0</v>
      </c>
      <c r="Q302" s="196"/>
      <c r="R302" s="159">
        <f>+Elementos_[[#This Row],[GGCA]]*Elementos_[[#This Row],[Valor de referencia]]</f>
        <v>0</v>
      </c>
      <c r="S302" s="166"/>
      <c r="T302" s="159">
        <f>+Elementos_[[#This Row],[Cantidad LDF]]*Elementos_[[#This Row],[Valor de referencia]]</f>
        <v>0</v>
      </c>
      <c r="U302" s="197"/>
      <c r="V302" s="159">
        <f>+Elementos_[[#This Row],[Cantidad LDF&amp;MR]]*Elementos_[[#This Row],[Valor de referencia]]</f>
        <v>0</v>
      </c>
      <c r="W302" s="166"/>
      <c r="X302" s="159">
        <f>+Elementos_[[#This Row],[Cantidad RED LASE]]*Elementos_[[#This Row],[Valor de referencia]]</f>
        <v>0</v>
      </c>
      <c r="Y302" s="196"/>
      <c r="Z302" s="159">
        <f>+Elementos_[[#This Row],[Cantidad LANIA]]*Elementos_[[#This Row],[Valor de referencia]]</f>
        <v>0</v>
      </c>
      <c r="AA302" s="196"/>
      <c r="AB302" s="159">
        <f>+Elementos_[[#This Row],[Cantidad SPA]]*Elementos_[[#This Row],[Valor de referencia]]</f>
        <v>0</v>
      </c>
      <c r="AC302" s="166" t="s">
        <v>2049</v>
      </c>
    </row>
    <row r="303" spans="1:29" ht="36" x14ac:dyDescent="0.2">
      <c r="A303" s="294" t="str">
        <f>IF(B303=Elementos_[[#This Row],[Cantidad LANIP]],"LANIP",IF(B303=Elementos_[[#This Row],[Cantidad 
LDV]],"LDV",IF(B303=Elementos_[[#This Row],[Cantidad LNDV]],"LNDV",IF(B303=Elementos_[[#This Row],[GGCA]],"GGCA",IF(B303=Elementos_[[#This Row],[Cantidad LDF]],"LDF",IF(B303=Elementos_[[#This Row],[Cantidad LDF&amp;MR]],"LDF&amp;MR",IF(B303=Elementos_[[#This Row],[Cantidad RED LASE]],"LASE",IF(B303=Elementos_[[#This Row],[Cantidad LANIA]],"LANIA",IF(B303=Elementos_[[#This Row],[Cantidad SPA]],"SPA"," ")))))))))</f>
        <v>LDF</v>
      </c>
      <c r="B30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03" s="298">
        <v>301</v>
      </c>
      <c r="D303" s="190">
        <v>433</v>
      </c>
      <c r="E303" s="273" t="s">
        <v>2571</v>
      </c>
      <c r="F303" s="214" t="s">
        <v>2572</v>
      </c>
      <c r="G303" s="192" t="s">
        <v>525</v>
      </c>
      <c r="H30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303" s="194">
        <v>1086589</v>
      </c>
      <c r="J303" s="194">
        <f>+Elementos_[[#This Row],[Valor de referencia]]*Elementos_[[#This Row],[Cantidad]]</f>
        <v>10865890</v>
      </c>
      <c r="K303" s="166"/>
      <c r="L303" s="159">
        <f>+Elementos_[[#This Row],[Cantidad LANIP]]*Elementos_[[#This Row],[Valor de referencia]]</f>
        <v>0</v>
      </c>
      <c r="M303" s="270">
        <v>0</v>
      </c>
      <c r="N303" s="195">
        <f>+Elementos_[[#This Row],[Cantidad 
LDV]]*Elementos_[[#This Row],[Valor de referencia]]</f>
        <v>0</v>
      </c>
      <c r="O303" s="166"/>
      <c r="P303" s="159">
        <f>+Elementos_[[#This Row],[Cantidad LNDV]]*Elementos_[[#This Row],[Valor de referencia]]</f>
        <v>0</v>
      </c>
      <c r="Q303" s="196"/>
      <c r="R303" s="159">
        <f>+Elementos_[[#This Row],[GGCA]]*Elementos_[[#This Row],[Valor de referencia]]</f>
        <v>0</v>
      </c>
      <c r="S303" s="166">
        <v>10</v>
      </c>
      <c r="T303" s="159">
        <f>+Elementos_[[#This Row],[Cantidad LDF]]*Elementos_[[#This Row],[Valor de referencia]]</f>
        <v>10865890</v>
      </c>
      <c r="U303" s="197"/>
      <c r="V303" s="159">
        <f>+Elementos_[[#This Row],[Cantidad LDF&amp;MR]]*Elementos_[[#This Row],[Valor de referencia]]</f>
        <v>0</v>
      </c>
      <c r="W303" s="166"/>
      <c r="X303" s="159">
        <f>+Elementos_[[#This Row],[Cantidad RED LASE]]*Elementos_[[#This Row],[Valor de referencia]]</f>
        <v>0</v>
      </c>
      <c r="Y303" s="196"/>
      <c r="Z303" s="159">
        <f>+Elementos_[[#This Row],[Cantidad LANIA]]*Elementos_[[#This Row],[Valor de referencia]]</f>
        <v>0</v>
      </c>
      <c r="AA303" s="196"/>
      <c r="AB303" s="159">
        <f>+Elementos_[[#This Row],[Cantidad SPA]]*Elementos_[[#This Row],[Valor de referencia]]</f>
        <v>0</v>
      </c>
      <c r="AC303" s="166" t="s">
        <v>2041</v>
      </c>
    </row>
    <row r="304" spans="1:29" ht="24" x14ac:dyDescent="0.2">
      <c r="A304" s="294" t="str">
        <f>IF(B304=Elementos_[[#This Row],[Cantidad LANIP]],"LANIP",IF(B304=Elementos_[[#This Row],[Cantidad 
LDV]],"LDV",IF(B304=Elementos_[[#This Row],[Cantidad LNDV]],"LNDV",IF(B304=Elementos_[[#This Row],[GGCA]],"GGCA",IF(B304=Elementos_[[#This Row],[Cantidad LDF]],"LDF",IF(B304=Elementos_[[#This Row],[Cantidad LDF&amp;MR]],"LDF&amp;MR",IF(B304=Elementos_[[#This Row],[Cantidad RED LASE]],"LASE",IF(B304=Elementos_[[#This Row],[Cantidad LANIA]],"LANIA",IF(B304=Elementos_[[#This Row],[Cantidad SPA]],"SPA"," ")))))))))</f>
        <v>LANIA</v>
      </c>
      <c r="B30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304" s="298">
        <v>302</v>
      </c>
      <c r="D304" s="190">
        <v>434</v>
      </c>
      <c r="E304" s="273" t="s">
        <v>2573</v>
      </c>
      <c r="F304" s="204" t="s">
        <v>2536</v>
      </c>
      <c r="G304" s="192" t="s">
        <v>1726</v>
      </c>
      <c r="H30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21</v>
      </c>
      <c r="I304" s="194">
        <v>6902</v>
      </c>
      <c r="J304" s="194">
        <f>+Elementos_[[#This Row],[Valor de referencia]]*Elementos_[[#This Row],[Cantidad]]</f>
        <v>144942</v>
      </c>
      <c r="K304" s="166"/>
      <c r="L304" s="159">
        <f>+Elementos_[[#This Row],[Cantidad LANIP]]*Elementos_[[#This Row],[Valor de referencia]]</f>
        <v>0</v>
      </c>
      <c r="M304" s="270">
        <v>0</v>
      </c>
      <c r="N304" s="195">
        <f>+Elementos_[[#This Row],[Cantidad 
LDV]]*Elementos_[[#This Row],[Valor de referencia]]</f>
        <v>0</v>
      </c>
      <c r="O304" s="166"/>
      <c r="P304" s="159">
        <f>+Elementos_[[#This Row],[Cantidad LNDV]]*Elementos_[[#This Row],[Valor de referencia]]</f>
        <v>0</v>
      </c>
      <c r="Q304" s="196"/>
      <c r="R304" s="159">
        <f>+Elementos_[[#This Row],[GGCA]]*Elementos_[[#This Row],[Valor de referencia]]</f>
        <v>0</v>
      </c>
      <c r="S304" s="166">
        <v>1</v>
      </c>
      <c r="T304" s="159">
        <f>+Elementos_[[#This Row],[Cantidad LDF]]*Elementos_[[#This Row],[Valor de referencia]]</f>
        <v>6902</v>
      </c>
      <c r="U304" s="197"/>
      <c r="V304" s="159">
        <f>+Elementos_[[#This Row],[Cantidad LDF&amp;MR]]*Elementos_[[#This Row],[Valor de referencia]]</f>
        <v>0</v>
      </c>
      <c r="W304" s="166"/>
      <c r="X304" s="159">
        <f>+Elementos_[[#This Row],[Cantidad RED LASE]]*Elementos_[[#This Row],[Valor de referencia]]</f>
        <v>0</v>
      </c>
      <c r="Y304" s="196">
        <v>20</v>
      </c>
      <c r="Z304" s="159">
        <f>+Elementos_[[#This Row],[Cantidad LANIA]]*Elementos_[[#This Row],[Valor de referencia]]</f>
        <v>138040</v>
      </c>
      <c r="AA304" s="196"/>
      <c r="AB304" s="159">
        <f>+Elementos_[[#This Row],[Cantidad SPA]]*Elementos_[[#This Row],[Valor de referencia]]</f>
        <v>0</v>
      </c>
      <c r="AC304" s="166" t="s">
        <v>2049</v>
      </c>
    </row>
    <row r="305" spans="1:29" ht="24" x14ac:dyDescent="0.2">
      <c r="A305" s="294" t="str">
        <f>IF(B305=Elementos_[[#This Row],[Cantidad LANIP]],"LANIP",IF(B305=Elementos_[[#This Row],[Cantidad 
LDV]],"LDV",IF(B305=Elementos_[[#This Row],[Cantidad LNDV]],"LNDV",IF(B305=Elementos_[[#This Row],[GGCA]],"GGCA",IF(B305=Elementos_[[#This Row],[Cantidad LDF]],"LDF",IF(B305=Elementos_[[#This Row],[Cantidad LDF&amp;MR]],"LDF&amp;MR",IF(B305=Elementos_[[#This Row],[Cantidad RED LASE]],"LASE",IF(B305=Elementos_[[#This Row],[Cantidad LANIA]],"LANIA",IF(B305=Elementos_[[#This Row],[Cantidad SPA]],"SPA"," ")))))))))</f>
        <v>LANIA</v>
      </c>
      <c r="B30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305" s="298">
        <v>303</v>
      </c>
      <c r="D305" s="190">
        <v>435</v>
      </c>
      <c r="E305" s="280" t="s">
        <v>2574</v>
      </c>
      <c r="F305" s="204" t="s">
        <v>2536</v>
      </c>
      <c r="G305" s="192" t="s">
        <v>1726</v>
      </c>
      <c r="H30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305" s="194">
        <v>4760</v>
      </c>
      <c r="J305" s="194">
        <f>+Elementos_[[#This Row],[Valor de referencia]]*Elementos_[[#This Row],[Cantidad]]</f>
        <v>95200</v>
      </c>
      <c r="K305" s="166"/>
      <c r="L305" s="159">
        <f>+Elementos_[[#This Row],[Cantidad LANIP]]*Elementos_[[#This Row],[Valor de referencia]]</f>
        <v>0</v>
      </c>
      <c r="M305" s="270">
        <v>0</v>
      </c>
      <c r="N305" s="195">
        <f>+Elementos_[[#This Row],[Cantidad 
LDV]]*Elementos_[[#This Row],[Valor de referencia]]</f>
        <v>0</v>
      </c>
      <c r="O305" s="166"/>
      <c r="P305" s="159">
        <f>+Elementos_[[#This Row],[Cantidad LNDV]]*Elementos_[[#This Row],[Valor de referencia]]</f>
        <v>0</v>
      </c>
      <c r="Q305" s="196"/>
      <c r="R305" s="159">
        <f>+Elementos_[[#This Row],[GGCA]]*Elementos_[[#This Row],[Valor de referencia]]</f>
        <v>0</v>
      </c>
      <c r="S305" s="166"/>
      <c r="T305" s="159">
        <f>+Elementos_[[#This Row],[Cantidad LDF]]*Elementos_[[#This Row],[Valor de referencia]]</f>
        <v>0</v>
      </c>
      <c r="U305" s="197"/>
      <c r="V305" s="159">
        <f>+Elementos_[[#This Row],[Cantidad LDF&amp;MR]]*Elementos_[[#This Row],[Valor de referencia]]</f>
        <v>0</v>
      </c>
      <c r="W305" s="166"/>
      <c r="X305" s="159">
        <f>+Elementos_[[#This Row],[Cantidad RED LASE]]*Elementos_[[#This Row],[Valor de referencia]]</f>
        <v>0</v>
      </c>
      <c r="Y305" s="196">
        <v>20</v>
      </c>
      <c r="Z305" s="159">
        <f>+Elementos_[[#This Row],[Cantidad LANIA]]*Elementos_[[#This Row],[Valor de referencia]]</f>
        <v>95200</v>
      </c>
      <c r="AA305" s="196"/>
      <c r="AB305" s="159">
        <f>+Elementos_[[#This Row],[Cantidad SPA]]*Elementos_[[#This Row],[Valor de referencia]]</f>
        <v>0</v>
      </c>
      <c r="AC305" s="166" t="s">
        <v>2049</v>
      </c>
    </row>
    <row r="306" spans="1:29" ht="24" x14ac:dyDescent="0.2">
      <c r="A306" s="294" t="str">
        <f>IF(B306=Elementos_[[#This Row],[Cantidad LANIP]],"LANIP",IF(B306=Elementos_[[#This Row],[Cantidad 
LDV]],"LDV",IF(B306=Elementos_[[#This Row],[Cantidad LNDV]],"LNDV",IF(B306=Elementos_[[#This Row],[GGCA]],"GGCA",IF(B306=Elementos_[[#This Row],[Cantidad LDF]],"LDF",IF(B306=Elementos_[[#This Row],[Cantidad LDF&amp;MR]],"LDF&amp;MR",IF(B306=Elementos_[[#This Row],[Cantidad RED LASE]],"LASE",IF(B306=Elementos_[[#This Row],[Cantidad LANIA]],"LANIA",IF(B306=Elementos_[[#This Row],[Cantidad SPA]],"SPA"," ")))))))))</f>
        <v>LANIA</v>
      </c>
      <c r="B30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306" s="298">
        <v>304</v>
      </c>
      <c r="D306" s="190">
        <v>436</v>
      </c>
      <c r="E306" s="273" t="s">
        <v>2575</v>
      </c>
      <c r="F306" s="204" t="s">
        <v>2536</v>
      </c>
      <c r="G306" s="192" t="s">
        <v>1726</v>
      </c>
      <c r="H30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31</v>
      </c>
      <c r="I306" s="194">
        <v>4760</v>
      </c>
      <c r="J306" s="194">
        <f>+Elementos_[[#This Row],[Valor de referencia]]*Elementos_[[#This Row],[Cantidad]]</f>
        <v>147560</v>
      </c>
      <c r="K306" s="166"/>
      <c r="L306" s="159">
        <f>+Elementos_[[#This Row],[Cantidad LANIP]]*Elementos_[[#This Row],[Valor de referencia]]</f>
        <v>0</v>
      </c>
      <c r="M306" s="270">
        <v>0</v>
      </c>
      <c r="N306" s="195">
        <f>+Elementos_[[#This Row],[Cantidad 
LDV]]*Elementos_[[#This Row],[Valor de referencia]]</f>
        <v>0</v>
      </c>
      <c r="O306" s="166"/>
      <c r="P306" s="159">
        <f>+Elementos_[[#This Row],[Cantidad LNDV]]*Elementos_[[#This Row],[Valor de referencia]]</f>
        <v>0</v>
      </c>
      <c r="Q306" s="196"/>
      <c r="R306" s="159">
        <f>+Elementos_[[#This Row],[GGCA]]*Elementos_[[#This Row],[Valor de referencia]]</f>
        <v>0</v>
      </c>
      <c r="S306" s="166">
        <v>1</v>
      </c>
      <c r="T306" s="159">
        <f>+Elementos_[[#This Row],[Cantidad LDF]]*Elementos_[[#This Row],[Valor de referencia]]</f>
        <v>4760</v>
      </c>
      <c r="U306" s="197"/>
      <c r="V306" s="159">
        <f>+Elementos_[[#This Row],[Cantidad LDF&amp;MR]]*Elementos_[[#This Row],[Valor de referencia]]</f>
        <v>0</v>
      </c>
      <c r="W306" s="166"/>
      <c r="X306" s="159">
        <f>+Elementos_[[#This Row],[Cantidad RED LASE]]*Elementos_[[#This Row],[Valor de referencia]]</f>
        <v>0</v>
      </c>
      <c r="Y306" s="166">
        <v>30</v>
      </c>
      <c r="Z306" s="159">
        <f>+Elementos_[[#This Row],[Cantidad LANIA]]*Elementos_[[#This Row],[Valor de referencia]]</f>
        <v>142800</v>
      </c>
      <c r="AA306" s="196"/>
      <c r="AB306" s="159">
        <f>+Elementos_[[#This Row],[Cantidad SPA]]*Elementos_[[#This Row],[Valor de referencia]]</f>
        <v>0</v>
      </c>
      <c r="AC306" s="166" t="s">
        <v>2049</v>
      </c>
    </row>
    <row r="307" spans="1:29" ht="24" x14ac:dyDescent="0.2">
      <c r="A307" s="294" t="str">
        <f>IF(B307=Elementos_[[#This Row],[Cantidad LANIP]],"LANIP",IF(B307=Elementos_[[#This Row],[Cantidad 
LDV]],"LDV",IF(B307=Elementos_[[#This Row],[Cantidad LNDV]],"LNDV",IF(B307=Elementos_[[#This Row],[GGCA]],"GGCA",IF(B307=Elementos_[[#This Row],[Cantidad LDF]],"LDF",IF(B307=Elementos_[[#This Row],[Cantidad LDF&amp;MR]],"LDF&amp;MR",IF(B307=Elementos_[[#This Row],[Cantidad RED LASE]],"LASE",IF(B307=Elementos_[[#This Row],[Cantidad LANIA]],"LANIA",IF(B307=Elementos_[[#This Row],[Cantidad SPA]],"SPA"," ")))))))))</f>
        <v>SPA</v>
      </c>
      <c r="B30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307" s="298">
        <v>305</v>
      </c>
      <c r="D307" s="190">
        <v>438</v>
      </c>
      <c r="E307" s="273" t="s">
        <v>2576</v>
      </c>
      <c r="F307" s="204" t="s">
        <v>2577</v>
      </c>
      <c r="G307" s="192" t="s">
        <v>525</v>
      </c>
      <c r="H30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I307" s="194">
        <v>126438</v>
      </c>
      <c r="J307" s="194">
        <f>+Elementos_[[#This Row],[Valor de referencia]]*Elementos_[[#This Row],[Cantidad]]</f>
        <v>3793140</v>
      </c>
      <c r="K307" s="166"/>
      <c r="L307" s="159">
        <f>+Elementos_[[#This Row],[Cantidad LANIP]]*Elementos_[[#This Row],[Valor de referencia]]</f>
        <v>0</v>
      </c>
      <c r="M307" s="270">
        <v>0</v>
      </c>
      <c r="N307" s="195">
        <f>+Elementos_[[#This Row],[Cantidad 
LDV]]*Elementos_[[#This Row],[Valor de referencia]]</f>
        <v>0</v>
      </c>
      <c r="O307" s="166"/>
      <c r="P307" s="159">
        <f>+Elementos_[[#This Row],[Cantidad LNDV]]*Elementos_[[#This Row],[Valor de referencia]]</f>
        <v>0</v>
      </c>
      <c r="Q307" s="196"/>
      <c r="R307" s="159">
        <f>+Elementos_[[#This Row],[GGCA]]*Elementos_[[#This Row],[Valor de referencia]]</f>
        <v>0</v>
      </c>
      <c r="S307" s="166"/>
      <c r="T307" s="194">
        <f>+Elementos_[[#This Row],[Cantidad LDF]]*Elementos_[[#This Row],[Valor de referencia]]</f>
        <v>0</v>
      </c>
      <c r="U307" s="197"/>
      <c r="V307" s="194">
        <f>+Elementos_[[#This Row],[Cantidad LDF&amp;MR]]*Elementos_[[#This Row],[Valor de referencia]]</f>
        <v>0</v>
      </c>
      <c r="W307" s="166"/>
      <c r="X307" s="194">
        <f>+Elementos_[[#This Row],[Cantidad RED LASE]]*Elementos_[[#This Row],[Valor de referencia]]</f>
        <v>0</v>
      </c>
      <c r="Y307" s="196"/>
      <c r="Z307" s="194">
        <f>+Elementos_[[#This Row],[Cantidad LANIA]]*Elementos_[[#This Row],[Valor de referencia]]</f>
        <v>0</v>
      </c>
      <c r="AA307" s="196">
        <v>30</v>
      </c>
      <c r="AB307" s="194">
        <f>+Elementos_[[#This Row],[Cantidad SPA]]*Elementos_[[#This Row],[Valor de referencia]]</f>
        <v>3793140</v>
      </c>
      <c r="AC307" s="166" t="s">
        <v>2041</v>
      </c>
    </row>
    <row r="308" spans="1:29" ht="48" x14ac:dyDescent="0.2">
      <c r="A308" s="294" t="str">
        <f>IF(B308=Elementos_[[#This Row],[Cantidad LANIP]],"LANIP",IF(B308=Elementos_[[#This Row],[Cantidad 
LDV]],"LDV",IF(B308=Elementos_[[#This Row],[Cantidad LNDV]],"LNDV",IF(B308=Elementos_[[#This Row],[GGCA]],"GGCA",IF(B308=Elementos_[[#This Row],[Cantidad LDF]],"LDF",IF(B308=Elementos_[[#This Row],[Cantidad LDF&amp;MR]],"LDF&amp;MR",IF(B308=Elementos_[[#This Row],[Cantidad RED LASE]],"LASE",IF(B308=Elementos_[[#This Row],[Cantidad LANIA]],"LANIA",IF(B308=Elementos_[[#This Row],[Cantidad SPA]],"SPA"," ")))))))))</f>
        <v>LDF</v>
      </c>
      <c r="B30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08" s="298">
        <v>306</v>
      </c>
      <c r="D308" s="190">
        <v>442</v>
      </c>
      <c r="E308" s="273" t="s">
        <v>2578</v>
      </c>
      <c r="F308" s="201" t="s">
        <v>2579</v>
      </c>
      <c r="G308" s="192" t="s">
        <v>2450</v>
      </c>
      <c r="H30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08" s="194">
        <v>248272</v>
      </c>
      <c r="J308" s="194">
        <f>+Elementos_[[#This Row],[Valor de referencia]]*Elementos_[[#This Row],[Cantidad]]</f>
        <v>248272</v>
      </c>
      <c r="K308" s="166"/>
      <c r="L308" s="159">
        <f>+Elementos_[[#This Row],[Cantidad LANIP]]*Elementos_[[#This Row],[Valor de referencia]]</f>
        <v>0</v>
      </c>
      <c r="M308" s="270">
        <v>0</v>
      </c>
      <c r="N308" s="195">
        <f>+Elementos_[[#This Row],[Cantidad 
LDV]]*Elementos_[[#This Row],[Valor de referencia]]</f>
        <v>0</v>
      </c>
      <c r="O308" s="166"/>
      <c r="P308" s="159">
        <f>+Elementos_[[#This Row],[Cantidad LNDV]]*Elementos_[[#This Row],[Valor de referencia]]</f>
        <v>0</v>
      </c>
      <c r="Q308" s="196"/>
      <c r="R308" s="159">
        <f>+Elementos_[[#This Row],[GGCA]]*Elementos_[[#This Row],[Valor de referencia]]</f>
        <v>0</v>
      </c>
      <c r="S308" s="166">
        <v>1</v>
      </c>
      <c r="T308" s="159">
        <f>+Elementos_[[#This Row],[Cantidad LDF]]*Elementos_[[#This Row],[Valor de referencia]]</f>
        <v>248272</v>
      </c>
      <c r="U308" s="197"/>
      <c r="V308" s="159">
        <f>+Elementos_[[#This Row],[Cantidad LDF&amp;MR]]*Elementos_[[#This Row],[Valor de referencia]]</f>
        <v>0</v>
      </c>
      <c r="W308" s="166"/>
      <c r="X308" s="159">
        <f>+Elementos_[[#This Row],[Cantidad RED LASE]]*Elementos_[[#This Row],[Valor de referencia]]</f>
        <v>0</v>
      </c>
      <c r="Y308" s="196"/>
      <c r="Z308" s="159">
        <f>+Elementos_[[#This Row],[Cantidad LANIA]]*Elementos_[[#This Row],[Valor de referencia]]</f>
        <v>0</v>
      </c>
      <c r="AA308" s="196"/>
      <c r="AB308" s="159">
        <f>+Elementos_[[#This Row],[Cantidad SPA]]*Elementos_[[#This Row],[Valor de referencia]]</f>
        <v>0</v>
      </c>
      <c r="AC308" s="166" t="s">
        <v>2041</v>
      </c>
    </row>
    <row r="309" spans="1:29" ht="36" x14ac:dyDescent="0.2">
      <c r="A309" s="294" t="str">
        <f>IF(B309=Elementos_[[#This Row],[Cantidad LANIP]],"LANIP",IF(B309=Elementos_[[#This Row],[Cantidad 
LDV]],"LDV",IF(B309=Elementos_[[#This Row],[Cantidad LNDV]],"LNDV",IF(B309=Elementos_[[#This Row],[GGCA]],"GGCA",IF(B309=Elementos_[[#This Row],[Cantidad LDF]],"LDF",IF(B309=Elementos_[[#This Row],[Cantidad LDF&amp;MR]],"LDF&amp;MR",IF(B309=Elementos_[[#This Row],[Cantidad RED LASE]],"LASE",IF(B309=Elementos_[[#This Row],[Cantidad LANIA]],"LANIA",IF(B309=Elementos_[[#This Row],[Cantidad SPA]],"SPA"," ")))))))))</f>
        <v>LDF</v>
      </c>
      <c r="B30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C309" s="298">
        <v>307</v>
      </c>
      <c r="D309" s="190">
        <v>444</v>
      </c>
      <c r="E309" s="274" t="s">
        <v>2580</v>
      </c>
      <c r="F309" s="201" t="s">
        <v>2581</v>
      </c>
      <c r="G309" s="192" t="s">
        <v>525</v>
      </c>
      <c r="H30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41</v>
      </c>
      <c r="I309" s="194">
        <v>15399</v>
      </c>
      <c r="J309" s="194">
        <f>+Elementos_[[#This Row],[Valor de referencia]]*Elementos_[[#This Row],[Cantidad]]</f>
        <v>631359</v>
      </c>
      <c r="K309" s="166"/>
      <c r="L309" s="159">
        <f>+Elementos_[[#This Row],[Cantidad LANIP]]*Elementos_[[#This Row],[Valor de referencia]]</f>
        <v>0</v>
      </c>
      <c r="M309" s="270">
        <v>5</v>
      </c>
      <c r="N309" s="195">
        <f>+Elementos_[[#This Row],[Cantidad 
LDV]]*Elementos_[[#This Row],[Valor de referencia]]</f>
        <v>76995</v>
      </c>
      <c r="O309" s="166"/>
      <c r="P309" s="159">
        <f>+Elementos_[[#This Row],[Cantidad LNDV]]*Elementos_[[#This Row],[Valor de referencia]]</f>
        <v>0</v>
      </c>
      <c r="Q309" s="196"/>
      <c r="R309" s="159">
        <f>+Elementos_[[#This Row],[GGCA]]*Elementos_[[#This Row],[Valor de referencia]]</f>
        <v>0</v>
      </c>
      <c r="S309" s="166">
        <v>18</v>
      </c>
      <c r="T309" s="159">
        <f>+Elementos_[[#This Row],[Cantidad LDF]]*Elementos_[[#This Row],[Valor de referencia]]</f>
        <v>277182</v>
      </c>
      <c r="U309" s="197"/>
      <c r="V309" s="159">
        <f>+Elementos_[[#This Row],[Cantidad LDF&amp;MR]]*Elementos_[[#This Row],[Valor de referencia]]</f>
        <v>0</v>
      </c>
      <c r="W309" s="166">
        <v>18</v>
      </c>
      <c r="X309" s="159">
        <f>+Elementos_[[#This Row],[Cantidad RED LASE]]*Elementos_[[#This Row],[Valor de referencia]]</f>
        <v>277182</v>
      </c>
      <c r="Y309" s="196"/>
      <c r="Z309" s="159">
        <f>+Elementos_[[#This Row],[Cantidad LANIA]]*Elementos_[[#This Row],[Valor de referencia]]</f>
        <v>0</v>
      </c>
      <c r="AA309" s="196"/>
      <c r="AB309" s="159">
        <f>+Elementos_[[#This Row],[Cantidad SPA]]*Elementos_[[#This Row],[Valor de referencia]]</f>
        <v>0</v>
      </c>
      <c r="AC309" s="166" t="s">
        <v>2049</v>
      </c>
    </row>
    <row r="310" spans="1:29" ht="36" x14ac:dyDescent="0.2">
      <c r="A310" s="294" t="str">
        <f>IF(B310=Elementos_[[#This Row],[Cantidad LANIP]],"LANIP",IF(B310=Elementos_[[#This Row],[Cantidad 
LDV]],"LDV",IF(B310=Elementos_[[#This Row],[Cantidad LNDV]],"LNDV",IF(B310=Elementos_[[#This Row],[GGCA]],"GGCA",IF(B310=Elementos_[[#This Row],[Cantidad LDF]],"LDF",IF(B310=Elementos_[[#This Row],[Cantidad LDF&amp;MR]],"LDF&amp;MR",IF(B310=Elementos_[[#This Row],[Cantidad RED LASE]],"LASE",IF(B310=Elementos_[[#This Row],[Cantidad LANIA]],"LANIA",IF(B310=Elementos_[[#This Row],[Cantidad SPA]],"SPA"," ")))))))))</f>
        <v>SPA</v>
      </c>
      <c r="B31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175</v>
      </c>
      <c r="C310" s="298">
        <v>308</v>
      </c>
      <c r="D310" s="190">
        <v>445</v>
      </c>
      <c r="E310" s="273" t="s">
        <v>2582</v>
      </c>
      <c r="F310" s="200" t="s">
        <v>2581</v>
      </c>
      <c r="G310" s="192" t="s">
        <v>525</v>
      </c>
      <c r="H31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224</v>
      </c>
      <c r="I310" s="194">
        <v>19762</v>
      </c>
      <c r="J310" s="194">
        <f>+Elementos_[[#This Row],[Valor de referencia]]*Elementos_[[#This Row],[Cantidad]]</f>
        <v>4426688</v>
      </c>
      <c r="K310" s="166"/>
      <c r="L310" s="159">
        <f>+Elementos_[[#This Row],[Cantidad LANIP]]*Elementos_[[#This Row],[Valor de referencia]]</f>
        <v>0</v>
      </c>
      <c r="M310" s="270">
        <v>5</v>
      </c>
      <c r="N310" s="195">
        <f>+Elementos_[[#This Row],[Cantidad 
LDV]]*Elementos_[[#This Row],[Valor de referencia]]</f>
        <v>98810</v>
      </c>
      <c r="O310" s="166">
        <v>2</v>
      </c>
      <c r="P310" s="159">
        <f>+Elementos_[[#This Row],[Cantidad LNDV]]*Elementos_[[#This Row],[Valor de referencia]]</f>
        <v>39524</v>
      </c>
      <c r="Q310" s="196"/>
      <c r="R310" s="159">
        <f>+Elementos_[[#This Row],[GGCA]]*Elementos_[[#This Row],[Valor de referencia]]</f>
        <v>0</v>
      </c>
      <c r="S310" s="166">
        <v>24</v>
      </c>
      <c r="T310" s="194">
        <f>+Elementos_[[#This Row],[Cantidad LDF]]*Elementos_[[#This Row],[Valor de referencia]]</f>
        <v>474288</v>
      </c>
      <c r="U310" s="197"/>
      <c r="V310" s="194">
        <f>+Elementos_[[#This Row],[Cantidad LDF&amp;MR]]*Elementos_[[#This Row],[Valor de referencia]]</f>
        <v>0</v>
      </c>
      <c r="W310" s="166">
        <v>18</v>
      </c>
      <c r="X310" s="194">
        <f>+Elementos_[[#This Row],[Cantidad RED LASE]]*Elementos_[[#This Row],[Valor de referencia]]</f>
        <v>355716</v>
      </c>
      <c r="Y310" s="196"/>
      <c r="Z310" s="194">
        <f>+Elementos_[[#This Row],[Cantidad LANIA]]*Elementos_[[#This Row],[Valor de referencia]]</f>
        <v>0</v>
      </c>
      <c r="AA310" s="196">
        <v>175</v>
      </c>
      <c r="AB310" s="194">
        <f>+Elementos_[[#This Row],[Cantidad SPA]]*Elementos_[[#This Row],[Valor de referencia]]</f>
        <v>3458350</v>
      </c>
      <c r="AC310" s="166" t="s">
        <v>2049</v>
      </c>
    </row>
    <row r="311" spans="1:29" ht="50.25" customHeight="1" x14ac:dyDescent="0.2">
      <c r="A311" s="294" t="str">
        <f>IF(B311=Elementos_[[#This Row],[Cantidad LANIP]],"LANIP",IF(B311=Elementos_[[#This Row],[Cantidad 
LDV]],"LDV",IF(B311=Elementos_[[#This Row],[Cantidad LNDV]],"LNDV",IF(B311=Elementos_[[#This Row],[GGCA]],"GGCA",IF(B311=Elementos_[[#This Row],[Cantidad LDF]],"LDF",IF(B311=Elementos_[[#This Row],[Cantidad LDF&amp;MR]],"LDF&amp;MR",IF(B311=Elementos_[[#This Row],[Cantidad RED LASE]],"LASE",IF(B311=Elementos_[[#This Row],[Cantidad LANIA]],"LANIA",IF(B311=Elementos_[[#This Row],[Cantidad SPA]],"SPA"," ")))))))))</f>
        <v>LNDV</v>
      </c>
      <c r="B31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311" s="298">
        <v>309</v>
      </c>
      <c r="D311" s="190">
        <v>447</v>
      </c>
      <c r="E311" s="412" t="s">
        <v>2583</v>
      </c>
      <c r="F311" s="204" t="s">
        <v>183</v>
      </c>
      <c r="G311" s="192" t="s">
        <v>2584</v>
      </c>
      <c r="H31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311" s="194">
        <v>410792</v>
      </c>
      <c r="J311" s="194">
        <f>+Elementos_[[#This Row],[Valor de referencia]]*Elementos_[[#This Row],[Cantidad]]</f>
        <v>1643168</v>
      </c>
      <c r="K311" s="166"/>
      <c r="L311" s="159">
        <f>+Elementos_[[#This Row],[Cantidad LANIP]]*Elementos_[[#This Row],[Valor de referencia]]</f>
        <v>0</v>
      </c>
      <c r="M311" s="270">
        <v>0</v>
      </c>
      <c r="N311" s="195">
        <f>+Elementos_[[#This Row],[Cantidad 
LDV]]*Elementos_[[#This Row],[Valor de referencia]]</f>
        <v>0</v>
      </c>
      <c r="O311" s="166">
        <v>3</v>
      </c>
      <c r="P311" s="159">
        <f>+Elementos_[[#This Row],[Cantidad LNDV]]*Elementos_[[#This Row],[Valor de referencia]]</f>
        <v>1232376</v>
      </c>
      <c r="Q311" s="196"/>
      <c r="R311" s="159">
        <f>+Elementos_[[#This Row],[GGCA]]*Elementos_[[#This Row],[Valor de referencia]]</f>
        <v>0</v>
      </c>
      <c r="S311" s="166">
        <v>1</v>
      </c>
      <c r="T311" s="159">
        <f>+Elementos_[[#This Row],[Cantidad LDF]]*Elementos_[[#This Row],[Valor de referencia]]</f>
        <v>410792</v>
      </c>
      <c r="U311" s="197"/>
      <c r="V311" s="159">
        <f>+Elementos_[[#This Row],[Cantidad LDF&amp;MR]]*Elementos_[[#This Row],[Valor de referencia]]</f>
        <v>0</v>
      </c>
      <c r="W311" s="166"/>
      <c r="X311" s="159">
        <f>+Elementos_[[#This Row],[Cantidad RED LASE]]*Elementos_[[#This Row],[Valor de referencia]]</f>
        <v>0</v>
      </c>
      <c r="Y311" s="196"/>
      <c r="Z311" s="159">
        <f>+Elementos_[[#This Row],[Cantidad LANIA]]*Elementos_[[#This Row],[Valor de referencia]]</f>
        <v>0</v>
      </c>
      <c r="AA311" s="196"/>
      <c r="AB311" s="159">
        <f>+Elementos_[[#This Row],[Cantidad SPA]]*Elementos_[[#This Row],[Valor de referencia]]</f>
        <v>0</v>
      </c>
      <c r="AC311" s="166" t="s">
        <v>2049</v>
      </c>
    </row>
    <row r="312" spans="1:29" ht="24" x14ac:dyDescent="0.2">
      <c r="A312" s="294" t="str">
        <f>IF(B312=Elementos_[[#This Row],[Cantidad LANIP]],"LANIP",IF(B312=Elementos_[[#This Row],[Cantidad 
LDV]],"LDV",IF(B312=Elementos_[[#This Row],[Cantidad LNDV]],"LNDV",IF(B312=Elementos_[[#This Row],[GGCA]],"GGCA",IF(B312=Elementos_[[#This Row],[Cantidad LDF]],"LDF",IF(B312=Elementos_[[#This Row],[Cantidad LDF&amp;MR]],"LDF&amp;MR",IF(B312=Elementos_[[#This Row],[Cantidad RED LASE]],"LASE",IF(B312=Elementos_[[#This Row],[Cantidad LANIA]],"LANIA",IF(B312=Elementos_[[#This Row],[Cantidad SPA]],"SPA"," ")))))))))</f>
        <v>LDF</v>
      </c>
      <c r="B31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312" s="298">
        <v>310</v>
      </c>
      <c r="D312" s="190">
        <v>449</v>
      </c>
      <c r="E312" s="273" t="s">
        <v>2585</v>
      </c>
      <c r="F312" s="200" t="s">
        <v>2586</v>
      </c>
      <c r="G312" s="192" t="s">
        <v>2587</v>
      </c>
      <c r="H31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312" s="194">
        <v>175882</v>
      </c>
      <c r="J312" s="194">
        <f>+Elementos_[[#This Row],[Valor de referencia]]*Elementos_[[#This Row],[Cantidad]]</f>
        <v>1758820</v>
      </c>
      <c r="K312" s="166"/>
      <c r="L312" s="159">
        <f>+Elementos_[[#This Row],[Cantidad LANIP]]*Elementos_[[#This Row],[Valor de referencia]]</f>
        <v>0</v>
      </c>
      <c r="M312" s="270">
        <v>0</v>
      </c>
      <c r="N312" s="195">
        <f>+Elementos_[[#This Row],[Cantidad 
LDV]]*Elementos_[[#This Row],[Valor de referencia]]</f>
        <v>0</v>
      </c>
      <c r="O312" s="166"/>
      <c r="P312" s="159">
        <f>+Elementos_[[#This Row],[Cantidad LNDV]]*Elementos_[[#This Row],[Valor de referencia]]</f>
        <v>0</v>
      </c>
      <c r="Q312" s="196"/>
      <c r="R312" s="159">
        <f>+Elementos_[[#This Row],[GGCA]]*Elementos_[[#This Row],[Valor de referencia]]</f>
        <v>0</v>
      </c>
      <c r="S312" s="166">
        <v>5</v>
      </c>
      <c r="T312" s="159">
        <f>+Elementos_[[#This Row],[Cantidad LDF]]*Elementos_[[#This Row],[Valor de referencia]]</f>
        <v>879410</v>
      </c>
      <c r="U312" s="197"/>
      <c r="V312" s="159">
        <f>+Elementos_[[#This Row],[Cantidad LDF&amp;MR]]*Elementos_[[#This Row],[Valor de referencia]]</f>
        <v>0</v>
      </c>
      <c r="W312" s="166"/>
      <c r="X312" s="159">
        <f>+Elementos_[[#This Row],[Cantidad RED LASE]]*Elementos_[[#This Row],[Valor de referencia]]</f>
        <v>0</v>
      </c>
      <c r="Y312" s="196">
        <v>5</v>
      </c>
      <c r="Z312" s="159">
        <f>+Elementos_[[#This Row],[Cantidad LANIA]]*Elementos_[[#This Row],[Valor de referencia]]</f>
        <v>879410</v>
      </c>
      <c r="AA312" s="196"/>
      <c r="AB312" s="159">
        <f>+Elementos_[[#This Row],[Cantidad SPA]]*Elementos_[[#This Row],[Valor de referencia]]</f>
        <v>0</v>
      </c>
      <c r="AC312" s="166" t="s">
        <v>2049</v>
      </c>
    </row>
    <row r="313" spans="1:29" ht="34.5" customHeight="1" x14ac:dyDescent="0.2">
      <c r="A313" s="294" t="str">
        <f>IF(B313=Elementos_[[#This Row],[Cantidad LANIP]],"LANIP",IF(B313=Elementos_[[#This Row],[Cantidad 
LDV]],"LDV",IF(B313=Elementos_[[#This Row],[Cantidad LNDV]],"LNDV",IF(B313=Elementos_[[#This Row],[GGCA]],"GGCA",IF(B313=Elementos_[[#This Row],[Cantidad LDF]],"LDF",IF(B313=Elementos_[[#This Row],[Cantidad LDF&amp;MR]],"LDF&amp;MR",IF(B313=Elementos_[[#This Row],[Cantidad RED LASE]],"LASE",IF(B313=Elementos_[[#This Row],[Cantidad LANIA]],"LANIA",IF(B313=Elementos_[[#This Row],[Cantidad SPA]],"SPA"," ")))))))))</f>
        <v>LNDV</v>
      </c>
      <c r="B31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13" s="298">
        <v>311</v>
      </c>
      <c r="D313" s="190">
        <v>450</v>
      </c>
      <c r="E313" s="273" t="s">
        <v>2588</v>
      </c>
      <c r="F313" s="214" t="s">
        <v>183</v>
      </c>
      <c r="G313" s="192" t="s">
        <v>525</v>
      </c>
      <c r="H31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13" s="194">
        <v>180168</v>
      </c>
      <c r="J313" s="194">
        <f>+Elementos_[[#This Row],[Valor de referencia]]*Elementos_[[#This Row],[Cantidad]]</f>
        <v>360336</v>
      </c>
      <c r="K313" s="166"/>
      <c r="L313" s="159">
        <f>+Elementos_[[#This Row],[Cantidad LANIP]]*Elementos_[[#This Row],[Valor de referencia]]</f>
        <v>0</v>
      </c>
      <c r="M313" s="270">
        <v>0</v>
      </c>
      <c r="N313" s="195">
        <f>+Elementos_[[#This Row],[Cantidad 
LDV]]*Elementos_[[#This Row],[Valor de referencia]]</f>
        <v>0</v>
      </c>
      <c r="O313" s="166">
        <v>1</v>
      </c>
      <c r="P313" s="159">
        <f>+Elementos_[[#This Row],[Cantidad LNDV]]*Elementos_[[#This Row],[Valor de referencia]]</f>
        <v>180168</v>
      </c>
      <c r="Q313" s="196"/>
      <c r="R313" s="159">
        <f>+Elementos_[[#This Row],[GGCA]]*Elementos_[[#This Row],[Valor de referencia]]</f>
        <v>0</v>
      </c>
      <c r="S313" s="166">
        <v>1</v>
      </c>
      <c r="T313" s="159">
        <f>+Elementos_[[#This Row],[Cantidad LDF]]*Elementos_[[#This Row],[Valor de referencia]]</f>
        <v>180168</v>
      </c>
      <c r="U313" s="197"/>
      <c r="V313" s="159">
        <f>+Elementos_[[#This Row],[Cantidad LDF&amp;MR]]*Elementos_[[#This Row],[Valor de referencia]]</f>
        <v>0</v>
      </c>
      <c r="W313" s="166"/>
      <c r="X313" s="159">
        <f>+Elementos_[[#This Row],[Cantidad RED LASE]]*Elementos_[[#This Row],[Valor de referencia]]</f>
        <v>0</v>
      </c>
      <c r="Y313" s="196"/>
      <c r="Z313" s="159">
        <f>+Elementos_[[#This Row],[Cantidad LANIA]]*Elementos_[[#This Row],[Valor de referencia]]</f>
        <v>0</v>
      </c>
      <c r="AA313" s="196"/>
      <c r="AB313" s="159">
        <f>+Elementos_[[#This Row],[Cantidad SPA]]*Elementos_[[#This Row],[Valor de referencia]]</f>
        <v>0</v>
      </c>
      <c r="AC313" s="166" t="s">
        <v>2049</v>
      </c>
    </row>
    <row r="314" spans="1:29" ht="48" x14ac:dyDescent="0.2">
      <c r="A314" s="294" t="str">
        <f>IF(B314=Elementos_[[#This Row],[Cantidad LANIP]],"LANIP",IF(B314=Elementos_[[#This Row],[Cantidad 
LDV]],"LDV",IF(B314=Elementos_[[#This Row],[Cantidad LNDV]],"LNDV",IF(B314=Elementos_[[#This Row],[GGCA]],"GGCA",IF(B314=Elementos_[[#This Row],[Cantidad LDF]],"LDF",IF(B314=Elementos_[[#This Row],[Cantidad LDF&amp;MR]],"LDF&amp;MR",IF(B314=Elementos_[[#This Row],[Cantidad RED LASE]],"LASE",IF(B314=Elementos_[[#This Row],[Cantidad LANIA]],"LANIA",IF(B314=Elementos_[[#This Row],[Cantidad SPA]],"SPA"," ")))))))))</f>
        <v>LDF</v>
      </c>
      <c r="B31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314" s="298">
        <v>312</v>
      </c>
      <c r="D314" s="190">
        <v>451</v>
      </c>
      <c r="E314" s="273" t="s">
        <v>2589</v>
      </c>
      <c r="F314" s="201" t="s">
        <v>2590</v>
      </c>
      <c r="G314" s="413" t="s">
        <v>2591</v>
      </c>
      <c r="H31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I314" s="194">
        <v>24449</v>
      </c>
      <c r="J314" s="194">
        <f>+Elementos_[[#This Row],[Valor de referencia]]*Elementos_[[#This Row],[Cantidad]]</f>
        <v>391184</v>
      </c>
      <c r="K314" s="166"/>
      <c r="L314" s="159">
        <f>+Elementos_[[#This Row],[Cantidad LANIP]]*Elementos_[[#This Row],[Valor de referencia]]</f>
        <v>0</v>
      </c>
      <c r="M314" s="270">
        <v>1</v>
      </c>
      <c r="N314" s="195">
        <f>+Elementos_[[#This Row],[Cantidad 
LDV]]*Elementos_[[#This Row],[Valor de referencia]]</f>
        <v>24449</v>
      </c>
      <c r="O314" s="166">
        <v>3</v>
      </c>
      <c r="P314" s="159">
        <f>+Elementos_[[#This Row],[Cantidad LNDV]]*Elementos_[[#This Row],[Valor de referencia]]</f>
        <v>73347</v>
      </c>
      <c r="Q314" s="196"/>
      <c r="R314" s="159">
        <f>+Elementos_[[#This Row],[GGCA]]*Elementos_[[#This Row],[Valor de referencia]]</f>
        <v>0</v>
      </c>
      <c r="S314" s="166">
        <v>12</v>
      </c>
      <c r="T314" s="159">
        <f>+Elementos_[[#This Row],[Cantidad LDF]]*Elementos_[[#This Row],[Valor de referencia]]</f>
        <v>293388</v>
      </c>
      <c r="U314" s="197"/>
      <c r="V314" s="159">
        <f>+Elementos_[[#This Row],[Cantidad LDF&amp;MR]]*Elementos_[[#This Row],[Valor de referencia]]</f>
        <v>0</v>
      </c>
      <c r="W314" s="166"/>
      <c r="X314" s="159">
        <f>+Elementos_[[#This Row],[Cantidad RED LASE]]*Elementos_[[#This Row],[Valor de referencia]]</f>
        <v>0</v>
      </c>
      <c r="Y314" s="196"/>
      <c r="Z314" s="159">
        <f>+Elementos_[[#This Row],[Cantidad LANIA]]*Elementos_[[#This Row],[Valor de referencia]]</f>
        <v>0</v>
      </c>
      <c r="AA314" s="196"/>
      <c r="AB314" s="159">
        <f>+Elementos_[[#This Row],[Cantidad SPA]]*Elementos_[[#This Row],[Valor de referencia]]</f>
        <v>0</v>
      </c>
      <c r="AC314" s="166" t="s">
        <v>2049</v>
      </c>
    </row>
    <row r="315" spans="1:29" ht="48" x14ac:dyDescent="0.2">
      <c r="A315" s="294" t="str">
        <f>IF(B315=Elementos_[[#This Row],[Cantidad LANIP]],"LANIP",IF(B315=Elementos_[[#This Row],[Cantidad 
LDV]],"LDV",IF(B315=Elementos_[[#This Row],[Cantidad LNDV]],"LNDV",IF(B315=Elementos_[[#This Row],[GGCA]],"GGCA",IF(B315=Elementos_[[#This Row],[Cantidad LDF]],"LDF",IF(B315=Elementos_[[#This Row],[Cantidad LDF&amp;MR]],"LDF&amp;MR",IF(B315=Elementos_[[#This Row],[Cantidad RED LASE]],"LASE",IF(B315=Elementos_[[#This Row],[Cantidad LANIA]],"LANIA",IF(B315=Elementos_[[#This Row],[Cantidad SPA]],"SPA"," ")))))))))</f>
        <v>LANIA</v>
      </c>
      <c r="B31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15" s="298">
        <v>313</v>
      </c>
      <c r="D315" s="190">
        <v>452</v>
      </c>
      <c r="E315" s="313" t="s">
        <v>2592</v>
      </c>
      <c r="F315" s="205" t="s">
        <v>2593</v>
      </c>
      <c r="G315" s="198" t="s">
        <v>2594</v>
      </c>
      <c r="H31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15" s="194">
        <v>751025</v>
      </c>
      <c r="J315" s="194">
        <f>+Elementos_[[#This Row],[Valor de referencia]]*Elementos_[[#This Row],[Cantidad]]</f>
        <v>1502050</v>
      </c>
      <c r="K315" s="166"/>
      <c r="L315" s="159">
        <f>+Elementos_[[#This Row],[Cantidad LANIP]]*Elementos_[[#This Row],[Valor de referencia]]</f>
        <v>0</v>
      </c>
      <c r="M315" s="270">
        <v>0</v>
      </c>
      <c r="N315" s="195">
        <f>+Elementos_[[#This Row],[Cantidad 
LDV]]*Elementos_[[#This Row],[Valor de referencia]]</f>
        <v>0</v>
      </c>
      <c r="O315" s="166"/>
      <c r="P315" s="159">
        <f>+Elementos_[[#This Row],[Cantidad LNDV]]*Elementos_[[#This Row],[Valor de referencia]]</f>
        <v>0</v>
      </c>
      <c r="Q315" s="196"/>
      <c r="R315" s="159">
        <f>+Elementos_[[#This Row],[GGCA]]*Elementos_[[#This Row],[Valor de referencia]]</f>
        <v>0</v>
      </c>
      <c r="S315" s="166"/>
      <c r="T315" s="159">
        <f>+Elementos_[[#This Row],[Cantidad LDF]]*Elementos_[[#This Row],[Valor de referencia]]</f>
        <v>0</v>
      </c>
      <c r="U315" s="197"/>
      <c r="V315" s="159">
        <f>+Elementos_[[#This Row],[Cantidad LDF&amp;MR]]*Elementos_[[#This Row],[Valor de referencia]]</f>
        <v>0</v>
      </c>
      <c r="W315" s="166"/>
      <c r="X315" s="159">
        <f>+Elementos_[[#This Row],[Cantidad RED LASE]]*Elementos_[[#This Row],[Valor de referencia]]</f>
        <v>0</v>
      </c>
      <c r="Y315" s="196">
        <v>2</v>
      </c>
      <c r="Z315" s="195">
        <f>+Elementos_[[#This Row],[Cantidad LANIA]]*Elementos_[[#This Row],[Valor de referencia]]</f>
        <v>1502050</v>
      </c>
      <c r="AA315" s="196"/>
      <c r="AB315" s="159">
        <f>+Elementos_[[#This Row],[Cantidad SPA]]*Elementos_[[#This Row],[Valor de referencia]]</f>
        <v>0</v>
      </c>
      <c r="AC315" s="166" t="s">
        <v>2041</v>
      </c>
    </row>
    <row r="316" spans="1:29" ht="36" x14ac:dyDescent="0.2">
      <c r="A316" s="294" t="str">
        <f>IF(B316=Elementos_[[#This Row],[Cantidad LANIP]],"LANIP",IF(B316=Elementos_[[#This Row],[Cantidad 
LDV]],"LDV",IF(B316=Elementos_[[#This Row],[Cantidad LNDV]],"LNDV",IF(B316=Elementos_[[#This Row],[GGCA]],"GGCA",IF(B316=Elementos_[[#This Row],[Cantidad LDF]],"LDF",IF(B316=Elementos_[[#This Row],[Cantidad LDF&amp;MR]],"LDF&amp;MR",IF(B316=Elementos_[[#This Row],[Cantidad RED LASE]],"LASE",IF(B316=Elementos_[[#This Row],[Cantidad LANIA]],"LANIA",IF(B316=Elementos_[[#This Row],[Cantidad SPA]],"SPA"," ")))))))))</f>
        <v>LANIA</v>
      </c>
      <c r="B31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16" s="298">
        <v>314</v>
      </c>
      <c r="D316" s="190">
        <v>456</v>
      </c>
      <c r="E316" s="299" t="s">
        <v>2595</v>
      </c>
      <c r="F316" s="201" t="s">
        <v>2596</v>
      </c>
      <c r="G316" s="202" t="s">
        <v>2092</v>
      </c>
      <c r="H31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316" s="194">
        <v>32050</v>
      </c>
      <c r="J316" s="194">
        <f>+Elementos_[[#This Row],[Valor de referencia]]*Elementos_[[#This Row],[Cantidad]]</f>
        <v>384600</v>
      </c>
      <c r="K316" s="166"/>
      <c r="L316" s="159">
        <f>+Elementos_[[#This Row],[Cantidad LANIP]]*Elementos_[[#This Row],[Valor de referencia]]</f>
        <v>0</v>
      </c>
      <c r="M316" s="270"/>
      <c r="N316" s="195">
        <f>+Elementos_[[#This Row],[Cantidad 
LDV]]*Elementos_[[#This Row],[Valor de referencia]]</f>
        <v>0</v>
      </c>
      <c r="O316" s="166"/>
      <c r="P316" s="159">
        <f>+Elementos_[[#This Row],[Cantidad LNDV]]*Elementos_[[#This Row],[Valor de referencia]]</f>
        <v>0</v>
      </c>
      <c r="Q316" s="196"/>
      <c r="R316" s="159">
        <f>+Elementos_[[#This Row],[GGCA]]*Elementos_[[#This Row],[Valor de referencia]]</f>
        <v>0</v>
      </c>
      <c r="S316" s="166"/>
      <c r="T316" s="159">
        <f>+Elementos_[[#This Row],[Cantidad LDF]]*Elementos_[[#This Row],[Valor de referencia]]</f>
        <v>0</v>
      </c>
      <c r="U316" s="197">
        <v>2</v>
      </c>
      <c r="V316" s="159">
        <f>+Elementos_[[#This Row],[Cantidad LDF&amp;MR]]*Elementos_[[#This Row],[Valor de referencia]]</f>
        <v>64100</v>
      </c>
      <c r="W316" s="166"/>
      <c r="X316" s="159">
        <f>+Elementos_[[#This Row],[Cantidad RED LASE]]*Elementos_[[#This Row],[Valor de referencia]]</f>
        <v>0</v>
      </c>
      <c r="Y316" s="196">
        <v>10</v>
      </c>
      <c r="Z316" s="159">
        <f>+Elementos_[[#This Row],[Cantidad LANIA]]*Elementos_[[#This Row],[Valor de referencia]]</f>
        <v>320500</v>
      </c>
      <c r="AA316" s="196"/>
      <c r="AB316" s="159">
        <f>+Elementos_[[#This Row],[Cantidad SPA]]*Elementos_[[#This Row],[Valor de referencia]]</f>
        <v>0</v>
      </c>
      <c r="AC316" s="166" t="s">
        <v>2041</v>
      </c>
    </row>
    <row r="317" spans="1:29" ht="60" x14ac:dyDescent="0.2">
      <c r="A317" s="294" t="str">
        <f>IF(B317=Elementos_[[#This Row],[Cantidad LANIP]],"LANIP",IF(B317=Elementos_[[#This Row],[Cantidad 
LDV]],"LDV",IF(B317=Elementos_[[#This Row],[Cantidad LNDV]],"LNDV",IF(B317=Elementos_[[#This Row],[GGCA]],"GGCA",IF(B317=Elementos_[[#This Row],[Cantidad LDF]],"LDF",IF(B317=Elementos_[[#This Row],[Cantidad LDF&amp;MR]],"LDF&amp;MR",IF(B317=Elementos_[[#This Row],[Cantidad RED LASE]],"LASE",IF(B317=Elementos_[[#This Row],[Cantidad LANIA]],"LANIA",IF(B317=Elementos_[[#This Row],[Cantidad SPA]],"SPA"," ")))))))))</f>
        <v>LDV</v>
      </c>
      <c r="B31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17" s="298">
        <v>315</v>
      </c>
      <c r="D317" s="190">
        <v>457</v>
      </c>
      <c r="E317" s="273" t="s">
        <v>2597</v>
      </c>
      <c r="F317" s="201" t="s">
        <v>2598</v>
      </c>
      <c r="G317" s="202" t="s">
        <v>525</v>
      </c>
      <c r="H31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317" s="194">
        <v>1798043</v>
      </c>
      <c r="J317" s="194">
        <f>+Elementos_[[#This Row],[Valor de referencia]]*Elementos_[[#This Row],[Cantidad]]</f>
        <v>23374559</v>
      </c>
      <c r="K317" s="166"/>
      <c r="L317" s="159">
        <f>+Elementos_[[#This Row],[Cantidad LANIP]]*Elementos_[[#This Row],[Valor de referencia]]</f>
        <v>0</v>
      </c>
      <c r="M317" s="270">
        <v>10</v>
      </c>
      <c r="N317" s="195">
        <f>+Elementos_[[#This Row],[Cantidad 
LDV]]*Elementos_[[#This Row],[Valor de referencia]]</f>
        <v>17980430</v>
      </c>
      <c r="O317" s="166"/>
      <c r="P317" s="159">
        <f>+Elementos_[[#This Row],[Cantidad LNDV]]*Elementos_[[#This Row],[Valor de referencia]]</f>
        <v>0</v>
      </c>
      <c r="Q317" s="196"/>
      <c r="R317" s="159">
        <f>+Elementos_[[#This Row],[GGCA]]*Elementos_[[#This Row],[Valor de referencia]]</f>
        <v>0</v>
      </c>
      <c r="S317" s="166">
        <v>1</v>
      </c>
      <c r="T317" s="159">
        <f>+Elementos_[[#This Row],[Cantidad LDF]]*Elementos_[[#This Row],[Valor de referencia]]</f>
        <v>1798043</v>
      </c>
      <c r="U317" s="197"/>
      <c r="V317" s="159">
        <f>+Elementos_[[#This Row],[Cantidad LDF&amp;MR]]*Elementos_[[#This Row],[Valor de referencia]]</f>
        <v>0</v>
      </c>
      <c r="W317" s="166"/>
      <c r="X317" s="159">
        <f>+Elementos_[[#This Row],[Cantidad RED LASE]]*Elementos_[[#This Row],[Valor de referencia]]</f>
        <v>0</v>
      </c>
      <c r="Y317" s="196">
        <v>2</v>
      </c>
      <c r="Z317" s="159">
        <f>+Elementos_[[#This Row],[Cantidad LANIA]]*Elementos_[[#This Row],[Valor de referencia]]</f>
        <v>3596086</v>
      </c>
      <c r="AA317" s="196"/>
      <c r="AB317" s="159">
        <f>+Elementos_[[#This Row],[Cantidad SPA]]*Elementos_[[#This Row],[Valor de referencia]]</f>
        <v>0</v>
      </c>
      <c r="AC317" s="166" t="s">
        <v>2041</v>
      </c>
    </row>
    <row r="318" spans="1:29" ht="72" x14ac:dyDescent="0.2">
      <c r="A318" s="294" t="str">
        <f>IF(B318=Elementos_[[#This Row],[Cantidad LANIP]],"LANIP",IF(B318=Elementos_[[#This Row],[Cantidad 
LDV]],"LDV",IF(B318=Elementos_[[#This Row],[Cantidad LNDV]],"LNDV",IF(B318=Elementos_[[#This Row],[GGCA]],"GGCA",IF(B318=Elementos_[[#This Row],[Cantidad LDF]],"LDF",IF(B318=Elementos_[[#This Row],[Cantidad LDF&amp;MR]],"LDF&amp;MR",IF(B318=Elementos_[[#This Row],[Cantidad RED LASE]],"LASE",IF(B318=Elementos_[[#This Row],[Cantidad LANIA]],"LANIA",IF(B318=Elementos_[[#This Row],[Cantidad SPA]],"SPA"," ")))))))))</f>
        <v>LDV</v>
      </c>
      <c r="B31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v>
      </c>
      <c r="C318" s="298">
        <v>316</v>
      </c>
      <c r="D318" s="190">
        <v>459</v>
      </c>
      <c r="E318" s="273" t="s">
        <v>2599</v>
      </c>
      <c r="F318" s="216" t="s">
        <v>2600</v>
      </c>
      <c r="G318" s="202" t="s">
        <v>525</v>
      </c>
      <c r="H31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318" s="194">
        <v>1793492</v>
      </c>
      <c r="J318" s="194">
        <f>+Elementos_[[#This Row],[Valor de referencia]]*Elementos_[[#This Row],[Cantidad]]</f>
        <v>23315396</v>
      </c>
      <c r="K318" s="166"/>
      <c r="L318" s="159">
        <f>+Elementos_[[#This Row],[Cantidad LANIP]]*Elementos_[[#This Row],[Valor de referencia]]</f>
        <v>0</v>
      </c>
      <c r="M318" s="270">
        <v>7</v>
      </c>
      <c r="N318" s="195">
        <f>+Elementos_[[#This Row],[Cantidad 
LDV]]*Elementos_[[#This Row],[Valor de referencia]]</f>
        <v>12554444</v>
      </c>
      <c r="O318" s="166"/>
      <c r="P318" s="159">
        <f>+Elementos_[[#This Row],[Cantidad LNDV]]*Elementos_[[#This Row],[Valor de referencia]]</f>
        <v>0</v>
      </c>
      <c r="Q318" s="196"/>
      <c r="R318" s="159">
        <f>+Elementos_[[#This Row],[GGCA]]*Elementos_[[#This Row],[Valor de referencia]]</f>
        <v>0</v>
      </c>
      <c r="S318" s="166">
        <v>1</v>
      </c>
      <c r="T318" s="159">
        <f>+Elementos_[[#This Row],[Cantidad LDF]]*Elementos_[[#This Row],[Valor de referencia]]</f>
        <v>1793492</v>
      </c>
      <c r="U318" s="197"/>
      <c r="V318" s="159">
        <f>+Elementos_[[#This Row],[Cantidad LDF&amp;MR]]*Elementos_[[#This Row],[Valor de referencia]]</f>
        <v>0</v>
      </c>
      <c r="W318" s="166"/>
      <c r="X318" s="159">
        <f>+Elementos_[[#This Row],[Cantidad RED LASE]]*Elementos_[[#This Row],[Valor de referencia]]</f>
        <v>0</v>
      </c>
      <c r="Y318" s="196">
        <f>2+2+1</f>
        <v>5</v>
      </c>
      <c r="Z318" s="159">
        <f>+Elementos_[[#This Row],[Cantidad LANIA]]*Elementos_[[#This Row],[Valor de referencia]]</f>
        <v>8967460</v>
      </c>
      <c r="AA318" s="196"/>
      <c r="AB318" s="159">
        <f>+Elementos_[[#This Row],[Cantidad SPA]]*Elementos_[[#This Row],[Valor de referencia]]</f>
        <v>0</v>
      </c>
      <c r="AC318" s="166" t="s">
        <v>2041</v>
      </c>
    </row>
    <row r="319" spans="1:29" ht="60" x14ac:dyDescent="0.2">
      <c r="A319" s="294" t="str">
        <f>IF(B319=Elementos_[[#This Row],[Cantidad LANIP]],"LANIP",IF(B319=Elementos_[[#This Row],[Cantidad 
LDV]],"LDV",IF(B319=Elementos_[[#This Row],[Cantidad LNDV]],"LNDV",IF(B319=Elementos_[[#This Row],[GGCA]],"GGCA",IF(B319=Elementos_[[#This Row],[Cantidad LDF]],"LDF",IF(B319=Elementos_[[#This Row],[Cantidad LDF&amp;MR]],"LDF&amp;MR",IF(B319=Elementos_[[#This Row],[Cantidad RED LASE]],"LASE",IF(B319=Elementos_[[#This Row],[Cantidad LANIA]],"LANIA",IF(B319=Elementos_[[#This Row],[Cantidad SPA]],"SPA"," ")))))))))</f>
        <v>LDV</v>
      </c>
      <c r="B31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319" s="298">
        <v>317</v>
      </c>
      <c r="D319" s="190">
        <v>460</v>
      </c>
      <c r="E319" s="275" t="s">
        <v>2601</v>
      </c>
      <c r="F319" s="203" t="s">
        <v>2602</v>
      </c>
      <c r="G319" s="202" t="s">
        <v>525</v>
      </c>
      <c r="H31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21</v>
      </c>
      <c r="I319" s="194">
        <v>1844859</v>
      </c>
      <c r="J319" s="194">
        <f>+Elementos_[[#This Row],[Valor de referencia]]*Elementos_[[#This Row],[Cantidad]]</f>
        <v>38742039</v>
      </c>
      <c r="K319" s="166"/>
      <c r="L319" s="159">
        <f>+Elementos_[[#This Row],[Cantidad LANIP]]*Elementos_[[#This Row],[Valor de referencia]]</f>
        <v>0</v>
      </c>
      <c r="M319" s="270">
        <v>20</v>
      </c>
      <c r="N319" s="195">
        <f>+Elementos_[[#This Row],[Cantidad 
LDV]]*Elementos_[[#This Row],[Valor de referencia]]</f>
        <v>36897180</v>
      </c>
      <c r="O319" s="166"/>
      <c r="P319" s="159">
        <f>+Elementos_[[#This Row],[Cantidad LNDV]]*Elementos_[[#This Row],[Valor de referencia]]</f>
        <v>0</v>
      </c>
      <c r="Q319" s="196"/>
      <c r="R319" s="159">
        <f>+Elementos_[[#This Row],[GGCA]]*Elementos_[[#This Row],[Valor de referencia]]</f>
        <v>0</v>
      </c>
      <c r="S319" s="166">
        <v>1</v>
      </c>
      <c r="T319" s="159">
        <f>+Elementos_[[#This Row],[Cantidad LDF]]*Elementos_[[#This Row],[Valor de referencia]]</f>
        <v>1844859</v>
      </c>
      <c r="U319" s="197"/>
      <c r="V319" s="159">
        <f>+Elementos_[[#This Row],[Cantidad LDF&amp;MR]]*Elementos_[[#This Row],[Valor de referencia]]</f>
        <v>0</v>
      </c>
      <c r="W319" s="166"/>
      <c r="X319" s="159">
        <f>+Elementos_[[#This Row],[Cantidad RED LASE]]*Elementos_[[#This Row],[Valor de referencia]]</f>
        <v>0</v>
      </c>
      <c r="Y319" s="196"/>
      <c r="Z319" s="159">
        <f>+Elementos_[[#This Row],[Cantidad LANIA]]*Elementos_[[#This Row],[Valor de referencia]]</f>
        <v>0</v>
      </c>
      <c r="AA319" s="196"/>
      <c r="AB319" s="159">
        <f>+Elementos_[[#This Row],[Cantidad SPA]]*Elementos_[[#This Row],[Valor de referencia]]</f>
        <v>0</v>
      </c>
      <c r="AC319" s="166" t="s">
        <v>2041</v>
      </c>
    </row>
    <row r="320" spans="1:29" ht="48" x14ac:dyDescent="0.2">
      <c r="A320" s="294" t="str">
        <f>IF(B320=Elementos_[[#This Row],[Cantidad LANIP]],"LANIP",IF(B320=Elementos_[[#This Row],[Cantidad 
LDV]],"LDV",IF(B320=Elementos_[[#This Row],[Cantidad LNDV]],"LNDV",IF(B320=Elementos_[[#This Row],[GGCA]],"GGCA",IF(B320=Elementos_[[#This Row],[Cantidad LDF]],"LDF",IF(B320=Elementos_[[#This Row],[Cantidad LDF&amp;MR]],"LDF&amp;MR",IF(B320=Elementos_[[#This Row],[Cantidad RED LASE]],"LASE",IF(B320=Elementos_[[#This Row],[Cantidad LANIA]],"LANIA",IF(B320=Elementos_[[#This Row],[Cantidad SPA]],"SPA"," ")))))))))</f>
        <v>LDV</v>
      </c>
      <c r="B32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20" s="298">
        <v>318</v>
      </c>
      <c r="D320" s="190">
        <v>461</v>
      </c>
      <c r="E320" s="312" t="s">
        <v>2603</v>
      </c>
      <c r="F320" s="208" t="s">
        <v>2604</v>
      </c>
      <c r="G320" s="192" t="s">
        <v>525</v>
      </c>
      <c r="H32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320" s="194">
        <v>2618000</v>
      </c>
      <c r="J320" s="194">
        <f>+Elementos_[[#This Row],[Valor de referencia]]*Elementos_[[#This Row],[Cantidad]]</f>
        <v>10472000</v>
      </c>
      <c r="K320" s="166"/>
      <c r="L320" s="159">
        <f>+Elementos_[[#This Row],[Cantidad LANIP]]*Elementos_[[#This Row],[Valor de referencia]]</f>
        <v>0</v>
      </c>
      <c r="M320" s="270">
        <v>2</v>
      </c>
      <c r="N320" s="195">
        <f>+Elementos_[[#This Row],[Cantidad 
LDV]]*Elementos_[[#This Row],[Valor de referencia]]</f>
        <v>5236000</v>
      </c>
      <c r="O320" s="166"/>
      <c r="P320" s="159">
        <f>+Elementos_[[#This Row],[Cantidad LNDV]]*Elementos_[[#This Row],[Valor de referencia]]</f>
        <v>0</v>
      </c>
      <c r="Q320" s="196"/>
      <c r="R320" s="159">
        <f>+Elementos_[[#This Row],[GGCA]]*Elementos_[[#This Row],[Valor de referencia]]</f>
        <v>0</v>
      </c>
      <c r="S320" s="166"/>
      <c r="T320" s="159">
        <f>+Elementos_[[#This Row],[Cantidad LDF]]*Elementos_[[#This Row],[Valor de referencia]]</f>
        <v>0</v>
      </c>
      <c r="U320" s="197"/>
      <c r="V320" s="159">
        <f>+Elementos_[[#This Row],[Cantidad LDF&amp;MR]]*Elementos_[[#This Row],[Valor de referencia]]</f>
        <v>0</v>
      </c>
      <c r="W320" s="166"/>
      <c r="X320" s="159">
        <f>+Elementos_[[#This Row],[Cantidad RED LASE]]*Elementos_[[#This Row],[Valor de referencia]]</f>
        <v>0</v>
      </c>
      <c r="Y320" s="196">
        <v>2</v>
      </c>
      <c r="Z320" s="159">
        <f>+Elementos_[[#This Row],[Cantidad LANIA]]*Elementos_[[#This Row],[Valor de referencia]]</f>
        <v>5236000</v>
      </c>
      <c r="AA320" s="196"/>
      <c r="AB320" s="159">
        <f>+Elementos_[[#This Row],[Cantidad SPA]]*Elementos_[[#This Row],[Valor de referencia]]</f>
        <v>0</v>
      </c>
      <c r="AC320" s="166" t="s">
        <v>2041</v>
      </c>
    </row>
    <row r="321" spans="1:29" ht="60" x14ac:dyDescent="0.2">
      <c r="A321" s="294" t="str">
        <f>IF(B321=Elementos_[[#This Row],[Cantidad LANIP]],"LANIP",IF(B321=Elementos_[[#This Row],[Cantidad 
LDV]],"LDV",IF(B321=Elementos_[[#This Row],[Cantidad LNDV]],"LNDV",IF(B321=Elementos_[[#This Row],[GGCA]],"GGCA",IF(B321=Elementos_[[#This Row],[Cantidad LDF]],"LDF",IF(B321=Elementos_[[#This Row],[Cantidad LDF&amp;MR]],"LDF&amp;MR",IF(B321=Elementos_[[#This Row],[Cantidad RED LASE]],"LASE",IF(B321=Elementos_[[#This Row],[Cantidad LANIA]],"LANIA",IF(B321=Elementos_[[#This Row],[Cantidad SPA]],"SPA"," ")))))))))</f>
        <v>LDV</v>
      </c>
      <c r="B32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321" s="298">
        <v>319</v>
      </c>
      <c r="D321" s="190">
        <v>462</v>
      </c>
      <c r="E321" s="272" t="s">
        <v>2605</v>
      </c>
      <c r="F321" s="217" t="s">
        <v>2606</v>
      </c>
      <c r="G321" s="202" t="s">
        <v>525</v>
      </c>
      <c r="H32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v>
      </c>
      <c r="I321" s="194">
        <v>2531207</v>
      </c>
      <c r="J321" s="194">
        <f>+Elementos_[[#This Row],[Valor de referencia]]*Elementos_[[#This Row],[Cantidad]]</f>
        <v>22780863</v>
      </c>
      <c r="K321" s="166"/>
      <c r="L321" s="159">
        <f>+Elementos_[[#This Row],[Cantidad LANIP]]*Elementos_[[#This Row],[Valor de referencia]]</f>
        <v>0</v>
      </c>
      <c r="M321" s="270">
        <v>8</v>
      </c>
      <c r="N321" s="195">
        <f>+Elementos_[[#This Row],[Cantidad 
LDV]]*Elementos_[[#This Row],[Valor de referencia]]</f>
        <v>20249656</v>
      </c>
      <c r="O321" s="166"/>
      <c r="P321" s="159">
        <f>+Elementos_[[#This Row],[Cantidad LNDV]]*Elementos_[[#This Row],[Valor de referencia]]</f>
        <v>0</v>
      </c>
      <c r="Q321" s="196"/>
      <c r="R321" s="159">
        <f>+Elementos_[[#This Row],[GGCA]]*Elementos_[[#This Row],[Valor de referencia]]</f>
        <v>0</v>
      </c>
      <c r="S321" s="166">
        <v>1</v>
      </c>
      <c r="T321" s="159">
        <f>+Elementos_[[#This Row],[Cantidad LDF]]*Elementos_[[#This Row],[Valor de referencia]]</f>
        <v>2531207</v>
      </c>
      <c r="U321" s="197"/>
      <c r="V321" s="159">
        <f>+Elementos_[[#This Row],[Cantidad LDF&amp;MR]]*Elementos_[[#This Row],[Valor de referencia]]</f>
        <v>0</v>
      </c>
      <c r="W321" s="166"/>
      <c r="X321" s="159">
        <f>+Elementos_[[#This Row],[Cantidad RED LASE]]*Elementos_[[#This Row],[Valor de referencia]]</f>
        <v>0</v>
      </c>
      <c r="Y321" s="196"/>
      <c r="Z321" s="159">
        <f>+Elementos_[[#This Row],[Cantidad LANIA]]*Elementos_[[#This Row],[Valor de referencia]]</f>
        <v>0</v>
      </c>
      <c r="AA321" s="196"/>
      <c r="AB321" s="159">
        <f>+Elementos_[[#This Row],[Cantidad SPA]]*Elementos_[[#This Row],[Valor de referencia]]</f>
        <v>0</v>
      </c>
      <c r="AC321" s="166" t="s">
        <v>2041</v>
      </c>
    </row>
    <row r="322" spans="1:29" ht="48" x14ac:dyDescent="0.2">
      <c r="A322" s="294" t="str">
        <f>IF(B322=Elementos_[[#This Row],[Cantidad LANIP]],"LANIP",IF(B322=Elementos_[[#This Row],[Cantidad 
LDV]],"LDV",IF(B322=Elementos_[[#This Row],[Cantidad LNDV]],"LNDV",IF(B322=Elementos_[[#This Row],[GGCA]],"GGCA",IF(B322=Elementos_[[#This Row],[Cantidad LDF]],"LDF",IF(B322=Elementos_[[#This Row],[Cantidad LDF&amp;MR]],"LDF&amp;MR",IF(B322=Elementos_[[#This Row],[Cantidad RED LASE]],"LASE",IF(B322=Elementos_[[#This Row],[Cantidad LANIA]],"LANIA",IF(B322=Elementos_[[#This Row],[Cantidad SPA]],"SPA"," ")))))))))</f>
        <v>LDV</v>
      </c>
      <c r="B32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22" s="298">
        <v>320</v>
      </c>
      <c r="D322" s="190">
        <v>463</v>
      </c>
      <c r="E322" s="273" t="s">
        <v>2607</v>
      </c>
      <c r="F322" s="216" t="s">
        <v>2608</v>
      </c>
      <c r="G322" s="192" t="s">
        <v>525</v>
      </c>
      <c r="H32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322" s="194">
        <v>2935512</v>
      </c>
      <c r="J322" s="194">
        <f>+Elementos_[[#This Row],[Valor de referencia]]*Elementos_[[#This Row],[Cantidad]]</f>
        <v>29355120</v>
      </c>
      <c r="K322" s="166"/>
      <c r="L322" s="159">
        <f>+Elementos_[[#This Row],[Cantidad LANIP]]*Elementos_[[#This Row],[Valor de referencia]]</f>
        <v>0</v>
      </c>
      <c r="M322" s="270">
        <v>10</v>
      </c>
      <c r="N322" s="195">
        <f>+Elementos_[[#This Row],[Cantidad 
LDV]]*Elementos_[[#This Row],[Valor de referencia]]</f>
        <v>29355120</v>
      </c>
      <c r="O322" s="166"/>
      <c r="P322" s="159">
        <f>+Elementos_[[#This Row],[Cantidad LNDV]]*Elementos_[[#This Row],[Valor de referencia]]</f>
        <v>0</v>
      </c>
      <c r="Q322" s="196"/>
      <c r="R322" s="159">
        <f>+Elementos_[[#This Row],[GGCA]]*Elementos_[[#This Row],[Valor de referencia]]</f>
        <v>0</v>
      </c>
      <c r="S322" s="166"/>
      <c r="T322" s="159">
        <f>+Elementos_[[#This Row],[Cantidad LDF]]*Elementos_[[#This Row],[Valor de referencia]]</f>
        <v>0</v>
      </c>
      <c r="U322" s="197"/>
      <c r="V322" s="159">
        <f>+Elementos_[[#This Row],[Cantidad LDF&amp;MR]]*Elementos_[[#This Row],[Valor de referencia]]</f>
        <v>0</v>
      </c>
      <c r="W322" s="166"/>
      <c r="X322" s="159">
        <f>+Elementos_[[#This Row],[Cantidad RED LASE]]*Elementos_[[#This Row],[Valor de referencia]]</f>
        <v>0</v>
      </c>
      <c r="Y322" s="196"/>
      <c r="Z322" s="159">
        <f>+Elementos_[[#This Row],[Cantidad LANIA]]*Elementos_[[#This Row],[Valor de referencia]]</f>
        <v>0</v>
      </c>
      <c r="AA322" s="196"/>
      <c r="AB322" s="159">
        <f>+Elementos_[[#This Row],[Cantidad SPA]]*Elementos_[[#This Row],[Valor de referencia]]</f>
        <v>0</v>
      </c>
      <c r="AC322" s="166" t="s">
        <v>2041</v>
      </c>
    </row>
    <row r="323" spans="1:29" ht="36" x14ac:dyDescent="0.2">
      <c r="A323" s="294" t="str">
        <f>IF(B323=Elementos_[[#This Row],[Cantidad LANIP]],"LANIP",IF(B323=Elementos_[[#This Row],[Cantidad 
LDV]],"LDV",IF(B323=Elementos_[[#This Row],[Cantidad LNDV]],"LNDV",IF(B323=Elementos_[[#This Row],[GGCA]],"GGCA",IF(B323=Elementos_[[#This Row],[Cantidad LDF]],"LDF",IF(B323=Elementos_[[#This Row],[Cantidad LDF&amp;MR]],"LDF&amp;MR",IF(B323=Elementos_[[#This Row],[Cantidad RED LASE]],"LASE",IF(B323=Elementos_[[#This Row],[Cantidad LANIA]],"LANIA",IF(B323=Elementos_[[#This Row],[Cantidad SPA]],"SPA"," ")))))))))</f>
        <v>LDV</v>
      </c>
      <c r="B32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323" s="298">
        <v>321</v>
      </c>
      <c r="D323" s="190">
        <v>466</v>
      </c>
      <c r="E323" s="313" t="s">
        <v>2609</v>
      </c>
      <c r="F323" s="204" t="s">
        <v>2610</v>
      </c>
      <c r="G323" s="192" t="s">
        <v>525</v>
      </c>
      <c r="H32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323" s="194">
        <v>2576707</v>
      </c>
      <c r="J323" s="194">
        <f>+Elementos_[[#This Row],[Valor de referencia]]*Elementos_[[#This Row],[Cantidad]]</f>
        <v>12883535</v>
      </c>
      <c r="K323" s="166"/>
      <c r="L323" s="159">
        <f>+Elementos_[[#This Row],[Cantidad LANIP]]*Elementos_[[#This Row],[Valor de referencia]]</f>
        <v>0</v>
      </c>
      <c r="M323" s="270">
        <v>5</v>
      </c>
      <c r="N323" s="195">
        <f>+Elementos_[[#This Row],[Cantidad 
LDV]]*Elementos_[[#This Row],[Valor de referencia]]</f>
        <v>12883535</v>
      </c>
      <c r="O323" s="166"/>
      <c r="P323" s="159">
        <f>+Elementos_[[#This Row],[Cantidad LNDV]]*Elementos_[[#This Row],[Valor de referencia]]</f>
        <v>0</v>
      </c>
      <c r="Q323" s="196"/>
      <c r="R323" s="159">
        <f>+Elementos_[[#This Row],[GGCA]]*Elementos_[[#This Row],[Valor de referencia]]</f>
        <v>0</v>
      </c>
      <c r="S323" s="166"/>
      <c r="T323" s="159">
        <f>+Elementos_[[#This Row],[Cantidad LDF]]*Elementos_[[#This Row],[Valor de referencia]]</f>
        <v>0</v>
      </c>
      <c r="U323" s="197"/>
      <c r="V323" s="159">
        <f>+Elementos_[[#This Row],[Cantidad LDF&amp;MR]]*Elementos_[[#This Row],[Valor de referencia]]</f>
        <v>0</v>
      </c>
      <c r="W323" s="166"/>
      <c r="X323" s="159">
        <f>+Elementos_[[#This Row],[Cantidad RED LASE]]*Elementos_[[#This Row],[Valor de referencia]]</f>
        <v>0</v>
      </c>
      <c r="Y323" s="196"/>
      <c r="Z323" s="159">
        <f>+Elementos_[[#This Row],[Cantidad LANIA]]*Elementos_[[#This Row],[Valor de referencia]]</f>
        <v>0</v>
      </c>
      <c r="AA323" s="196"/>
      <c r="AB323" s="159">
        <f>+Elementos_[[#This Row],[Cantidad SPA]]*Elementos_[[#This Row],[Valor de referencia]]</f>
        <v>0</v>
      </c>
      <c r="AC323" s="166" t="s">
        <v>2041</v>
      </c>
    </row>
    <row r="324" spans="1:29" ht="144" x14ac:dyDescent="0.2">
      <c r="A324" s="294" t="str">
        <f>IF(B324=Elementos_[[#This Row],[Cantidad LANIP]],"LANIP",IF(B324=Elementos_[[#This Row],[Cantidad 
LDV]],"LDV",IF(B324=Elementos_[[#This Row],[Cantidad LNDV]],"LNDV",IF(B324=Elementos_[[#This Row],[GGCA]],"GGCA",IF(B324=Elementos_[[#This Row],[Cantidad LDF]],"LDF",IF(B324=Elementos_[[#This Row],[Cantidad LDF&amp;MR]],"LDF&amp;MR",IF(B324=Elementos_[[#This Row],[Cantidad RED LASE]],"LASE",IF(B324=Elementos_[[#This Row],[Cantidad LANIA]],"LANIA",IF(B324=Elementos_[[#This Row],[Cantidad SPA]],"SPA"," ")))))))))</f>
        <v>LDF&amp;MR</v>
      </c>
      <c r="B32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24" s="298">
        <v>322</v>
      </c>
      <c r="D324" s="190">
        <v>468</v>
      </c>
      <c r="E324" s="277" t="s">
        <v>2611</v>
      </c>
      <c r="F324" s="214" t="s">
        <v>2612</v>
      </c>
      <c r="G324" s="192" t="s">
        <v>525</v>
      </c>
      <c r="H32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24" s="194">
        <v>2535414</v>
      </c>
      <c r="J324" s="194">
        <f>+Elementos_[[#This Row],[Valor de referencia]]*Elementos_[[#This Row],[Cantidad]]</f>
        <v>5070828</v>
      </c>
      <c r="K324" s="166"/>
      <c r="L324" s="159">
        <f>+Elementos_[[#This Row],[Cantidad LANIP]]*Elementos_[[#This Row],[Valor de referencia]]</f>
        <v>0</v>
      </c>
      <c r="M324" s="270"/>
      <c r="N324" s="195">
        <f>+Elementos_[[#This Row],[Cantidad 
LDV]]*Elementos_[[#This Row],[Valor de referencia]]</f>
        <v>0</v>
      </c>
      <c r="O324" s="166"/>
      <c r="P324" s="159">
        <f>+Elementos_[[#This Row],[Cantidad LNDV]]*Elementos_[[#This Row],[Valor de referencia]]</f>
        <v>0</v>
      </c>
      <c r="Q324" s="196"/>
      <c r="R324" s="159">
        <f>+Elementos_[[#This Row],[GGCA]]*Elementos_[[#This Row],[Valor de referencia]]</f>
        <v>0</v>
      </c>
      <c r="S324" s="166"/>
      <c r="T324" s="159">
        <f>+Elementos_[[#This Row],[Cantidad LDF]]*Elementos_[[#This Row],[Valor de referencia]]</f>
        <v>0</v>
      </c>
      <c r="U324" s="197">
        <v>1</v>
      </c>
      <c r="V324" s="159">
        <f>+Elementos_[[#This Row],[Cantidad LDF&amp;MR]]*Elementos_[[#This Row],[Valor de referencia]]</f>
        <v>2535414</v>
      </c>
      <c r="W324" s="166"/>
      <c r="X324" s="159">
        <f>+Elementos_[[#This Row],[Cantidad RED LASE]]*Elementos_[[#This Row],[Valor de referencia]]</f>
        <v>0</v>
      </c>
      <c r="Y324" s="196">
        <v>1</v>
      </c>
      <c r="Z324" s="159">
        <f>+Elementos_[[#This Row],[Cantidad LANIA]]*Elementos_[[#This Row],[Valor de referencia]]</f>
        <v>2535414</v>
      </c>
      <c r="AA324" s="196"/>
      <c r="AB324" s="159">
        <f>+Elementos_[[#This Row],[Cantidad SPA]]*Elementos_[[#This Row],[Valor de referencia]]</f>
        <v>0</v>
      </c>
      <c r="AC324" s="166" t="s">
        <v>2041</v>
      </c>
    </row>
    <row r="325" spans="1:29" ht="144" x14ac:dyDescent="0.2">
      <c r="A325" s="294" t="str">
        <f>IF(B325=Elementos_[[#This Row],[Cantidad LANIP]],"LANIP",IF(B325=Elementos_[[#This Row],[Cantidad 
LDV]],"LDV",IF(B325=Elementos_[[#This Row],[Cantidad LNDV]],"LNDV",IF(B325=Elementos_[[#This Row],[GGCA]],"GGCA",IF(B325=Elementos_[[#This Row],[Cantidad LDF]],"LDF",IF(B325=Elementos_[[#This Row],[Cantidad LDF&amp;MR]],"LDF&amp;MR",IF(B325=Elementos_[[#This Row],[Cantidad RED LASE]],"LASE",IF(B325=Elementos_[[#This Row],[Cantidad LANIA]],"LANIA",IF(B325=Elementos_[[#This Row],[Cantidad SPA]],"SPA"," ")))))))))</f>
        <v>LDF&amp;MR</v>
      </c>
      <c r="B32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25" s="298">
        <v>323</v>
      </c>
      <c r="D325" s="190">
        <v>469</v>
      </c>
      <c r="E325" s="277" t="s">
        <v>2613</v>
      </c>
      <c r="F325" s="213" t="s">
        <v>2612</v>
      </c>
      <c r="G325" s="192" t="s">
        <v>525</v>
      </c>
      <c r="H32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25" s="194">
        <v>4765950</v>
      </c>
      <c r="J325" s="194">
        <f>+Elementos_[[#This Row],[Valor de referencia]]*Elementos_[[#This Row],[Cantidad]]</f>
        <v>4765950</v>
      </c>
      <c r="K325" s="166"/>
      <c r="L325" s="159">
        <f>+Elementos_[[#This Row],[Cantidad LANIP]]*Elementos_[[#This Row],[Valor de referencia]]</f>
        <v>0</v>
      </c>
      <c r="M325" s="270">
        <v>0</v>
      </c>
      <c r="N325" s="195">
        <f>+Elementos_[[#This Row],[Cantidad 
LDV]]*Elementos_[[#This Row],[Valor de referencia]]</f>
        <v>0</v>
      </c>
      <c r="O325" s="166"/>
      <c r="P325" s="159">
        <f>+Elementos_[[#This Row],[Cantidad LNDV]]*Elementos_[[#This Row],[Valor de referencia]]</f>
        <v>0</v>
      </c>
      <c r="Q325" s="196"/>
      <c r="R325" s="159">
        <f>+Elementos_[[#This Row],[GGCA]]*Elementos_[[#This Row],[Valor de referencia]]</f>
        <v>0</v>
      </c>
      <c r="S325" s="166"/>
      <c r="T325" s="159">
        <f>+Elementos_[[#This Row],[Cantidad LDF]]*Elementos_[[#This Row],[Valor de referencia]]</f>
        <v>0</v>
      </c>
      <c r="U325" s="197">
        <v>1</v>
      </c>
      <c r="V325" s="159">
        <f>+Elementos_[[#This Row],[Cantidad LDF&amp;MR]]*Elementos_[[#This Row],[Valor de referencia]]</f>
        <v>4765950</v>
      </c>
      <c r="W325" s="166"/>
      <c r="X325" s="159">
        <f>+Elementos_[[#This Row],[Cantidad RED LASE]]*Elementos_[[#This Row],[Valor de referencia]]</f>
        <v>0</v>
      </c>
      <c r="Y325" s="196"/>
      <c r="Z325" s="159">
        <f>+Elementos_[[#This Row],[Cantidad LANIA]]*Elementos_[[#This Row],[Valor de referencia]]</f>
        <v>0</v>
      </c>
      <c r="AA325" s="196"/>
      <c r="AB325" s="159">
        <f>+Elementos_[[#This Row],[Cantidad SPA]]*Elementos_[[#This Row],[Valor de referencia]]</f>
        <v>0</v>
      </c>
      <c r="AC325" s="166" t="s">
        <v>2041</v>
      </c>
    </row>
    <row r="326" spans="1:29" ht="60" x14ac:dyDescent="0.2">
      <c r="A326" s="294" t="str">
        <f>IF(B326=Elementos_[[#This Row],[Cantidad LANIP]],"LANIP",IF(B326=Elementos_[[#This Row],[Cantidad 
LDV]],"LDV",IF(B326=Elementos_[[#This Row],[Cantidad LNDV]],"LNDV",IF(B326=Elementos_[[#This Row],[GGCA]],"GGCA",IF(B326=Elementos_[[#This Row],[Cantidad LDF]],"LDF",IF(B326=Elementos_[[#This Row],[Cantidad LDF&amp;MR]],"LDF&amp;MR",IF(B326=Elementos_[[#This Row],[Cantidad RED LASE]],"LASE",IF(B326=Elementos_[[#This Row],[Cantidad LANIA]],"LANIA",IF(B326=Elementos_[[#This Row],[Cantidad SPA]],"SPA"," ")))))))))</f>
        <v>LDV</v>
      </c>
      <c r="B32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26" s="298">
        <v>324</v>
      </c>
      <c r="D326" s="190">
        <v>472</v>
      </c>
      <c r="E326" s="277" t="s">
        <v>2614</v>
      </c>
      <c r="F326" s="205" t="s">
        <v>2615</v>
      </c>
      <c r="G326" s="192" t="s">
        <v>525</v>
      </c>
      <c r="H32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26" s="194">
        <v>10308770</v>
      </c>
      <c r="J326" s="194">
        <f>+Elementos_[[#This Row],[Valor de referencia]]*Elementos_[[#This Row],[Cantidad]]</f>
        <v>20617540</v>
      </c>
      <c r="K326" s="166"/>
      <c r="L326" s="159">
        <f>+Elementos_[[#This Row],[Cantidad LANIP]]*Elementos_[[#This Row],[Valor de referencia]]</f>
        <v>0</v>
      </c>
      <c r="M326" s="270">
        <v>2</v>
      </c>
      <c r="N326" s="195">
        <f>+Elementos_[[#This Row],[Cantidad 
LDV]]*Elementos_[[#This Row],[Valor de referencia]]</f>
        <v>20617540</v>
      </c>
      <c r="O326" s="166"/>
      <c r="P326" s="159">
        <f>+Elementos_[[#This Row],[Cantidad LNDV]]*Elementos_[[#This Row],[Valor de referencia]]</f>
        <v>0</v>
      </c>
      <c r="Q326" s="196"/>
      <c r="R326" s="159">
        <f>+Elementos_[[#This Row],[GGCA]]*Elementos_[[#This Row],[Valor de referencia]]</f>
        <v>0</v>
      </c>
      <c r="S326" s="166"/>
      <c r="T326" s="159">
        <f>+Elementos_[[#This Row],[Cantidad LDF]]*Elementos_[[#This Row],[Valor de referencia]]</f>
        <v>0</v>
      </c>
      <c r="U326" s="197"/>
      <c r="V326" s="159">
        <f>+Elementos_[[#This Row],[Cantidad LDF&amp;MR]]*Elementos_[[#This Row],[Valor de referencia]]</f>
        <v>0</v>
      </c>
      <c r="W326" s="166"/>
      <c r="X326" s="159">
        <f>+Elementos_[[#This Row],[Cantidad RED LASE]]*Elementos_[[#This Row],[Valor de referencia]]</f>
        <v>0</v>
      </c>
      <c r="Y326" s="196"/>
      <c r="Z326" s="159">
        <f>+Elementos_[[#This Row],[Cantidad LANIA]]*Elementos_[[#This Row],[Valor de referencia]]</f>
        <v>0</v>
      </c>
      <c r="AA326" s="196"/>
      <c r="AB326" s="159">
        <f>+Elementos_[[#This Row],[Cantidad SPA]]*Elementos_[[#This Row],[Valor de referencia]]</f>
        <v>0</v>
      </c>
      <c r="AC326" s="166" t="s">
        <v>2041</v>
      </c>
    </row>
    <row r="327" spans="1:29" ht="72" x14ac:dyDescent="0.2">
      <c r="A327" s="294" t="str">
        <f>IF(B327=Elementos_[[#This Row],[Cantidad LANIP]],"LANIP",IF(B327=Elementos_[[#This Row],[Cantidad 
LDV]],"LDV",IF(B327=Elementos_[[#This Row],[Cantidad LNDV]],"LNDV",IF(B327=Elementos_[[#This Row],[GGCA]],"GGCA",IF(B327=Elementos_[[#This Row],[Cantidad LDF]],"LDF",IF(B327=Elementos_[[#This Row],[Cantidad LDF&amp;MR]],"LDF&amp;MR",IF(B327=Elementos_[[#This Row],[Cantidad RED LASE]],"LASE",IF(B327=Elementos_[[#This Row],[Cantidad LANIA]],"LANIA",IF(B327=Elementos_[[#This Row],[Cantidad SPA]],"SPA"," ")))))))))</f>
        <v>LANIA</v>
      </c>
      <c r="B32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27" s="298">
        <v>325</v>
      </c>
      <c r="D327" s="190">
        <v>477</v>
      </c>
      <c r="E327" s="313" t="s">
        <v>2616</v>
      </c>
      <c r="F327" s="214" t="s">
        <v>2617</v>
      </c>
      <c r="G327" s="192" t="s">
        <v>525</v>
      </c>
      <c r="H32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27" s="194">
        <v>1464912</v>
      </c>
      <c r="J327" s="194">
        <f>+Elementos_[[#This Row],[Valor de referencia]]*Elementos_[[#This Row],[Cantidad]]</f>
        <v>1464912</v>
      </c>
      <c r="K327" s="166"/>
      <c r="L327" s="159">
        <f>+Elementos_[[#This Row],[Cantidad LANIP]]*Elementos_[[#This Row],[Valor de referencia]]</f>
        <v>0</v>
      </c>
      <c r="M327" s="270">
        <v>0</v>
      </c>
      <c r="N327" s="195">
        <f>+Elementos_[[#This Row],[Cantidad 
LDV]]*Elementos_[[#This Row],[Valor de referencia]]</f>
        <v>0</v>
      </c>
      <c r="O327" s="166"/>
      <c r="P327" s="159">
        <f>+Elementos_[[#This Row],[Cantidad LNDV]]*Elementos_[[#This Row],[Valor de referencia]]</f>
        <v>0</v>
      </c>
      <c r="Q327" s="196"/>
      <c r="R327" s="159">
        <f>+Elementos_[[#This Row],[GGCA]]*Elementos_[[#This Row],[Valor de referencia]]</f>
        <v>0</v>
      </c>
      <c r="S327" s="166"/>
      <c r="T327" s="159">
        <f>+Elementos_[[#This Row],[Cantidad LDF]]*Elementos_[[#This Row],[Valor de referencia]]</f>
        <v>0</v>
      </c>
      <c r="U327" s="197"/>
      <c r="V327" s="159">
        <f>+Elementos_[[#This Row],[Cantidad LDF&amp;MR]]*Elementos_[[#This Row],[Valor de referencia]]</f>
        <v>0</v>
      </c>
      <c r="W327" s="166"/>
      <c r="X327" s="159">
        <f>+Elementos_[[#This Row],[Cantidad RED LASE]]*Elementos_[[#This Row],[Valor de referencia]]</f>
        <v>0</v>
      </c>
      <c r="Y327" s="196">
        <v>1</v>
      </c>
      <c r="Z327" s="159">
        <f>+Elementos_[[#This Row],[Cantidad LANIA]]*Elementos_[[#This Row],[Valor de referencia]]</f>
        <v>1464912</v>
      </c>
      <c r="AA327" s="196"/>
      <c r="AB327" s="159">
        <f>+Elementos_[[#This Row],[Cantidad SPA]]*Elementos_[[#This Row],[Valor de referencia]]</f>
        <v>0</v>
      </c>
      <c r="AC327" s="166" t="s">
        <v>2041</v>
      </c>
    </row>
    <row r="328" spans="1:29" ht="58.5" customHeight="1" x14ac:dyDescent="0.2">
      <c r="A328" s="294" t="str">
        <f>IF(B328=Elementos_[[#This Row],[Cantidad LANIP]],"LANIP",IF(B328=Elementos_[[#This Row],[Cantidad 
LDV]],"LDV",IF(B328=Elementos_[[#This Row],[Cantidad LNDV]],"LNDV",IF(B328=Elementos_[[#This Row],[GGCA]],"GGCA",IF(B328=Elementos_[[#This Row],[Cantidad LDF]],"LDF",IF(B328=Elementos_[[#This Row],[Cantidad LDF&amp;MR]],"LDF&amp;MR",IF(B328=Elementos_[[#This Row],[Cantidad RED LASE]],"LASE",IF(B328=Elementos_[[#This Row],[Cantidad LANIA]],"LANIA",IF(B328=Elementos_[[#This Row],[Cantidad SPA]],"SPA"," ")))))))))</f>
        <v>LNDV</v>
      </c>
      <c r="B32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C328" s="298">
        <v>326</v>
      </c>
      <c r="D328" s="190">
        <v>481</v>
      </c>
      <c r="E328" s="299" t="s">
        <v>2618</v>
      </c>
      <c r="F328" s="307" t="s">
        <v>2619</v>
      </c>
      <c r="G328" s="192" t="s">
        <v>2328</v>
      </c>
      <c r="H32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328" s="194">
        <v>1484756</v>
      </c>
      <c r="J328" s="194">
        <f>+Elementos_[[#This Row],[Valor de referencia]]*Elementos_[[#This Row],[Cantidad]]</f>
        <v>19301828</v>
      </c>
      <c r="K328" s="166"/>
      <c r="L328" s="159">
        <f>+Elementos_[[#This Row],[Cantidad LANIP]]*Elementos_[[#This Row],[Valor de referencia]]</f>
        <v>0</v>
      </c>
      <c r="M328" s="270"/>
      <c r="N328" s="195">
        <f>+Elementos_[[#This Row],[Cantidad 
LDV]]*Elementos_[[#This Row],[Valor de referencia]]</f>
        <v>0</v>
      </c>
      <c r="O328" s="166">
        <v>13</v>
      </c>
      <c r="P328" s="159">
        <f>+Elementos_[[#This Row],[Cantidad LNDV]]*Elementos_[[#This Row],[Valor de referencia]]</f>
        <v>19301828</v>
      </c>
      <c r="Q328" s="196"/>
      <c r="R328" s="159">
        <f>+Elementos_[[#This Row],[GGCA]]*Elementos_[[#This Row],[Valor de referencia]]</f>
        <v>0</v>
      </c>
      <c r="S328" s="166"/>
      <c r="T328" s="159">
        <f>+Elementos_[[#This Row],[Cantidad LDF]]*Elementos_[[#This Row],[Valor de referencia]]</f>
        <v>0</v>
      </c>
      <c r="U328" s="197"/>
      <c r="V328" s="159">
        <f>+Elementos_[[#This Row],[Cantidad LDF&amp;MR]]*Elementos_[[#This Row],[Valor de referencia]]</f>
        <v>0</v>
      </c>
      <c r="W328" s="166"/>
      <c r="X328" s="159">
        <f>+Elementos_[[#This Row],[Cantidad RED LASE]]*Elementos_[[#This Row],[Valor de referencia]]</f>
        <v>0</v>
      </c>
      <c r="Y328" s="196"/>
      <c r="Z328" s="159">
        <f>+Elementos_[[#This Row],[Cantidad LANIA]]*Elementos_[[#This Row],[Valor de referencia]]</f>
        <v>0</v>
      </c>
      <c r="AA328" s="196"/>
      <c r="AB328" s="159">
        <f>+Elementos_[[#This Row],[Cantidad SPA]]*Elementos_[[#This Row],[Valor de referencia]]</f>
        <v>0</v>
      </c>
      <c r="AC328" s="166" t="s">
        <v>2041</v>
      </c>
    </row>
    <row r="329" spans="1:29" ht="60" x14ac:dyDescent="0.2">
      <c r="A329" s="294" t="str">
        <f>IF(B329=Elementos_[[#This Row],[Cantidad LANIP]],"LANIP",IF(B329=Elementos_[[#This Row],[Cantidad 
LDV]],"LDV",IF(B329=Elementos_[[#This Row],[Cantidad LNDV]],"LNDV",IF(B329=Elementos_[[#This Row],[GGCA]],"GGCA",IF(B329=Elementos_[[#This Row],[Cantidad LDF]],"LDF",IF(B329=Elementos_[[#This Row],[Cantidad LDF&amp;MR]],"LDF&amp;MR",IF(B329=Elementos_[[#This Row],[Cantidad RED LASE]],"LASE",IF(B329=Elementos_[[#This Row],[Cantidad LANIA]],"LANIA",IF(B329=Elementos_[[#This Row],[Cantidad SPA]],"SPA"," ")))))))))</f>
        <v>LDV</v>
      </c>
      <c r="B32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29" s="298">
        <v>327</v>
      </c>
      <c r="D329" s="190">
        <v>484</v>
      </c>
      <c r="E329" s="273" t="s">
        <v>2620</v>
      </c>
      <c r="F329" s="217" t="s">
        <v>2621</v>
      </c>
      <c r="G329" s="192" t="s">
        <v>2549</v>
      </c>
      <c r="H32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29" s="194">
        <v>1261461</v>
      </c>
      <c r="J329" s="194">
        <f>+Elementos_[[#This Row],[Valor de referencia]]*Elementos_[[#This Row],[Cantidad]]</f>
        <v>2522922</v>
      </c>
      <c r="K329" s="166"/>
      <c r="L329" s="159">
        <f>+Elementos_[[#This Row],[Cantidad LANIP]]*Elementos_[[#This Row],[Valor de referencia]]</f>
        <v>0</v>
      </c>
      <c r="M329" s="270">
        <v>1</v>
      </c>
      <c r="N329" s="195">
        <f>+Elementos_[[#This Row],[Cantidad 
LDV]]*Elementos_[[#This Row],[Valor de referencia]]</f>
        <v>1261461</v>
      </c>
      <c r="O329" s="166">
        <v>1</v>
      </c>
      <c r="P329" s="159">
        <f>+Elementos_[[#This Row],[Cantidad LNDV]]*Elementos_[[#This Row],[Valor de referencia]]</f>
        <v>1261461</v>
      </c>
      <c r="Q329" s="196"/>
      <c r="R329" s="159">
        <f>+Elementos_[[#This Row],[GGCA]]*Elementos_[[#This Row],[Valor de referencia]]</f>
        <v>0</v>
      </c>
      <c r="S329" s="166"/>
      <c r="T329" s="159">
        <f>+Elementos_[[#This Row],[Cantidad LDF]]*Elementos_[[#This Row],[Valor de referencia]]</f>
        <v>0</v>
      </c>
      <c r="U329" s="197"/>
      <c r="V329" s="159">
        <f>+Elementos_[[#This Row],[Cantidad LDF&amp;MR]]*Elementos_[[#This Row],[Valor de referencia]]</f>
        <v>0</v>
      </c>
      <c r="W329" s="166"/>
      <c r="X329" s="159">
        <f>+Elementos_[[#This Row],[Cantidad RED LASE]]*Elementos_[[#This Row],[Valor de referencia]]</f>
        <v>0</v>
      </c>
      <c r="Y329" s="196"/>
      <c r="Z329" s="159">
        <f>+Elementos_[[#This Row],[Cantidad LANIA]]*Elementos_[[#This Row],[Valor de referencia]]</f>
        <v>0</v>
      </c>
      <c r="AA329" s="196"/>
      <c r="AB329" s="159">
        <f>+Elementos_[[#This Row],[Cantidad SPA]]*Elementos_[[#This Row],[Valor de referencia]]</f>
        <v>0</v>
      </c>
      <c r="AC329" s="166" t="s">
        <v>2041</v>
      </c>
    </row>
    <row r="330" spans="1:29" ht="36" x14ac:dyDescent="0.2">
      <c r="A330" s="294" t="str">
        <f>IF(B330=Elementos_[[#This Row],[Cantidad LANIP]],"LANIP",IF(B330=Elementos_[[#This Row],[Cantidad 
LDV]],"LDV",IF(B330=Elementos_[[#This Row],[Cantidad LNDV]],"LNDV",IF(B330=Elementos_[[#This Row],[GGCA]],"GGCA",IF(B330=Elementos_[[#This Row],[Cantidad LDF]],"LDF",IF(B330=Elementos_[[#This Row],[Cantidad LDF&amp;MR]],"LDF&amp;MR",IF(B330=Elementos_[[#This Row],[Cantidad RED LASE]],"LASE",IF(B330=Elementos_[[#This Row],[Cantidad LANIA]],"LANIA",IF(B330=Elementos_[[#This Row],[Cantidad SPA]],"SPA"," ")))))))))</f>
        <v>LNDV</v>
      </c>
      <c r="B33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330" s="298">
        <v>328</v>
      </c>
      <c r="D330" s="190">
        <v>485</v>
      </c>
      <c r="E330" s="273" t="s">
        <v>2622</v>
      </c>
      <c r="F330" s="217" t="s">
        <v>2623</v>
      </c>
      <c r="G330" s="192" t="s">
        <v>2624</v>
      </c>
      <c r="H33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330" s="194">
        <v>5166259</v>
      </c>
      <c r="J330" s="194">
        <f>+Elementos_[[#This Row],[Valor de referencia]]*Elementos_[[#This Row],[Cantidad]]</f>
        <v>20665036</v>
      </c>
      <c r="K330" s="166"/>
      <c r="L330" s="159">
        <f>+Elementos_[[#This Row],[Cantidad LANIP]]*Elementos_[[#This Row],[Valor de referencia]]</f>
        <v>0</v>
      </c>
      <c r="M330" s="270"/>
      <c r="N330" s="195">
        <f>+Elementos_[[#This Row],[Cantidad 
LDV]]*Elementos_[[#This Row],[Valor de referencia]]</f>
        <v>0</v>
      </c>
      <c r="O330" s="166">
        <v>4</v>
      </c>
      <c r="P330" s="159">
        <f>+Elementos_[[#This Row],[Cantidad LNDV]]*Elementos_[[#This Row],[Valor de referencia]]</f>
        <v>20665036</v>
      </c>
      <c r="Q330" s="196"/>
      <c r="R330" s="159">
        <f>+Elementos_[[#This Row],[GGCA]]*Elementos_[[#This Row],[Valor de referencia]]</f>
        <v>0</v>
      </c>
      <c r="S330" s="166"/>
      <c r="T330" s="159">
        <f>+Elementos_[[#This Row],[Cantidad LDF]]*Elementos_[[#This Row],[Valor de referencia]]</f>
        <v>0</v>
      </c>
      <c r="U330" s="197"/>
      <c r="V330" s="159">
        <f>+Elementos_[[#This Row],[Cantidad LDF&amp;MR]]*Elementos_[[#This Row],[Valor de referencia]]</f>
        <v>0</v>
      </c>
      <c r="W330" s="166"/>
      <c r="X330" s="159">
        <f>+Elementos_[[#This Row],[Cantidad RED LASE]]*Elementos_[[#This Row],[Valor de referencia]]</f>
        <v>0</v>
      </c>
      <c r="Y330" s="196"/>
      <c r="Z330" s="159">
        <f>+Elementos_[[#This Row],[Cantidad LANIA]]*Elementos_[[#This Row],[Valor de referencia]]</f>
        <v>0</v>
      </c>
      <c r="AA330" s="196"/>
      <c r="AB330" s="159">
        <f>+Elementos_[[#This Row],[Cantidad SPA]]*Elementos_[[#This Row],[Valor de referencia]]</f>
        <v>0</v>
      </c>
      <c r="AC330" s="166" t="s">
        <v>2041</v>
      </c>
    </row>
    <row r="331" spans="1:29" ht="48" x14ac:dyDescent="0.2">
      <c r="A331" s="294" t="str">
        <f>IF(B331=Elementos_[[#This Row],[Cantidad LANIP]],"LANIP",IF(B331=Elementos_[[#This Row],[Cantidad 
LDV]],"LDV",IF(B331=Elementos_[[#This Row],[Cantidad LNDV]],"LNDV",IF(B331=Elementos_[[#This Row],[GGCA]],"GGCA",IF(B331=Elementos_[[#This Row],[Cantidad LDF]],"LDF",IF(B331=Elementos_[[#This Row],[Cantidad LDF&amp;MR]],"LDF&amp;MR",IF(B331=Elementos_[[#This Row],[Cantidad RED LASE]],"LASE",IF(B331=Elementos_[[#This Row],[Cantidad LANIA]],"LANIA",IF(B331=Elementos_[[#This Row],[Cantidad SPA]],"SPA"," ")))))))))</f>
        <v>LDV</v>
      </c>
      <c r="B33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31" s="298">
        <v>329</v>
      </c>
      <c r="D331" s="190">
        <v>486</v>
      </c>
      <c r="E331" s="273" t="s">
        <v>2625</v>
      </c>
      <c r="F331" s="216" t="s">
        <v>2626</v>
      </c>
      <c r="G331" s="220" t="s">
        <v>2328</v>
      </c>
      <c r="H33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v>
      </c>
      <c r="I331" s="194">
        <v>2414629</v>
      </c>
      <c r="J331" s="194">
        <f>+Elementos_[[#This Row],[Valor de referencia]]*Elementos_[[#This Row],[Cantidad]]</f>
        <v>26560919</v>
      </c>
      <c r="K331" s="166"/>
      <c r="L331" s="159">
        <f>+Elementos_[[#This Row],[Cantidad LANIP]]*Elementos_[[#This Row],[Valor de referencia]]</f>
        <v>0</v>
      </c>
      <c r="M331" s="270">
        <v>10</v>
      </c>
      <c r="N331" s="195">
        <f>+Elementos_[[#This Row],[Cantidad 
LDV]]*Elementos_[[#This Row],[Valor de referencia]]</f>
        <v>24146290</v>
      </c>
      <c r="O331" s="166">
        <v>1</v>
      </c>
      <c r="P331" s="159">
        <f>+Elementos_[[#This Row],[Cantidad LNDV]]*Elementos_[[#This Row],[Valor de referencia]]</f>
        <v>2414629</v>
      </c>
      <c r="Q331" s="196"/>
      <c r="R331" s="159">
        <f>+Elementos_[[#This Row],[GGCA]]*Elementos_[[#This Row],[Valor de referencia]]</f>
        <v>0</v>
      </c>
      <c r="S331" s="166"/>
      <c r="T331" s="159">
        <f>+Elementos_[[#This Row],[Cantidad LDF]]*Elementos_[[#This Row],[Valor de referencia]]</f>
        <v>0</v>
      </c>
      <c r="U331" s="197"/>
      <c r="V331" s="159">
        <f>+Elementos_[[#This Row],[Cantidad LDF&amp;MR]]*Elementos_[[#This Row],[Valor de referencia]]</f>
        <v>0</v>
      </c>
      <c r="W331" s="166"/>
      <c r="X331" s="159">
        <f>+Elementos_[[#This Row],[Cantidad RED LASE]]*Elementos_[[#This Row],[Valor de referencia]]</f>
        <v>0</v>
      </c>
      <c r="Y331" s="196"/>
      <c r="Z331" s="159">
        <f>+Elementos_[[#This Row],[Cantidad LANIA]]*Elementos_[[#This Row],[Valor de referencia]]</f>
        <v>0</v>
      </c>
      <c r="AA331" s="196"/>
      <c r="AB331" s="159">
        <f>+Elementos_[[#This Row],[Cantidad SPA]]*Elementos_[[#This Row],[Valor de referencia]]</f>
        <v>0</v>
      </c>
      <c r="AC331" s="166" t="s">
        <v>2041</v>
      </c>
    </row>
    <row r="332" spans="1:29" ht="24" x14ac:dyDescent="0.2">
      <c r="A332" s="294" t="str">
        <f>IF(B332=Elementos_[[#This Row],[Cantidad LANIP]],"LANIP",IF(B332=Elementos_[[#This Row],[Cantidad 
LDV]],"LDV",IF(B332=Elementos_[[#This Row],[Cantidad LNDV]],"LNDV",IF(B332=Elementos_[[#This Row],[GGCA]],"GGCA",IF(B332=Elementos_[[#This Row],[Cantidad LDF]],"LDF",IF(B332=Elementos_[[#This Row],[Cantidad LDF&amp;MR]],"LDF&amp;MR",IF(B332=Elementos_[[#This Row],[Cantidad RED LASE]],"LASE",IF(B332=Elementos_[[#This Row],[Cantidad LANIA]],"LANIA",IF(B332=Elementos_[[#This Row],[Cantidad SPA]],"SPA"," ")))))))))</f>
        <v>LDF</v>
      </c>
      <c r="B33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32" s="298">
        <v>330</v>
      </c>
      <c r="D332" s="190">
        <v>489</v>
      </c>
      <c r="E332" s="273" t="s">
        <v>2627</v>
      </c>
      <c r="F332" s="204" t="s">
        <v>183</v>
      </c>
      <c r="G332" s="198" t="s">
        <v>2628</v>
      </c>
      <c r="H33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32" s="194">
        <v>331448</v>
      </c>
      <c r="J332" s="194">
        <f>+Elementos_[[#This Row],[Valor de referencia]]*Elementos_[[#This Row],[Cantidad]]</f>
        <v>1988688</v>
      </c>
      <c r="K332" s="166"/>
      <c r="L332" s="159">
        <f>+Elementos_[[#This Row],[Cantidad LANIP]]*Elementos_[[#This Row],[Valor de referencia]]</f>
        <v>0</v>
      </c>
      <c r="M332" s="270">
        <v>0</v>
      </c>
      <c r="N332" s="195">
        <f>+Elementos_[[#This Row],[Cantidad 
LDV]]*Elementos_[[#This Row],[Valor de referencia]]</f>
        <v>0</v>
      </c>
      <c r="O332" s="166"/>
      <c r="P332" s="159">
        <f>+Elementos_[[#This Row],[Cantidad LNDV]]*Elementos_[[#This Row],[Valor de referencia]]</f>
        <v>0</v>
      </c>
      <c r="Q332" s="196"/>
      <c r="R332" s="159">
        <f>+Elementos_[[#This Row],[GGCA]]*Elementos_[[#This Row],[Valor de referencia]]</f>
        <v>0</v>
      </c>
      <c r="S332" s="166">
        <v>6</v>
      </c>
      <c r="T332" s="159">
        <f>+Elementos_[[#This Row],[Cantidad LDF]]*Elementos_[[#This Row],[Valor de referencia]]</f>
        <v>1988688</v>
      </c>
      <c r="U332" s="197"/>
      <c r="V332" s="159">
        <f>+Elementos_[[#This Row],[Cantidad LDF&amp;MR]]*Elementos_[[#This Row],[Valor de referencia]]</f>
        <v>0</v>
      </c>
      <c r="W332" s="166"/>
      <c r="X332" s="159">
        <f>+Elementos_[[#This Row],[Cantidad RED LASE]]*Elementos_[[#This Row],[Valor de referencia]]</f>
        <v>0</v>
      </c>
      <c r="Y332" s="196"/>
      <c r="Z332" s="159">
        <f>+Elementos_[[#This Row],[Cantidad LANIA]]*Elementos_[[#This Row],[Valor de referencia]]</f>
        <v>0</v>
      </c>
      <c r="AA332" s="196"/>
      <c r="AB332" s="159">
        <f>+Elementos_[[#This Row],[Cantidad SPA]]*Elementos_[[#This Row],[Valor de referencia]]</f>
        <v>0</v>
      </c>
      <c r="AC332" s="166" t="s">
        <v>2041</v>
      </c>
    </row>
    <row r="333" spans="1:29" ht="24" x14ac:dyDescent="0.2">
      <c r="A333" s="294" t="str">
        <f>IF(B333=Elementos_[[#This Row],[Cantidad LANIP]],"LANIP",IF(B333=Elementos_[[#This Row],[Cantidad 
LDV]],"LDV",IF(B333=Elementos_[[#This Row],[Cantidad LNDV]],"LNDV",IF(B333=Elementos_[[#This Row],[GGCA]],"GGCA",IF(B333=Elementos_[[#This Row],[Cantidad LDF]],"LDF",IF(B333=Elementos_[[#This Row],[Cantidad LDF&amp;MR]],"LDF&amp;MR",IF(B333=Elementos_[[#This Row],[Cantidad RED LASE]],"LASE",IF(B333=Elementos_[[#This Row],[Cantidad LANIA]],"LANIA",IF(B333=Elementos_[[#This Row],[Cantidad SPA]],"SPA"," ")))))))))</f>
        <v>LDF</v>
      </c>
      <c r="B33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33" s="298">
        <v>331</v>
      </c>
      <c r="D333" s="190">
        <v>490</v>
      </c>
      <c r="E333" s="273" t="s">
        <v>2629</v>
      </c>
      <c r="F333" s="204" t="s">
        <v>2630</v>
      </c>
      <c r="G333" s="192" t="s">
        <v>2081</v>
      </c>
      <c r="H33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33" s="194">
        <v>349265</v>
      </c>
      <c r="J333" s="194">
        <f>+Elementos_[[#This Row],[Valor de referencia]]*Elementos_[[#This Row],[Cantidad]]</f>
        <v>698530</v>
      </c>
      <c r="K333" s="166"/>
      <c r="L333" s="159">
        <f>+Elementos_[[#This Row],[Cantidad LANIP]]*Elementos_[[#This Row],[Valor de referencia]]</f>
        <v>0</v>
      </c>
      <c r="M333" s="270"/>
      <c r="N333" s="195">
        <f>+Elementos_[[#This Row],[Cantidad 
LDV]]*Elementos_[[#This Row],[Valor de referencia]]</f>
        <v>0</v>
      </c>
      <c r="O333" s="166"/>
      <c r="P333" s="159">
        <f>+Elementos_[[#This Row],[Cantidad LNDV]]*Elementos_[[#This Row],[Valor de referencia]]</f>
        <v>0</v>
      </c>
      <c r="Q333" s="196"/>
      <c r="R333" s="159">
        <f>+Elementos_[[#This Row],[GGCA]]*Elementos_[[#This Row],[Valor de referencia]]</f>
        <v>0</v>
      </c>
      <c r="S333" s="166">
        <v>2</v>
      </c>
      <c r="T333" s="159">
        <f>+Elementos_[[#This Row],[Cantidad LDF]]*Elementos_[[#This Row],[Valor de referencia]]</f>
        <v>698530</v>
      </c>
      <c r="U333" s="197"/>
      <c r="V333" s="159">
        <f>+Elementos_[[#This Row],[Cantidad LDF&amp;MR]]*Elementos_[[#This Row],[Valor de referencia]]</f>
        <v>0</v>
      </c>
      <c r="W333" s="166"/>
      <c r="X333" s="159">
        <f>+Elementos_[[#This Row],[Cantidad RED LASE]]*Elementos_[[#This Row],[Valor de referencia]]</f>
        <v>0</v>
      </c>
      <c r="Y333" s="196"/>
      <c r="Z333" s="159">
        <f>+Elementos_[[#This Row],[Cantidad LANIA]]*Elementos_[[#This Row],[Valor de referencia]]</f>
        <v>0</v>
      </c>
      <c r="AA333" s="196"/>
      <c r="AB333" s="159">
        <f>+Elementos_[[#This Row],[Cantidad SPA]]*Elementos_[[#This Row],[Valor de referencia]]</f>
        <v>0</v>
      </c>
      <c r="AC333" s="166" t="s">
        <v>2041</v>
      </c>
    </row>
    <row r="334" spans="1:29" ht="36" x14ac:dyDescent="0.2">
      <c r="A334" s="294" t="str">
        <f>IF(B334=Elementos_[[#This Row],[Cantidad LANIP]],"LANIP",IF(B334=Elementos_[[#This Row],[Cantidad 
LDV]],"LDV",IF(B334=Elementos_[[#This Row],[Cantidad LNDV]],"LNDV",IF(B334=Elementos_[[#This Row],[GGCA]],"GGCA",IF(B334=Elementos_[[#This Row],[Cantidad LDF]],"LDF",IF(B334=Elementos_[[#This Row],[Cantidad LDF&amp;MR]],"LDF&amp;MR",IF(B334=Elementos_[[#This Row],[Cantidad RED LASE]],"LASE",IF(B334=Elementos_[[#This Row],[Cantidad LANIA]],"LANIA",IF(B334=Elementos_[[#This Row],[Cantidad SPA]],"SPA"," ")))))))))</f>
        <v>LDF</v>
      </c>
      <c r="B33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C334" s="298">
        <v>332</v>
      </c>
      <c r="D334" s="190">
        <v>493</v>
      </c>
      <c r="E334" s="273" t="s">
        <v>2631</v>
      </c>
      <c r="F334" s="201" t="s">
        <v>183</v>
      </c>
      <c r="G334" s="202" t="s">
        <v>525</v>
      </c>
      <c r="H33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I334" s="194">
        <v>205371</v>
      </c>
      <c r="J334" s="194">
        <f>+Elementos_[[#This Row],[Valor de referencia]]*Elementos_[[#This Row],[Cantidad]]</f>
        <v>6161130</v>
      </c>
      <c r="K334" s="166"/>
      <c r="L334" s="159">
        <f>+Elementos_[[#This Row],[Cantidad LANIP]]*Elementos_[[#This Row],[Valor de referencia]]</f>
        <v>0</v>
      </c>
      <c r="M334" s="270">
        <v>5</v>
      </c>
      <c r="N334" s="195">
        <f>+Elementos_[[#This Row],[Cantidad 
LDV]]*Elementos_[[#This Row],[Valor de referencia]]</f>
        <v>1026855</v>
      </c>
      <c r="O334" s="166"/>
      <c r="P334" s="159">
        <f>+Elementos_[[#This Row],[Cantidad LNDV]]*Elementos_[[#This Row],[Valor de referencia]]</f>
        <v>0</v>
      </c>
      <c r="Q334" s="196"/>
      <c r="R334" s="159">
        <f>+Elementos_[[#This Row],[GGCA]]*Elementos_[[#This Row],[Valor de referencia]]</f>
        <v>0</v>
      </c>
      <c r="S334" s="166">
        <v>14</v>
      </c>
      <c r="T334" s="159">
        <f>+Elementos_[[#This Row],[Cantidad LDF]]*Elementos_[[#This Row],[Valor de referencia]]</f>
        <v>2875194</v>
      </c>
      <c r="U334" s="197">
        <v>10</v>
      </c>
      <c r="V334" s="159">
        <f>+Elementos_[[#This Row],[Cantidad LDF&amp;MR]]*Elementos_[[#This Row],[Valor de referencia]]</f>
        <v>2053710</v>
      </c>
      <c r="W334" s="166"/>
      <c r="X334" s="159">
        <f>+Elementos_[[#This Row],[Cantidad RED LASE]]*Elementos_[[#This Row],[Valor de referencia]]</f>
        <v>0</v>
      </c>
      <c r="Y334" s="196">
        <v>1</v>
      </c>
      <c r="Z334" s="159">
        <f>+Elementos_[[#This Row],[Cantidad LANIA]]*Elementos_[[#This Row],[Valor de referencia]]</f>
        <v>205371</v>
      </c>
      <c r="AA334" s="196"/>
      <c r="AB334" s="159">
        <f>+Elementos_[[#This Row],[Cantidad SPA]]*Elementos_[[#This Row],[Valor de referencia]]</f>
        <v>0</v>
      </c>
      <c r="AC334" s="166" t="s">
        <v>2041</v>
      </c>
    </row>
    <row r="335" spans="1:29" ht="12.75" x14ac:dyDescent="0.2">
      <c r="A335" s="294" t="str">
        <f>IF(B335=Elementos_[[#This Row],[Cantidad LANIP]],"LANIP",IF(B335=Elementos_[[#This Row],[Cantidad 
LDV]],"LDV",IF(B335=Elementos_[[#This Row],[Cantidad LNDV]],"LNDV",IF(B335=Elementos_[[#This Row],[GGCA]],"GGCA",IF(B335=Elementos_[[#This Row],[Cantidad LDF]],"LDF",IF(B335=Elementos_[[#This Row],[Cantidad LDF&amp;MR]],"LDF&amp;MR",IF(B335=Elementos_[[#This Row],[Cantidad RED LASE]],"LASE",IF(B335=Elementos_[[#This Row],[Cantidad LANIA]],"LANIA",IF(B335=Elementos_[[#This Row],[Cantidad SPA]],"SPA"," ")))))))))</f>
        <v>LNDV</v>
      </c>
      <c r="B33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335" s="298">
        <v>333</v>
      </c>
      <c r="D335" s="190">
        <v>497</v>
      </c>
      <c r="E335" s="273" t="s">
        <v>2632</v>
      </c>
      <c r="F335" s="204" t="s">
        <v>183</v>
      </c>
      <c r="G335" s="192" t="s">
        <v>2633</v>
      </c>
      <c r="H33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335" s="194">
        <v>101723</v>
      </c>
      <c r="J335" s="194">
        <f>+Elementos_[[#This Row],[Valor de referencia]]*Elementos_[[#This Row],[Cantidad]]</f>
        <v>508615</v>
      </c>
      <c r="K335" s="166"/>
      <c r="L335" s="159">
        <f>+Elementos_[[#This Row],[Cantidad LANIP]]*Elementos_[[#This Row],[Valor de referencia]]</f>
        <v>0</v>
      </c>
      <c r="M335" s="270">
        <v>0</v>
      </c>
      <c r="N335" s="195">
        <f>+Elementos_[[#This Row],[Cantidad 
LDV]]*Elementos_[[#This Row],[Valor de referencia]]</f>
        <v>0</v>
      </c>
      <c r="O335" s="166">
        <v>5</v>
      </c>
      <c r="P335" s="159">
        <f>+Elementos_[[#This Row],[Cantidad LNDV]]*Elementos_[[#This Row],[Valor de referencia]]</f>
        <v>508615</v>
      </c>
      <c r="Q335" s="196"/>
      <c r="R335" s="159">
        <f>+Elementos_[[#This Row],[GGCA]]*Elementos_[[#This Row],[Valor de referencia]]</f>
        <v>0</v>
      </c>
      <c r="S335" s="166"/>
      <c r="T335" s="159">
        <f>+Elementos_[[#This Row],[Cantidad LDF]]*Elementos_[[#This Row],[Valor de referencia]]</f>
        <v>0</v>
      </c>
      <c r="U335" s="197"/>
      <c r="V335" s="159">
        <f>+Elementos_[[#This Row],[Cantidad LDF&amp;MR]]*Elementos_[[#This Row],[Valor de referencia]]</f>
        <v>0</v>
      </c>
      <c r="W335" s="166"/>
      <c r="X335" s="159">
        <f>+Elementos_[[#This Row],[Cantidad RED LASE]]*Elementos_[[#This Row],[Valor de referencia]]</f>
        <v>0</v>
      </c>
      <c r="Y335" s="196"/>
      <c r="Z335" s="159">
        <f>+Elementos_[[#This Row],[Cantidad LANIA]]*Elementos_[[#This Row],[Valor de referencia]]</f>
        <v>0</v>
      </c>
      <c r="AA335" s="196"/>
      <c r="AB335" s="159">
        <f>+Elementos_[[#This Row],[Cantidad SPA]]*Elementos_[[#This Row],[Valor de referencia]]</f>
        <v>0</v>
      </c>
      <c r="AC335" s="166" t="s">
        <v>2049</v>
      </c>
    </row>
    <row r="336" spans="1:29" ht="72" x14ac:dyDescent="0.2">
      <c r="A336" s="294" t="str">
        <f>IF(B336=Elementos_[[#This Row],[Cantidad LANIP]],"LANIP",IF(B336=Elementos_[[#This Row],[Cantidad 
LDV]],"LDV",IF(B336=Elementos_[[#This Row],[Cantidad LNDV]],"LNDV",IF(B336=Elementos_[[#This Row],[GGCA]],"GGCA",IF(B336=Elementos_[[#This Row],[Cantidad LDF]],"LDF",IF(B336=Elementos_[[#This Row],[Cantidad LDF&amp;MR]],"LDF&amp;MR",IF(B336=Elementos_[[#This Row],[Cantidad RED LASE]],"LASE",IF(B336=Elementos_[[#This Row],[Cantidad LANIA]],"LANIA",IF(B336=Elementos_[[#This Row],[Cantidad SPA]],"SPA"," ")))))))))</f>
        <v>LNDV</v>
      </c>
      <c r="B33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36" s="298">
        <v>334</v>
      </c>
      <c r="D336" s="190">
        <v>498</v>
      </c>
      <c r="E336" s="273" t="s">
        <v>2634</v>
      </c>
      <c r="F336" s="201" t="s">
        <v>2635</v>
      </c>
      <c r="G336" s="192" t="s">
        <v>2636</v>
      </c>
      <c r="H33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36" s="194">
        <v>5612485</v>
      </c>
      <c r="J336" s="194">
        <f>+Elementos_[[#This Row],[Valor de referencia]]*Elementos_[[#This Row],[Cantidad]]</f>
        <v>5612485</v>
      </c>
      <c r="K336" s="166"/>
      <c r="L336" s="159">
        <f>+Elementos_[[#This Row],[Cantidad LANIP]]*Elementos_[[#This Row],[Valor de referencia]]</f>
        <v>0</v>
      </c>
      <c r="M336" s="270"/>
      <c r="N336" s="195">
        <f>+Elementos_[[#This Row],[Cantidad 
LDV]]*Elementos_[[#This Row],[Valor de referencia]]</f>
        <v>0</v>
      </c>
      <c r="O336" s="166">
        <v>1</v>
      </c>
      <c r="P336" s="159">
        <f>+Elementos_[[#This Row],[Cantidad LNDV]]*Elementos_[[#This Row],[Valor de referencia]]</f>
        <v>5612485</v>
      </c>
      <c r="Q336" s="196"/>
      <c r="R336" s="159">
        <f>+Elementos_[[#This Row],[GGCA]]*Elementos_[[#This Row],[Valor de referencia]]</f>
        <v>0</v>
      </c>
      <c r="S336" s="166"/>
      <c r="T336" s="159">
        <f>+Elementos_[[#This Row],[Cantidad LDF]]*Elementos_[[#This Row],[Valor de referencia]]</f>
        <v>0</v>
      </c>
      <c r="U336" s="197"/>
      <c r="V336" s="159">
        <f>+Elementos_[[#This Row],[Cantidad LDF&amp;MR]]*Elementos_[[#This Row],[Valor de referencia]]</f>
        <v>0</v>
      </c>
      <c r="W336" s="166"/>
      <c r="X336" s="159">
        <f>+Elementos_[[#This Row],[Cantidad RED LASE]]*Elementos_[[#This Row],[Valor de referencia]]</f>
        <v>0</v>
      </c>
      <c r="Y336" s="196"/>
      <c r="Z336" s="159">
        <f>+Elementos_[[#This Row],[Cantidad LANIA]]*Elementos_[[#This Row],[Valor de referencia]]</f>
        <v>0</v>
      </c>
      <c r="AA336" s="196"/>
      <c r="AB336" s="159">
        <f>+Elementos_[[#This Row],[Cantidad SPA]]*Elementos_[[#This Row],[Valor de referencia]]</f>
        <v>0</v>
      </c>
      <c r="AC336" s="166" t="s">
        <v>2041</v>
      </c>
    </row>
    <row r="337" spans="1:29" ht="36" x14ac:dyDescent="0.2">
      <c r="A337" s="294" t="str">
        <f>IF(B337=Elementos_[[#This Row],[Cantidad LANIP]],"LANIP",IF(B337=Elementos_[[#This Row],[Cantidad 
LDV]],"LDV",IF(B337=Elementos_[[#This Row],[Cantidad LNDV]],"LNDV",IF(B337=Elementos_[[#This Row],[GGCA]],"GGCA",IF(B337=Elementos_[[#This Row],[Cantidad LDF]],"LDF",IF(B337=Elementos_[[#This Row],[Cantidad LDF&amp;MR]],"LDF&amp;MR",IF(B337=Elementos_[[#This Row],[Cantidad RED LASE]],"LASE",IF(B337=Elementos_[[#This Row],[Cantidad LANIA]],"LANIA",IF(B337=Elementos_[[#This Row],[Cantidad SPA]],"SPA"," ")))))))))</f>
        <v>LNDV</v>
      </c>
      <c r="B33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37" s="298">
        <v>335</v>
      </c>
      <c r="D337" s="190">
        <v>499</v>
      </c>
      <c r="E337" s="273" t="s">
        <v>2637</v>
      </c>
      <c r="F337" s="201" t="s">
        <v>2638</v>
      </c>
      <c r="G337" s="192" t="s">
        <v>2639</v>
      </c>
      <c r="H33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37" s="194">
        <v>3297704</v>
      </c>
      <c r="J337" s="194">
        <f>+Elementos_[[#This Row],[Valor de referencia]]*Elementos_[[#This Row],[Cantidad]]</f>
        <v>3297704</v>
      </c>
      <c r="K337" s="166"/>
      <c r="L337" s="159">
        <f>+Elementos_[[#This Row],[Cantidad LANIP]]*Elementos_[[#This Row],[Valor de referencia]]</f>
        <v>0</v>
      </c>
      <c r="M337" s="270"/>
      <c r="N337" s="195">
        <f>+Elementos_[[#This Row],[Cantidad 
LDV]]*Elementos_[[#This Row],[Valor de referencia]]</f>
        <v>0</v>
      </c>
      <c r="O337" s="166">
        <v>1</v>
      </c>
      <c r="P337" s="159">
        <f>+Elementos_[[#This Row],[Cantidad LNDV]]*Elementos_[[#This Row],[Valor de referencia]]</f>
        <v>3297704</v>
      </c>
      <c r="Q337" s="196"/>
      <c r="R337" s="159">
        <f>+Elementos_[[#This Row],[GGCA]]*Elementos_[[#This Row],[Valor de referencia]]</f>
        <v>0</v>
      </c>
      <c r="S337" s="166"/>
      <c r="T337" s="159">
        <f>+Elementos_[[#This Row],[Cantidad LDF]]*Elementos_[[#This Row],[Valor de referencia]]</f>
        <v>0</v>
      </c>
      <c r="U337" s="197"/>
      <c r="V337" s="159">
        <f>+Elementos_[[#This Row],[Cantidad LDF&amp;MR]]*Elementos_[[#This Row],[Valor de referencia]]</f>
        <v>0</v>
      </c>
      <c r="W337" s="166"/>
      <c r="X337" s="159">
        <f>+Elementos_[[#This Row],[Cantidad RED LASE]]*Elementos_[[#This Row],[Valor de referencia]]</f>
        <v>0</v>
      </c>
      <c r="Y337" s="196"/>
      <c r="Z337" s="159">
        <f>+Elementos_[[#This Row],[Cantidad LANIA]]*Elementos_[[#This Row],[Valor de referencia]]</f>
        <v>0</v>
      </c>
      <c r="AA337" s="196"/>
      <c r="AB337" s="159">
        <f>+Elementos_[[#This Row],[Cantidad SPA]]*Elementos_[[#This Row],[Valor de referencia]]</f>
        <v>0</v>
      </c>
      <c r="AC337" s="166" t="s">
        <v>2041</v>
      </c>
    </row>
    <row r="338" spans="1:29" ht="12.75" x14ac:dyDescent="0.2">
      <c r="A338" s="294" t="str">
        <f>IF(B338=Elementos_[[#This Row],[Cantidad LANIP]],"LANIP",IF(B338=Elementos_[[#This Row],[Cantidad 
LDV]],"LDV",IF(B338=Elementos_[[#This Row],[Cantidad LNDV]],"LNDV",IF(B338=Elementos_[[#This Row],[GGCA]],"GGCA",IF(B338=Elementos_[[#This Row],[Cantidad LDF]],"LDF",IF(B338=Elementos_[[#This Row],[Cantidad LDF&amp;MR]],"LDF&amp;MR",IF(B338=Elementos_[[#This Row],[Cantidad RED LASE]],"LASE",IF(B338=Elementos_[[#This Row],[Cantidad LANIA]],"LANIA",IF(B338=Elementos_[[#This Row],[Cantidad SPA]],"SPA"," ")))))))))</f>
        <v>LANIA</v>
      </c>
      <c r="B33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70</v>
      </c>
      <c r="C338" s="298">
        <v>336</v>
      </c>
      <c r="D338" s="190">
        <v>500</v>
      </c>
      <c r="E338" s="273" t="s">
        <v>2640</v>
      </c>
      <c r="F338" s="204" t="s">
        <v>183</v>
      </c>
      <c r="G338" s="192" t="s">
        <v>2641</v>
      </c>
      <c r="H33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189</v>
      </c>
      <c r="I338" s="194">
        <v>57936</v>
      </c>
      <c r="J338" s="194">
        <f>+Elementos_[[#This Row],[Valor de referencia]]*Elementos_[[#This Row],[Cantidad]]</f>
        <v>10949904</v>
      </c>
      <c r="K338" s="166"/>
      <c r="L338" s="159">
        <f>+Elementos_[[#This Row],[Cantidad LANIP]]*Elementos_[[#This Row],[Valor de referencia]]</f>
        <v>0</v>
      </c>
      <c r="M338" s="270">
        <v>50</v>
      </c>
      <c r="N338" s="195">
        <f>+Elementos_[[#This Row],[Cantidad 
LDV]]*Elementos_[[#This Row],[Valor de referencia]]</f>
        <v>2896800</v>
      </c>
      <c r="O338" s="166">
        <v>40</v>
      </c>
      <c r="P338" s="159">
        <f>+Elementos_[[#This Row],[Cantidad LNDV]]*Elementos_[[#This Row],[Valor de referencia]]</f>
        <v>2317440</v>
      </c>
      <c r="Q338" s="196"/>
      <c r="R338" s="159">
        <f>+Elementos_[[#This Row],[GGCA]]*Elementos_[[#This Row],[Valor de referencia]]</f>
        <v>0</v>
      </c>
      <c r="S338" s="166">
        <v>14</v>
      </c>
      <c r="T338" s="159">
        <f>+Elementos_[[#This Row],[Cantidad LDF]]*Elementos_[[#This Row],[Valor de referencia]]</f>
        <v>811104</v>
      </c>
      <c r="U338" s="224">
        <v>15</v>
      </c>
      <c r="V338" s="159">
        <f>+Elementos_[[#This Row],[Cantidad LDF&amp;MR]]*Elementos_[[#This Row],[Valor de referencia]]</f>
        <v>869040</v>
      </c>
      <c r="W338" s="166"/>
      <c r="X338" s="159">
        <f>+Elementos_[[#This Row],[Cantidad RED LASE]]*Elementos_[[#This Row],[Valor de referencia]]</f>
        <v>0</v>
      </c>
      <c r="Y338" s="196">
        <f>55+15</f>
        <v>70</v>
      </c>
      <c r="Z338" s="159">
        <f>+Elementos_[[#This Row],[Cantidad LANIA]]*Elementos_[[#This Row],[Valor de referencia]]</f>
        <v>4055520</v>
      </c>
      <c r="AA338" s="196"/>
      <c r="AB338" s="159">
        <f>+Elementos_[[#This Row],[Cantidad SPA]]*Elementos_[[#This Row],[Valor de referencia]]</f>
        <v>0</v>
      </c>
      <c r="AC338" s="166" t="s">
        <v>2049</v>
      </c>
    </row>
    <row r="339" spans="1:29" ht="12.75" x14ac:dyDescent="0.2">
      <c r="A339" s="294" t="str">
        <f>IF(B339=Elementos_[[#This Row],[Cantidad LANIP]],"LANIP",IF(B339=Elementos_[[#This Row],[Cantidad 
LDV]],"LDV",IF(B339=Elementos_[[#This Row],[Cantidad LNDV]],"LNDV",IF(B339=Elementos_[[#This Row],[GGCA]],"GGCA",IF(B339=Elementos_[[#This Row],[Cantidad LDF]],"LDF",IF(B339=Elementos_[[#This Row],[Cantidad LDF&amp;MR]],"LDF&amp;MR",IF(B339=Elementos_[[#This Row],[Cantidad RED LASE]],"LASE",IF(B339=Elementos_[[#This Row],[Cantidad LANIA]],"LANIA",IF(B339=Elementos_[[#This Row],[Cantidad SPA]],"SPA"," ")))))))))</f>
        <v>LDV</v>
      </c>
      <c r="B33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C339" s="298">
        <v>337</v>
      </c>
      <c r="D339" s="190">
        <v>501</v>
      </c>
      <c r="E339" s="273" t="s">
        <v>2642</v>
      </c>
      <c r="F339" s="204" t="s">
        <v>183</v>
      </c>
      <c r="G339" s="192" t="s">
        <v>2643</v>
      </c>
      <c r="H33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52</v>
      </c>
      <c r="I339" s="194">
        <v>240955</v>
      </c>
      <c r="J339" s="194">
        <f>+Elementos_[[#This Row],[Valor de referencia]]*Elementos_[[#This Row],[Cantidad]]</f>
        <v>12529660</v>
      </c>
      <c r="K339" s="166"/>
      <c r="L339" s="159">
        <f>+Elementos_[[#This Row],[Cantidad LANIP]]*Elementos_[[#This Row],[Valor de referencia]]</f>
        <v>0</v>
      </c>
      <c r="M339" s="270">
        <v>25</v>
      </c>
      <c r="N339" s="195">
        <f>+Elementos_[[#This Row],[Cantidad 
LDV]]*Elementos_[[#This Row],[Valor de referencia]]</f>
        <v>6023875</v>
      </c>
      <c r="O339" s="166">
        <v>5</v>
      </c>
      <c r="P339" s="159">
        <f>+Elementos_[[#This Row],[Cantidad LNDV]]*Elementos_[[#This Row],[Valor de referencia]]</f>
        <v>1204775</v>
      </c>
      <c r="Q339" s="196"/>
      <c r="R339" s="159">
        <f>+Elementos_[[#This Row],[GGCA]]*Elementos_[[#This Row],[Valor de referencia]]</f>
        <v>0</v>
      </c>
      <c r="S339" s="166">
        <v>6</v>
      </c>
      <c r="T339" s="159">
        <f>+Elementos_[[#This Row],[Cantidad LDF]]*Elementos_[[#This Row],[Valor de referencia]]</f>
        <v>1445730</v>
      </c>
      <c r="U339" s="224">
        <v>6</v>
      </c>
      <c r="V339" s="159">
        <f>+Elementos_[[#This Row],[Cantidad LDF&amp;MR]]*Elementos_[[#This Row],[Valor de referencia]]</f>
        <v>1445730</v>
      </c>
      <c r="W339" s="166"/>
      <c r="X339" s="159">
        <f>+Elementos_[[#This Row],[Cantidad RED LASE]]*Elementos_[[#This Row],[Valor de referencia]]</f>
        <v>0</v>
      </c>
      <c r="Y339" s="196">
        <v>10</v>
      </c>
      <c r="Z339" s="159">
        <f>+Elementos_[[#This Row],[Cantidad LANIA]]*Elementos_[[#This Row],[Valor de referencia]]</f>
        <v>2409550</v>
      </c>
      <c r="AA339" s="196"/>
      <c r="AB339" s="159">
        <f>+Elementos_[[#This Row],[Cantidad SPA]]*Elementos_[[#This Row],[Valor de referencia]]</f>
        <v>0</v>
      </c>
      <c r="AC339" s="166" t="s">
        <v>2049</v>
      </c>
    </row>
    <row r="340" spans="1:29" ht="48" x14ac:dyDescent="0.2">
      <c r="A340" s="294" t="str">
        <f>IF(B340=Elementos_[[#This Row],[Cantidad LANIP]],"LANIP",IF(B340=Elementos_[[#This Row],[Cantidad 
LDV]],"LDV",IF(B340=Elementos_[[#This Row],[Cantidad LNDV]],"LNDV",IF(B340=Elementos_[[#This Row],[GGCA]],"GGCA",IF(B340=Elementos_[[#This Row],[Cantidad LDF]],"LDF",IF(B340=Elementos_[[#This Row],[Cantidad LDF&amp;MR]],"LDF&amp;MR",IF(B340=Elementos_[[#This Row],[Cantidad RED LASE]],"LASE",IF(B340=Elementos_[[#This Row],[Cantidad LANIA]],"LANIA",IF(B340=Elementos_[[#This Row],[Cantidad SPA]],"SPA"," ")))))))))</f>
        <v>LDF</v>
      </c>
      <c r="B34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340" s="298">
        <v>338</v>
      </c>
      <c r="D340" s="190">
        <v>502</v>
      </c>
      <c r="E340" s="273" t="s">
        <v>2644</v>
      </c>
      <c r="F340" s="204" t="s">
        <v>2645</v>
      </c>
      <c r="G340" s="427" t="s">
        <v>2646</v>
      </c>
      <c r="H34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v>
      </c>
      <c r="I340" s="194">
        <v>352012</v>
      </c>
      <c r="J340" s="194">
        <f>+Elementos_[[#This Row],[Valor de referencia]]*Elementos_[[#This Row],[Cantidad]]</f>
        <v>3168108</v>
      </c>
      <c r="K340" s="166"/>
      <c r="L340" s="159">
        <f>+Elementos_[[#This Row],[Cantidad LANIP]]*Elementos_[[#This Row],[Valor de referencia]]</f>
        <v>0</v>
      </c>
      <c r="M340" s="270"/>
      <c r="N340" s="195">
        <f>+Elementos_[[#This Row],[Cantidad 
LDV]]*Elementos_[[#This Row],[Valor de referencia]]</f>
        <v>0</v>
      </c>
      <c r="O340" s="166"/>
      <c r="P340" s="159">
        <f>+Elementos_[[#This Row],[Cantidad LNDV]]*Elementos_[[#This Row],[Valor de referencia]]</f>
        <v>0</v>
      </c>
      <c r="Q340" s="196"/>
      <c r="R340" s="159">
        <f>+Elementos_[[#This Row],[GGCA]]*Elementos_[[#This Row],[Valor de referencia]]</f>
        <v>0</v>
      </c>
      <c r="S340" s="166">
        <v>4</v>
      </c>
      <c r="T340" s="159">
        <f>+Elementos_[[#This Row],[Cantidad LDF]]*Elementos_[[#This Row],[Valor de referencia]]</f>
        <v>1408048</v>
      </c>
      <c r="U340" s="197">
        <v>3</v>
      </c>
      <c r="V340" s="159">
        <f>+Elementos_[[#This Row],[Cantidad LDF&amp;MR]]*Elementos_[[#This Row],[Valor de referencia]]</f>
        <v>1056036</v>
      </c>
      <c r="W340" s="166"/>
      <c r="X340" s="159">
        <f>+Elementos_[[#This Row],[Cantidad RED LASE]]*Elementos_[[#This Row],[Valor de referencia]]</f>
        <v>0</v>
      </c>
      <c r="Y340" s="196">
        <v>2</v>
      </c>
      <c r="Z340" s="159">
        <f>+Elementos_[[#This Row],[Cantidad LANIA]]*Elementos_[[#This Row],[Valor de referencia]]</f>
        <v>704024</v>
      </c>
      <c r="AA340" s="196"/>
      <c r="AB340" s="159">
        <f>+Elementos_[[#This Row],[Cantidad SPA]]*Elementos_[[#This Row],[Valor de referencia]]</f>
        <v>0</v>
      </c>
      <c r="AC340" s="166" t="s">
        <v>2041</v>
      </c>
    </row>
    <row r="341" spans="1:29" ht="36" x14ac:dyDescent="0.2">
      <c r="A341" s="294" t="str">
        <f>IF(B341=Elementos_[[#This Row],[Cantidad LANIP]],"LANIP",IF(B341=Elementos_[[#This Row],[Cantidad 
LDV]],"LDV",IF(B341=Elementos_[[#This Row],[Cantidad LNDV]],"LNDV",IF(B341=Elementos_[[#This Row],[GGCA]],"GGCA",IF(B341=Elementos_[[#This Row],[Cantidad LDF]],"LDF",IF(B341=Elementos_[[#This Row],[Cantidad LDF&amp;MR]],"LDF&amp;MR",IF(B341=Elementos_[[#This Row],[Cantidad RED LASE]],"LASE",IF(B341=Elementos_[[#This Row],[Cantidad LANIA]],"LANIA",IF(B341=Elementos_[[#This Row],[Cantidad SPA]],"SPA"," ")))))))))</f>
        <v>LDF</v>
      </c>
      <c r="B34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341" s="298">
        <v>339</v>
      </c>
      <c r="D341" s="190">
        <v>504</v>
      </c>
      <c r="E341" s="273" t="s">
        <v>2647</v>
      </c>
      <c r="F341" s="201" t="s">
        <v>2648</v>
      </c>
      <c r="G341" s="192" t="s">
        <v>2047</v>
      </c>
      <c r="H34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341" s="194">
        <v>321066</v>
      </c>
      <c r="J341" s="194">
        <f>+Elementos_[[#This Row],[Valor de referencia]]*Elementos_[[#This Row],[Cantidad]]</f>
        <v>1284264</v>
      </c>
      <c r="K341" s="166"/>
      <c r="L341" s="159">
        <f>+Elementos_[[#This Row],[Cantidad LANIP]]*Elementos_[[#This Row],[Valor de referencia]]</f>
        <v>0</v>
      </c>
      <c r="M341" s="270">
        <v>1</v>
      </c>
      <c r="N341" s="195">
        <f>+Elementos_[[#This Row],[Cantidad 
LDV]]*Elementos_[[#This Row],[Valor de referencia]]</f>
        <v>321066</v>
      </c>
      <c r="O341" s="166"/>
      <c r="P341" s="159">
        <f>+Elementos_[[#This Row],[Cantidad LNDV]]*Elementos_[[#This Row],[Valor de referencia]]</f>
        <v>0</v>
      </c>
      <c r="Q341" s="196"/>
      <c r="R341" s="159">
        <f>+Elementos_[[#This Row],[GGCA]]*Elementos_[[#This Row],[Valor de referencia]]</f>
        <v>0</v>
      </c>
      <c r="S341" s="166">
        <v>3</v>
      </c>
      <c r="T341" s="159">
        <f>+Elementos_[[#This Row],[Cantidad LDF]]*Elementos_[[#This Row],[Valor de referencia]]</f>
        <v>963198</v>
      </c>
      <c r="U341" s="197"/>
      <c r="V341" s="159">
        <f>+Elementos_[[#This Row],[Cantidad LDF&amp;MR]]*Elementos_[[#This Row],[Valor de referencia]]</f>
        <v>0</v>
      </c>
      <c r="W341" s="166"/>
      <c r="X341" s="159">
        <f>+Elementos_[[#This Row],[Cantidad RED LASE]]*Elementos_[[#This Row],[Valor de referencia]]</f>
        <v>0</v>
      </c>
      <c r="Y341" s="196"/>
      <c r="Z341" s="159">
        <f>+Elementos_[[#This Row],[Cantidad LANIA]]*Elementos_[[#This Row],[Valor de referencia]]</f>
        <v>0</v>
      </c>
      <c r="AA341" s="196"/>
      <c r="AB341" s="159">
        <f>+Elementos_[[#This Row],[Cantidad SPA]]*Elementos_[[#This Row],[Valor de referencia]]</f>
        <v>0</v>
      </c>
      <c r="AC341" s="166" t="s">
        <v>2041</v>
      </c>
    </row>
    <row r="342" spans="1:29" ht="36" x14ac:dyDescent="0.2">
      <c r="A342" s="294" t="str">
        <f>IF(B342=Elementos_[[#This Row],[Cantidad LANIP]],"LANIP",IF(B342=Elementos_[[#This Row],[Cantidad 
LDV]],"LDV",IF(B342=Elementos_[[#This Row],[Cantidad LNDV]],"LNDV",IF(B342=Elementos_[[#This Row],[GGCA]],"GGCA",IF(B342=Elementos_[[#This Row],[Cantidad LDF]],"LDF",IF(B342=Elementos_[[#This Row],[Cantidad LDF&amp;MR]],"LDF&amp;MR",IF(B342=Elementos_[[#This Row],[Cantidad RED LASE]],"LASE",IF(B342=Elementos_[[#This Row],[Cantidad LANIA]],"LANIA",IF(B342=Elementos_[[#This Row],[Cantidad SPA]],"SPA"," ")))))))))</f>
        <v>LDF</v>
      </c>
      <c r="B34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342" s="298">
        <v>340</v>
      </c>
      <c r="D342" s="190">
        <v>505</v>
      </c>
      <c r="E342" s="273" t="s">
        <v>2649</v>
      </c>
      <c r="F342" s="201" t="s">
        <v>2650</v>
      </c>
      <c r="G342" s="192" t="s">
        <v>2047</v>
      </c>
      <c r="H34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342" s="194">
        <v>282974</v>
      </c>
      <c r="J342" s="194">
        <f>+Elementos_[[#This Row],[Valor de referencia]]*Elementos_[[#This Row],[Cantidad]]</f>
        <v>848922</v>
      </c>
      <c r="K342" s="166"/>
      <c r="L342" s="159">
        <f>+Elementos_[[#This Row],[Cantidad LANIP]]*Elementos_[[#This Row],[Valor de referencia]]</f>
        <v>0</v>
      </c>
      <c r="M342" s="270">
        <v>0</v>
      </c>
      <c r="N342" s="195">
        <f>+Elementos_[[#This Row],[Cantidad 
LDV]]*Elementos_[[#This Row],[Valor de referencia]]</f>
        <v>0</v>
      </c>
      <c r="O342" s="166"/>
      <c r="P342" s="159">
        <f>+Elementos_[[#This Row],[Cantidad LNDV]]*Elementos_[[#This Row],[Valor de referencia]]</f>
        <v>0</v>
      </c>
      <c r="Q342" s="196"/>
      <c r="R342" s="159">
        <f>+Elementos_[[#This Row],[GGCA]]*Elementos_[[#This Row],[Valor de referencia]]</f>
        <v>0</v>
      </c>
      <c r="S342" s="166">
        <v>3</v>
      </c>
      <c r="T342" s="159">
        <f>+Elementos_[[#This Row],[Cantidad LDF]]*Elementos_[[#This Row],[Valor de referencia]]</f>
        <v>848922</v>
      </c>
      <c r="U342" s="197"/>
      <c r="V342" s="159">
        <f>+Elementos_[[#This Row],[Cantidad LDF&amp;MR]]*Elementos_[[#This Row],[Valor de referencia]]</f>
        <v>0</v>
      </c>
      <c r="W342" s="166"/>
      <c r="X342" s="159">
        <f>+Elementos_[[#This Row],[Cantidad RED LASE]]*Elementos_[[#This Row],[Valor de referencia]]</f>
        <v>0</v>
      </c>
      <c r="Y342" s="196"/>
      <c r="Z342" s="159">
        <f>+Elementos_[[#This Row],[Cantidad LANIA]]*Elementos_[[#This Row],[Valor de referencia]]</f>
        <v>0</v>
      </c>
      <c r="AA342" s="196"/>
      <c r="AB342" s="159">
        <f>+Elementos_[[#This Row],[Cantidad SPA]]*Elementos_[[#This Row],[Valor de referencia]]</f>
        <v>0</v>
      </c>
      <c r="AC342" s="166" t="s">
        <v>2041</v>
      </c>
    </row>
    <row r="343" spans="1:29" ht="36" x14ac:dyDescent="0.2">
      <c r="A343" s="294" t="str">
        <f>IF(B343=Elementos_[[#This Row],[Cantidad LANIP]],"LANIP",IF(B343=Elementos_[[#This Row],[Cantidad 
LDV]],"LDV",IF(B343=Elementos_[[#This Row],[Cantidad LNDV]],"LNDV",IF(B343=Elementos_[[#This Row],[GGCA]],"GGCA",IF(B343=Elementos_[[#This Row],[Cantidad LDF]],"LDF",IF(B343=Elementos_[[#This Row],[Cantidad LDF&amp;MR]],"LDF&amp;MR",IF(B343=Elementos_[[#This Row],[Cantidad RED LASE]],"LASE",IF(B343=Elementos_[[#This Row],[Cantidad LANIA]],"LANIA",IF(B343=Elementos_[[#This Row],[Cantidad SPA]],"SPA"," ")))))))))</f>
        <v>LDF</v>
      </c>
      <c r="B34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343" s="298">
        <v>341</v>
      </c>
      <c r="D343" s="190">
        <v>506</v>
      </c>
      <c r="E343" s="273" t="s">
        <v>2651</v>
      </c>
      <c r="F343" s="201" t="s">
        <v>2652</v>
      </c>
      <c r="G343" s="192" t="s">
        <v>1391</v>
      </c>
      <c r="H34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343" s="194">
        <v>239418</v>
      </c>
      <c r="J343" s="194">
        <f>+Elementos_[[#This Row],[Valor de referencia]]*Elementos_[[#This Row],[Cantidad]]</f>
        <v>1197090</v>
      </c>
      <c r="K343" s="166"/>
      <c r="L343" s="159">
        <f>+Elementos_[[#This Row],[Cantidad LANIP]]*Elementos_[[#This Row],[Valor de referencia]]</f>
        <v>0</v>
      </c>
      <c r="M343" s="270">
        <v>0</v>
      </c>
      <c r="N343" s="195">
        <f>+Elementos_[[#This Row],[Cantidad 
LDV]]*Elementos_[[#This Row],[Valor de referencia]]</f>
        <v>0</v>
      </c>
      <c r="O343" s="166"/>
      <c r="P343" s="159">
        <f>+Elementos_[[#This Row],[Cantidad LNDV]]*Elementos_[[#This Row],[Valor de referencia]]</f>
        <v>0</v>
      </c>
      <c r="Q343" s="196"/>
      <c r="R343" s="159">
        <f>+Elementos_[[#This Row],[GGCA]]*Elementos_[[#This Row],[Valor de referencia]]</f>
        <v>0</v>
      </c>
      <c r="S343" s="166">
        <v>3</v>
      </c>
      <c r="T343" s="159">
        <f>+Elementos_[[#This Row],[Cantidad LDF]]*Elementos_[[#This Row],[Valor de referencia]]</f>
        <v>718254</v>
      </c>
      <c r="U343" s="197">
        <v>2</v>
      </c>
      <c r="V343" s="159">
        <f>+Elementos_[[#This Row],[Cantidad LDF&amp;MR]]*Elementos_[[#This Row],[Valor de referencia]]</f>
        <v>478836</v>
      </c>
      <c r="W343" s="166"/>
      <c r="X343" s="159">
        <f>+Elementos_[[#This Row],[Cantidad RED LASE]]*Elementos_[[#This Row],[Valor de referencia]]</f>
        <v>0</v>
      </c>
      <c r="Y343" s="196"/>
      <c r="Z343" s="159">
        <f>+Elementos_[[#This Row],[Cantidad LANIA]]*Elementos_[[#This Row],[Valor de referencia]]</f>
        <v>0</v>
      </c>
      <c r="AA343" s="196"/>
      <c r="AB343" s="159">
        <f>+Elementos_[[#This Row],[Cantidad SPA]]*Elementos_[[#This Row],[Valor de referencia]]</f>
        <v>0</v>
      </c>
      <c r="AC343" s="166" t="s">
        <v>2041</v>
      </c>
    </row>
    <row r="344" spans="1:29" ht="36" x14ac:dyDescent="0.2">
      <c r="A344" s="294" t="str">
        <f>IF(B344=Elementos_[[#This Row],[Cantidad LANIP]],"LANIP",IF(B344=Elementos_[[#This Row],[Cantidad 
LDV]],"LDV",IF(B344=Elementos_[[#This Row],[Cantidad LNDV]],"LNDV",IF(B344=Elementos_[[#This Row],[GGCA]],"GGCA",IF(B344=Elementos_[[#This Row],[Cantidad LDF]],"LDF",IF(B344=Elementos_[[#This Row],[Cantidad LDF&amp;MR]],"LDF&amp;MR",IF(B344=Elementos_[[#This Row],[Cantidad RED LASE]],"LASE",IF(B344=Elementos_[[#This Row],[Cantidad LANIA]],"LANIA",IF(B344=Elementos_[[#This Row],[Cantidad SPA]],"SPA"," ")))))))))</f>
        <v>LDV</v>
      </c>
      <c r="B34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44" s="298">
        <v>342</v>
      </c>
      <c r="D344" s="190">
        <v>507</v>
      </c>
      <c r="E344" s="273" t="s">
        <v>2653</v>
      </c>
      <c r="F344" s="201" t="s">
        <v>2654</v>
      </c>
      <c r="G344" s="192" t="s">
        <v>2047</v>
      </c>
      <c r="H34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44" s="194">
        <v>320182</v>
      </c>
      <c r="J344" s="194">
        <f>+Elementos_[[#This Row],[Valor de referencia]]*Elementos_[[#This Row],[Cantidad]]</f>
        <v>320182</v>
      </c>
      <c r="K344" s="166"/>
      <c r="L344" s="159">
        <f>+Elementos_[[#This Row],[Cantidad LANIP]]*Elementos_[[#This Row],[Valor de referencia]]</f>
        <v>0</v>
      </c>
      <c r="M344" s="270">
        <v>1</v>
      </c>
      <c r="N344" s="195">
        <f>+Elementos_[[#This Row],[Cantidad 
LDV]]*Elementos_[[#This Row],[Valor de referencia]]</f>
        <v>320182</v>
      </c>
      <c r="O344" s="166"/>
      <c r="P344" s="159">
        <f>+Elementos_[[#This Row],[Cantidad LNDV]]*Elementos_[[#This Row],[Valor de referencia]]</f>
        <v>0</v>
      </c>
      <c r="Q344" s="196"/>
      <c r="R344" s="159">
        <f>+Elementos_[[#This Row],[GGCA]]*Elementos_[[#This Row],[Valor de referencia]]</f>
        <v>0</v>
      </c>
      <c r="S344" s="166"/>
      <c r="T344" s="159">
        <f>+Elementos_[[#This Row],[Cantidad LDF]]*Elementos_[[#This Row],[Valor de referencia]]</f>
        <v>0</v>
      </c>
      <c r="U344" s="197"/>
      <c r="V344" s="159">
        <f>+Elementos_[[#This Row],[Cantidad LDF&amp;MR]]*Elementos_[[#This Row],[Valor de referencia]]</f>
        <v>0</v>
      </c>
      <c r="W344" s="166"/>
      <c r="X344" s="159">
        <f>+Elementos_[[#This Row],[Cantidad RED LASE]]*Elementos_[[#This Row],[Valor de referencia]]</f>
        <v>0</v>
      </c>
      <c r="Y344" s="196"/>
      <c r="Z344" s="159">
        <f>+Elementos_[[#This Row],[Cantidad LANIA]]*Elementos_[[#This Row],[Valor de referencia]]</f>
        <v>0</v>
      </c>
      <c r="AA344" s="196"/>
      <c r="AB344" s="159">
        <f>+Elementos_[[#This Row],[Cantidad SPA]]*Elementos_[[#This Row],[Valor de referencia]]</f>
        <v>0</v>
      </c>
      <c r="AC344" s="166" t="s">
        <v>2041</v>
      </c>
    </row>
    <row r="345" spans="1:29" ht="24" x14ac:dyDescent="0.2">
      <c r="A345" s="294" t="str">
        <f>IF(B345=Elementos_[[#This Row],[Cantidad LANIP]],"LANIP",IF(B345=Elementos_[[#This Row],[Cantidad 
LDV]],"LDV",IF(B345=Elementos_[[#This Row],[Cantidad LNDV]],"LNDV",IF(B345=Elementos_[[#This Row],[GGCA]],"GGCA",IF(B345=Elementos_[[#This Row],[Cantidad LDF]],"LDF",IF(B345=Elementos_[[#This Row],[Cantidad LDF&amp;MR]],"LDF&amp;MR",IF(B345=Elementos_[[#This Row],[Cantidad RED LASE]],"LASE",IF(B345=Elementos_[[#This Row],[Cantidad LANIA]],"LANIA",IF(B345=Elementos_[[#This Row],[Cantidad SPA]],"SPA"," ")))))))))</f>
        <v>LASE</v>
      </c>
      <c r="B34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C345" s="298">
        <v>343</v>
      </c>
      <c r="D345" s="190">
        <v>510</v>
      </c>
      <c r="E345" s="273" t="s">
        <v>2655</v>
      </c>
      <c r="F345" s="201" t="s">
        <v>2656</v>
      </c>
      <c r="G345" s="202" t="s">
        <v>2304</v>
      </c>
      <c r="H34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I345" s="194">
        <v>1408178</v>
      </c>
      <c r="J345" s="194">
        <f>+Elementos_[[#This Row],[Valor de referencia]]*Elementos_[[#This Row],[Cantidad]]</f>
        <v>49286230</v>
      </c>
      <c r="K345" s="166"/>
      <c r="L345" s="159">
        <f>+Elementos_[[#This Row],[Cantidad LANIP]]*Elementos_[[#This Row],[Valor de referencia]]</f>
        <v>0</v>
      </c>
      <c r="M345" s="270">
        <v>0</v>
      </c>
      <c r="N345" s="195">
        <f>+Elementos_[[#This Row],[Cantidad 
LDV]]*Elementos_[[#This Row],[Valor de referencia]]</f>
        <v>0</v>
      </c>
      <c r="O345" s="166"/>
      <c r="P345" s="159">
        <f>+Elementos_[[#This Row],[Cantidad LNDV]]*Elementos_[[#This Row],[Valor de referencia]]</f>
        <v>0</v>
      </c>
      <c r="Q345" s="196"/>
      <c r="R345" s="159">
        <f>+Elementos_[[#This Row],[GGCA]]*Elementos_[[#This Row],[Valor de referencia]]</f>
        <v>0</v>
      </c>
      <c r="S345" s="166"/>
      <c r="T345" s="159">
        <f>+Elementos_[[#This Row],[Cantidad LDF]]*Elementos_[[#This Row],[Valor de referencia]]</f>
        <v>0</v>
      </c>
      <c r="U345" s="197"/>
      <c r="V345" s="159">
        <f>+Elementos_[[#This Row],[Cantidad LDF&amp;MR]]*Elementos_[[#This Row],[Valor de referencia]]</f>
        <v>0</v>
      </c>
      <c r="W345" s="166">
        <v>35</v>
      </c>
      <c r="X345" s="159">
        <f>+Elementos_[[#This Row],[Cantidad RED LASE]]*Elementos_[[#This Row],[Valor de referencia]]</f>
        <v>49286230</v>
      </c>
      <c r="Y345" s="196"/>
      <c r="Z345" s="159">
        <f>+Elementos_[[#This Row],[Cantidad LANIA]]*Elementos_[[#This Row],[Valor de referencia]]</f>
        <v>0</v>
      </c>
      <c r="AA345" s="196"/>
      <c r="AB345" s="159">
        <f>+Elementos_[[#This Row],[Cantidad SPA]]*Elementos_[[#This Row],[Valor de referencia]]</f>
        <v>0</v>
      </c>
      <c r="AC345" s="166" t="s">
        <v>2041</v>
      </c>
    </row>
    <row r="346" spans="1:29" ht="24" x14ac:dyDescent="0.2">
      <c r="A346" s="294" t="str">
        <f>IF(B346=Elementos_[[#This Row],[Cantidad LANIP]],"LANIP",IF(B346=Elementos_[[#This Row],[Cantidad 
LDV]],"LDV",IF(B346=Elementos_[[#This Row],[Cantidad LNDV]],"LNDV",IF(B346=Elementos_[[#This Row],[GGCA]],"GGCA",IF(B346=Elementos_[[#This Row],[Cantidad LDF]],"LDF",IF(B346=Elementos_[[#This Row],[Cantidad LDF&amp;MR]],"LDF&amp;MR",IF(B346=Elementos_[[#This Row],[Cantidad RED LASE]],"LASE",IF(B346=Elementos_[[#This Row],[Cantidad LANIA]],"LANIA",IF(B346=Elementos_[[#This Row],[Cantidad SPA]],"SPA"," ")))))))))</f>
        <v>LASE</v>
      </c>
      <c r="B34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34</v>
      </c>
      <c r="C346" s="298">
        <v>344</v>
      </c>
      <c r="D346" s="190">
        <v>511</v>
      </c>
      <c r="E346" s="273" t="s">
        <v>2657</v>
      </c>
      <c r="F346" s="201" t="s">
        <v>2656</v>
      </c>
      <c r="G346" s="202" t="s">
        <v>2304</v>
      </c>
      <c r="H34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34</v>
      </c>
      <c r="I346" s="194">
        <v>4278482</v>
      </c>
      <c r="J346" s="194">
        <f>+Elementos_[[#This Row],[Valor de referencia]]*Elementos_[[#This Row],[Cantidad]]</f>
        <v>145468388</v>
      </c>
      <c r="K346" s="166"/>
      <c r="L346" s="159">
        <f>+Elementos_[[#This Row],[Cantidad LANIP]]*Elementos_[[#This Row],[Valor de referencia]]</f>
        <v>0</v>
      </c>
      <c r="M346" s="270">
        <v>0</v>
      </c>
      <c r="N346" s="195">
        <f>+Elementos_[[#This Row],[Cantidad 
LDV]]*Elementos_[[#This Row],[Valor de referencia]]</f>
        <v>0</v>
      </c>
      <c r="O346" s="166"/>
      <c r="P346" s="159">
        <f>+Elementos_[[#This Row],[Cantidad LNDV]]*Elementos_[[#This Row],[Valor de referencia]]</f>
        <v>0</v>
      </c>
      <c r="Q346" s="196"/>
      <c r="R346" s="159">
        <f>+Elementos_[[#This Row],[GGCA]]*Elementos_[[#This Row],[Valor de referencia]]</f>
        <v>0</v>
      </c>
      <c r="S346" s="166"/>
      <c r="T346" s="159">
        <f>+Elementos_[[#This Row],[Cantidad LDF]]*Elementos_[[#This Row],[Valor de referencia]]</f>
        <v>0</v>
      </c>
      <c r="U346" s="197"/>
      <c r="V346" s="159">
        <f>+Elementos_[[#This Row],[Cantidad LDF&amp;MR]]*Elementos_[[#This Row],[Valor de referencia]]</f>
        <v>0</v>
      </c>
      <c r="W346" s="166">
        <v>34</v>
      </c>
      <c r="X346" s="159">
        <f>+Elementos_[[#This Row],[Cantidad RED LASE]]*Elementos_[[#This Row],[Valor de referencia]]</f>
        <v>145468388</v>
      </c>
      <c r="Y346" s="196"/>
      <c r="Z346" s="159">
        <f>+Elementos_[[#This Row],[Cantidad LANIA]]*Elementos_[[#This Row],[Valor de referencia]]</f>
        <v>0</v>
      </c>
      <c r="AA346" s="196"/>
      <c r="AB346" s="159">
        <f>+Elementos_[[#This Row],[Cantidad SPA]]*Elementos_[[#This Row],[Valor de referencia]]</f>
        <v>0</v>
      </c>
      <c r="AC346" s="166" t="s">
        <v>2041</v>
      </c>
    </row>
    <row r="347" spans="1:29" ht="48" x14ac:dyDescent="0.2">
      <c r="A347" s="294" t="str">
        <f>IF(B347=Elementos_[[#This Row],[Cantidad LANIP]],"LANIP",IF(B347=Elementos_[[#This Row],[Cantidad 
LDV]],"LDV",IF(B347=Elementos_[[#This Row],[Cantidad LNDV]],"LNDV",IF(B347=Elementos_[[#This Row],[GGCA]],"GGCA",IF(B347=Elementos_[[#This Row],[Cantidad LDF]],"LDF",IF(B347=Elementos_[[#This Row],[Cantidad LDF&amp;MR]],"LDF&amp;MR",IF(B347=Elementos_[[#This Row],[Cantidad RED LASE]],"LASE",IF(B347=Elementos_[[#This Row],[Cantidad LANIA]],"LANIA",IF(B347=Elementos_[[#This Row],[Cantidad SPA]],"SPA"," ")))))))))</f>
        <v>LNDV</v>
      </c>
      <c r="B34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347" s="298">
        <v>345</v>
      </c>
      <c r="D347" s="190">
        <v>516</v>
      </c>
      <c r="E347" s="273" t="s">
        <v>2658</v>
      </c>
      <c r="F347" s="201" t="s">
        <v>2659</v>
      </c>
      <c r="G347" s="192" t="s">
        <v>2660</v>
      </c>
      <c r="H34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347" s="194">
        <v>1030442</v>
      </c>
      <c r="J347" s="194">
        <f>+Elementos_[[#This Row],[Valor de referencia]]*Elementos_[[#This Row],[Cantidad]]</f>
        <v>3091326</v>
      </c>
      <c r="K347" s="166"/>
      <c r="L347" s="159">
        <f>+Elementos_[[#This Row],[Cantidad LANIP]]*Elementos_[[#This Row],[Valor de referencia]]</f>
        <v>0</v>
      </c>
      <c r="M347" s="270">
        <v>0</v>
      </c>
      <c r="N347" s="195">
        <f>+Elementos_[[#This Row],[Cantidad 
LDV]]*Elementos_[[#This Row],[Valor de referencia]]</f>
        <v>0</v>
      </c>
      <c r="O347" s="166">
        <v>3</v>
      </c>
      <c r="P347" s="159">
        <f>+Elementos_[[#This Row],[Cantidad LNDV]]*Elementos_[[#This Row],[Valor de referencia]]</f>
        <v>3091326</v>
      </c>
      <c r="Q347" s="196"/>
      <c r="R347" s="159">
        <f>+Elementos_[[#This Row],[GGCA]]*Elementos_[[#This Row],[Valor de referencia]]</f>
        <v>0</v>
      </c>
      <c r="S347" s="166"/>
      <c r="T347" s="159">
        <f>+Elementos_[[#This Row],[Cantidad LDF]]*Elementos_[[#This Row],[Valor de referencia]]</f>
        <v>0</v>
      </c>
      <c r="U347" s="197"/>
      <c r="V347" s="159">
        <f>+Elementos_[[#This Row],[Cantidad LDF&amp;MR]]*Elementos_[[#This Row],[Valor de referencia]]</f>
        <v>0</v>
      </c>
      <c r="W347" s="166"/>
      <c r="X347" s="159">
        <f>+Elementos_[[#This Row],[Cantidad RED LASE]]*Elementos_[[#This Row],[Valor de referencia]]</f>
        <v>0</v>
      </c>
      <c r="Y347" s="196"/>
      <c r="Z347" s="159">
        <f>+Elementos_[[#This Row],[Cantidad LANIA]]*Elementos_[[#This Row],[Valor de referencia]]</f>
        <v>0</v>
      </c>
      <c r="AA347" s="196"/>
      <c r="AB347" s="159">
        <f>+Elementos_[[#This Row],[Cantidad SPA]]*Elementos_[[#This Row],[Valor de referencia]]</f>
        <v>0</v>
      </c>
      <c r="AC347" s="166" t="s">
        <v>2041</v>
      </c>
    </row>
    <row r="348" spans="1:29" ht="12.75" x14ac:dyDescent="0.2">
      <c r="A348" s="294" t="str">
        <f>IF(B348=Elementos_[[#This Row],[Cantidad LANIP]],"LANIP",IF(B348=Elementos_[[#This Row],[Cantidad 
LDV]],"LDV",IF(B348=Elementos_[[#This Row],[Cantidad LNDV]],"LNDV",IF(B348=Elementos_[[#This Row],[GGCA]],"GGCA",IF(B348=Elementos_[[#This Row],[Cantidad LDF]],"LDF",IF(B348=Elementos_[[#This Row],[Cantidad LDF&amp;MR]],"LDF&amp;MR",IF(B348=Elementos_[[#This Row],[Cantidad RED LASE]],"LASE",IF(B348=Elementos_[[#This Row],[Cantidad LANIA]],"LANIA",IF(B348=Elementos_[[#This Row],[Cantidad SPA]],"SPA"," ")))))))))</f>
        <v>SPA</v>
      </c>
      <c r="B34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67</v>
      </c>
      <c r="C348" s="298">
        <v>346</v>
      </c>
      <c r="D348" s="190">
        <v>517</v>
      </c>
      <c r="E348" s="274" t="s">
        <v>2661</v>
      </c>
      <c r="F348" s="201" t="s">
        <v>183</v>
      </c>
      <c r="G348" s="202" t="s">
        <v>2662</v>
      </c>
      <c r="H34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114</v>
      </c>
      <c r="I348" s="194">
        <v>143868</v>
      </c>
      <c r="J348" s="194">
        <f>+Elementos_[[#This Row],[Valor de referencia]]*Elementos_[[#This Row],[Cantidad]]</f>
        <v>16400952</v>
      </c>
      <c r="K348" s="166"/>
      <c r="L348" s="159">
        <f>+Elementos_[[#This Row],[Cantidad LANIP]]*Elementos_[[#This Row],[Valor de referencia]]</f>
        <v>0</v>
      </c>
      <c r="M348" s="270">
        <v>20</v>
      </c>
      <c r="N348" s="195">
        <f>+Elementos_[[#This Row],[Cantidad 
LDV]]*Elementos_[[#This Row],[Valor de referencia]]</f>
        <v>2877360</v>
      </c>
      <c r="O348" s="166">
        <v>10</v>
      </c>
      <c r="P348" s="159">
        <f>+Elementos_[[#This Row],[Cantidad LNDV]]*Elementos_[[#This Row],[Valor de referencia]]</f>
        <v>1438680</v>
      </c>
      <c r="Q348" s="196"/>
      <c r="R348" s="159">
        <f>+Elementos_[[#This Row],[GGCA]]*Elementos_[[#This Row],[Valor de referencia]]</f>
        <v>0</v>
      </c>
      <c r="S348" s="166">
        <v>7</v>
      </c>
      <c r="T348" s="194">
        <f>+Elementos_[[#This Row],[Cantidad LDF]]*Elementos_[[#This Row],[Valor de referencia]]</f>
        <v>1007076</v>
      </c>
      <c r="U348" s="197">
        <v>5</v>
      </c>
      <c r="V348" s="194">
        <f>+Elementos_[[#This Row],[Cantidad LDF&amp;MR]]*Elementos_[[#This Row],[Valor de referencia]]</f>
        <v>719340</v>
      </c>
      <c r="W348" s="166">
        <v>3</v>
      </c>
      <c r="X348" s="194">
        <f>+Elementos_[[#This Row],[Cantidad RED LASE]]*Elementos_[[#This Row],[Valor de referencia]]</f>
        <v>431604</v>
      </c>
      <c r="Y348" s="196">
        <v>2</v>
      </c>
      <c r="Z348" s="194">
        <f>+Elementos_[[#This Row],[Cantidad LANIA]]*Elementos_[[#This Row],[Valor de referencia]]</f>
        <v>287736</v>
      </c>
      <c r="AA348" s="196">
        <v>67</v>
      </c>
      <c r="AB348" s="194">
        <f>+Elementos_[[#This Row],[Cantidad SPA]]*Elementos_[[#This Row],[Valor de referencia]]</f>
        <v>9639156</v>
      </c>
      <c r="AC348" s="166" t="s">
        <v>2049</v>
      </c>
    </row>
    <row r="349" spans="1:29" ht="24" x14ac:dyDescent="0.2">
      <c r="A349" s="294" t="str">
        <f>IF(B349=Elementos_[[#This Row],[Cantidad LANIP]],"LANIP",IF(B349=Elementos_[[#This Row],[Cantidad 
LDV]],"LDV",IF(B349=Elementos_[[#This Row],[Cantidad LNDV]],"LNDV",IF(B349=Elementos_[[#This Row],[GGCA]],"GGCA",IF(B349=Elementos_[[#This Row],[Cantidad LDF]],"LDF",IF(B349=Elementos_[[#This Row],[Cantidad LDF&amp;MR]],"LDF&amp;MR",IF(B349=Elementos_[[#This Row],[Cantidad RED LASE]],"LASE",IF(B349=Elementos_[[#This Row],[Cantidad LANIA]],"LANIA",IF(B349=Elementos_[[#This Row],[Cantidad SPA]],"SPA"," ")))))))))</f>
        <v>LANIA</v>
      </c>
      <c r="B34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349" s="298">
        <v>347</v>
      </c>
      <c r="D349" s="190">
        <v>519</v>
      </c>
      <c r="E349" s="273" t="s">
        <v>2663</v>
      </c>
      <c r="F349" s="204" t="s">
        <v>183</v>
      </c>
      <c r="G349" s="192" t="s">
        <v>2664</v>
      </c>
      <c r="H34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349" s="194">
        <v>417192</v>
      </c>
      <c r="J349" s="194">
        <f>+Elementos_[[#This Row],[Valor de referencia]]*Elementos_[[#This Row],[Cantidad]]</f>
        <v>2085960</v>
      </c>
      <c r="K349" s="166"/>
      <c r="L349" s="159">
        <f>+Elementos_[[#This Row],[Cantidad LANIP]]*Elementos_[[#This Row],[Valor de referencia]]</f>
        <v>0</v>
      </c>
      <c r="M349" s="270"/>
      <c r="N349" s="195">
        <f>+Elementos_[[#This Row],[Cantidad 
LDV]]*Elementos_[[#This Row],[Valor de referencia]]</f>
        <v>0</v>
      </c>
      <c r="O349" s="166"/>
      <c r="P349" s="159">
        <f>+Elementos_[[#This Row],[Cantidad LNDV]]*Elementos_[[#This Row],[Valor de referencia]]</f>
        <v>0</v>
      </c>
      <c r="Q349" s="196"/>
      <c r="R349" s="159">
        <f>+Elementos_[[#This Row],[GGCA]]*Elementos_[[#This Row],[Valor de referencia]]</f>
        <v>0</v>
      </c>
      <c r="S349" s="166"/>
      <c r="T349" s="159">
        <f>+Elementos_[[#This Row],[Cantidad LDF]]*Elementos_[[#This Row],[Valor de referencia]]</f>
        <v>0</v>
      </c>
      <c r="U349" s="197"/>
      <c r="V349" s="159">
        <f>+Elementos_[[#This Row],[Cantidad LDF&amp;MR]]*Elementos_[[#This Row],[Valor de referencia]]</f>
        <v>0</v>
      </c>
      <c r="W349" s="166"/>
      <c r="X349" s="159">
        <f>+Elementos_[[#This Row],[Cantidad RED LASE]]*Elementos_[[#This Row],[Valor de referencia]]</f>
        <v>0</v>
      </c>
      <c r="Y349" s="196">
        <v>5</v>
      </c>
      <c r="Z349" s="159">
        <f>+Elementos_[[#This Row],[Cantidad LANIA]]*Elementos_[[#This Row],[Valor de referencia]]</f>
        <v>2085960</v>
      </c>
      <c r="AA349" s="196"/>
      <c r="AB349" s="159">
        <f>+Elementos_[[#This Row],[Cantidad SPA]]*Elementos_[[#This Row],[Valor de referencia]]</f>
        <v>0</v>
      </c>
      <c r="AC349" s="166" t="s">
        <v>2049</v>
      </c>
    </row>
    <row r="350" spans="1:29" ht="12.75" x14ac:dyDescent="0.2">
      <c r="A350" s="294" t="str">
        <f>IF(B350=Elementos_[[#This Row],[Cantidad LANIP]],"LANIP",IF(B350=Elementos_[[#This Row],[Cantidad 
LDV]],"LDV",IF(B350=Elementos_[[#This Row],[Cantidad LNDV]],"LNDV",IF(B350=Elementos_[[#This Row],[GGCA]],"GGCA",IF(B350=Elementos_[[#This Row],[Cantidad LDF]],"LDF",IF(B350=Elementos_[[#This Row],[Cantidad LDF&amp;MR]],"LDF&amp;MR",IF(B350=Elementos_[[#This Row],[Cantidad RED LASE]],"LASE",IF(B350=Elementos_[[#This Row],[Cantidad LANIA]],"LANIA",IF(B350=Elementos_[[#This Row],[Cantidad SPA]],"SPA"," ")))))))))</f>
        <v>GGCA</v>
      </c>
      <c r="B35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350" s="298">
        <v>348</v>
      </c>
      <c r="D350" s="190">
        <v>520</v>
      </c>
      <c r="E350" s="277" t="s">
        <v>2665</v>
      </c>
      <c r="F350" s="201" t="s">
        <v>183</v>
      </c>
      <c r="G350" s="192" t="s">
        <v>2666</v>
      </c>
      <c r="H35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350" s="194">
        <v>1309000</v>
      </c>
      <c r="J350" s="194">
        <f>+Elementos_[[#This Row],[Valor de referencia]]*Elementos_[[#This Row],[Cantidad]]</f>
        <v>6545000</v>
      </c>
      <c r="K350" s="166"/>
      <c r="L350" s="159">
        <f>+Elementos_[[#This Row],[Cantidad LANIP]]*Elementos_[[#This Row],[Valor de referencia]]</f>
        <v>0</v>
      </c>
      <c r="M350" s="270">
        <v>0</v>
      </c>
      <c r="N350" s="195">
        <f>+Elementos_[[#This Row],[Cantidad 
LDV]]*Elementos_[[#This Row],[Valor de referencia]]</f>
        <v>0</v>
      </c>
      <c r="O350" s="166"/>
      <c r="P350" s="159">
        <f>+Elementos_[[#This Row],[Cantidad LNDV]]*Elementos_[[#This Row],[Valor de referencia]]</f>
        <v>0</v>
      </c>
      <c r="Q350" s="196">
        <v>5</v>
      </c>
      <c r="R350" s="159">
        <f>+Elementos_[[#This Row],[GGCA]]*Elementos_[[#This Row],[Valor de referencia]]</f>
        <v>6545000</v>
      </c>
      <c r="S350" s="166"/>
      <c r="T350" s="159">
        <f>+Elementos_[[#This Row],[Cantidad LDF]]*Elementos_[[#This Row],[Valor de referencia]]</f>
        <v>0</v>
      </c>
      <c r="U350" s="197"/>
      <c r="V350" s="159">
        <f>+Elementos_[[#This Row],[Cantidad LDF&amp;MR]]*Elementos_[[#This Row],[Valor de referencia]]</f>
        <v>0</v>
      </c>
      <c r="W350" s="166"/>
      <c r="X350" s="159">
        <f>+Elementos_[[#This Row],[Cantidad RED LASE]]*Elementos_[[#This Row],[Valor de referencia]]</f>
        <v>0</v>
      </c>
      <c r="Y350" s="196"/>
      <c r="Z350" s="159">
        <f>+Elementos_[[#This Row],[Cantidad LANIA]]*Elementos_[[#This Row],[Valor de referencia]]</f>
        <v>0</v>
      </c>
      <c r="AA350" s="196"/>
      <c r="AB350" s="159">
        <f>+Elementos_[[#This Row],[Cantidad SPA]]*Elementos_[[#This Row],[Valor de referencia]]</f>
        <v>0</v>
      </c>
      <c r="AC350" s="166" t="s">
        <v>2049</v>
      </c>
    </row>
    <row r="351" spans="1:29" ht="24" x14ac:dyDescent="0.2">
      <c r="A351" s="294" t="str">
        <f>IF(B351=Elementos_[[#This Row],[Cantidad LANIP]],"LANIP",IF(B351=Elementos_[[#This Row],[Cantidad 
LDV]],"LDV",IF(B351=Elementos_[[#This Row],[Cantidad LNDV]],"LNDV",IF(B351=Elementos_[[#This Row],[GGCA]],"GGCA",IF(B351=Elementos_[[#This Row],[Cantidad LDF]],"LDF",IF(B351=Elementos_[[#This Row],[Cantidad LDF&amp;MR]],"LDF&amp;MR",IF(B351=Elementos_[[#This Row],[Cantidad RED LASE]],"LASE",IF(B351=Elementos_[[#This Row],[Cantidad LANIA]],"LANIA",IF(B351=Elementos_[[#This Row],[Cantidad SPA]],"SPA"," ")))))))))</f>
        <v>LDF&amp;MR</v>
      </c>
      <c r="B35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51" s="298">
        <v>349</v>
      </c>
      <c r="D351" s="190">
        <v>521</v>
      </c>
      <c r="E351" s="273" t="s">
        <v>2667</v>
      </c>
      <c r="F351" s="204" t="s">
        <v>2449</v>
      </c>
      <c r="G351" s="192" t="s">
        <v>2668</v>
      </c>
      <c r="H35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351" s="194">
        <v>268208</v>
      </c>
      <c r="J351" s="194">
        <f>+Elementos_[[#This Row],[Valor de referencia]]*Elementos_[[#This Row],[Cantidad]]</f>
        <v>3486704</v>
      </c>
      <c r="K351" s="166"/>
      <c r="L351" s="159">
        <f>+Elementos_[[#This Row],[Cantidad LANIP]]*Elementos_[[#This Row],[Valor de referencia]]</f>
        <v>0</v>
      </c>
      <c r="M351" s="270"/>
      <c r="N351" s="195">
        <f>+Elementos_[[#This Row],[Cantidad 
LDV]]*Elementos_[[#This Row],[Valor de referencia]]</f>
        <v>0</v>
      </c>
      <c r="O351" s="166">
        <v>1</v>
      </c>
      <c r="P351" s="159">
        <f>+Elementos_[[#This Row],[Cantidad LNDV]]*Elementos_[[#This Row],[Valor de referencia]]</f>
        <v>268208</v>
      </c>
      <c r="Q351" s="196"/>
      <c r="R351" s="159">
        <f>+Elementos_[[#This Row],[GGCA]]*Elementos_[[#This Row],[Valor de referencia]]</f>
        <v>0</v>
      </c>
      <c r="S351" s="166">
        <v>4</v>
      </c>
      <c r="T351" s="159">
        <f>+Elementos_[[#This Row],[Cantidad LDF]]*Elementos_[[#This Row],[Valor de referencia]]</f>
        <v>1072832</v>
      </c>
      <c r="U351" s="197">
        <v>6</v>
      </c>
      <c r="V351" s="159">
        <f>+Elementos_[[#This Row],[Cantidad LDF&amp;MR]]*Elementos_[[#This Row],[Valor de referencia]]</f>
        <v>1609248</v>
      </c>
      <c r="W351" s="166"/>
      <c r="X351" s="159">
        <f>+Elementos_[[#This Row],[Cantidad RED LASE]]*Elementos_[[#This Row],[Valor de referencia]]</f>
        <v>0</v>
      </c>
      <c r="Y351" s="196">
        <v>2</v>
      </c>
      <c r="Z351" s="159">
        <f>+Elementos_[[#This Row],[Cantidad LANIA]]*Elementos_[[#This Row],[Valor de referencia]]</f>
        <v>536416</v>
      </c>
      <c r="AA351" s="196"/>
      <c r="AB351" s="159">
        <f>+Elementos_[[#This Row],[Cantidad SPA]]*Elementos_[[#This Row],[Valor de referencia]]</f>
        <v>0</v>
      </c>
      <c r="AC351" s="166" t="s">
        <v>2049</v>
      </c>
    </row>
    <row r="352" spans="1:29" ht="24" x14ac:dyDescent="0.2">
      <c r="A352" s="294" t="str">
        <f>IF(B352=Elementos_[[#This Row],[Cantidad LANIP]],"LANIP",IF(B352=Elementos_[[#This Row],[Cantidad 
LDV]],"LDV",IF(B352=Elementos_[[#This Row],[Cantidad LNDV]],"LNDV",IF(B352=Elementos_[[#This Row],[GGCA]],"GGCA",IF(B352=Elementos_[[#This Row],[Cantidad LDF]],"LDF",IF(B352=Elementos_[[#This Row],[Cantidad LDF&amp;MR]],"LDF&amp;MR",IF(B352=Elementos_[[#This Row],[Cantidad RED LASE]],"LASE",IF(B352=Elementos_[[#This Row],[Cantidad LANIA]],"LANIA",IF(B352=Elementos_[[#This Row],[Cantidad SPA]],"SPA"," ")))))))))</f>
        <v>LDF</v>
      </c>
      <c r="B35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52" s="298">
        <v>350</v>
      </c>
      <c r="D352" s="190">
        <v>523</v>
      </c>
      <c r="E352" s="273" t="s">
        <v>2669</v>
      </c>
      <c r="F352" s="204" t="s">
        <v>183</v>
      </c>
      <c r="G352" s="192" t="s">
        <v>525</v>
      </c>
      <c r="H35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52" s="194">
        <v>145177</v>
      </c>
      <c r="J352" s="194">
        <f>+Elementos_[[#This Row],[Valor de referencia]]*Elementos_[[#This Row],[Cantidad]]</f>
        <v>145177</v>
      </c>
      <c r="K352" s="166"/>
      <c r="L352" s="159">
        <f>+Elementos_[[#This Row],[Cantidad LANIP]]*Elementos_[[#This Row],[Valor de referencia]]</f>
        <v>0</v>
      </c>
      <c r="M352" s="270"/>
      <c r="N352" s="195">
        <f>+Elementos_[[#This Row],[Cantidad 
LDV]]*Elementos_[[#This Row],[Valor de referencia]]</f>
        <v>0</v>
      </c>
      <c r="O352" s="166"/>
      <c r="P352" s="159">
        <f>+Elementos_[[#This Row],[Cantidad LNDV]]*Elementos_[[#This Row],[Valor de referencia]]</f>
        <v>0</v>
      </c>
      <c r="Q352" s="196"/>
      <c r="R352" s="159">
        <f>+Elementos_[[#This Row],[GGCA]]*Elementos_[[#This Row],[Valor de referencia]]</f>
        <v>0</v>
      </c>
      <c r="S352" s="166">
        <v>1</v>
      </c>
      <c r="T352" s="159">
        <f>+Elementos_[[#This Row],[Cantidad LDF]]*Elementos_[[#This Row],[Valor de referencia]]</f>
        <v>145177</v>
      </c>
      <c r="U352" s="197"/>
      <c r="V352" s="159">
        <f>+Elementos_[[#This Row],[Cantidad LDF&amp;MR]]*Elementos_[[#This Row],[Valor de referencia]]</f>
        <v>0</v>
      </c>
      <c r="W352" s="166"/>
      <c r="X352" s="159">
        <f>+Elementos_[[#This Row],[Cantidad RED LASE]]*Elementos_[[#This Row],[Valor de referencia]]</f>
        <v>0</v>
      </c>
      <c r="Y352" s="196"/>
      <c r="Z352" s="159">
        <f>+Elementos_[[#This Row],[Cantidad LANIA]]*Elementos_[[#This Row],[Valor de referencia]]</f>
        <v>0</v>
      </c>
      <c r="AA352" s="196"/>
      <c r="AB352" s="159">
        <f>+Elementos_[[#This Row],[Cantidad SPA]]*Elementos_[[#This Row],[Valor de referencia]]</f>
        <v>0</v>
      </c>
      <c r="AC352" s="166" t="s">
        <v>2049</v>
      </c>
    </row>
    <row r="353" spans="1:29" ht="36" x14ac:dyDescent="0.2">
      <c r="A353" s="294" t="str">
        <f>IF(B353=Elementos_[[#This Row],[Cantidad LANIP]],"LANIP",IF(B353=Elementos_[[#This Row],[Cantidad 
LDV]],"LDV",IF(B353=Elementos_[[#This Row],[Cantidad LNDV]],"LNDV",IF(B353=Elementos_[[#This Row],[GGCA]],"GGCA",IF(B353=Elementos_[[#This Row],[Cantidad LDF]],"LDF",IF(B353=Elementos_[[#This Row],[Cantidad LDF&amp;MR]],"LDF&amp;MR",IF(B353=Elementos_[[#This Row],[Cantidad RED LASE]],"LASE",IF(B353=Elementos_[[#This Row],[Cantidad LANIA]],"LANIA",IF(B353=Elementos_[[#This Row],[Cantidad SPA]],"SPA"," ")))))))))</f>
        <v>LDF</v>
      </c>
      <c r="B35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353" s="298">
        <v>351</v>
      </c>
      <c r="D353" s="190">
        <v>524</v>
      </c>
      <c r="E353" s="273" t="s">
        <v>2670</v>
      </c>
      <c r="F353" s="201" t="s">
        <v>2671</v>
      </c>
      <c r="G353" s="192" t="s">
        <v>1344</v>
      </c>
      <c r="H35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353" s="194">
        <v>226015</v>
      </c>
      <c r="J353" s="194">
        <f>+Elementos_[[#This Row],[Valor de referencia]]*Elementos_[[#This Row],[Cantidad]]</f>
        <v>678045</v>
      </c>
      <c r="K353" s="166"/>
      <c r="L353" s="159">
        <f>+Elementos_[[#This Row],[Cantidad LANIP]]*Elementos_[[#This Row],[Valor de referencia]]</f>
        <v>0</v>
      </c>
      <c r="M353" s="270">
        <v>0</v>
      </c>
      <c r="N353" s="195">
        <f>+Elementos_[[#This Row],[Cantidad 
LDV]]*Elementos_[[#This Row],[Valor de referencia]]</f>
        <v>0</v>
      </c>
      <c r="O353" s="166"/>
      <c r="P353" s="159">
        <f>+Elementos_[[#This Row],[Cantidad LNDV]]*Elementos_[[#This Row],[Valor de referencia]]</f>
        <v>0</v>
      </c>
      <c r="Q353" s="196"/>
      <c r="R353" s="159">
        <f>+Elementos_[[#This Row],[GGCA]]*Elementos_[[#This Row],[Valor de referencia]]</f>
        <v>0</v>
      </c>
      <c r="S353" s="166">
        <v>3</v>
      </c>
      <c r="T353" s="159">
        <f>+Elementos_[[#This Row],[Cantidad LDF]]*Elementos_[[#This Row],[Valor de referencia]]</f>
        <v>678045</v>
      </c>
      <c r="U353" s="197"/>
      <c r="V353" s="159">
        <f>+Elementos_[[#This Row],[Cantidad LDF&amp;MR]]*Elementos_[[#This Row],[Valor de referencia]]</f>
        <v>0</v>
      </c>
      <c r="W353" s="166"/>
      <c r="X353" s="159">
        <f>+Elementos_[[#This Row],[Cantidad RED LASE]]*Elementos_[[#This Row],[Valor de referencia]]</f>
        <v>0</v>
      </c>
      <c r="Y353" s="196"/>
      <c r="Z353" s="159">
        <f>+Elementos_[[#This Row],[Cantidad LANIA]]*Elementos_[[#This Row],[Valor de referencia]]</f>
        <v>0</v>
      </c>
      <c r="AA353" s="196"/>
      <c r="AB353" s="159">
        <f>+Elementos_[[#This Row],[Cantidad SPA]]*Elementos_[[#This Row],[Valor de referencia]]</f>
        <v>0</v>
      </c>
      <c r="AC353" s="166" t="s">
        <v>2041</v>
      </c>
    </row>
    <row r="354" spans="1:29" ht="12.75" x14ac:dyDescent="0.2">
      <c r="A354" s="294" t="str">
        <f>IF(B354=Elementos_[[#This Row],[Cantidad LANIP]],"LANIP",IF(B354=Elementos_[[#This Row],[Cantidad 
LDV]],"LDV",IF(B354=Elementos_[[#This Row],[Cantidad LNDV]],"LNDV",IF(B354=Elementos_[[#This Row],[GGCA]],"GGCA",IF(B354=Elementos_[[#This Row],[Cantidad LDF]],"LDF",IF(B354=Elementos_[[#This Row],[Cantidad LDF&amp;MR]],"LDF&amp;MR",IF(B354=Elementos_[[#This Row],[Cantidad RED LASE]],"LASE",IF(B354=Elementos_[[#This Row],[Cantidad LANIA]],"LANIA",IF(B354=Elementos_[[#This Row],[Cantidad SPA]],"SPA"," ")))))))))</f>
        <v>LDF&amp;MR</v>
      </c>
      <c r="B35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354" s="298">
        <v>352</v>
      </c>
      <c r="D354" s="190">
        <v>527</v>
      </c>
      <c r="E354" s="289" t="s">
        <v>2672</v>
      </c>
      <c r="F354" s="204" t="s">
        <v>183</v>
      </c>
      <c r="G354" s="199" t="s">
        <v>525</v>
      </c>
      <c r="H35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38</v>
      </c>
      <c r="I354" s="194">
        <v>193375</v>
      </c>
      <c r="J354" s="194">
        <f>+Elementos_[[#This Row],[Valor de referencia]]*Elementos_[[#This Row],[Cantidad]]</f>
        <v>7348250</v>
      </c>
      <c r="K354" s="166"/>
      <c r="L354" s="159">
        <f>+Elementos_[[#This Row],[Cantidad LANIP]]*Elementos_[[#This Row],[Valor de referencia]]</f>
        <v>0</v>
      </c>
      <c r="M354" s="270">
        <v>0</v>
      </c>
      <c r="N354" s="195">
        <f>+Elementos_[[#This Row],[Cantidad 
LDV]]*Elementos_[[#This Row],[Valor de referencia]]</f>
        <v>0</v>
      </c>
      <c r="O354" s="166"/>
      <c r="P354" s="159">
        <f>+Elementos_[[#This Row],[Cantidad LNDV]]*Elementos_[[#This Row],[Valor de referencia]]</f>
        <v>0</v>
      </c>
      <c r="Q354" s="196"/>
      <c r="R354" s="159">
        <f>+Elementos_[[#This Row],[GGCA]]*Elementos_[[#This Row],[Valor de referencia]]</f>
        <v>0</v>
      </c>
      <c r="S354" s="166">
        <v>8</v>
      </c>
      <c r="T354" s="159">
        <f>+Elementos_[[#This Row],[Cantidad LDF]]*Elementos_[[#This Row],[Valor de referencia]]</f>
        <v>1547000</v>
      </c>
      <c r="U354" s="197">
        <v>20</v>
      </c>
      <c r="V354" s="159">
        <f>+Elementos_[[#This Row],[Cantidad LDF&amp;MR]]*Elementos_[[#This Row],[Valor de referencia]]</f>
        <v>3867500</v>
      </c>
      <c r="W354" s="166"/>
      <c r="X354" s="159">
        <f>+Elementos_[[#This Row],[Cantidad RED LASE]]*Elementos_[[#This Row],[Valor de referencia]]</f>
        <v>0</v>
      </c>
      <c r="Y354" s="196">
        <v>10</v>
      </c>
      <c r="Z354" s="159">
        <f>+Elementos_[[#This Row],[Cantidad LANIA]]*Elementos_[[#This Row],[Valor de referencia]]</f>
        <v>1933750</v>
      </c>
      <c r="AA354" s="196"/>
      <c r="AB354" s="159">
        <f>+Elementos_[[#This Row],[Cantidad SPA]]*Elementos_[[#This Row],[Valor de referencia]]</f>
        <v>0</v>
      </c>
      <c r="AC354" s="166" t="s">
        <v>76</v>
      </c>
    </row>
    <row r="355" spans="1:29" ht="12.75" x14ac:dyDescent="0.2">
      <c r="A355" s="294" t="str">
        <f>IF(B355=Elementos_[[#This Row],[Cantidad LANIP]],"LANIP",IF(B355=Elementos_[[#This Row],[Cantidad 
LDV]],"LDV",IF(B355=Elementos_[[#This Row],[Cantidad LNDV]],"LNDV",IF(B355=Elementos_[[#This Row],[GGCA]],"GGCA",IF(B355=Elementos_[[#This Row],[Cantidad LDF]],"LDF",IF(B355=Elementos_[[#This Row],[Cantidad LDF&amp;MR]],"LDF&amp;MR",IF(B355=Elementos_[[#This Row],[Cantidad RED LASE]],"LASE",IF(B355=Elementos_[[#This Row],[Cantidad LANIA]],"LANIA",IF(B355=Elementos_[[#This Row],[Cantidad SPA]],"SPA"," ")))))))))</f>
        <v>SPA</v>
      </c>
      <c r="B35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32</v>
      </c>
      <c r="C355" s="298">
        <v>353</v>
      </c>
      <c r="D355" s="190">
        <v>529</v>
      </c>
      <c r="E355" s="273" t="s">
        <v>2673</v>
      </c>
      <c r="F355" s="204" t="s">
        <v>183</v>
      </c>
      <c r="G355" s="192" t="s">
        <v>525</v>
      </c>
      <c r="H35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40</v>
      </c>
      <c r="I355" s="194">
        <v>23530</v>
      </c>
      <c r="J355" s="194">
        <f>+Elementos_[[#This Row],[Valor de referencia]]*Elementos_[[#This Row],[Cantidad]]</f>
        <v>941200</v>
      </c>
      <c r="K355" s="166"/>
      <c r="L355" s="159">
        <f>+Elementos_[[#This Row],[Cantidad LANIP]]*Elementos_[[#This Row],[Valor de referencia]]</f>
        <v>0</v>
      </c>
      <c r="M355" s="270">
        <v>0</v>
      </c>
      <c r="N355" s="195">
        <f>+Elementos_[[#This Row],[Cantidad 
LDV]]*Elementos_[[#This Row],[Valor de referencia]]</f>
        <v>0</v>
      </c>
      <c r="O355" s="166"/>
      <c r="P355" s="159">
        <f>+Elementos_[[#This Row],[Cantidad LNDV]]*Elementos_[[#This Row],[Valor de referencia]]</f>
        <v>0</v>
      </c>
      <c r="Q355" s="196"/>
      <c r="R355" s="159">
        <f>+Elementos_[[#This Row],[GGCA]]*Elementos_[[#This Row],[Valor de referencia]]</f>
        <v>0</v>
      </c>
      <c r="S355" s="166">
        <v>8</v>
      </c>
      <c r="T355" s="194">
        <f>+Elementos_[[#This Row],[Cantidad LDF]]*Elementos_[[#This Row],[Valor de referencia]]</f>
        <v>188240</v>
      </c>
      <c r="U355" s="197"/>
      <c r="V355" s="194">
        <f>+Elementos_[[#This Row],[Cantidad LDF&amp;MR]]*Elementos_[[#This Row],[Valor de referencia]]</f>
        <v>0</v>
      </c>
      <c r="W355" s="166"/>
      <c r="X355" s="194">
        <f>+Elementos_[[#This Row],[Cantidad RED LASE]]*Elementos_[[#This Row],[Valor de referencia]]</f>
        <v>0</v>
      </c>
      <c r="Y355" s="196"/>
      <c r="Z355" s="194">
        <f>+Elementos_[[#This Row],[Cantidad LANIA]]*Elementos_[[#This Row],[Valor de referencia]]</f>
        <v>0</v>
      </c>
      <c r="AA355" s="196">
        <v>32</v>
      </c>
      <c r="AB355" s="194">
        <f>+Elementos_[[#This Row],[Cantidad SPA]]*Elementos_[[#This Row],[Valor de referencia]]</f>
        <v>752960</v>
      </c>
      <c r="AC355" s="166" t="s">
        <v>76</v>
      </c>
    </row>
    <row r="356" spans="1:29" ht="12.75" x14ac:dyDescent="0.2">
      <c r="A356" s="294" t="str">
        <f>IF(B356=Elementos_[[#This Row],[Cantidad LANIP]],"LANIP",IF(B356=Elementos_[[#This Row],[Cantidad 
LDV]],"LDV",IF(B356=Elementos_[[#This Row],[Cantidad LNDV]],"LNDV",IF(B356=Elementos_[[#This Row],[GGCA]],"GGCA",IF(B356=Elementos_[[#This Row],[Cantidad LDF]],"LDF",IF(B356=Elementos_[[#This Row],[Cantidad LDF&amp;MR]],"LDF&amp;MR",IF(B356=Elementos_[[#This Row],[Cantidad RED LASE]],"LASE",IF(B356=Elementos_[[#This Row],[Cantidad LANIA]],"LANIA",IF(B356=Elementos_[[#This Row],[Cantidad SPA]],"SPA"," ")))))))))</f>
        <v>LDF&amp;MR</v>
      </c>
      <c r="B35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56" s="298">
        <v>354</v>
      </c>
      <c r="D356" s="190">
        <v>530</v>
      </c>
      <c r="E356" s="273" t="s">
        <v>2674</v>
      </c>
      <c r="F356" s="201" t="s">
        <v>183</v>
      </c>
      <c r="G356" s="202" t="s">
        <v>525</v>
      </c>
      <c r="H35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356" s="194">
        <v>33877</v>
      </c>
      <c r="J356" s="194">
        <f>+Elementos_[[#This Row],[Valor de referencia]]*Elementos_[[#This Row],[Cantidad]]</f>
        <v>609786</v>
      </c>
      <c r="K356" s="166"/>
      <c r="L356" s="159">
        <f>+Elementos_[[#This Row],[Cantidad LANIP]]*Elementos_[[#This Row],[Valor de referencia]]</f>
        <v>0</v>
      </c>
      <c r="M356" s="270">
        <v>0</v>
      </c>
      <c r="N356" s="195">
        <f>+Elementos_[[#This Row],[Cantidad 
LDV]]*Elementos_[[#This Row],[Valor de referencia]]</f>
        <v>0</v>
      </c>
      <c r="O356" s="166"/>
      <c r="P356" s="159">
        <f>+Elementos_[[#This Row],[Cantidad LNDV]]*Elementos_[[#This Row],[Valor de referencia]]</f>
        <v>0</v>
      </c>
      <c r="Q356" s="196"/>
      <c r="R356" s="159">
        <f>+Elementos_[[#This Row],[GGCA]]*Elementos_[[#This Row],[Valor de referencia]]</f>
        <v>0</v>
      </c>
      <c r="S356" s="166">
        <v>8</v>
      </c>
      <c r="T356" s="159">
        <f>+Elementos_[[#This Row],[Cantidad LDF]]*Elementos_[[#This Row],[Valor de referencia]]</f>
        <v>271016</v>
      </c>
      <c r="U356" s="197">
        <v>10</v>
      </c>
      <c r="V356" s="159">
        <f>+Elementos_[[#This Row],[Cantidad LDF&amp;MR]]*Elementos_[[#This Row],[Valor de referencia]]</f>
        <v>338770</v>
      </c>
      <c r="W356" s="166"/>
      <c r="X356" s="159">
        <f>+Elementos_[[#This Row],[Cantidad RED LASE]]*Elementos_[[#This Row],[Valor de referencia]]</f>
        <v>0</v>
      </c>
      <c r="Y356" s="196"/>
      <c r="Z356" s="159">
        <f>+Elementos_[[#This Row],[Cantidad LANIA]]*Elementos_[[#This Row],[Valor de referencia]]</f>
        <v>0</v>
      </c>
      <c r="AA356" s="196"/>
      <c r="AB356" s="159">
        <f>+Elementos_[[#This Row],[Cantidad SPA]]*Elementos_[[#This Row],[Valor de referencia]]</f>
        <v>0</v>
      </c>
      <c r="AC356" s="166" t="s">
        <v>76</v>
      </c>
    </row>
    <row r="357" spans="1:29" ht="12.75" x14ac:dyDescent="0.2">
      <c r="A357" s="294" t="str">
        <f>IF(B357=Elementos_[[#This Row],[Cantidad LANIP]],"LANIP",IF(B357=Elementos_[[#This Row],[Cantidad 
LDV]],"LDV",IF(B357=Elementos_[[#This Row],[Cantidad LNDV]],"LNDV",IF(B357=Elementos_[[#This Row],[GGCA]],"GGCA",IF(B357=Elementos_[[#This Row],[Cantidad LDF]],"LDF",IF(B357=Elementos_[[#This Row],[Cantidad LDF&amp;MR]],"LDF&amp;MR",IF(B357=Elementos_[[#This Row],[Cantidad RED LASE]],"LASE",IF(B357=Elementos_[[#This Row],[Cantidad LANIA]],"LANIA",IF(B357=Elementos_[[#This Row],[Cantidad SPA]],"SPA"," ")))))))))</f>
        <v>LDF</v>
      </c>
      <c r="B35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357" s="298">
        <v>355</v>
      </c>
      <c r="D357" s="190">
        <v>531</v>
      </c>
      <c r="E357" s="277" t="s">
        <v>2675</v>
      </c>
      <c r="F357" s="204" t="s">
        <v>183</v>
      </c>
      <c r="G357" s="192" t="s">
        <v>525</v>
      </c>
      <c r="H35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357" s="194">
        <v>66356</v>
      </c>
      <c r="J357" s="194">
        <f>+Elementos_[[#This Row],[Valor de referencia]]*Elementos_[[#This Row],[Cantidad]]</f>
        <v>530848</v>
      </c>
      <c r="K357" s="166"/>
      <c r="L357" s="159">
        <f>+Elementos_[[#This Row],[Cantidad LANIP]]*Elementos_[[#This Row],[Valor de referencia]]</f>
        <v>0</v>
      </c>
      <c r="M357" s="270">
        <v>0</v>
      </c>
      <c r="N357" s="195">
        <f>+Elementos_[[#This Row],[Cantidad 
LDV]]*Elementos_[[#This Row],[Valor de referencia]]</f>
        <v>0</v>
      </c>
      <c r="O357" s="166"/>
      <c r="P357" s="159">
        <f>+Elementos_[[#This Row],[Cantidad LNDV]]*Elementos_[[#This Row],[Valor de referencia]]</f>
        <v>0</v>
      </c>
      <c r="Q357" s="196"/>
      <c r="R357" s="159">
        <f>+Elementos_[[#This Row],[GGCA]]*Elementos_[[#This Row],[Valor de referencia]]</f>
        <v>0</v>
      </c>
      <c r="S357" s="166">
        <v>8</v>
      </c>
      <c r="T357" s="159">
        <f>+Elementos_[[#This Row],[Cantidad LDF]]*Elementos_[[#This Row],[Valor de referencia]]</f>
        <v>530848</v>
      </c>
      <c r="U357" s="197"/>
      <c r="V357" s="159">
        <f>+Elementos_[[#This Row],[Cantidad LDF&amp;MR]]*Elementos_[[#This Row],[Valor de referencia]]</f>
        <v>0</v>
      </c>
      <c r="W357" s="166"/>
      <c r="X357" s="159">
        <f>+Elementos_[[#This Row],[Cantidad RED LASE]]*Elementos_[[#This Row],[Valor de referencia]]</f>
        <v>0</v>
      </c>
      <c r="Y357" s="196"/>
      <c r="Z357" s="159">
        <f>+Elementos_[[#This Row],[Cantidad LANIA]]*Elementos_[[#This Row],[Valor de referencia]]</f>
        <v>0</v>
      </c>
      <c r="AA357" s="196"/>
      <c r="AB357" s="159">
        <f>+Elementos_[[#This Row],[Cantidad SPA]]*Elementos_[[#This Row],[Valor de referencia]]</f>
        <v>0</v>
      </c>
      <c r="AC357" s="166" t="s">
        <v>76</v>
      </c>
    </row>
    <row r="358" spans="1:29" ht="12.75" x14ac:dyDescent="0.2">
      <c r="A358" s="294" t="str">
        <f>IF(B358=Elementos_[[#This Row],[Cantidad LANIP]],"LANIP",IF(B358=Elementos_[[#This Row],[Cantidad 
LDV]],"LDV",IF(B358=Elementos_[[#This Row],[Cantidad LNDV]],"LNDV",IF(B358=Elementos_[[#This Row],[GGCA]],"GGCA",IF(B358=Elementos_[[#This Row],[Cantidad LDF]],"LDF",IF(B358=Elementos_[[#This Row],[Cantidad LDF&amp;MR]],"LDF&amp;MR",IF(B358=Elementos_[[#This Row],[Cantidad RED LASE]],"LASE",IF(B358=Elementos_[[#This Row],[Cantidad LANIA]],"LANIA",IF(B358=Elementos_[[#This Row],[Cantidad SPA]],"SPA"," ")))))))))</f>
        <v>LDF</v>
      </c>
      <c r="B35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58" s="298">
        <v>356</v>
      </c>
      <c r="D358" s="190">
        <v>532</v>
      </c>
      <c r="E358" s="277" t="s">
        <v>2676</v>
      </c>
      <c r="F358" s="204" t="s">
        <v>183</v>
      </c>
      <c r="G358" s="192" t="s">
        <v>525</v>
      </c>
      <c r="H35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58" s="194">
        <v>41615</v>
      </c>
      <c r="J358" s="194">
        <f>+Elementos_[[#This Row],[Valor de referencia]]*Elementos_[[#This Row],[Cantidad]]</f>
        <v>249690</v>
      </c>
      <c r="K358" s="166"/>
      <c r="L358" s="159">
        <f>+Elementos_[[#This Row],[Cantidad LANIP]]*Elementos_[[#This Row],[Valor de referencia]]</f>
        <v>0</v>
      </c>
      <c r="M358" s="270">
        <v>0</v>
      </c>
      <c r="N358" s="195">
        <f>+Elementos_[[#This Row],[Cantidad 
LDV]]*Elementos_[[#This Row],[Valor de referencia]]</f>
        <v>0</v>
      </c>
      <c r="O358" s="166"/>
      <c r="P358" s="159">
        <f>+Elementos_[[#This Row],[Cantidad LNDV]]*Elementos_[[#This Row],[Valor de referencia]]</f>
        <v>0</v>
      </c>
      <c r="Q358" s="196"/>
      <c r="R358" s="159">
        <f>+Elementos_[[#This Row],[GGCA]]*Elementos_[[#This Row],[Valor de referencia]]</f>
        <v>0</v>
      </c>
      <c r="S358" s="166">
        <v>6</v>
      </c>
      <c r="T358" s="159">
        <f>+Elementos_[[#This Row],[Cantidad LDF]]*Elementos_[[#This Row],[Valor de referencia]]</f>
        <v>249690</v>
      </c>
      <c r="U358" s="197"/>
      <c r="V358" s="159">
        <f>+Elementos_[[#This Row],[Cantidad LDF&amp;MR]]*Elementos_[[#This Row],[Valor de referencia]]</f>
        <v>0</v>
      </c>
      <c r="W358" s="166"/>
      <c r="X358" s="159">
        <f>+Elementos_[[#This Row],[Cantidad RED LASE]]*Elementos_[[#This Row],[Valor de referencia]]</f>
        <v>0</v>
      </c>
      <c r="Y358" s="196"/>
      <c r="Z358" s="159">
        <f>+Elementos_[[#This Row],[Cantidad LANIA]]*Elementos_[[#This Row],[Valor de referencia]]</f>
        <v>0</v>
      </c>
      <c r="AA358" s="196"/>
      <c r="AB358" s="159">
        <f>+Elementos_[[#This Row],[Cantidad SPA]]*Elementos_[[#This Row],[Valor de referencia]]</f>
        <v>0</v>
      </c>
      <c r="AC358" s="166" t="s">
        <v>76</v>
      </c>
    </row>
    <row r="359" spans="1:29" ht="24" x14ac:dyDescent="0.2">
      <c r="A359" s="294" t="str">
        <f>IF(B359=Elementos_[[#This Row],[Cantidad LANIP]],"LANIP",IF(B359=Elementos_[[#This Row],[Cantidad 
LDV]],"LDV",IF(B359=Elementos_[[#This Row],[Cantidad LNDV]],"LNDV",IF(B359=Elementos_[[#This Row],[GGCA]],"GGCA",IF(B359=Elementos_[[#This Row],[Cantidad LDF]],"LDF",IF(B359=Elementos_[[#This Row],[Cantidad LDF&amp;MR]],"LDF&amp;MR",IF(B359=Elementos_[[#This Row],[Cantidad RED LASE]],"LASE",IF(B359=Elementos_[[#This Row],[Cantidad LANIA]],"LANIA",IF(B359=Elementos_[[#This Row],[Cantidad SPA]],"SPA"," ")))))))))</f>
        <v>LNDV</v>
      </c>
      <c r="B35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359" s="298">
        <v>357</v>
      </c>
      <c r="D359" s="190">
        <v>533</v>
      </c>
      <c r="E359" s="274" t="s">
        <v>2677</v>
      </c>
      <c r="F359" s="201" t="s">
        <v>2678</v>
      </c>
      <c r="G359" s="192" t="s">
        <v>525</v>
      </c>
      <c r="H35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36</v>
      </c>
      <c r="I359" s="194">
        <v>34007</v>
      </c>
      <c r="J359" s="194">
        <f>+Elementos_[[#This Row],[Valor de referencia]]*Elementos_[[#This Row],[Cantidad]]</f>
        <v>1224252</v>
      </c>
      <c r="K359" s="166"/>
      <c r="L359" s="159">
        <f>+Elementos_[[#This Row],[Cantidad LANIP]]*Elementos_[[#This Row],[Valor de referencia]]</f>
        <v>0</v>
      </c>
      <c r="M359" s="270">
        <v>2</v>
      </c>
      <c r="N359" s="195">
        <f>+Elementos_[[#This Row],[Cantidad 
LDV]]*Elementos_[[#This Row],[Valor de referencia]]</f>
        <v>68014</v>
      </c>
      <c r="O359" s="166">
        <v>30</v>
      </c>
      <c r="P359" s="159">
        <f>+Elementos_[[#This Row],[Cantidad LNDV]]*Elementos_[[#This Row],[Valor de referencia]]</f>
        <v>1020210</v>
      </c>
      <c r="Q359" s="196"/>
      <c r="R359" s="159">
        <f>+Elementos_[[#This Row],[GGCA]]*Elementos_[[#This Row],[Valor de referencia]]</f>
        <v>0</v>
      </c>
      <c r="S359" s="166">
        <v>4</v>
      </c>
      <c r="T359" s="159">
        <f>+Elementos_[[#This Row],[Cantidad LDF]]*Elementos_[[#This Row],[Valor de referencia]]</f>
        <v>136028</v>
      </c>
      <c r="U359" s="197"/>
      <c r="V359" s="159">
        <f>+Elementos_[[#This Row],[Cantidad LDF&amp;MR]]*Elementos_[[#This Row],[Valor de referencia]]</f>
        <v>0</v>
      </c>
      <c r="W359" s="166"/>
      <c r="X359" s="159">
        <f>+Elementos_[[#This Row],[Cantidad RED LASE]]*Elementos_[[#This Row],[Valor de referencia]]</f>
        <v>0</v>
      </c>
      <c r="Y359" s="196"/>
      <c r="Z359" s="159">
        <f>+Elementos_[[#This Row],[Cantidad LANIA]]*Elementos_[[#This Row],[Valor de referencia]]</f>
        <v>0</v>
      </c>
      <c r="AA359" s="196"/>
      <c r="AB359" s="159">
        <f>+Elementos_[[#This Row],[Cantidad SPA]]*Elementos_[[#This Row],[Valor de referencia]]</f>
        <v>0</v>
      </c>
      <c r="AC359" s="166" t="s">
        <v>76</v>
      </c>
    </row>
    <row r="360" spans="1:29" ht="48" x14ac:dyDescent="0.2">
      <c r="A360" s="294" t="str">
        <f>IF(B360=Elementos_[[#This Row],[Cantidad LANIP]],"LANIP",IF(B360=Elementos_[[#This Row],[Cantidad 
LDV]],"LDV",IF(B360=Elementos_[[#This Row],[Cantidad LNDV]],"LNDV",IF(B360=Elementos_[[#This Row],[GGCA]],"GGCA",IF(B360=Elementos_[[#This Row],[Cantidad LDF]],"LDF",IF(B360=Elementos_[[#This Row],[Cantidad LDF&amp;MR]],"LDF&amp;MR",IF(B360=Elementos_[[#This Row],[Cantidad RED LASE]],"LASE",IF(B360=Elementos_[[#This Row],[Cantidad LANIA]],"LANIA",IF(B360=Elementos_[[#This Row],[Cantidad SPA]],"SPA"," ")))))))))</f>
        <v>SPA</v>
      </c>
      <c r="B36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175</v>
      </c>
      <c r="C360" s="298">
        <v>358</v>
      </c>
      <c r="D360" s="190">
        <v>534</v>
      </c>
      <c r="E360" s="299" t="s">
        <v>2679</v>
      </c>
      <c r="F360" s="204" t="s">
        <v>2680</v>
      </c>
      <c r="G360" s="192" t="s">
        <v>525</v>
      </c>
      <c r="H36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229</v>
      </c>
      <c r="I360" s="194">
        <v>25598</v>
      </c>
      <c r="J360" s="194">
        <f>+Elementos_[[#This Row],[Valor de referencia]]*Elementos_[[#This Row],[Cantidad]]</f>
        <v>5861942</v>
      </c>
      <c r="K360" s="166"/>
      <c r="L360" s="159">
        <f>+Elementos_[[#This Row],[Cantidad LANIP]]*Elementos_[[#This Row],[Valor de referencia]]</f>
        <v>0</v>
      </c>
      <c r="M360" s="270">
        <v>0</v>
      </c>
      <c r="N360" s="195">
        <f>+Elementos_[[#This Row],[Cantidad 
LDV]]*Elementos_[[#This Row],[Valor de referencia]]</f>
        <v>0</v>
      </c>
      <c r="O360" s="166">
        <v>30</v>
      </c>
      <c r="P360" s="159">
        <f>+Elementos_[[#This Row],[Cantidad LNDV]]*Elementos_[[#This Row],[Valor de referencia]]</f>
        <v>767940</v>
      </c>
      <c r="Q360" s="196"/>
      <c r="R360" s="159">
        <f>+Elementos_[[#This Row],[GGCA]]*Elementos_[[#This Row],[Valor de referencia]]</f>
        <v>0</v>
      </c>
      <c r="S360" s="166">
        <v>4</v>
      </c>
      <c r="T360" s="194">
        <f>+Elementos_[[#This Row],[Cantidad LDF]]*Elementos_[[#This Row],[Valor de referencia]]</f>
        <v>102392</v>
      </c>
      <c r="U360" s="197"/>
      <c r="V360" s="194">
        <f>+Elementos_[[#This Row],[Cantidad LDF&amp;MR]]*Elementos_[[#This Row],[Valor de referencia]]</f>
        <v>0</v>
      </c>
      <c r="W360" s="166"/>
      <c r="X360" s="194">
        <f>+Elementos_[[#This Row],[Cantidad RED LASE]]*Elementos_[[#This Row],[Valor de referencia]]</f>
        <v>0</v>
      </c>
      <c r="Y360" s="196">
        <v>20</v>
      </c>
      <c r="Z360" s="194">
        <f>+Elementos_[[#This Row],[Cantidad LANIA]]*Elementos_[[#This Row],[Valor de referencia]]</f>
        <v>511960</v>
      </c>
      <c r="AA360" s="196">
        <v>175</v>
      </c>
      <c r="AB360" s="194">
        <f>+Elementos_[[#This Row],[Cantidad SPA]]*Elementos_[[#This Row],[Valor de referencia]]</f>
        <v>4479650</v>
      </c>
      <c r="AC360" s="166" t="s">
        <v>76</v>
      </c>
    </row>
    <row r="361" spans="1:29" ht="48" x14ac:dyDescent="0.2">
      <c r="A361" s="294" t="str">
        <f>IF(B361=Elementos_[[#This Row],[Cantidad LANIP]],"LANIP",IF(B361=Elementos_[[#This Row],[Cantidad 
LDV]],"LDV",IF(B361=Elementos_[[#This Row],[Cantidad LNDV]],"LNDV",IF(B361=Elementos_[[#This Row],[GGCA]],"GGCA",IF(B361=Elementos_[[#This Row],[Cantidad LDF]],"LDF",IF(B361=Elementos_[[#This Row],[Cantidad LDF&amp;MR]],"LDF&amp;MR",IF(B361=Elementos_[[#This Row],[Cantidad RED LASE]],"LASE",IF(B361=Elementos_[[#This Row],[Cantidad LANIA]],"LANIA",IF(B361=Elementos_[[#This Row],[Cantidad SPA]],"SPA"," ")))))))))</f>
        <v>SPA</v>
      </c>
      <c r="B36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175</v>
      </c>
      <c r="C361" s="298">
        <v>359</v>
      </c>
      <c r="D361" s="190">
        <v>535</v>
      </c>
      <c r="E361" s="299" t="s">
        <v>2681</v>
      </c>
      <c r="F361" s="204" t="s">
        <v>2682</v>
      </c>
      <c r="G361" s="192" t="s">
        <v>525</v>
      </c>
      <c r="H36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209</v>
      </c>
      <c r="I361" s="194">
        <v>24327</v>
      </c>
      <c r="J361" s="194">
        <f>+Elementos_[[#This Row],[Valor de referencia]]*Elementos_[[#This Row],[Cantidad]]</f>
        <v>5084343</v>
      </c>
      <c r="K361" s="166"/>
      <c r="L361" s="159">
        <f>+Elementos_[[#This Row],[Cantidad LANIP]]*Elementos_[[#This Row],[Valor de referencia]]</f>
        <v>0</v>
      </c>
      <c r="M361" s="270">
        <v>0</v>
      </c>
      <c r="N361" s="195">
        <f>+Elementos_[[#This Row],[Cantidad 
LDV]]*Elementos_[[#This Row],[Valor de referencia]]</f>
        <v>0</v>
      </c>
      <c r="O361" s="166">
        <v>30</v>
      </c>
      <c r="P361" s="159">
        <f>+Elementos_[[#This Row],[Cantidad LNDV]]*Elementos_[[#This Row],[Valor de referencia]]</f>
        <v>729810</v>
      </c>
      <c r="Q361" s="196"/>
      <c r="R361" s="159">
        <f>+Elementos_[[#This Row],[GGCA]]*Elementos_[[#This Row],[Valor de referencia]]</f>
        <v>0</v>
      </c>
      <c r="S361" s="166">
        <v>4</v>
      </c>
      <c r="T361" s="194">
        <f>+Elementos_[[#This Row],[Cantidad LDF]]*Elementos_[[#This Row],[Valor de referencia]]</f>
        <v>97308</v>
      </c>
      <c r="U361" s="197"/>
      <c r="V361" s="194">
        <f>+Elementos_[[#This Row],[Cantidad LDF&amp;MR]]*Elementos_[[#This Row],[Valor de referencia]]</f>
        <v>0</v>
      </c>
      <c r="W361" s="166"/>
      <c r="X361" s="194">
        <f>+Elementos_[[#This Row],[Cantidad RED LASE]]*Elementos_[[#This Row],[Valor de referencia]]</f>
        <v>0</v>
      </c>
      <c r="Y361" s="196"/>
      <c r="Z361" s="194">
        <f>+Elementos_[[#This Row],[Cantidad LANIA]]*Elementos_[[#This Row],[Valor de referencia]]</f>
        <v>0</v>
      </c>
      <c r="AA361" s="196">
        <v>175</v>
      </c>
      <c r="AB361" s="194">
        <f>+Elementos_[[#This Row],[Cantidad SPA]]*Elementos_[[#This Row],[Valor de referencia]]</f>
        <v>4257225</v>
      </c>
      <c r="AC361" s="166" t="s">
        <v>76</v>
      </c>
    </row>
    <row r="362" spans="1:29" ht="24" x14ac:dyDescent="0.2">
      <c r="A362" s="294" t="str">
        <f>IF(B362=Elementos_[[#This Row],[Cantidad LANIP]],"LANIP",IF(B362=Elementos_[[#This Row],[Cantidad 
LDV]],"LDV",IF(B362=Elementos_[[#This Row],[Cantidad LNDV]],"LNDV",IF(B362=Elementos_[[#This Row],[GGCA]],"GGCA",IF(B362=Elementos_[[#This Row],[Cantidad LDF]],"LDF",IF(B362=Elementos_[[#This Row],[Cantidad LDF&amp;MR]],"LDF&amp;MR",IF(B362=Elementos_[[#This Row],[Cantidad RED LASE]],"LASE",IF(B362=Elementos_[[#This Row],[Cantidad LANIA]],"LANIA",IF(B362=Elementos_[[#This Row],[Cantidad SPA]],"SPA"," ")))))))))</f>
        <v>LNDV</v>
      </c>
      <c r="B36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362" s="298">
        <v>360</v>
      </c>
      <c r="D362" s="190">
        <v>536</v>
      </c>
      <c r="E362" s="273" t="s">
        <v>2683</v>
      </c>
      <c r="F362" s="204" t="s">
        <v>2678</v>
      </c>
      <c r="G362" s="192" t="s">
        <v>525</v>
      </c>
      <c r="H36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362" s="194">
        <v>53355</v>
      </c>
      <c r="J362" s="194">
        <f>+Elementos_[[#This Row],[Valor de referencia]]*Elementos_[[#This Row],[Cantidad]]</f>
        <v>800325</v>
      </c>
      <c r="K362" s="166"/>
      <c r="L362" s="159">
        <f>+Elementos_[[#This Row],[Cantidad LANIP]]*Elementos_[[#This Row],[Valor de referencia]]</f>
        <v>0</v>
      </c>
      <c r="M362" s="270">
        <v>0</v>
      </c>
      <c r="N362" s="195">
        <f>+Elementos_[[#This Row],[Cantidad 
LDV]]*Elementos_[[#This Row],[Valor de referencia]]</f>
        <v>0</v>
      </c>
      <c r="O362" s="166">
        <v>15</v>
      </c>
      <c r="P362" s="159">
        <f>+Elementos_[[#This Row],[Cantidad LNDV]]*Elementos_[[#This Row],[Valor de referencia]]</f>
        <v>800325</v>
      </c>
      <c r="Q362" s="196"/>
      <c r="R362" s="159">
        <f>+Elementos_[[#This Row],[GGCA]]*Elementos_[[#This Row],[Valor de referencia]]</f>
        <v>0</v>
      </c>
      <c r="S362" s="166"/>
      <c r="T362" s="159">
        <f>+Elementos_[[#This Row],[Cantidad LDF]]*Elementos_[[#This Row],[Valor de referencia]]</f>
        <v>0</v>
      </c>
      <c r="U362" s="197"/>
      <c r="V362" s="159">
        <f>+Elementos_[[#This Row],[Cantidad LDF&amp;MR]]*Elementos_[[#This Row],[Valor de referencia]]</f>
        <v>0</v>
      </c>
      <c r="W362" s="166"/>
      <c r="X362" s="159">
        <f>+Elementos_[[#This Row],[Cantidad RED LASE]]*Elementos_[[#This Row],[Valor de referencia]]</f>
        <v>0</v>
      </c>
      <c r="Y362" s="196"/>
      <c r="Z362" s="159">
        <f>+Elementos_[[#This Row],[Cantidad LANIA]]*Elementos_[[#This Row],[Valor de referencia]]</f>
        <v>0</v>
      </c>
      <c r="AA362" s="196"/>
      <c r="AB362" s="159">
        <f>+Elementos_[[#This Row],[Cantidad SPA]]*Elementos_[[#This Row],[Valor de referencia]]</f>
        <v>0</v>
      </c>
      <c r="AC362" s="166" t="s">
        <v>76</v>
      </c>
    </row>
    <row r="363" spans="1:29" ht="24" x14ac:dyDescent="0.2">
      <c r="A363" s="294" t="str">
        <f>IF(B363=Elementos_[[#This Row],[Cantidad LANIP]],"LANIP",IF(B363=Elementos_[[#This Row],[Cantidad 
LDV]],"LDV",IF(B363=Elementos_[[#This Row],[Cantidad LNDV]],"LNDV",IF(B363=Elementos_[[#This Row],[GGCA]],"GGCA",IF(B363=Elementos_[[#This Row],[Cantidad LDF]],"LDF",IF(B363=Elementos_[[#This Row],[Cantidad LDF&amp;MR]],"LDF&amp;MR",IF(B363=Elementos_[[#This Row],[Cantidad RED LASE]],"LASE",IF(B363=Elementos_[[#This Row],[Cantidad LANIA]],"LANIA",IF(B363=Elementos_[[#This Row],[Cantidad SPA]],"SPA"," ")))))))))</f>
        <v>LNDV</v>
      </c>
      <c r="B36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C363" s="298">
        <v>361</v>
      </c>
      <c r="D363" s="190">
        <v>537</v>
      </c>
      <c r="E363" s="273" t="s">
        <v>2684</v>
      </c>
      <c r="F363" s="204" t="s">
        <v>2678</v>
      </c>
      <c r="G363" s="192" t="s">
        <v>525</v>
      </c>
      <c r="H36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26</v>
      </c>
      <c r="I363" s="194">
        <v>50267</v>
      </c>
      <c r="J363" s="194">
        <f>+Elementos_[[#This Row],[Valor de referencia]]*Elementos_[[#This Row],[Cantidad]]</f>
        <v>1306942</v>
      </c>
      <c r="K363" s="166"/>
      <c r="L363" s="159">
        <f>+Elementos_[[#This Row],[Cantidad LANIP]]*Elementos_[[#This Row],[Valor de referencia]]</f>
        <v>0</v>
      </c>
      <c r="M363" s="270">
        <v>2</v>
      </c>
      <c r="N363" s="195">
        <f>+Elementos_[[#This Row],[Cantidad 
LDV]]*Elementos_[[#This Row],[Valor de referencia]]</f>
        <v>100534</v>
      </c>
      <c r="O363" s="166">
        <v>14</v>
      </c>
      <c r="P363" s="159">
        <f>+Elementos_[[#This Row],[Cantidad LNDV]]*Elementos_[[#This Row],[Valor de referencia]]</f>
        <v>703738</v>
      </c>
      <c r="Q363" s="196"/>
      <c r="R363" s="159">
        <f>+Elementos_[[#This Row],[GGCA]]*Elementos_[[#This Row],[Valor de referencia]]</f>
        <v>0</v>
      </c>
      <c r="S363" s="166">
        <v>10</v>
      </c>
      <c r="T363" s="159">
        <f>+Elementos_[[#This Row],[Cantidad LDF]]*Elementos_[[#This Row],[Valor de referencia]]</f>
        <v>502670</v>
      </c>
      <c r="U363" s="197"/>
      <c r="V363" s="159">
        <f>+Elementos_[[#This Row],[Cantidad LDF&amp;MR]]*Elementos_[[#This Row],[Valor de referencia]]</f>
        <v>0</v>
      </c>
      <c r="W363" s="166"/>
      <c r="X363" s="159">
        <f>+Elementos_[[#This Row],[Cantidad RED LASE]]*Elementos_[[#This Row],[Valor de referencia]]</f>
        <v>0</v>
      </c>
      <c r="Y363" s="196"/>
      <c r="Z363" s="159">
        <f>+Elementos_[[#This Row],[Cantidad LANIA]]*Elementos_[[#This Row],[Valor de referencia]]</f>
        <v>0</v>
      </c>
      <c r="AA363" s="196"/>
      <c r="AB363" s="159">
        <f>+Elementos_[[#This Row],[Cantidad SPA]]*Elementos_[[#This Row],[Valor de referencia]]</f>
        <v>0</v>
      </c>
      <c r="AC363" s="166" t="s">
        <v>76</v>
      </c>
    </row>
    <row r="364" spans="1:29" ht="12.75" x14ac:dyDescent="0.2">
      <c r="A364" s="294" t="str">
        <f>IF(B364=Elementos_[[#This Row],[Cantidad LANIP]],"LANIP",IF(B364=Elementos_[[#This Row],[Cantidad 
LDV]],"LDV",IF(B364=Elementos_[[#This Row],[Cantidad LNDV]],"LNDV",IF(B364=Elementos_[[#This Row],[GGCA]],"GGCA",IF(B364=Elementos_[[#This Row],[Cantidad LDF]],"LDF",IF(B364=Elementos_[[#This Row],[Cantidad LDF&amp;MR]],"LDF&amp;MR",IF(B364=Elementos_[[#This Row],[Cantidad RED LASE]],"LASE",IF(B364=Elementos_[[#This Row],[Cantidad LANIA]],"LANIA",IF(B364=Elementos_[[#This Row],[Cantidad SPA]],"SPA"," ")))))))))</f>
        <v>LASE</v>
      </c>
      <c r="B36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364" s="298">
        <v>362</v>
      </c>
      <c r="D364" s="190">
        <v>539</v>
      </c>
      <c r="E364" s="273" t="s">
        <v>2685</v>
      </c>
      <c r="F364" s="201" t="s">
        <v>183</v>
      </c>
      <c r="G364" s="202" t="s">
        <v>525</v>
      </c>
      <c r="H36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364" s="194">
        <v>106876</v>
      </c>
      <c r="J364" s="194">
        <f>+Elementos_[[#This Row],[Valor de referencia]]*Elementos_[[#This Row],[Cantidad]]</f>
        <v>1282512</v>
      </c>
      <c r="K364" s="166"/>
      <c r="L364" s="159">
        <f>+Elementos_[[#This Row],[Cantidad LANIP]]*Elementos_[[#This Row],[Valor de referencia]]</f>
        <v>0</v>
      </c>
      <c r="M364" s="270">
        <v>0</v>
      </c>
      <c r="N364" s="195">
        <f>+Elementos_[[#This Row],[Cantidad 
LDV]]*Elementos_[[#This Row],[Valor de referencia]]</f>
        <v>0</v>
      </c>
      <c r="O364" s="166"/>
      <c r="P364" s="159">
        <f>+Elementos_[[#This Row],[Cantidad LNDV]]*Elementos_[[#This Row],[Valor de referencia]]</f>
        <v>0</v>
      </c>
      <c r="Q364" s="196"/>
      <c r="R364" s="159">
        <f>+Elementos_[[#This Row],[GGCA]]*Elementos_[[#This Row],[Valor de referencia]]</f>
        <v>0</v>
      </c>
      <c r="S364" s="166"/>
      <c r="T364" s="159">
        <f>+Elementos_[[#This Row],[Cantidad LDF]]*Elementos_[[#This Row],[Valor de referencia]]</f>
        <v>0</v>
      </c>
      <c r="U364" s="197"/>
      <c r="V364" s="159">
        <f>+Elementos_[[#This Row],[Cantidad LDF&amp;MR]]*Elementos_[[#This Row],[Valor de referencia]]</f>
        <v>0</v>
      </c>
      <c r="W364" s="166">
        <v>12</v>
      </c>
      <c r="X364" s="159">
        <f>+Elementos_[[#This Row],[Cantidad RED LASE]]*Elementos_[[#This Row],[Valor de referencia]]</f>
        <v>1282512</v>
      </c>
      <c r="Y364" s="196"/>
      <c r="Z364" s="159">
        <f>+Elementos_[[#This Row],[Cantidad LANIA]]*Elementos_[[#This Row],[Valor de referencia]]</f>
        <v>0</v>
      </c>
      <c r="AA364" s="196"/>
      <c r="AB364" s="159">
        <f>+Elementos_[[#This Row],[Cantidad SPA]]*Elementos_[[#This Row],[Valor de referencia]]</f>
        <v>0</v>
      </c>
      <c r="AC364" s="166" t="s">
        <v>76</v>
      </c>
    </row>
    <row r="365" spans="1:29" ht="24" x14ac:dyDescent="0.2">
      <c r="A365" s="294" t="str">
        <f>IF(B365=Elementos_[[#This Row],[Cantidad LANIP]],"LANIP",IF(B365=Elementos_[[#This Row],[Cantidad 
LDV]],"LDV",IF(B365=Elementos_[[#This Row],[Cantidad LNDV]],"LNDV",IF(B365=Elementos_[[#This Row],[GGCA]],"GGCA",IF(B365=Elementos_[[#This Row],[Cantidad LDF]],"LDF",IF(B365=Elementos_[[#This Row],[Cantidad LDF&amp;MR]],"LDF&amp;MR",IF(B365=Elementos_[[#This Row],[Cantidad RED LASE]],"LASE",IF(B365=Elementos_[[#This Row],[Cantidad LANIA]],"LANIA",IF(B365=Elementos_[[#This Row],[Cantidad SPA]],"SPA"," ")))))))))</f>
        <v>SPA</v>
      </c>
      <c r="B36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33</v>
      </c>
      <c r="C365" s="298">
        <v>363</v>
      </c>
      <c r="D365" s="190">
        <v>541</v>
      </c>
      <c r="E365" s="299" t="s">
        <v>2686</v>
      </c>
      <c r="F365" s="204" t="s">
        <v>2687</v>
      </c>
      <c r="G365" s="192" t="s">
        <v>525</v>
      </c>
      <c r="H36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41</v>
      </c>
      <c r="I365" s="194">
        <v>77350</v>
      </c>
      <c r="J365" s="194">
        <f>+Elementos_[[#This Row],[Valor de referencia]]*Elementos_[[#This Row],[Cantidad]]</f>
        <v>3171350</v>
      </c>
      <c r="K365" s="166"/>
      <c r="L365" s="159">
        <f>+Elementos_[[#This Row],[Cantidad LANIP]]*Elementos_[[#This Row],[Valor de referencia]]</f>
        <v>0</v>
      </c>
      <c r="M365" s="270">
        <v>0</v>
      </c>
      <c r="N365" s="195">
        <f>+Elementos_[[#This Row],[Cantidad 
LDV]]*Elementos_[[#This Row],[Valor de referencia]]</f>
        <v>0</v>
      </c>
      <c r="O365" s="166"/>
      <c r="P365" s="159">
        <f>+Elementos_[[#This Row],[Cantidad LNDV]]*Elementos_[[#This Row],[Valor de referencia]]</f>
        <v>0</v>
      </c>
      <c r="Q365" s="196"/>
      <c r="R365" s="159">
        <f>+Elementos_[[#This Row],[GGCA]]*Elementos_[[#This Row],[Valor de referencia]]</f>
        <v>0</v>
      </c>
      <c r="S365" s="166">
        <v>8</v>
      </c>
      <c r="T365" s="194">
        <f>+Elementos_[[#This Row],[Cantidad LDF]]*Elementos_[[#This Row],[Valor de referencia]]</f>
        <v>618800</v>
      </c>
      <c r="U365" s="197"/>
      <c r="V365" s="194">
        <f>+Elementos_[[#This Row],[Cantidad LDF&amp;MR]]*Elementos_[[#This Row],[Valor de referencia]]</f>
        <v>0</v>
      </c>
      <c r="W365" s="166"/>
      <c r="X365" s="194">
        <f>+Elementos_[[#This Row],[Cantidad RED LASE]]*Elementos_[[#This Row],[Valor de referencia]]</f>
        <v>0</v>
      </c>
      <c r="Y365" s="196"/>
      <c r="Z365" s="194">
        <f>+Elementos_[[#This Row],[Cantidad LANIA]]*Elementos_[[#This Row],[Valor de referencia]]</f>
        <v>0</v>
      </c>
      <c r="AA365" s="196">
        <v>33</v>
      </c>
      <c r="AB365" s="194">
        <f>+Elementos_[[#This Row],[Cantidad SPA]]*Elementos_[[#This Row],[Valor de referencia]]</f>
        <v>2552550</v>
      </c>
      <c r="AC365" s="166" t="s">
        <v>76</v>
      </c>
    </row>
    <row r="366" spans="1:29" ht="24" x14ac:dyDescent="0.2">
      <c r="A366" s="294" t="str">
        <f>IF(B366=Elementos_[[#This Row],[Cantidad LANIP]],"LANIP",IF(B366=Elementos_[[#This Row],[Cantidad 
LDV]],"LDV",IF(B366=Elementos_[[#This Row],[Cantidad LNDV]],"LNDV",IF(B366=Elementos_[[#This Row],[GGCA]],"GGCA",IF(B366=Elementos_[[#This Row],[Cantidad LDF]],"LDF",IF(B366=Elementos_[[#This Row],[Cantidad LDF&amp;MR]],"LDF&amp;MR",IF(B366=Elementos_[[#This Row],[Cantidad RED LASE]],"LASE",IF(B366=Elementos_[[#This Row],[Cantidad LANIA]],"LANIA",IF(B366=Elementos_[[#This Row],[Cantidad SPA]],"SPA"," ")))))))))</f>
        <v>LDF&amp;MR</v>
      </c>
      <c r="B36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366" s="298">
        <v>364</v>
      </c>
      <c r="D366" s="190">
        <v>542</v>
      </c>
      <c r="E366" s="273" t="s">
        <v>2688</v>
      </c>
      <c r="F366" s="201" t="s">
        <v>2687</v>
      </c>
      <c r="G366" s="202" t="s">
        <v>525</v>
      </c>
      <c r="H36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21</v>
      </c>
      <c r="I366" s="194">
        <v>74375</v>
      </c>
      <c r="J366" s="194">
        <f>+Elementos_[[#This Row],[Valor de referencia]]*Elementos_[[#This Row],[Cantidad]]</f>
        <v>1561875</v>
      </c>
      <c r="K366" s="166"/>
      <c r="L366" s="159">
        <f>+Elementos_[[#This Row],[Cantidad LANIP]]*Elementos_[[#This Row],[Valor de referencia]]</f>
        <v>0</v>
      </c>
      <c r="M366" s="270">
        <v>0</v>
      </c>
      <c r="N366" s="195">
        <f>+Elementos_[[#This Row],[Cantidad 
LDV]]*Elementos_[[#This Row],[Valor de referencia]]</f>
        <v>0</v>
      </c>
      <c r="O366" s="166"/>
      <c r="P366" s="159">
        <f>+Elementos_[[#This Row],[Cantidad LNDV]]*Elementos_[[#This Row],[Valor de referencia]]</f>
        <v>0</v>
      </c>
      <c r="Q366" s="196"/>
      <c r="R366" s="159">
        <f>+Elementos_[[#This Row],[GGCA]]*Elementos_[[#This Row],[Valor de referencia]]</f>
        <v>0</v>
      </c>
      <c r="S366" s="166">
        <v>6</v>
      </c>
      <c r="T366" s="159">
        <f>+Elementos_[[#This Row],[Cantidad LDF]]*Elementos_[[#This Row],[Valor de referencia]]</f>
        <v>446250</v>
      </c>
      <c r="U366" s="197">
        <v>15</v>
      </c>
      <c r="V366" s="159">
        <f>+Elementos_[[#This Row],[Cantidad LDF&amp;MR]]*Elementos_[[#This Row],[Valor de referencia]]</f>
        <v>1115625</v>
      </c>
      <c r="W366" s="166"/>
      <c r="X366" s="159">
        <f>+Elementos_[[#This Row],[Cantidad RED LASE]]*Elementos_[[#This Row],[Valor de referencia]]</f>
        <v>0</v>
      </c>
      <c r="Y366" s="196"/>
      <c r="Z366" s="159">
        <f>+Elementos_[[#This Row],[Cantidad LANIA]]*Elementos_[[#This Row],[Valor de referencia]]</f>
        <v>0</v>
      </c>
      <c r="AA366" s="196"/>
      <c r="AB366" s="159">
        <f>+Elementos_[[#This Row],[Cantidad SPA]]*Elementos_[[#This Row],[Valor de referencia]]</f>
        <v>0</v>
      </c>
      <c r="AC366" s="166" t="s">
        <v>76</v>
      </c>
    </row>
    <row r="367" spans="1:29" ht="24" x14ac:dyDescent="0.2">
      <c r="A367" s="294" t="str">
        <f>IF(B367=Elementos_[[#This Row],[Cantidad LANIP]],"LANIP",IF(B367=Elementos_[[#This Row],[Cantidad 
LDV]],"LDV",IF(B367=Elementos_[[#This Row],[Cantidad LNDV]],"LNDV",IF(B367=Elementos_[[#This Row],[GGCA]],"GGCA",IF(B367=Elementos_[[#This Row],[Cantidad LDF]],"LDF",IF(B367=Elementos_[[#This Row],[Cantidad LDF&amp;MR]],"LDF&amp;MR",IF(B367=Elementos_[[#This Row],[Cantidad RED LASE]],"LASE",IF(B367=Elementos_[[#This Row],[Cantidad LANIA]],"LANIA",IF(B367=Elementos_[[#This Row],[Cantidad SPA]],"SPA"," ")))))))))</f>
        <v>SPA</v>
      </c>
      <c r="B36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36</v>
      </c>
      <c r="C367" s="298">
        <v>365</v>
      </c>
      <c r="D367" s="190">
        <v>543</v>
      </c>
      <c r="E367" s="273" t="s">
        <v>2689</v>
      </c>
      <c r="F367" s="204" t="s">
        <v>2687</v>
      </c>
      <c r="G367" s="192" t="s">
        <v>525</v>
      </c>
      <c r="H36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44</v>
      </c>
      <c r="I367" s="194">
        <v>80920</v>
      </c>
      <c r="J367" s="194">
        <f>+Elementos_[[#This Row],[Valor de referencia]]*Elementos_[[#This Row],[Cantidad]]</f>
        <v>3560480</v>
      </c>
      <c r="K367" s="166"/>
      <c r="L367" s="159">
        <f>+Elementos_[[#This Row],[Cantidad LANIP]]*Elementos_[[#This Row],[Valor de referencia]]</f>
        <v>0</v>
      </c>
      <c r="M367" s="270">
        <v>0</v>
      </c>
      <c r="N367" s="195">
        <f>+Elementos_[[#This Row],[Cantidad 
LDV]]*Elementos_[[#This Row],[Valor de referencia]]</f>
        <v>0</v>
      </c>
      <c r="O367" s="166"/>
      <c r="P367" s="159">
        <f>+Elementos_[[#This Row],[Cantidad LNDV]]*Elementos_[[#This Row],[Valor de referencia]]</f>
        <v>0</v>
      </c>
      <c r="Q367" s="196"/>
      <c r="R367" s="159">
        <f>+Elementos_[[#This Row],[GGCA]]*Elementos_[[#This Row],[Valor de referencia]]</f>
        <v>0</v>
      </c>
      <c r="S367" s="166">
        <v>8</v>
      </c>
      <c r="T367" s="194">
        <f>+Elementos_[[#This Row],[Cantidad LDF]]*Elementos_[[#This Row],[Valor de referencia]]</f>
        <v>647360</v>
      </c>
      <c r="U367" s="197"/>
      <c r="V367" s="194">
        <f>+Elementos_[[#This Row],[Cantidad LDF&amp;MR]]*Elementos_[[#This Row],[Valor de referencia]]</f>
        <v>0</v>
      </c>
      <c r="W367" s="166"/>
      <c r="X367" s="194">
        <f>+Elementos_[[#This Row],[Cantidad RED LASE]]*Elementos_[[#This Row],[Valor de referencia]]</f>
        <v>0</v>
      </c>
      <c r="Y367" s="196"/>
      <c r="Z367" s="194">
        <f>+Elementos_[[#This Row],[Cantidad LANIA]]*Elementos_[[#This Row],[Valor de referencia]]</f>
        <v>0</v>
      </c>
      <c r="AA367" s="196">
        <v>36</v>
      </c>
      <c r="AB367" s="194">
        <f>+Elementos_[[#This Row],[Cantidad SPA]]*Elementos_[[#This Row],[Valor de referencia]]</f>
        <v>2913120</v>
      </c>
      <c r="AC367" s="166" t="s">
        <v>76</v>
      </c>
    </row>
    <row r="368" spans="1:29" ht="24" x14ac:dyDescent="0.2">
      <c r="A368" s="294" t="str">
        <f>IF(B368=Elementos_[[#This Row],[Cantidad LANIP]],"LANIP",IF(B368=Elementos_[[#This Row],[Cantidad 
LDV]],"LDV",IF(B368=Elementos_[[#This Row],[Cantidad LNDV]],"LNDV",IF(B368=Elementos_[[#This Row],[GGCA]],"GGCA",IF(B368=Elementos_[[#This Row],[Cantidad LDF]],"LDF",IF(B368=Elementos_[[#This Row],[Cantidad LDF&amp;MR]],"LDF&amp;MR",IF(B368=Elementos_[[#This Row],[Cantidad RED LASE]],"LASE",IF(B368=Elementos_[[#This Row],[Cantidad LANIA]],"LANIA",IF(B368=Elementos_[[#This Row],[Cantidad SPA]],"SPA"," ")))))))))</f>
        <v>LDF</v>
      </c>
      <c r="B36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68" s="298">
        <v>366</v>
      </c>
      <c r="D368" s="190">
        <v>544</v>
      </c>
      <c r="E368" s="273" t="s">
        <v>2690</v>
      </c>
      <c r="F368" s="201" t="s">
        <v>2687</v>
      </c>
      <c r="G368" s="202" t="s">
        <v>525</v>
      </c>
      <c r="H36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68" s="194">
        <v>78540</v>
      </c>
      <c r="J368" s="194">
        <f>+Elementos_[[#This Row],[Valor de referencia]]*Elementos_[[#This Row],[Cantidad]]</f>
        <v>157080</v>
      </c>
      <c r="K368" s="166"/>
      <c r="L368" s="159">
        <f>+Elementos_[[#This Row],[Cantidad LANIP]]*Elementos_[[#This Row],[Valor de referencia]]</f>
        <v>0</v>
      </c>
      <c r="M368" s="270">
        <v>0</v>
      </c>
      <c r="N368" s="195">
        <f>+Elementos_[[#This Row],[Cantidad 
LDV]]*Elementos_[[#This Row],[Valor de referencia]]</f>
        <v>0</v>
      </c>
      <c r="O368" s="166"/>
      <c r="P368" s="159">
        <f>+Elementos_[[#This Row],[Cantidad LNDV]]*Elementos_[[#This Row],[Valor de referencia]]</f>
        <v>0</v>
      </c>
      <c r="Q368" s="196"/>
      <c r="R368" s="159">
        <f>+Elementos_[[#This Row],[GGCA]]*Elementos_[[#This Row],[Valor de referencia]]</f>
        <v>0</v>
      </c>
      <c r="S368" s="166">
        <v>2</v>
      </c>
      <c r="T368" s="159">
        <f>+Elementos_[[#This Row],[Cantidad LDF]]*Elementos_[[#This Row],[Valor de referencia]]</f>
        <v>157080</v>
      </c>
      <c r="U368" s="197"/>
      <c r="V368" s="159">
        <f>+Elementos_[[#This Row],[Cantidad LDF&amp;MR]]*Elementos_[[#This Row],[Valor de referencia]]</f>
        <v>0</v>
      </c>
      <c r="W368" s="166"/>
      <c r="X368" s="159">
        <f>+Elementos_[[#This Row],[Cantidad RED LASE]]*Elementos_[[#This Row],[Valor de referencia]]</f>
        <v>0</v>
      </c>
      <c r="Y368" s="196"/>
      <c r="Z368" s="159">
        <f>+Elementos_[[#This Row],[Cantidad LANIA]]*Elementos_[[#This Row],[Valor de referencia]]</f>
        <v>0</v>
      </c>
      <c r="AA368" s="196"/>
      <c r="AB368" s="159">
        <f>+Elementos_[[#This Row],[Cantidad SPA]]*Elementos_[[#This Row],[Valor de referencia]]</f>
        <v>0</v>
      </c>
      <c r="AC368" s="166" t="s">
        <v>2049</v>
      </c>
    </row>
    <row r="369" spans="1:29" ht="24" x14ac:dyDescent="0.2">
      <c r="A369" s="294" t="str">
        <f>IF(B369=Elementos_[[#This Row],[Cantidad LANIP]],"LANIP",IF(B369=Elementos_[[#This Row],[Cantidad 
LDV]],"LDV",IF(B369=Elementos_[[#This Row],[Cantidad LNDV]],"LNDV",IF(B369=Elementos_[[#This Row],[GGCA]],"GGCA",IF(B369=Elementos_[[#This Row],[Cantidad LDF]],"LDF",IF(B369=Elementos_[[#This Row],[Cantidad LDF&amp;MR]],"LDF&amp;MR",IF(B369=Elementos_[[#This Row],[Cantidad RED LASE]],"LASE",IF(B369=Elementos_[[#This Row],[Cantidad LANIA]],"LANIA",IF(B369=Elementos_[[#This Row],[Cantidad SPA]],"SPA"," ")))))))))</f>
        <v>LDF</v>
      </c>
      <c r="B36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69" s="298">
        <v>367</v>
      </c>
      <c r="D369" s="190">
        <v>545</v>
      </c>
      <c r="E369" s="273" t="s">
        <v>2691</v>
      </c>
      <c r="F369" s="201" t="s">
        <v>2687</v>
      </c>
      <c r="G369" s="202" t="s">
        <v>525</v>
      </c>
      <c r="H36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69" s="194">
        <v>77766</v>
      </c>
      <c r="J369" s="194">
        <f>+Elementos_[[#This Row],[Valor de referencia]]*Elementos_[[#This Row],[Cantidad]]</f>
        <v>466596</v>
      </c>
      <c r="K369" s="166"/>
      <c r="L369" s="159">
        <f>+Elementos_[[#This Row],[Cantidad LANIP]]*Elementos_[[#This Row],[Valor de referencia]]</f>
        <v>0</v>
      </c>
      <c r="M369" s="270">
        <v>0</v>
      </c>
      <c r="N369" s="195">
        <f>+Elementos_[[#This Row],[Cantidad 
LDV]]*Elementos_[[#This Row],[Valor de referencia]]</f>
        <v>0</v>
      </c>
      <c r="O369" s="166"/>
      <c r="P369" s="159">
        <f>+Elementos_[[#This Row],[Cantidad LNDV]]*Elementos_[[#This Row],[Valor de referencia]]</f>
        <v>0</v>
      </c>
      <c r="Q369" s="196"/>
      <c r="R369" s="159">
        <f>+Elementos_[[#This Row],[GGCA]]*Elementos_[[#This Row],[Valor de referencia]]</f>
        <v>0</v>
      </c>
      <c r="S369" s="166">
        <v>6</v>
      </c>
      <c r="T369" s="159">
        <f>+Elementos_[[#This Row],[Cantidad LDF]]*Elementos_[[#This Row],[Valor de referencia]]</f>
        <v>466596</v>
      </c>
      <c r="U369" s="197"/>
      <c r="V369" s="159">
        <f>+Elementos_[[#This Row],[Cantidad LDF&amp;MR]]*Elementos_[[#This Row],[Valor de referencia]]</f>
        <v>0</v>
      </c>
      <c r="W369" s="166"/>
      <c r="X369" s="159">
        <f>+Elementos_[[#This Row],[Cantidad RED LASE]]*Elementos_[[#This Row],[Valor de referencia]]</f>
        <v>0</v>
      </c>
      <c r="Y369" s="196"/>
      <c r="Z369" s="159">
        <f>+Elementos_[[#This Row],[Cantidad LANIA]]*Elementos_[[#This Row],[Valor de referencia]]</f>
        <v>0</v>
      </c>
      <c r="AA369" s="196"/>
      <c r="AB369" s="159">
        <f>+Elementos_[[#This Row],[Cantidad SPA]]*Elementos_[[#This Row],[Valor de referencia]]</f>
        <v>0</v>
      </c>
      <c r="AC369" s="166" t="s">
        <v>2049</v>
      </c>
    </row>
    <row r="370" spans="1:29" ht="24" x14ac:dyDescent="0.2">
      <c r="A370" s="294" t="str">
        <f>IF(B370=Elementos_[[#This Row],[Cantidad LANIP]],"LANIP",IF(B370=Elementos_[[#This Row],[Cantidad 
LDV]],"LDV",IF(B370=Elementos_[[#This Row],[Cantidad LNDV]],"LNDV",IF(B370=Elementos_[[#This Row],[GGCA]],"GGCA",IF(B370=Elementos_[[#This Row],[Cantidad LDF]],"LDF",IF(B370=Elementos_[[#This Row],[Cantidad LDF&amp;MR]],"LDF&amp;MR",IF(B370=Elementos_[[#This Row],[Cantidad RED LASE]],"LASE",IF(B370=Elementos_[[#This Row],[Cantidad LANIA]],"LANIA",IF(B370=Elementos_[[#This Row],[Cantidad SPA]],"SPA"," ")))))))))</f>
        <v>SPA</v>
      </c>
      <c r="B37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C370" s="298">
        <v>368</v>
      </c>
      <c r="D370" s="190">
        <v>546</v>
      </c>
      <c r="E370" s="273" t="s">
        <v>2692</v>
      </c>
      <c r="F370" s="204" t="s">
        <v>2687</v>
      </c>
      <c r="G370" s="192" t="s">
        <v>525</v>
      </c>
      <c r="H37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36</v>
      </c>
      <c r="I370" s="194">
        <v>100912</v>
      </c>
      <c r="J370" s="194">
        <f>+Elementos_[[#This Row],[Valor de referencia]]*Elementos_[[#This Row],[Cantidad]]</f>
        <v>3632832</v>
      </c>
      <c r="K370" s="166"/>
      <c r="L370" s="159">
        <f>+Elementos_[[#This Row],[Cantidad LANIP]]*Elementos_[[#This Row],[Valor de referencia]]</f>
        <v>0</v>
      </c>
      <c r="M370" s="270">
        <v>0</v>
      </c>
      <c r="N370" s="195">
        <f>+Elementos_[[#This Row],[Cantidad 
LDV]]*Elementos_[[#This Row],[Valor de referencia]]</f>
        <v>0</v>
      </c>
      <c r="O370" s="166"/>
      <c r="P370" s="159">
        <f>+Elementos_[[#This Row],[Cantidad LNDV]]*Elementos_[[#This Row],[Valor de referencia]]</f>
        <v>0</v>
      </c>
      <c r="Q370" s="196"/>
      <c r="R370" s="159">
        <f>+Elementos_[[#This Row],[GGCA]]*Elementos_[[#This Row],[Valor de referencia]]</f>
        <v>0</v>
      </c>
      <c r="S370" s="166">
        <v>1</v>
      </c>
      <c r="T370" s="194">
        <f>+Elementos_[[#This Row],[Cantidad LDF]]*Elementos_[[#This Row],[Valor de referencia]]</f>
        <v>100912</v>
      </c>
      <c r="U370" s="197">
        <v>10</v>
      </c>
      <c r="V370" s="194">
        <f>+Elementos_[[#This Row],[Cantidad LDF&amp;MR]]*Elementos_[[#This Row],[Valor de referencia]]</f>
        <v>1009120</v>
      </c>
      <c r="W370" s="166"/>
      <c r="X370" s="194">
        <f>+Elementos_[[#This Row],[Cantidad RED LASE]]*Elementos_[[#This Row],[Valor de referencia]]</f>
        <v>0</v>
      </c>
      <c r="Y370" s="196"/>
      <c r="Z370" s="194">
        <f>+Elementos_[[#This Row],[Cantidad LANIA]]*Elementos_[[#This Row],[Valor de referencia]]</f>
        <v>0</v>
      </c>
      <c r="AA370" s="196">
        <v>25</v>
      </c>
      <c r="AB370" s="194">
        <f>+Elementos_[[#This Row],[Cantidad SPA]]*Elementos_[[#This Row],[Valor de referencia]]</f>
        <v>2522800</v>
      </c>
      <c r="AC370" s="166" t="s">
        <v>2049</v>
      </c>
    </row>
    <row r="371" spans="1:29" ht="12.75" x14ac:dyDescent="0.2">
      <c r="A371" s="294" t="str">
        <f>IF(B371=Elementos_[[#This Row],[Cantidad LANIP]],"LANIP",IF(B371=Elementos_[[#This Row],[Cantidad 
LDV]],"LDV",IF(B371=Elementos_[[#This Row],[Cantidad LNDV]],"LNDV",IF(B371=Elementos_[[#This Row],[GGCA]],"GGCA",IF(B371=Elementos_[[#This Row],[Cantidad LDF]],"LDF",IF(B371=Elementos_[[#This Row],[Cantidad LDF&amp;MR]],"LDF&amp;MR",IF(B371=Elementos_[[#This Row],[Cantidad RED LASE]],"LASE",IF(B371=Elementos_[[#This Row],[Cantidad LANIA]],"LANIA",IF(B371=Elementos_[[#This Row],[Cantidad SPA]],"SPA"," ")))))))))</f>
        <v>LDF</v>
      </c>
      <c r="B37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371" s="298">
        <v>369</v>
      </c>
      <c r="D371" s="190">
        <v>550</v>
      </c>
      <c r="E371" s="277" t="s">
        <v>2693</v>
      </c>
      <c r="F371" s="204" t="s">
        <v>183</v>
      </c>
      <c r="G371" s="192" t="s">
        <v>525</v>
      </c>
      <c r="H37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371" s="194">
        <v>49500</v>
      </c>
      <c r="J371" s="194">
        <f>+Elementos_[[#This Row],[Valor de referencia]]*Elementos_[[#This Row],[Cantidad]]</f>
        <v>396000</v>
      </c>
      <c r="K371" s="166"/>
      <c r="L371" s="159">
        <f>+Elementos_[[#This Row],[Cantidad LANIP]]*Elementos_[[#This Row],[Valor de referencia]]</f>
        <v>0</v>
      </c>
      <c r="M371" s="270">
        <v>0</v>
      </c>
      <c r="N371" s="195">
        <f>+Elementos_[[#This Row],[Cantidad 
LDV]]*Elementos_[[#This Row],[Valor de referencia]]</f>
        <v>0</v>
      </c>
      <c r="O371" s="166"/>
      <c r="P371" s="159">
        <f>+Elementos_[[#This Row],[Cantidad LNDV]]*Elementos_[[#This Row],[Valor de referencia]]</f>
        <v>0</v>
      </c>
      <c r="Q371" s="196"/>
      <c r="R371" s="159">
        <f>+Elementos_[[#This Row],[GGCA]]*Elementos_[[#This Row],[Valor de referencia]]</f>
        <v>0</v>
      </c>
      <c r="S371" s="166">
        <v>8</v>
      </c>
      <c r="T371" s="159">
        <f>+Elementos_[[#This Row],[Cantidad LDF]]*Elementos_[[#This Row],[Valor de referencia]]</f>
        <v>396000</v>
      </c>
      <c r="U371" s="197"/>
      <c r="V371" s="159">
        <f>+Elementos_[[#This Row],[Cantidad LDF&amp;MR]]*Elementos_[[#This Row],[Valor de referencia]]</f>
        <v>0</v>
      </c>
      <c r="W371" s="166"/>
      <c r="X371" s="159">
        <f>+Elementos_[[#This Row],[Cantidad RED LASE]]*Elementos_[[#This Row],[Valor de referencia]]</f>
        <v>0</v>
      </c>
      <c r="Y371" s="196"/>
      <c r="Z371" s="159">
        <f>+Elementos_[[#This Row],[Cantidad LANIA]]*Elementos_[[#This Row],[Valor de referencia]]</f>
        <v>0</v>
      </c>
      <c r="AA371" s="196"/>
      <c r="AB371" s="159">
        <f>+Elementos_[[#This Row],[Cantidad SPA]]*Elementos_[[#This Row],[Valor de referencia]]</f>
        <v>0</v>
      </c>
      <c r="AC371" s="166" t="s">
        <v>2049</v>
      </c>
    </row>
    <row r="372" spans="1:29" ht="72" x14ac:dyDescent="0.2">
      <c r="A372" s="294" t="str">
        <f>IF(B372=Elementos_[[#This Row],[Cantidad LANIP]],"LANIP",IF(B372=Elementos_[[#This Row],[Cantidad 
LDV]],"LDV",IF(B372=Elementos_[[#This Row],[Cantidad LNDV]],"LNDV",IF(B372=Elementos_[[#This Row],[GGCA]],"GGCA",IF(B372=Elementos_[[#This Row],[Cantidad LDF]],"LDF",IF(B372=Elementos_[[#This Row],[Cantidad LDF&amp;MR]],"LDF&amp;MR",IF(B372=Elementos_[[#This Row],[Cantidad RED LASE]],"LASE",IF(B372=Elementos_[[#This Row],[Cantidad LANIA]],"LANIA",IF(B372=Elementos_[[#This Row],[Cantidad SPA]],"SPA"," ")))))))))</f>
        <v>LDF</v>
      </c>
      <c r="B37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72" s="298">
        <v>370</v>
      </c>
      <c r="D372" s="190">
        <v>556</v>
      </c>
      <c r="E372" s="273" t="s">
        <v>2694</v>
      </c>
      <c r="F372" s="204" t="s">
        <v>2695</v>
      </c>
      <c r="G372" s="192" t="s">
        <v>525</v>
      </c>
      <c r="H37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72" s="194">
        <v>44982</v>
      </c>
      <c r="J372" s="194">
        <f>+Elementos_[[#This Row],[Valor de referencia]]*Elementos_[[#This Row],[Cantidad]]</f>
        <v>269892</v>
      </c>
      <c r="K372" s="166"/>
      <c r="L372" s="159">
        <f>+Elementos_[[#This Row],[Cantidad LANIP]]*Elementos_[[#This Row],[Valor de referencia]]</f>
        <v>0</v>
      </c>
      <c r="M372" s="270">
        <v>0</v>
      </c>
      <c r="N372" s="195">
        <f>+Elementos_[[#This Row],[Cantidad 
LDV]]*Elementos_[[#This Row],[Valor de referencia]]</f>
        <v>0</v>
      </c>
      <c r="O372" s="166"/>
      <c r="P372" s="159">
        <f>+Elementos_[[#This Row],[Cantidad LNDV]]*Elementos_[[#This Row],[Valor de referencia]]</f>
        <v>0</v>
      </c>
      <c r="Q372" s="196"/>
      <c r="R372" s="159">
        <f>+Elementos_[[#This Row],[GGCA]]*Elementos_[[#This Row],[Valor de referencia]]</f>
        <v>0</v>
      </c>
      <c r="S372" s="166">
        <v>6</v>
      </c>
      <c r="T372" s="159">
        <f>+Elementos_[[#This Row],[Cantidad LDF]]*Elementos_[[#This Row],[Valor de referencia]]</f>
        <v>269892</v>
      </c>
      <c r="U372" s="197"/>
      <c r="V372" s="159">
        <f>+Elementos_[[#This Row],[Cantidad LDF&amp;MR]]*Elementos_[[#This Row],[Valor de referencia]]</f>
        <v>0</v>
      </c>
      <c r="W372" s="166"/>
      <c r="X372" s="159">
        <f>+Elementos_[[#This Row],[Cantidad RED LASE]]*Elementos_[[#This Row],[Valor de referencia]]</f>
        <v>0</v>
      </c>
      <c r="Y372" s="196"/>
      <c r="Z372" s="159">
        <f>+Elementos_[[#This Row],[Cantidad LANIA]]*Elementos_[[#This Row],[Valor de referencia]]</f>
        <v>0</v>
      </c>
      <c r="AA372" s="196"/>
      <c r="AB372" s="159">
        <f>+Elementos_[[#This Row],[Cantidad SPA]]*Elementos_[[#This Row],[Valor de referencia]]</f>
        <v>0</v>
      </c>
      <c r="AC372" s="166" t="s">
        <v>2041</v>
      </c>
    </row>
    <row r="373" spans="1:29" ht="24" x14ac:dyDescent="0.2">
      <c r="A373" s="294" t="str">
        <f>IF(B373=Elementos_[[#This Row],[Cantidad LANIP]],"LANIP",IF(B373=Elementos_[[#This Row],[Cantidad 
LDV]],"LDV",IF(B373=Elementos_[[#This Row],[Cantidad LNDV]],"LNDV",IF(B373=Elementos_[[#This Row],[GGCA]],"GGCA",IF(B373=Elementos_[[#This Row],[Cantidad LDF]],"LDF",IF(B373=Elementos_[[#This Row],[Cantidad LDF&amp;MR]],"LDF&amp;MR",IF(B373=Elementos_[[#This Row],[Cantidad RED LASE]],"LASE",IF(B373=Elementos_[[#This Row],[Cantidad LANIA]],"LANIA",IF(B373=Elementos_[[#This Row],[Cantidad SPA]],"SPA"," ")))))))))</f>
        <v>LDF&amp;MR</v>
      </c>
      <c r="B37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v>
      </c>
      <c r="C373" s="298">
        <v>371</v>
      </c>
      <c r="D373" s="190">
        <v>559</v>
      </c>
      <c r="E373" s="273" t="s">
        <v>2696</v>
      </c>
      <c r="F373" s="201" t="s">
        <v>2697</v>
      </c>
      <c r="G373" s="192" t="s">
        <v>2081</v>
      </c>
      <c r="H37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17</v>
      </c>
      <c r="I373" s="194">
        <v>402393</v>
      </c>
      <c r="J373" s="194">
        <f>+Elementos_[[#This Row],[Valor de referencia]]*Elementos_[[#This Row],[Cantidad]]</f>
        <v>6840681</v>
      </c>
      <c r="K373" s="166"/>
      <c r="L373" s="159">
        <f>+Elementos_[[#This Row],[Cantidad LANIP]]*Elementos_[[#This Row],[Valor de referencia]]</f>
        <v>0</v>
      </c>
      <c r="M373" s="270"/>
      <c r="N373" s="195">
        <f>+Elementos_[[#This Row],[Cantidad 
LDV]]*Elementos_[[#This Row],[Valor de referencia]]</f>
        <v>0</v>
      </c>
      <c r="O373" s="166"/>
      <c r="P373" s="159">
        <f>+Elementos_[[#This Row],[Cantidad LNDV]]*Elementos_[[#This Row],[Valor de referencia]]</f>
        <v>0</v>
      </c>
      <c r="Q373" s="196"/>
      <c r="R373" s="159">
        <f>+Elementos_[[#This Row],[GGCA]]*Elementos_[[#This Row],[Valor de referencia]]</f>
        <v>0</v>
      </c>
      <c r="S373" s="166">
        <v>5</v>
      </c>
      <c r="T373" s="159">
        <f>+Elementos_[[#This Row],[Cantidad LDF]]*Elementos_[[#This Row],[Valor de referencia]]</f>
        <v>2011965</v>
      </c>
      <c r="U373" s="197">
        <v>9</v>
      </c>
      <c r="V373" s="159">
        <f>+Elementos_[[#This Row],[Cantidad LDF&amp;MR]]*Elementos_[[#This Row],[Valor de referencia]]</f>
        <v>3621537</v>
      </c>
      <c r="W373" s="166"/>
      <c r="X373" s="159">
        <f>+Elementos_[[#This Row],[Cantidad RED LASE]]*Elementos_[[#This Row],[Valor de referencia]]</f>
        <v>0</v>
      </c>
      <c r="Y373" s="196">
        <v>3</v>
      </c>
      <c r="Z373" s="159">
        <f>+Elementos_[[#This Row],[Cantidad LANIA]]*Elementos_[[#This Row],[Valor de referencia]]</f>
        <v>1207179</v>
      </c>
      <c r="AA373" s="196"/>
      <c r="AB373" s="159">
        <f>+Elementos_[[#This Row],[Cantidad SPA]]*Elementos_[[#This Row],[Valor de referencia]]</f>
        <v>0</v>
      </c>
      <c r="AC373" s="166" t="s">
        <v>2041</v>
      </c>
    </row>
    <row r="374" spans="1:29" ht="24" x14ac:dyDescent="0.2">
      <c r="A374" s="294" t="str">
        <f>IF(B374=Elementos_[[#This Row],[Cantidad LANIP]],"LANIP",IF(B374=Elementos_[[#This Row],[Cantidad 
LDV]],"LDV",IF(B374=Elementos_[[#This Row],[Cantidad LNDV]],"LNDV",IF(B374=Elementos_[[#This Row],[GGCA]],"GGCA",IF(B374=Elementos_[[#This Row],[Cantidad LDF]],"LDF",IF(B374=Elementos_[[#This Row],[Cantidad LDF&amp;MR]],"LDF&amp;MR",IF(B374=Elementos_[[#This Row],[Cantidad RED LASE]],"LASE",IF(B374=Elementos_[[#This Row],[Cantidad LANIA]],"LANIA",IF(B374=Elementos_[[#This Row],[Cantidad SPA]],"SPA"," ")))))))))</f>
        <v>LDV</v>
      </c>
      <c r="B37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374" s="298">
        <v>372</v>
      </c>
      <c r="D374" s="190">
        <v>560</v>
      </c>
      <c r="E374" s="412" t="s">
        <v>2698</v>
      </c>
      <c r="F374" s="201" t="s">
        <v>2699</v>
      </c>
      <c r="G374" s="192" t="s">
        <v>2081</v>
      </c>
      <c r="H37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74" s="194">
        <v>296429</v>
      </c>
      <c r="J374" s="194">
        <f>+Elementos_[[#This Row],[Valor de referencia]]*Elementos_[[#This Row],[Cantidad]]</f>
        <v>1778574</v>
      </c>
      <c r="K374" s="166"/>
      <c r="L374" s="159">
        <f>+Elementos_[[#This Row],[Cantidad LANIP]]*Elementos_[[#This Row],[Valor de referencia]]</f>
        <v>0</v>
      </c>
      <c r="M374" s="270">
        <v>3</v>
      </c>
      <c r="N374" s="195">
        <f>+Elementos_[[#This Row],[Cantidad 
LDV]]*Elementos_[[#This Row],[Valor de referencia]]</f>
        <v>889287</v>
      </c>
      <c r="O374" s="166"/>
      <c r="P374" s="159">
        <f>+Elementos_[[#This Row],[Cantidad LNDV]]*Elementos_[[#This Row],[Valor de referencia]]</f>
        <v>0</v>
      </c>
      <c r="Q374" s="196"/>
      <c r="R374" s="159">
        <f>+Elementos_[[#This Row],[GGCA]]*Elementos_[[#This Row],[Valor de referencia]]</f>
        <v>0</v>
      </c>
      <c r="S374" s="166">
        <v>3</v>
      </c>
      <c r="T374" s="159">
        <f>+Elementos_[[#This Row],[Cantidad LDF]]*Elementos_[[#This Row],[Valor de referencia]]</f>
        <v>889287</v>
      </c>
      <c r="U374" s="197"/>
      <c r="V374" s="159">
        <f>+Elementos_[[#This Row],[Cantidad LDF&amp;MR]]*Elementos_[[#This Row],[Valor de referencia]]</f>
        <v>0</v>
      </c>
      <c r="W374" s="166"/>
      <c r="X374" s="159">
        <f>+Elementos_[[#This Row],[Cantidad RED LASE]]*Elementos_[[#This Row],[Valor de referencia]]</f>
        <v>0</v>
      </c>
      <c r="Y374" s="196"/>
      <c r="Z374" s="159">
        <f>+Elementos_[[#This Row],[Cantidad LANIA]]*Elementos_[[#This Row],[Valor de referencia]]</f>
        <v>0</v>
      </c>
      <c r="AA374" s="196"/>
      <c r="AB374" s="159">
        <f>+Elementos_[[#This Row],[Cantidad SPA]]*Elementos_[[#This Row],[Valor de referencia]]</f>
        <v>0</v>
      </c>
      <c r="AC374" s="166" t="s">
        <v>2041</v>
      </c>
    </row>
    <row r="375" spans="1:29" ht="24" x14ac:dyDescent="0.2">
      <c r="A375" s="294" t="str">
        <f>IF(B375=Elementos_[[#This Row],[Cantidad LANIP]],"LANIP",IF(B375=Elementos_[[#This Row],[Cantidad 
LDV]],"LDV",IF(B375=Elementos_[[#This Row],[Cantidad LNDV]],"LNDV",IF(B375=Elementos_[[#This Row],[GGCA]],"GGCA",IF(B375=Elementos_[[#This Row],[Cantidad LDF]],"LDF",IF(B375=Elementos_[[#This Row],[Cantidad LDF&amp;MR]],"LDF&amp;MR",IF(B375=Elementos_[[#This Row],[Cantidad RED LASE]],"LASE",IF(B375=Elementos_[[#This Row],[Cantidad LANIA]],"LANIA",IF(B375=Elementos_[[#This Row],[Cantidad SPA]],"SPA"," ")))))))))</f>
        <v>LNDV</v>
      </c>
      <c r="B37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375" s="298">
        <v>373</v>
      </c>
      <c r="D375" s="190">
        <v>562</v>
      </c>
      <c r="E375" s="273" t="s">
        <v>2700</v>
      </c>
      <c r="F375" s="201" t="s">
        <v>183</v>
      </c>
      <c r="G375" s="192" t="s">
        <v>2117</v>
      </c>
      <c r="H37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v>
      </c>
      <c r="I375" s="194">
        <v>625638</v>
      </c>
      <c r="J375" s="194">
        <f>+Elementos_[[#This Row],[Valor de referencia]]*Elementos_[[#This Row],[Cantidad]]</f>
        <v>4379466</v>
      </c>
      <c r="K375" s="166"/>
      <c r="L375" s="159">
        <f>+Elementos_[[#This Row],[Cantidad LANIP]]*Elementos_[[#This Row],[Valor de referencia]]</f>
        <v>0</v>
      </c>
      <c r="M375" s="270">
        <v>2</v>
      </c>
      <c r="N375" s="195">
        <f>+Elementos_[[#This Row],[Cantidad 
LDV]]*Elementos_[[#This Row],[Valor de referencia]]</f>
        <v>1251276</v>
      </c>
      <c r="O375" s="166">
        <v>5</v>
      </c>
      <c r="P375" s="159">
        <f>+Elementos_[[#This Row],[Cantidad LNDV]]*Elementos_[[#This Row],[Valor de referencia]]</f>
        <v>3128190</v>
      </c>
      <c r="Q375" s="196"/>
      <c r="R375" s="159">
        <f>+Elementos_[[#This Row],[GGCA]]*Elementos_[[#This Row],[Valor de referencia]]</f>
        <v>0</v>
      </c>
      <c r="S375" s="166"/>
      <c r="T375" s="159">
        <f>+Elementos_[[#This Row],[Cantidad LDF]]*Elementos_[[#This Row],[Valor de referencia]]</f>
        <v>0</v>
      </c>
      <c r="U375" s="197"/>
      <c r="V375" s="159">
        <f>+Elementos_[[#This Row],[Cantidad LDF&amp;MR]]*Elementos_[[#This Row],[Valor de referencia]]</f>
        <v>0</v>
      </c>
      <c r="W375" s="166"/>
      <c r="X375" s="159">
        <f>+Elementos_[[#This Row],[Cantidad RED LASE]]*Elementos_[[#This Row],[Valor de referencia]]</f>
        <v>0</v>
      </c>
      <c r="Y375" s="196"/>
      <c r="Z375" s="159">
        <f>+Elementos_[[#This Row],[Cantidad LANIA]]*Elementos_[[#This Row],[Valor de referencia]]</f>
        <v>0</v>
      </c>
      <c r="AA375" s="196"/>
      <c r="AB375" s="159">
        <f>+Elementos_[[#This Row],[Cantidad SPA]]*Elementos_[[#This Row],[Valor de referencia]]</f>
        <v>0</v>
      </c>
      <c r="AC375" s="166" t="s">
        <v>2049</v>
      </c>
    </row>
    <row r="376" spans="1:29" ht="24" x14ac:dyDescent="0.2">
      <c r="A376" s="294" t="str">
        <f>IF(B376=Elementos_[[#This Row],[Cantidad LANIP]],"LANIP",IF(B376=Elementos_[[#This Row],[Cantidad 
LDV]],"LDV",IF(B376=Elementos_[[#This Row],[Cantidad LNDV]],"LNDV",IF(B376=Elementos_[[#This Row],[GGCA]],"GGCA",IF(B376=Elementos_[[#This Row],[Cantidad LDF]],"LDF",IF(B376=Elementos_[[#This Row],[Cantidad LDF&amp;MR]],"LDF&amp;MR",IF(B376=Elementos_[[#This Row],[Cantidad RED LASE]],"LASE",IF(B376=Elementos_[[#This Row],[Cantidad LANIA]],"LANIA",IF(B376=Elementos_[[#This Row],[Cantidad SPA]],"SPA"," ")))))))))</f>
        <v>LDV</v>
      </c>
      <c r="B37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76" s="298">
        <v>374</v>
      </c>
      <c r="D376" s="190">
        <v>563</v>
      </c>
      <c r="E376" s="273" t="s">
        <v>2701</v>
      </c>
      <c r="F376" s="201" t="s">
        <v>183</v>
      </c>
      <c r="G376" s="192" t="s">
        <v>2117</v>
      </c>
      <c r="H37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76" s="194">
        <v>1125947</v>
      </c>
      <c r="J376" s="194">
        <f>+Elementos_[[#This Row],[Valor de referencia]]*Elementos_[[#This Row],[Cantidad]]</f>
        <v>1125947</v>
      </c>
      <c r="K376" s="166"/>
      <c r="L376" s="159">
        <f>+Elementos_[[#This Row],[Cantidad LANIP]]*Elementos_[[#This Row],[Valor de referencia]]</f>
        <v>0</v>
      </c>
      <c r="M376" s="270">
        <v>1</v>
      </c>
      <c r="N376" s="195">
        <f>+Elementos_[[#This Row],[Cantidad 
LDV]]*Elementos_[[#This Row],[Valor de referencia]]</f>
        <v>1125947</v>
      </c>
      <c r="O376" s="166"/>
      <c r="P376" s="159">
        <f>+Elementos_[[#This Row],[Cantidad LNDV]]*Elementos_[[#This Row],[Valor de referencia]]</f>
        <v>0</v>
      </c>
      <c r="Q376" s="196"/>
      <c r="R376" s="159">
        <f>+Elementos_[[#This Row],[GGCA]]*Elementos_[[#This Row],[Valor de referencia]]</f>
        <v>0</v>
      </c>
      <c r="S376" s="166"/>
      <c r="T376" s="159">
        <f>+Elementos_[[#This Row],[Cantidad LDF]]*Elementos_[[#This Row],[Valor de referencia]]</f>
        <v>0</v>
      </c>
      <c r="U376" s="197"/>
      <c r="V376" s="159">
        <f>+Elementos_[[#This Row],[Cantidad LDF&amp;MR]]*Elementos_[[#This Row],[Valor de referencia]]</f>
        <v>0</v>
      </c>
      <c r="W376" s="166"/>
      <c r="X376" s="159">
        <f>+Elementos_[[#This Row],[Cantidad RED LASE]]*Elementos_[[#This Row],[Valor de referencia]]</f>
        <v>0</v>
      </c>
      <c r="Y376" s="196"/>
      <c r="Z376" s="159">
        <f>+Elementos_[[#This Row],[Cantidad LANIA]]*Elementos_[[#This Row],[Valor de referencia]]</f>
        <v>0</v>
      </c>
      <c r="AA376" s="196"/>
      <c r="AB376" s="159">
        <f>+Elementos_[[#This Row],[Cantidad SPA]]*Elementos_[[#This Row],[Valor de referencia]]</f>
        <v>0</v>
      </c>
      <c r="AC376" s="166" t="s">
        <v>2049</v>
      </c>
    </row>
    <row r="377" spans="1:29" ht="48" x14ac:dyDescent="0.2">
      <c r="A377" s="294" t="str">
        <f>IF(B377=Elementos_[[#This Row],[Cantidad LANIP]],"LANIP",IF(B377=Elementos_[[#This Row],[Cantidad 
LDV]],"LDV",IF(B377=Elementos_[[#This Row],[Cantidad LNDV]],"LNDV",IF(B377=Elementos_[[#This Row],[GGCA]],"GGCA",IF(B377=Elementos_[[#This Row],[Cantidad LDF]],"LDF",IF(B377=Elementos_[[#This Row],[Cantidad LDF&amp;MR]],"LDF&amp;MR",IF(B377=Elementos_[[#This Row],[Cantidad RED LASE]],"LASE",IF(B377=Elementos_[[#This Row],[Cantidad LANIA]],"LANIA",IF(B377=Elementos_[[#This Row],[Cantidad SPA]],"SPA"," ")))))))))</f>
        <v>LDF</v>
      </c>
      <c r="B37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77" s="298">
        <v>375</v>
      </c>
      <c r="D377" s="190">
        <v>566</v>
      </c>
      <c r="E377" s="299" t="s">
        <v>2702</v>
      </c>
      <c r="F377" s="204" t="s">
        <v>2703</v>
      </c>
      <c r="G377" s="192" t="s">
        <v>2704</v>
      </c>
      <c r="H37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77" s="194">
        <v>134530</v>
      </c>
      <c r="J377" s="194">
        <f>+Elementos_[[#This Row],[Valor de referencia]]*Elementos_[[#This Row],[Cantidad]]</f>
        <v>134530</v>
      </c>
      <c r="K377" s="166"/>
      <c r="L377" s="159">
        <f>+Elementos_[[#This Row],[Cantidad LANIP]]*Elementos_[[#This Row],[Valor de referencia]]</f>
        <v>0</v>
      </c>
      <c r="M377" s="270">
        <v>0</v>
      </c>
      <c r="N377" s="195">
        <f>+Elementos_[[#This Row],[Cantidad 
LDV]]*Elementos_[[#This Row],[Valor de referencia]]</f>
        <v>0</v>
      </c>
      <c r="O377" s="166"/>
      <c r="P377" s="159">
        <f>+Elementos_[[#This Row],[Cantidad LNDV]]*Elementos_[[#This Row],[Valor de referencia]]</f>
        <v>0</v>
      </c>
      <c r="Q377" s="196"/>
      <c r="R377" s="159">
        <f>+Elementos_[[#This Row],[GGCA]]*Elementos_[[#This Row],[Valor de referencia]]</f>
        <v>0</v>
      </c>
      <c r="S377" s="166">
        <v>1</v>
      </c>
      <c r="T377" s="159">
        <f>+Elementos_[[#This Row],[Cantidad LDF]]*Elementos_[[#This Row],[Valor de referencia]]</f>
        <v>134530</v>
      </c>
      <c r="U377" s="197"/>
      <c r="V377" s="159">
        <f>+Elementos_[[#This Row],[Cantidad LDF&amp;MR]]*Elementos_[[#This Row],[Valor de referencia]]</f>
        <v>0</v>
      </c>
      <c r="W377" s="166"/>
      <c r="X377" s="159">
        <f>+Elementos_[[#This Row],[Cantidad RED LASE]]*Elementos_[[#This Row],[Valor de referencia]]</f>
        <v>0</v>
      </c>
      <c r="Y377" s="196"/>
      <c r="Z377" s="159">
        <f>+Elementos_[[#This Row],[Cantidad LANIA]]*Elementos_[[#This Row],[Valor de referencia]]</f>
        <v>0</v>
      </c>
      <c r="AA377" s="196"/>
      <c r="AB377" s="159">
        <f>+Elementos_[[#This Row],[Cantidad SPA]]*Elementos_[[#This Row],[Valor de referencia]]</f>
        <v>0</v>
      </c>
      <c r="AC377" s="166" t="s">
        <v>2041</v>
      </c>
    </row>
    <row r="378" spans="1:29" ht="60" x14ac:dyDescent="0.2">
      <c r="A378" s="294" t="str">
        <f>IF(B378=Elementos_[[#This Row],[Cantidad LANIP]],"LANIP",IF(B378=Elementos_[[#This Row],[Cantidad 
LDV]],"LDV",IF(B378=Elementos_[[#This Row],[Cantidad LNDV]],"LNDV",IF(B378=Elementos_[[#This Row],[GGCA]],"GGCA",IF(B378=Elementos_[[#This Row],[Cantidad LDF]],"LDF",IF(B378=Elementos_[[#This Row],[Cantidad LDF&amp;MR]],"LDF&amp;MR",IF(B378=Elementos_[[#This Row],[Cantidad RED LASE]],"LASE",IF(B378=Elementos_[[#This Row],[Cantidad LANIA]],"LANIA",IF(B378=Elementos_[[#This Row],[Cantidad SPA]],"SPA"," ")))))))))</f>
        <v>LDV</v>
      </c>
      <c r="B37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78" s="298">
        <v>376</v>
      </c>
      <c r="D378" s="190">
        <v>569</v>
      </c>
      <c r="E378" s="273" t="s">
        <v>2705</v>
      </c>
      <c r="F378" s="201" t="s">
        <v>2449</v>
      </c>
      <c r="G378" s="192" t="s">
        <v>525</v>
      </c>
      <c r="H37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78" s="194">
        <v>4772325</v>
      </c>
      <c r="J378" s="194">
        <f>+Elementos_[[#This Row],[Valor de referencia]]*Elementos_[[#This Row],[Cantidad]]</f>
        <v>9544650</v>
      </c>
      <c r="K378" s="166"/>
      <c r="L378" s="159">
        <f>+Elementos_[[#This Row],[Cantidad LANIP]]*Elementos_[[#This Row],[Valor de referencia]]</f>
        <v>0</v>
      </c>
      <c r="M378" s="270">
        <v>2</v>
      </c>
      <c r="N378" s="195">
        <f>+Elementos_[[#This Row],[Cantidad 
LDV]]*Elementos_[[#This Row],[Valor de referencia]]</f>
        <v>9544650</v>
      </c>
      <c r="O378" s="166"/>
      <c r="P378" s="159">
        <f>+Elementos_[[#This Row],[Cantidad LNDV]]*Elementos_[[#This Row],[Valor de referencia]]</f>
        <v>0</v>
      </c>
      <c r="Q378" s="196"/>
      <c r="R378" s="159">
        <f>+Elementos_[[#This Row],[GGCA]]*Elementos_[[#This Row],[Valor de referencia]]</f>
        <v>0</v>
      </c>
      <c r="S378" s="166"/>
      <c r="T378" s="159">
        <f>+Elementos_[[#This Row],[Cantidad LDF]]*Elementos_[[#This Row],[Valor de referencia]]</f>
        <v>0</v>
      </c>
      <c r="U378" s="197"/>
      <c r="V378" s="159">
        <f>+Elementos_[[#This Row],[Cantidad LDF&amp;MR]]*Elementos_[[#This Row],[Valor de referencia]]</f>
        <v>0</v>
      </c>
      <c r="W378" s="166"/>
      <c r="X378" s="159">
        <f>+Elementos_[[#This Row],[Cantidad RED LASE]]*Elementos_[[#This Row],[Valor de referencia]]</f>
        <v>0</v>
      </c>
      <c r="Y378" s="196"/>
      <c r="Z378" s="159">
        <f>+Elementos_[[#This Row],[Cantidad LANIA]]*Elementos_[[#This Row],[Valor de referencia]]</f>
        <v>0</v>
      </c>
      <c r="AA378" s="196"/>
      <c r="AB378" s="159">
        <f>+Elementos_[[#This Row],[Cantidad SPA]]*Elementos_[[#This Row],[Valor de referencia]]</f>
        <v>0</v>
      </c>
      <c r="AC378" s="166" t="s">
        <v>2041</v>
      </c>
    </row>
    <row r="379" spans="1:29" ht="12.75" x14ac:dyDescent="0.2">
      <c r="A379" s="294" t="str">
        <f>IF(B379=Elementos_[[#This Row],[Cantidad LANIP]],"LANIP",IF(B379=Elementos_[[#This Row],[Cantidad 
LDV]],"LDV",IF(B379=Elementos_[[#This Row],[Cantidad LNDV]],"LNDV",IF(B379=Elementos_[[#This Row],[GGCA]],"GGCA",IF(B379=Elementos_[[#This Row],[Cantidad LDF]],"LDF",IF(B379=Elementos_[[#This Row],[Cantidad LDF&amp;MR]],"LDF&amp;MR",IF(B379=Elementos_[[#This Row],[Cantidad RED LASE]],"LASE",IF(B379=Elementos_[[#This Row],[Cantidad LANIA]],"LANIA",IF(B379=Elementos_[[#This Row],[Cantidad SPA]],"SPA"," ")))))))))</f>
        <v>LDF</v>
      </c>
      <c r="B37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79" s="298">
        <v>377</v>
      </c>
      <c r="D379" s="190">
        <v>572</v>
      </c>
      <c r="E379" s="273" t="s">
        <v>2706</v>
      </c>
      <c r="F379" s="201" t="s">
        <v>183</v>
      </c>
      <c r="G379" s="192" t="s">
        <v>525</v>
      </c>
      <c r="H37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79" s="194">
        <v>53731</v>
      </c>
      <c r="J379" s="194">
        <f>+Elementos_[[#This Row],[Valor de referencia]]*Elementos_[[#This Row],[Cantidad]]</f>
        <v>322386</v>
      </c>
      <c r="K379" s="166"/>
      <c r="L379" s="159">
        <f>+Elementos_[[#This Row],[Cantidad LANIP]]*Elementos_[[#This Row],[Valor de referencia]]</f>
        <v>0</v>
      </c>
      <c r="M379" s="270">
        <v>0</v>
      </c>
      <c r="N379" s="195">
        <f>+Elementos_[[#This Row],[Cantidad 
LDV]]*Elementos_[[#This Row],[Valor de referencia]]</f>
        <v>0</v>
      </c>
      <c r="O379" s="166"/>
      <c r="P379" s="159">
        <f>+Elementos_[[#This Row],[Cantidad LNDV]]*Elementos_[[#This Row],[Valor de referencia]]</f>
        <v>0</v>
      </c>
      <c r="Q379" s="196"/>
      <c r="R379" s="159">
        <f>+Elementos_[[#This Row],[GGCA]]*Elementos_[[#This Row],[Valor de referencia]]</f>
        <v>0</v>
      </c>
      <c r="S379" s="166">
        <v>6</v>
      </c>
      <c r="T379" s="159">
        <f>+Elementos_[[#This Row],[Cantidad LDF]]*Elementos_[[#This Row],[Valor de referencia]]</f>
        <v>322386</v>
      </c>
      <c r="U379" s="197"/>
      <c r="V379" s="159">
        <f>+Elementos_[[#This Row],[Cantidad LDF&amp;MR]]*Elementos_[[#This Row],[Valor de referencia]]</f>
        <v>0</v>
      </c>
      <c r="W379" s="166"/>
      <c r="X379" s="159">
        <f>+Elementos_[[#This Row],[Cantidad RED LASE]]*Elementos_[[#This Row],[Valor de referencia]]</f>
        <v>0</v>
      </c>
      <c r="Y379" s="196"/>
      <c r="Z379" s="159">
        <f>+Elementos_[[#This Row],[Cantidad LANIA]]*Elementos_[[#This Row],[Valor de referencia]]</f>
        <v>0</v>
      </c>
      <c r="AA379" s="196"/>
      <c r="AB379" s="159">
        <f>+Elementos_[[#This Row],[Cantidad SPA]]*Elementos_[[#This Row],[Valor de referencia]]</f>
        <v>0</v>
      </c>
      <c r="AC379" s="166" t="s">
        <v>2041</v>
      </c>
    </row>
    <row r="380" spans="1:29" ht="36" x14ac:dyDescent="0.2">
      <c r="A380" s="294" t="str">
        <f>IF(B380=Elementos_[[#This Row],[Cantidad LANIP]],"LANIP",IF(B380=Elementos_[[#This Row],[Cantidad 
LDV]],"LDV",IF(B380=Elementos_[[#This Row],[Cantidad LNDV]],"LNDV",IF(B380=Elementos_[[#This Row],[GGCA]],"GGCA",IF(B380=Elementos_[[#This Row],[Cantidad LDF]],"LDF",IF(B380=Elementos_[[#This Row],[Cantidad LDF&amp;MR]],"LDF&amp;MR",IF(B380=Elementos_[[#This Row],[Cantidad RED LASE]],"LASE",IF(B380=Elementos_[[#This Row],[Cantidad LANIA]],"LANIA",IF(B380=Elementos_[[#This Row],[Cantidad SPA]],"SPA"," ")))))))))</f>
        <v>LDF</v>
      </c>
      <c r="B38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80" s="298">
        <v>378</v>
      </c>
      <c r="D380" s="190">
        <v>573</v>
      </c>
      <c r="E380" s="277" t="s">
        <v>2707</v>
      </c>
      <c r="F380" s="204" t="s">
        <v>2708</v>
      </c>
      <c r="G380" s="192" t="s">
        <v>525</v>
      </c>
      <c r="H38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380" s="194">
        <v>330294</v>
      </c>
      <c r="J380" s="194">
        <f>+Elementos_[[#This Row],[Valor de referencia]]*Elementos_[[#This Row],[Cantidad]]</f>
        <v>3302940</v>
      </c>
      <c r="K380" s="166"/>
      <c r="L380" s="159">
        <f>+Elementos_[[#This Row],[Cantidad LANIP]]*Elementos_[[#This Row],[Valor de referencia]]</f>
        <v>0</v>
      </c>
      <c r="M380" s="270">
        <v>0</v>
      </c>
      <c r="N380" s="195">
        <f>+Elementos_[[#This Row],[Cantidad 
LDV]]*Elementos_[[#This Row],[Valor de referencia]]</f>
        <v>0</v>
      </c>
      <c r="O380" s="166"/>
      <c r="P380" s="159">
        <f>+Elementos_[[#This Row],[Cantidad LNDV]]*Elementos_[[#This Row],[Valor de referencia]]</f>
        <v>0</v>
      </c>
      <c r="Q380" s="196"/>
      <c r="R380" s="159">
        <f>+Elementos_[[#This Row],[GGCA]]*Elementos_[[#This Row],[Valor de referencia]]</f>
        <v>0</v>
      </c>
      <c r="S380" s="166">
        <v>10</v>
      </c>
      <c r="T380" s="159">
        <f>+Elementos_[[#This Row],[Cantidad LDF]]*Elementos_[[#This Row],[Valor de referencia]]</f>
        <v>3302940</v>
      </c>
      <c r="U380" s="197"/>
      <c r="V380" s="159">
        <f>+Elementos_[[#This Row],[Cantidad LDF&amp;MR]]*Elementos_[[#This Row],[Valor de referencia]]</f>
        <v>0</v>
      </c>
      <c r="W380" s="166"/>
      <c r="X380" s="159">
        <f>+Elementos_[[#This Row],[Cantidad RED LASE]]*Elementos_[[#This Row],[Valor de referencia]]</f>
        <v>0</v>
      </c>
      <c r="Y380" s="196"/>
      <c r="Z380" s="159">
        <f>+Elementos_[[#This Row],[Cantidad LANIA]]*Elementos_[[#This Row],[Valor de referencia]]</f>
        <v>0</v>
      </c>
      <c r="AA380" s="196"/>
      <c r="AB380" s="159">
        <f>+Elementos_[[#This Row],[Cantidad SPA]]*Elementos_[[#This Row],[Valor de referencia]]</f>
        <v>0</v>
      </c>
      <c r="AC380" s="166" t="s">
        <v>2041</v>
      </c>
    </row>
    <row r="381" spans="1:29" ht="24" x14ac:dyDescent="0.2">
      <c r="A381" s="294" t="str">
        <f>IF(B381=Elementos_[[#This Row],[Cantidad LANIP]],"LANIP",IF(B381=Elementos_[[#This Row],[Cantidad 
LDV]],"LDV",IF(B381=Elementos_[[#This Row],[Cantidad LNDV]],"LNDV",IF(B381=Elementos_[[#This Row],[GGCA]],"GGCA",IF(B381=Elementos_[[#This Row],[Cantidad LDF]],"LDF",IF(B381=Elementos_[[#This Row],[Cantidad LDF&amp;MR]],"LDF&amp;MR",IF(B381=Elementos_[[#This Row],[Cantidad RED LASE]],"LASE",IF(B381=Elementos_[[#This Row],[Cantidad LANIA]],"LANIA",IF(B381=Elementos_[[#This Row],[Cantidad SPA]],"SPA"," ")))))))))</f>
        <v>LDV</v>
      </c>
      <c r="B38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C381" s="298">
        <v>379</v>
      </c>
      <c r="D381" s="190">
        <v>575</v>
      </c>
      <c r="E381" s="277" t="s">
        <v>2709</v>
      </c>
      <c r="F381" s="204" t="s">
        <v>183</v>
      </c>
      <c r="G381" s="192" t="s">
        <v>525</v>
      </c>
      <c r="H38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I381" s="194">
        <v>76160</v>
      </c>
      <c r="J381" s="194">
        <f>+Elementos_[[#This Row],[Valor de referencia]]*Elementos_[[#This Row],[Cantidad]]</f>
        <v>3808000</v>
      </c>
      <c r="K381" s="166"/>
      <c r="L381" s="159">
        <f>+Elementos_[[#This Row],[Cantidad LANIP]]*Elementos_[[#This Row],[Valor de referencia]]</f>
        <v>0</v>
      </c>
      <c r="M381" s="270">
        <v>50</v>
      </c>
      <c r="N381" s="195">
        <f>+Elementos_[[#This Row],[Cantidad 
LDV]]*Elementos_[[#This Row],[Valor de referencia]]</f>
        <v>3808000</v>
      </c>
      <c r="O381" s="166"/>
      <c r="P381" s="159">
        <f>+Elementos_[[#This Row],[Cantidad LNDV]]*Elementos_[[#This Row],[Valor de referencia]]</f>
        <v>0</v>
      </c>
      <c r="Q381" s="196"/>
      <c r="R381" s="159">
        <f>+Elementos_[[#This Row],[GGCA]]*Elementos_[[#This Row],[Valor de referencia]]</f>
        <v>0</v>
      </c>
      <c r="S381" s="166"/>
      <c r="T381" s="159">
        <f>+Elementos_[[#This Row],[Cantidad LDF]]*Elementos_[[#This Row],[Valor de referencia]]</f>
        <v>0</v>
      </c>
      <c r="U381" s="197"/>
      <c r="V381" s="159">
        <f>+Elementos_[[#This Row],[Cantidad LDF&amp;MR]]*Elementos_[[#This Row],[Valor de referencia]]</f>
        <v>0</v>
      </c>
      <c r="W381" s="166"/>
      <c r="X381" s="159">
        <f>+Elementos_[[#This Row],[Cantidad RED LASE]]*Elementos_[[#This Row],[Valor de referencia]]</f>
        <v>0</v>
      </c>
      <c r="Y381" s="196"/>
      <c r="Z381" s="159">
        <f>+Elementos_[[#This Row],[Cantidad LANIA]]*Elementos_[[#This Row],[Valor de referencia]]</f>
        <v>0</v>
      </c>
      <c r="AA381" s="196"/>
      <c r="AB381" s="159">
        <f>+Elementos_[[#This Row],[Cantidad SPA]]*Elementos_[[#This Row],[Valor de referencia]]</f>
        <v>0</v>
      </c>
      <c r="AC381" s="166" t="s">
        <v>2049</v>
      </c>
    </row>
    <row r="382" spans="1:29" ht="48" x14ac:dyDescent="0.2">
      <c r="A382" s="294" t="str">
        <f>IF(B382=Elementos_[[#This Row],[Cantidad LANIP]],"LANIP",IF(B382=Elementos_[[#This Row],[Cantidad 
LDV]],"LDV",IF(B382=Elementos_[[#This Row],[Cantidad LNDV]],"LNDV",IF(B382=Elementos_[[#This Row],[GGCA]],"GGCA",IF(B382=Elementos_[[#This Row],[Cantidad LDF]],"LDF",IF(B382=Elementos_[[#This Row],[Cantidad LDF&amp;MR]],"LDF&amp;MR",IF(B382=Elementos_[[#This Row],[Cantidad RED LASE]],"LASE",IF(B382=Elementos_[[#This Row],[Cantidad LANIA]],"LANIA",IF(B382=Elementos_[[#This Row],[Cantidad SPA]],"SPA"," ")))))))))</f>
        <v>LANIA</v>
      </c>
      <c r="B38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82" s="298">
        <v>380</v>
      </c>
      <c r="D382" s="190">
        <v>576</v>
      </c>
      <c r="E382" s="273" t="s">
        <v>2710</v>
      </c>
      <c r="F382" s="201" t="s">
        <v>2711</v>
      </c>
      <c r="G382" s="192" t="s">
        <v>2712</v>
      </c>
      <c r="H38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382" s="194">
        <v>546623</v>
      </c>
      <c r="J382" s="194">
        <f>+Elementos_[[#This Row],[Valor de referencia]]*Elementos_[[#This Row],[Cantidad]]</f>
        <v>1639869</v>
      </c>
      <c r="K382" s="166"/>
      <c r="L382" s="159">
        <f>+Elementos_[[#This Row],[Cantidad LANIP]]*Elementos_[[#This Row],[Valor de referencia]]</f>
        <v>0</v>
      </c>
      <c r="M382" s="270"/>
      <c r="N382" s="195">
        <f>+Elementos_[[#This Row],[Cantidad 
LDV]]*Elementos_[[#This Row],[Valor de referencia]]</f>
        <v>0</v>
      </c>
      <c r="O382" s="166"/>
      <c r="P382" s="159">
        <f>+Elementos_[[#This Row],[Cantidad LNDV]]*Elementos_[[#This Row],[Valor de referencia]]</f>
        <v>0</v>
      </c>
      <c r="Q382" s="196"/>
      <c r="R382" s="159">
        <f>+Elementos_[[#This Row],[GGCA]]*Elementos_[[#This Row],[Valor de referencia]]</f>
        <v>0</v>
      </c>
      <c r="S382" s="166"/>
      <c r="T382" s="159">
        <f>+Elementos_[[#This Row],[Cantidad LDF]]*Elementos_[[#This Row],[Valor de referencia]]</f>
        <v>0</v>
      </c>
      <c r="U382" s="197"/>
      <c r="V382" s="159">
        <f>+Elementos_[[#This Row],[Cantidad LDF&amp;MR]]*Elementos_[[#This Row],[Valor de referencia]]</f>
        <v>0</v>
      </c>
      <c r="W382" s="166">
        <v>1</v>
      </c>
      <c r="X382" s="159">
        <f>+Elementos_[[#This Row],[Cantidad RED LASE]]*Elementos_[[#This Row],[Valor de referencia]]</f>
        <v>546623</v>
      </c>
      <c r="Y382" s="196">
        <f>1+1</f>
        <v>2</v>
      </c>
      <c r="Z382" s="159">
        <f>+Elementos_[[#This Row],[Cantidad LANIA]]*Elementos_[[#This Row],[Valor de referencia]]</f>
        <v>1093246</v>
      </c>
      <c r="AA382" s="196"/>
      <c r="AB382" s="159">
        <f>+Elementos_[[#This Row],[Cantidad SPA]]*Elementos_[[#This Row],[Valor de referencia]]</f>
        <v>0</v>
      </c>
      <c r="AC382" s="166" t="s">
        <v>2041</v>
      </c>
    </row>
    <row r="383" spans="1:29" ht="24" x14ac:dyDescent="0.2">
      <c r="A383" s="294" t="str">
        <f>IF(B383=Elementos_[[#This Row],[Cantidad LANIP]],"LANIP",IF(B383=Elementos_[[#This Row],[Cantidad 
LDV]],"LDV",IF(B383=Elementos_[[#This Row],[Cantidad LNDV]],"LNDV",IF(B383=Elementos_[[#This Row],[GGCA]],"GGCA",IF(B383=Elementos_[[#This Row],[Cantidad LDF]],"LDF",IF(B383=Elementos_[[#This Row],[Cantidad LDF&amp;MR]],"LDF&amp;MR",IF(B383=Elementos_[[#This Row],[Cantidad RED LASE]],"LASE",IF(B383=Elementos_[[#This Row],[Cantidad LANIA]],"LANIA",IF(B383=Elementos_[[#This Row],[Cantidad SPA]],"SPA"," ")))))))))</f>
        <v>LANIA</v>
      </c>
      <c r="B38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383" s="298">
        <v>381</v>
      </c>
      <c r="D383" s="190">
        <v>577</v>
      </c>
      <c r="E383" s="299" t="s">
        <v>2713</v>
      </c>
      <c r="F383" s="204" t="s">
        <v>183</v>
      </c>
      <c r="G383" s="192" t="s">
        <v>2714</v>
      </c>
      <c r="H38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383" s="194">
        <v>2097400</v>
      </c>
      <c r="J383" s="194">
        <f>+Elementos_[[#This Row],[Valor de referencia]]*Elementos_[[#This Row],[Cantidad]]</f>
        <v>2097400</v>
      </c>
      <c r="K383" s="166"/>
      <c r="L383" s="159">
        <f>+Elementos_[[#This Row],[Cantidad LANIP]]*Elementos_[[#This Row],[Valor de referencia]]</f>
        <v>0</v>
      </c>
      <c r="M383" s="270"/>
      <c r="N383" s="195">
        <f>+Elementos_[[#This Row],[Cantidad 
LDV]]*Elementos_[[#This Row],[Valor de referencia]]</f>
        <v>0</v>
      </c>
      <c r="O383" s="166"/>
      <c r="P383" s="159">
        <f>+Elementos_[[#This Row],[Cantidad LNDV]]*Elementos_[[#This Row],[Valor de referencia]]</f>
        <v>0</v>
      </c>
      <c r="Q383" s="196"/>
      <c r="R383" s="159">
        <f>+Elementos_[[#This Row],[GGCA]]*Elementos_[[#This Row],[Valor de referencia]]</f>
        <v>0</v>
      </c>
      <c r="S383" s="166"/>
      <c r="T383" s="159">
        <f>+Elementos_[[#This Row],[Cantidad LDF]]*Elementos_[[#This Row],[Valor de referencia]]</f>
        <v>0</v>
      </c>
      <c r="U383" s="197"/>
      <c r="V383" s="159">
        <f>+Elementos_[[#This Row],[Cantidad LDF&amp;MR]]*Elementos_[[#This Row],[Valor de referencia]]</f>
        <v>0</v>
      </c>
      <c r="W383" s="166"/>
      <c r="X383" s="159">
        <f>+Elementos_[[#This Row],[Cantidad RED LASE]]*Elementos_[[#This Row],[Valor de referencia]]</f>
        <v>0</v>
      </c>
      <c r="Y383" s="196">
        <v>1</v>
      </c>
      <c r="Z383" s="159">
        <f>+Elementos_[[#This Row],[Cantidad LANIA]]*Elementos_[[#This Row],[Valor de referencia]]</f>
        <v>2097400</v>
      </c>
      <c r="AA383" s="196"/>
      <c r="AB383" s="159">
        <f>+Elementos_[[#This Row],[Cantidad SPA]]*Elementos_[[#This Row],[Valor de referencia]]</f>
        <v>0</v>
      </c>
      <c r="AC383" s="166" t="s">
        <v>2049</v>
      </c>
    </row>
    <row r="384" spans="1:29" ht="36" x14ac:dyDescent="0.2">
      <c r="A384" s="294" t="str">
        <f>IF(B384=Elementos_[[#This Row],[Cantidad LANIP]],"LANIP",IF(B384=Elementos_[[#This Row],[Cantidad 
LDV]],"LDV",IF(B384=Elementos_[[#This Row],[Cantidad LNDV]],"LNDV",IF(B384=Elementos_[[#This Row],[GGCA]],"GGCA",IF(B384=Elementos_[[#This Row],[Cantidad LDF]],"LDF",IF(B384=Elementos_[[#This Row],[Cantidad LDF&amp;MR]],"LDF&amp;MR",IF(B384=Elementos_[[#This Row],[Cantidad RED LASE]],"LASE",IF(B384=Elementos_[[#This Row],[Cantidad LANIA]],"LANIA",IF(B384=Elementos_[[#This Row],[Cantidad SPA]],"SPA"," ")))))))))</f>
        <v>LANIA</v>
      </c>
      <c r="B38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84" s="298">
        <v>382</v>
      </c>
      <c r="D384" s="190">
        <v>578</v>
      </c>
      <c r="E384" s="274" t="s">
        <v>2715</v>
      </c>
      <c r="F384" s="201" t="s">
        <v>183</v>
      </c>
      <c r="G384" s="192" t="s">
        <v>525</v>
      </c>
      <c r="H38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84" s="194">
        <v>499781</v>
      </c>
      <c r="J384" s="194">
        <f>+Elementos_[[#This Row],[Valor de referencia]]*Elementos_[[#This Row],[Cantidad]]</f>
        <v>999562</v>
      </c>
      <c r="K384" s="166"/>
      <c r="L384" s="159">
        <f>+Elementos_[[#This Row],[Cantidad LANIP]]*Elementos_[[#This Row],[Valor de referencia]]</f>
        <v>0</v>
      </c>
      <c r="M384" s="270"/>
      <c r="N384" s="195">
        <f>+Elementos_[[#This Row],[Cantidad 
LDV]]*Elementos_[[#This Row],[Valor de referencia]]</f>
        <v>0</v>
      </c>
      <c r="O384" s="166"/>
      <c r="P384" s="159">
        <f>+Elementos_[[#This Row],[Cantidad LNDV]]*Elementos_[[#This Row],[Valor de referencia]]</f>
        <v>0</v>
      </c>
      <c r="Q384" s="196"/>
      <c r="R384" s="159">
        <f>+Elementos_[[#This Row],[GGCA]]*Elementos_[[#This Row],[Valor de referencia]]</f>
        <v>0</v>
      </c>
      <c r="S384" s="166"/>
      <c r="T384" s="159">
        <f>+Elementos_[[#This Row],[Cantidad LDF]]*Elementos_[[#This Row],[Valor de referencia]]</f>
        <v>0</v>
      </c>
      <c r="U384" s="197"/>
      <c r="V384" s="159">
        <f>+Elementos_[[#This Row],[Cantidad LDF&amp;MR]]*Elementos_[[#This Row],[Valor de referencia]]</f>
        <v>0</v>
      </c>
      <c r="W384" s="166"/>
      <c r="X384" s="159">
        <f>+Elementos_[[#This Row],[Cantidad RED LASE]]*Elementos_[[#This Row],[Valor de referencia]]</f>
        <v>0</v>
      </c>
      <c r="Y384" s="196">
        <v>2</v>
      </c>
      <c r="Z384" s="159">
        <f>+Elementos_[[#This Row],[Cantidad LANIA]]*Elementos_[[#This Row],[Valor de referencia]]</f>
        <v>999562</v>
      </c>
      <c r="AA384" s="196"/>
      <c r="AB384" s="159">
        <f>+Elementos_[[#This Row],[Cantidad SPA]]*Elementos_[[#This Row],[Valor de referencia]]</f>
        <v>0</v>
      </c>
      <c r="AC384" s="166" t="s">
        <v>2049</v>
      </c>
    </row>
    <row r="385" spans="1:29" ht="48" x14ac:dyDescent="0.2">
      <c r="A385" s="294" t="str">
        <f>IF(B385=Elementos_[[#This Row],[Cantidad LANIP]],"LANIP",IF(B385=Elementos_[[#This Row],[Cantidad 
LDV]],"LDV",IF(B385=Elementos_[[#This Row],[Cantidad LNDV]],"LNDV",IF(B385=Elementos_[[#This Row],[GGCA]],"GGCA",IF(B385=Elementos_[[#This Row],[Cantidad LDF]],"LDF",IF(B385=Elementos_[[#This Row],[Cantidad LDF&amp;MR]],"LDF&amp;MR",IF(B385=Elementos_[[#This Row],[Cantidad RED LASE]],"LASE",IF(B385=Elementos_[[#This Row],[Cantidad LANIA]],"LANIA",IF(B385=Elementos_[[#This Row],[Cantidad SPA]],"SPA"," ")))))))))</f>
        <v>LDF</v>
      </c>
      <c r="B38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85" s="298">
        <v>383</v>
      </c>
      <c r="D385" s="190">
        <v>580</v>
      </c>
      <c r="E385" s="273" t="s">
        <v>2716</v>
      </c>
      <c r="F385" s="201" t="s">
        <v>2717</v>
      </c>
      <c r="G385" s="192" t="s">
        <v>525</v>
      </c>
      <c r="H38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385" s="194">
        <v>87935</v>
      </c>
      <c r="J385" s="194">
        <f>+Elementos_[[#This Row],[Valor de referencia]]*Elementos_[[#This Row],[Cantidad]]</f>
        <v>1758700</v>
      </c>
      <c r="K385" s="166"/>
      <c r="L385" s="159">
        <f>+Elementos_[[#This Row],[Cantidad LANIP]]*Elementos_[[#This Row],[Valor de referencia]]</f>
        <v>0</v>
      </c>
      <c r="M385" s="270"/>
      <c r="N385" s="195">
        <f>+Elementos_[[#This Row],[Cantidad 
LDV]]*Elementos_[[#This Row],[Valor de referencia]]</f>
        <v>0</v>
      </c>
      <c r="O385" s="166"/>
      <c r="P385" s="159">
        <f>+Elementos_[[#This Row],[Cantidad LNDV]]*Elementos_[[#This Row],[Valor de referencia]]</f>
        <v>0</v>
      </c>
      <c r="Q385" s="196"/>
      <c r="R385" s="159">
        <f>+Elementos_[[#This Row],[GGCA]]*Elementos_[[#This Row],[Valor de referencia]]</f>
        <v>0</v>
      </c>
      <c r="S385" s="166">
        <v>10</v>
      </c>
      <c r="T385" s="159">
        <f>+Elementos_[[#This Row],[Cantidad LDF]]*Elementos_[[#This Row],[Valor de referencia]]</f>
        <v>879350</v>
      </c>
      <c r="U385" s="197"/>
      <c r="V385" s="159">
        <f>+Elementos_[[#This Row],[Cantidad LDF&amp;MR]]*Elementos_[[#This Row],[Valor de referencia]]</f>
        <v>0</v>
      </c>
      <c r="W385" s="166"/>
      <c r="X385" s="159">
        <f>+Elementos_[[#This Row],[Cantidad RED LASE]]*Elementos_[[#This Row],[Valor de referencia]]</f>
        <v>0</v>
      </c>
      <c r="Y385" s="196">
        <v>10</v>
      </c>
      <c r="Z385" s="159">
        <f>+Elementos_[[#This Row],[Cantidad LANIA]]*Elementos_[[#This Row],[Valor de referencia]]</f>
        <v>879350</v>
      </c>
      <c r="AA385" s="196"/>
      <c r="AB385" s="159">
        <f>+Elementos_[[#This Row],[Cantidad SPA]]*Elementos_[[#This Row],[Valor de referencia]]</f>
        <v>0</v>
      </c>
      <c r="AC385" s="166" t="s">
        <v>2041</v>
      </c>
    </row>
    <row r="386" spans="1:29" ht="48" x14ac:dyDescent="0.2">
      <c r="A386" s="294" t="str">
        <f>IF(B386=Elementos_[[#This Row],[Cantidad LANIP]],"LANIP",IF(B386=Elementos_[[#This Row],[Cantidad 
LDV]],"LDV",IF(B386=Elementos_[[#This Row],[Cantidad LNDV]],"LNDV",IF(B386=Elementos_[[#This Row],[GGCA]],"GGCA",IF(B386=Elementos_[[#This Row],[Cantidad LDF]],"LDF",IF(B386=Elementos_[[#This Row],[Cantidad LDF&amp;MR]],"LDF&amp;MR",IF(B386=Elementos_[[#This Row],[Cantidad RED LASE]],"LASE",IF(B386=Elementos_[[#This Row],[Cantidad LANIA]],"LANIA",IF(B386=Elementos_[[#This Row],[Cantidad SPA]],"SPA"," ")))))))))</f>
        <v>LDF</v>
      </c>
      <c r="B38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386" s="298">
        <v>384</v>
      </c>
      <c r="D386" s="190">
        <v>581</v>
      </c>
      <c r="E386" s="273" t="s">
        <v>2718</v>
      </c>
      <c r="F386" s="201" t="s">
        <v>2717</v>
      </c>
      <c r="G386" s="192" t="s">
        <v>525</v>
      </c>
      <c r="H38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13</v>
      </c>
      <c r="I386" s="194">
        <v>176197</v>
      </c>
      <c r="J386" s="194">
        <f>+Elementos_[[#This Row],[Valor de referencia]]*Elementos_[[#This Row],[Cantidad]]</f>
        <v>2290561</v>
      </c>
      <c r="K386" s="166"/>
      <c r="L386" s="159">
        <f>+Elementos_[[#This Row],[Cantidad LANIP]]*Elementos_[[#This Row],[Valor de referencia]]</f>
        <v>0</v>
      </c>
      <c r="M386" s="270"/>
      <c r="N386" s="195">
        <f>+Elementos_[[#This Row],[Cantidad 
LDV]]*Elementos_[[#This Row],[Valor de referencia]]</f>
        <v>0</v>
      </c>
      <c r="O386" s="166"/>
      <c r="P386" s="159">
        <f>+Elementos_[[#This Row],[Cantidad LNDV]]*Elementos_[[#This Row],[Valor de referencia]]</f>
        <v>0</v>
      </c>
      <c r="Q386" s="196"/>
      <c r="R386" s="159">
        <f>+Elementos_[[#This Row],[GGCA]]*Elementos_[[#This Row],[Valor de referencia]]</f>
        <v>0</v>
      </c>
      <c r="S386" s="166">
        <v>8</v>
      </c>
      <c r="T386" s="159">
        <f>+Elementos_[[#This Row],[Cantidad LDF]]*Elementos_[[#This Row],[Valor de referencia]]</f>
        <v>1409576</v>
      </c>
      <c r="U386" s="197"/>
      <c r="V386" s="159">
        <f>+Elementos_[[#This Row],[Cantidad LDF&amp;MR]]*Elementos_[[#This Row],[Valor de referencia]]</f>
        <v>0</v>
      </c>
      <c r="W386" s="166"/>
      <c r="X386" s="159">
        <f>+Elementos_[[#This Row],[Cantidad RED LASE]]*Elementos_[[#This Row],[Valor de referencia]]</f>
        <v>0</v>
      </c>
      <c r="Y386" s="196">
        <v>5</v>
      </c>
      <c r="Z386" s="159">
        <f>+Elementos_[[#This Row],[Cantidad LANIA]]*Elementos_[[#This Row],[Valor de referencia]]</f>
        <v>880985</v>
      </c>
      <c r="AA386" s="196"/>
      <c r="AB386" s="159">
        <f>+Elementos_[[#This Row],[Cantidad SPA]]*Elementos_[[#This Row],[Valor de referencia]]</f>
        <v>0</v>
      </c>
      <c r="AC386" s="166" t="s">
        <v>2041</v>
      </c>
    </row>
    <row r="387" spans="1:29" ht="24" x14ac:dyDescent="0.2">
      <c r="A387" s="294" t="str">
        <f>IF(B387=Elementos_[[#This Row],[Cantidad LANIP]],"LANIP",IF(B387=Elementos_[[#This Row],[Cantidad 
LDV]],"LDV",IF(B387=Elementos_[[#This Row],[Cantidad LNDV]],"LNDV",IF(B387=Elementos_[[#This Row],[GGCA]],"GGCA",IF(B387=Elementos_[[#This Row],[Cantidad LDF]],"LDF",IF(B387=Elementos_[[#This Row],[Cantidad LDF&amp;MR]],"LDF&amp;MR",IF(B387=Elementos_[[#This Row],[Cantidad RED LASE]],"LASE",IF(B387=Elementos_[[#This Row],[Cantidad LANIA]],"LANIA",IF(B387=Elementos_[[#This Row],[Cantidad SPA]],"SPA"," ")))))))))</f>
        <v>LANIA</v>
      </c>
      <c r="B38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87" s="298">
        <v>385</v>
      </c>
      <c r="D387" s="190">
        <v>582</v>
      </c>
      <c r="E387" s="273" t="s">
        <v>2719</v>
      </c>
      <c r="F387" s="204" t="s">
        <v>183</v>
      </c>
      <c r="G387" s="192" t="s">
        <v>525</v>
      </c>
      <c r="H38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I387" s="194">
        <v>424473</v>
      </c>
      <c r="J387" s="194">
        <f>+Elementos_[[#This Row],[Valor de referencia]]*Elementos_[[#This Row],[Cantidad]]</f>
        <v>5942622</v>
      </c>
      <c r="K387" s="166"/>
      <c r="L387" s="159">
        <f>+Elementos_[[#This Row],[Cantidad LANIP]]*Elementos_[[#This Row],[Valor de referencia]]</f>
        <v>0</v>
      </c>
      <c r="M387" s="270"/>
      <c r="N387" s="195">
        <f>+Elementos_[[#This Row],[Cantidad 
LDV]]*Elementos_[[#This Row],[Valor de referencia]]</f>
        <v>0</v>
      </c>
      <c r="O387" s="166"/>
      <c r="P387" s="159">
        <f>+Elementos_[[#This Row],[Cantidad LNDV]]*Elementos_[[#This Row],[Valor de referencia]]</f>
        <v>0</v>
      </c>
      <c r="Q387" s="196"/>
      <c r="R387" s="159">
        <f>+Elementos_[[#This Row],[GGCA]]*Elementos_[[#This Row],[Valor de referencia]]</f>
        <v>0</v>
      </c>
      <c r="S387" s="166">
        <v>4</v>
      </c>
      <c r="T387" s="159">
        <f>+Elementos_[[#This Row],[Cantidad LDF]]*Elementos_[[#This Row],[Valor de referencia]]</f>
        <v>1697892</v>
      </c>
      <c r="U387" s="197"/>
      <c r="V387" s="159">
        <f>+Elementos_[[#This Row],[Cantidad LDF&amp;MR]]*Elementos_[[#This Row],[Valor de referencia]]</f>
        <v>0</v>
      </c>
      <c r="W387" s="166"/>
      <c r="X387" s="159">
        <f>+Elementos_[[#This Row],[Cantidad RED LASE]]*Elementos_[[#This Row],[Valor de referencia]]</f>
        <v>0</v>
      </c>
      <c r="Y387" s="196">
        <f>5+5</f>
        <v>10</v>
      </c>
      <c r="Z387" s="159">
        <f>+Elementos_[[#This Row],[Cantidad LANIA]]*Elementos_[[#This Row],[Valor de referencia]]</f>
        <v>4244730</v>
      </c>
      <c r="AA387" s="196"/>
      <c r="AB387" s="159">
        <f>+Elementos_[[#This Row],[Cantidad SPA]]*Elementos_[[#This Row],[Valor de referencia]]</f>
        <v>0</v>
      </c>
      <c r="AC387" s="166" t="s">
        <v>2041</v>
      </c>
    </row>
    <row r="388" spans="1:29" ht="48" x14ac:dyDescent="0.2">
      <c r="A388" s="294" t="str">
        <f>IF(B388=Elementos_[[#This Row],[Cantidad LANIP]],"LANIP",IF(B388=Elementos_[[#This Row],[Cantidad 
LDV]],"LDV",IF(B388=Elementos_[[#This Row],[Cantidad LNDV]],"LNDV",IF(B388=Elementos_[[#This Row],[GGCA]],"GGCA",IF(B388=Elementos_[[#This Row],[Cantidad LDF]],"LDF",IF(B388=Elementos_[[#This Row],[Cantidad LDF&amp;MR]],"LDF&amp;MR",IF(B388=Elementos_[[#This Row],[Cantidad RED LASE]],"LASE",IF(B388=Elementos_[[#This Row],[Cantidad LANIA]],"LANIA",IF(B388=Elementos_[[#This Row],[Cantidad SPA]],"SPA"," ")))))))))</f>
        <v>LDV</v>
      </c>
      <c r="B38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88" s="298">
        <v>386</v>
      </c>
      <c r="D388" s="190">
        <v>583</v>
      </c>
      <c r="E388" s="273" t="s">
        <v>2720</v>
      </c>
      <c r="F388" s="201" t="s">
        <v>2717</v>
      </c>
      <c r="G388" s="192" t="s">
        <v>525</v>
      </c>
      <c r="H38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21</v>
      </c>
      <c r="I388" s="194">
        <v>72102</v>
      </c>
      <c r="J388" s="194">
        <f>+Elementos_[[#This Row],[Valor de referencia]]*Elementos_[[#This Row],[Cantidad]]</f>
        <v>1514142</v>
      </c>
      <c r="K388" s="166"/>
      <c r="L388" s="159">
        <f>+Elementos_[[#This Row],[Cantidad LANIP]]*Elementos_[[#This Row],[Valor de referencia]]</f>
        <v>0</v>
      </c>
      <c r="M388" s="270">
        <v>10</v>
      </c>
      <c r="N388" s="195">
        <f>+Elementos_[[#This Row],[Cantidad 
LDV]]*Elementos_[[#This Row],[Valor de referencia]]</f>
        <v>721020</v>
      </c>
      <c r="O388" s="166"/>
      <c r="P388" s="159">
        <f>+Elementos_[[#This Row],[Cantidad LNDV]]*Elementos_[[#This Row],[Valor de referencia]]</f>
        <v>0</v>
      </c>
      <c r="Q388" s="196"/>
      <c r="R388" s="159">
        <f>+Elementos_[[#This Row],[GGCA]]*Elementos_[[#This Row],[Valor de referencia]]</f>
        <v>0</v>
      </c>
      <c r="S388" s="166">
        <v>6</v>
      </c>
      <c r="T388" s="159">
        <f>+Elementos_[[#This Row],[Cantidad LDF]]*Elementos_[[#This Row],[Valor de referencia]]</f>
        <v>432612</v>
      </c>
      <c r="U388" s="197"/>
      <c r="V388" s="159">
        <f>+Elementos_[[#This Row],[Cantidad LDF&amp;MR]]*Elementos_[[#This Row],[Valor de referencia]]</f>
        <v>0</v>
      </c>
      <c r="W388" s="166"/>
      <c r="X388" s="159">
        <f>+Elementos_[[#This Row],[Cantidad RED LASE]]*Elementos_[[#This Row],[Valor de referencia]]</f>
        <v>0</v>
      </c>
      <c r="Y388" s="196">
        <v>5</v>
      </c>
      <c r="Z388" s="159">
        <f>+Elementos_[[#This Row],[Cantidad LANIA]]*Elementos_[[#This Row],[Valor de referencia]]</f>
        <v>360510</v>
      </c>
      <c r="AA388" s="196"/>
      <c r="AB388" s="159">
        <f>+Elementos_[[#This Row],[Cantidad SPA]]*Elementos_[[#This Row],[Valor de referencia]]</f>
        <v>0</v>
      </c>
      <c r="AC388" s="166" t="s">
        <v>2041</v>
      </c>
    </row>
    <row r="389" spans="1:29" ht="48" x14ac:dyDescent="0.2">
      <c r="A389" s="294" t="str">
        <f>IF(B389=Elementos_[[#This Row],[Cantidad LANIP]],"LANIP",IF(B389=Elementos_[[#This Row],[Cantidad 
LDV]],"LDV",IF(B389=Elementos_[[#This Row],[Cantidad LNDV]],"LNDV",IF(B389=Elementos_[[#This Row],[GGCA]],"GGCA",IF(B389=Elementos_[[#This Row],[Cantidad LDF]],"LDF",IF(B389=Elementos_[[#This Row],[Cantidad LDF&amp;MR]],"LDF&amp;MR",IF(B389=Elementos_[[#This Row],[Cantidad RED LASE]],"LASE",IF(B389=Elementos_[[#This Row],[Cantidad LANIA]],"LANIA",IF(B389=Elementos_[[#This Row],[Cantidad SPA]],"SPA"," ")))))))))</f>
        <v>LDF</v>
      </c>
      <c r="B38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89" s="298">
        <v>387</v>
      </c>
      <c r="D389" s="190">
        <v>584</v>
      </c>
      <c r="E389" s="273" t="s">
        <v>2721</v>
      </c>
      <c r="F389" s="201" t="s">
        <v>2717</v>
      </c>
      <c r="G389" s="192" t="s">
        <v>525</v>
      </c>
      <c r="H38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89" s="194">
        <v>60013</v>
      </c>
      <c r="J389" s="194">
        <f>+Elementos_[[#This Row],[Valor de referencia]]*Elementos_[[#This Row],[Cantidad]]</f>
        <v>360078</v>
      </c>
      <c r="K389" s="166"/>
      <c r="L389" s="159">
        <f>+Elementos_[[#This Row],[Cantidad LANIP]]*Elementos_[[#This Row],[Valor de referencia]]</f>
        <v>0</v>
      </c>
      <c r="M389" s="270">
        <v>0</v>
      </c>
      <c r="N389" s="195">
        <f>+Elementos_[[#This Row],[Cantidad 
LDV]]*Elementos_[[#This Row],[Valor de referencia]]</f>
        <v>0</v>
      </c>
      <c r="O389" s="166"/>
      <c r="P389" s="159">
        <f>+Elementos_[[#This Row],[Cantidad LNDV]]*Elementos_[[#This Row],[Valor de referencia]]</f>
        <v>0</v>
      </c>
      <c r="Q389" s="196"/>
      <c r="R389" s="159">
        <f>+Elementos_[[#This Row],[GGCA]]*Elementos_[[#This Row],[Valor de referencia]]</f>
        <v>0</v>
      </c>
      <c r="S389" s="166">
        <v>6</v>
      </c>
      <c r="T389" s="159">
        <f>+Elementos_[[#This Row],[Cantidad LDF]]*Elementos_[[#This Row],[Valor de referencia]]</f>
        <v>360078</v>
      </c>
      <c r="U389" s="197"/>
      <c r="V389" s="159">
        <f>+Elementos_[[#This Row],[Cantidad LDF&amp;MR]]*Elementos_[[#This Row],[Valor de referencia]]</f>
        <v>0</v>
      </c>
      <c r="W389" s="166"/>
      <c r="X389" s="159">
        <f>+Elementos_[[#This Row],[Cantidad RED LASE]]*Elementos_[[#This Row],[Valor de referencia]]</f>
        <v>0</v>
      </c>
      <c r="Y389" s="196"/>
      <c r="Z389" s="159">
        <f>+Elementos_[[#This Row],[Cantidad LANIA]]*Elementos_[[#This Row],[Valor de referencia]]</f>
        <v>0</v>
      </c>
      <c r="AA389" s="196"/>
      <c r="AB389" s="159">
        <f>+Elementos_[[#This Row],[Cantidad SPA]]*Elementos_[[#This Row],[Valor de referencia]]</f>
        <v>0</v>
      </c>
      <c r="AC389" s="166" t="s">
        <v>2041</v>
      </c>
    </row>
    <row r="390" spans="1:29" ht="48" x14ac:dyDescent="0.2">
      <c r="A390" s="294" t="str">
        <f>IF(B390=Elementos_[[#This Row],[Cantidad LANIP]],"LANIP",IF(B390=Elementos_[[#This Row],[Cantidad 
LDV]],"LDV",IF(B390=Elementos_[[#This Row],[Cantidad LNDV]],"LNDV",IF(B390=Elementos_[[#This Row],[GGCA]],"GGCA",IF(B390=Elementos_[[#This Row],[Cantidad LDF]],"LDF",IF(B390=Elementos_[[#This Row],[Cantidad LDF&amp;MR]],"LDF&amp;MR",IF(B390=Elementos_[[#This Row],[Cantidad RED LASE]],"LASE",IF(B390=Elementos_[[#This Row],[Cantidad LANIA]],"LANIA",IF(B390=Elementos_[[#This Row],[Cantidad SPA]],"SPA"," ")))))))))</f>
        <v>LDF</v>
      </c>
      <c r="B39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390" s="298">
        <v>388</v>
      </c>
      <c r="D390" s="190">
        <v>585</v>
      </c>
      <c r="E390" s="273" t="s">
        <v>2722</v>
      </c>
      <c r="F390" s="201" t="s">
        <v>2717</v>
      </c>
      <c r="G390" s="192" t="s">
        <v>525</v>
      </c>
      <c r="H39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390" s="194">
        <v>125184</v>
      </c>
      <c r="J390" s="194">
        <f>+Elementos_[[#This Row],[Valor de referencia]]*Elementos_[[#This Row],[Cantidad]]</f>
        <v>2253312</v>
      </c>
      <c r="K390" s="166"/>
      <c r="L390" s="159">
        <f>+Elementos_[[#This Row],[Cantidad LANIP]]*Elementos_[[#This Row],[Valor de referencia]]</f>
        <v>0</v>
      </c>
      <c r="M390" s="270">
        <v>5</v>
      </c>
      <c r="N390" s="195">
        <f>+Elementos_[[#This Row],[Cantidad 
LDV]]*Elementos_[[#This Row],[Valor de referencia]]</f>
        <v>625920</v>
      </c>
      <c r="O390" s="166"/>
      <c r="P390" s="159">
        <f>+Elementos_[[#This Row],[Cantidad LNDV]]*Elementos_[[#This Row],[Valor de referencia]]</f>
        <v>0</v>
      </c>
      <c r="Q390" s="196"/>
      <c r="R390" s="159">
        <f>+Elementos_[[#This Row],[GGCA]]*Elementos_[[#This Row],[Valor de referencia]]</f>
        <v>0</v>
      </c>
      <c r="S390" s="166">
        <v>8</v>
      </c>
      <c r="T390" s="159">
        <f>+Elementos_[[#This Row],[Cantidad LDF]]*Elementos_[[#This Row],[Valor de referencia]]</f>
        <v>1001472</v>
      </c>
      <c r="U390" s="197"/>
      <c r="V390" s="159">
        <f>+Elementos_[[#This Row],[Cantidad LDF&amp;MR]]*Elementos_[[#This Row],[Valor de referencia]]</f>
        <v>0</v>
      </c>
      <c r="W390" s="166"/>
      <c r="X390" s="159">
        <f>+Elementos_[[#This Row],[Cantidad RED LASE]]*Elementos_[[#This Row],[Valor de referencia]]</f>
        <v>0</v>
      </c>
      <c r="Y390" s="196">
        <v>5</v>
      </c>
      <c r="Z390" s="159">
        <f>+Elementos_[[#This Row],[Cantidad LANIA]]*Elementos_[[#This Row],[Valor de referencia]]</f>
        <v>625920</v>
      </c>
      <c r="AA390" s="196"/>
      <c r="AB390" s="159">
        <f>+Elementos_[[#This Row],[Cantidad SPA]]*Elementos_[[#This Row],[Valor de referencia]]</f>
        <v>0</v>
      </c>
      <c r="AC390" s="166" t="s">
        <v>2041</v>
      </c>
    </row>
    <row r="391" spans="1:29" ht="48" x14ac:dyDescent="0.2">
      <c r="A391" s="294" t="str">
        <f>IF(B391=Elementos_[[#This Row],[Cantidad LANIP]],"LANIP",IF(B391=Elementos_[[#This Row],[Cantidad 
LDV]],"LDV",IF(B391=Elementos_[[#This Row],[Cantidad LNDV]],"LNDV",IF(B391=Elementos_[[#This Row],[GGCA]],"GGCA",IF(B391=Elementos_[[#This Row],[Cantidad LDF]],"LDF",IF(B391=Elementos_[[#This Row],[Cantidad LDF&amp;MR]],"LDF&amp;MR",IF(B391=Elementos_[[#This Row],[Cantidad RED LASE]],"LASE",IF(B391=Elementos_[[#This Row],[Cantidad LANIA]],"LANIA",IF(B391=Elementos_[[#This Row],[Cantidad SPA]],"SPA"," ")))))))))</f>
        <v>LDV</v>
      </c>
      <c r="B39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391" s="298">
        <v>389</v>
      </c>
      <c r="D391" s="190">
        <v>586</v>
      </c>
      <c r="E391" s="277" t="s">
        <v>2723</v>
      </c>
      <c r="F391" s="204" t="s">
        <v>2724</v>
      </c>
      <c r="G391" s="192" t="s">
        <v>525</v>
      </c>
      <c r="H39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91" s="194">
        <v>62309</v>
      </c>
      <c r="J391" s="194">
        <f>+Elementos_[[#This Row],[Valor de referencia]]*Elementos_[[#This Row],[Cantidad]]</f>
        <v>373854</v>
      </c>
      <c r="K391" s="166"/>
      <c r="L391" s="159">
        <f>+Elementos_[[#This Row],[Cantidad LANIP]]*Elementos_[[#This Row],[Valor de referencia]]</f>
        <v>0</v>
      </c>
      <c r="M391" s="270">
        <v>5</v>
      </c>
      <c r="N391" s="195">
        <f>+Elementos_[[#This Row],[Cantidad 
LDV]]*Elementos_[[#This Row],[Valor de referencia]]</f>
        <v>311545</v>
      </c>
      <c r="O391" s="166"/>
      <c r="P391" s="159">
        <f>+Elementos_[[#This Row],[Cantidad LNDV]]*Elementos_[[#This Row],[Valor de referencia]]</f>
        <v>0</v>
      </c>
      <c r="Q391" s="196"/>
      <c r="R391" s="159">
        <f>+Elementos_[[#This Row],[GGCA]]*Elementos_[[#This Row],[Valor de referencia]]</f>
        <v>0</v>
      </c>
      <c r="S391" s="166">
        <v>1</v>
      </c>
      <c r="T391" s="159">
        <f>+Elementos_[[#This Row],[Cantidad LDF]]*Elementos_[[#This Row],[Valor de referencia]]</f>
        <v>62309</v>
      </c>
      <c r="U391" s="197"/>
      <c r="V391" s="159">
        <f>+Elementos_[[#This Row],[Cantidad LDF&amp;MR]]*Elementos_[[#This Row],[Valor de referencia]]</f>
        <v>0</v>
      </c>
      <c r="W391" s="166"/>
      <c r="X391" s="159">
        <f>+Elementos_[[#This Row],[Cantidad RED LASE]]*Elementos_[[#This Row],[Valor de referencia]]</f>
        <v>0</v>
      </c>
      <c r="Y391" s="196"/>
      <c r="Z391" s="159">
        <f>+Elementos_[[#This Row],[Cantidad LANIA]]*Elementos_[[#This Row],[Valor de referencia]]</f>
        <v>0</v>
      </c>
      <c r="AA391" s="196"/>
      <c r="AB391" s="159">
        <f>+Elementos_[[#This Row],[Cantidad SPA]]*Elementos_[[#This Row],[Valor de referencia]]</f>
        <v>0</v>
      </c>
      <c r="AC391" s="166" t="s">
        <v>2041</v>
      </c>
    </row>
    <row r="392" spans="1:29" ht="72" x14ac:dyDescent="0.2">
      <c r="A392" s="294" t="str">
        <f>IF(B392=Elementos_[[#This Row],[Cantidad LANIP]],"LANIP",IF(B392=Elementos_[[#This Row],[Cantidad 
LDV]],"LDV",IF(B392=Elementos_[[#This Row],[Cantidad LNDV]],"LNDV",IF(B392=Elementos_[[#This Row],[GGCA]],"GGCA",IF(B392=Elementos_[[#This Row],[Cantidad LDF]],"LDF",IF(B392=Elementos_[[#This Row],[Cantidad LDF&amp;MR]],"LDF&amp;MR",IF(B392=Elementos_[[#This Row],[Cantidad RED LASE]],"LASE",IF(B392=Elementos_[[#This Row],[Cantidad LANIA]],"LANIA",IF(B392=Elementos_[[#This Row],[Cantidad SPA]],"SPA"," ")))))))))</f>
        <v>LDF</v>
      </c>
      <c r="B39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92" s="298">
        <v>390</v>
      </c>
      <c r="D392" s="190">
        <v>591</v>
      </c>
      <c r="E392" s="274" t="s">
        <v>2725</v>
      </c>
      <c r="F392" s="201" t="s">
        <v>2717</v>
      </c>
      <c r="G392" s="192" t="s">
        <v>525</v>
      </c>
      <c r="H39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92" s="194">
        <v>518364</v>
      </c>
      <c r="J392" s="194">
        <f>+Elementos_[[#This Row],[Valor de referencia]]*Elementos_[[#This Row],[Cantidad]]</f>
        <v>1036728</v>
      </c>
      <c r="K392" s="166"/>
      <c r="L392" s="159">
        <f>+Elementos_[[#This Row],[Cantidad LANIP]]*Elementos_[[#This Row],[Valor de referencia]]</f>
        <v>0</v>
      </c>
      <c r="M392" s="270"/>
      <c r="N392" s="195">
        <f>+Elementos_[[#This Row],[Cantidad 
LDV]]*Elementos_[[#This Row],[Valor de referencia]]</f>
        <v>0</v>
      </c>
      <c r="O392" s="166"/>
      <c r="P392" s="159">
        <f>+Elementos_[[#This Row],[Cantidad LNDV]]*Elementos_[[#This Row],[Valor de referencia]]</f>
        <v>0</v>
      </c>
      <c r="Q392" s="196"/>
      <c r="R392" s="159">
        <f>+Elementos_[[#This Row],[GGCA]]*Elementos_[[#This Row],[Valor de referencia]]</f>
        <v>0</v>
      </c>
      <c r="S392" s="166">
        <v>2</v>
      </c>
      <c r="T392" s="159">
        <f>+Elementos_[[#This Row],[Cantidad LDF]]*Elementos_[[#This Row],[Valor de referencia]]</f>
        <v>1036728</v>
      </c>
      <c r="U392" s="197"/>
      <c r="V392" s="159">
        <f>+Elementos_[[#This Row],[Cantidad LDF&amp;MR]]*Elementos_[[#This Row],[Valor de referencia]]</f>
        <v>0</v>
      </c>
      <c r="W392" s="166"/>
      <c r="X392" s="159">
        <f>+Elementos_[[#This Row],[Cantidad RED LASE]]*Elementos_[[#This Row],[Valor de referencia]]</f>
        <v>0</v>
      </c>
      <c r="Y392" s="196"/>
      <c r="Z392" s="159">
        <f>+Elementos_[[#This Row],[Cantidad LANIA]]*Elementos_[[#This Row],[Valor de referencia]]</f>
        <v>0</v>
      </c>
      <c r="AA392" s="196"/>
      <c r="AB392" s="159">
        <f>+Elementos_[[#This Row],[Cantidad SPA]]*Elementos_[[#This Row],[Valor de referencia]]</f>
        <v>0</v>
      </c>
      <c r="AC392" s="166" t="s">
        <v>2041</v>
      </c>
    </row>
    <row r="393" spans="1:29" ht="84" x14ac:dyDescent="0.2">
      <c r="A393" s="294" t="str">
        <f>IF(B393=Elementos_[[#This Row],[Cantidad LANIP]],"LANIP",IF(B393=Elementos_[[#This Row],[Cantidad 
LDV]],"LDV",IF(B393=Elementos_[[#This Row],[Cantidad LNDV]],"LNDV",IF(B393=Elementos_[[#This Row],[GGCA]],"GGCA",IF(B393=Elementos_[[#This Row],[Cantidad LDF]],"LDF",IF(B393=Elementos_[[#This Row],[Cantidad LDF&amp;MR]],"LDF&amp;MR",IF(B393=Elementos_[[#This Row],[Cantidad RED LASE]],"LASE",IF(B393=Elementos_[[#This Row],[Cantidad LANIA]],"LANIA",IF(B393=Elementos_[[#This Row],[Cantidad SPA]],"SPA"," ")))))))))</f>
        <v>LDF</v>
      </c>
      <c r="B39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393" s="298">
        <v>391</v>
      </c>
      <c r="D393" s="190">
        <v>594</v>
      </c>
      <c r="E393" s="274" t="s">
        <v>2726</v>
      </c>
      <c r="F393" s="201" t="s">
        <v>2717</v>
      </c>
      <c r="G393" s="192" t="s">
        <v>525</v>
      </c>
      <c r="H39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393" s="194">
        <v>273938</v>
      </c>
      <c r="J393" s="194">
        <f>+Elementos_[[#This Row],[Valor de referencia]]*Elementos_[[#This Row],[Cantidad]]</f>
        <v>1095752</v>
      </c>
      <c r="K393" s="166"/>
      <c r="L393" s="159">
        <f>+Elementos_[[#This Row],[Cantidad LANIP]]*Elementos_[[#This Row],[Valor de referencia]]</f>
        <v>0</v>
      </c>
      <c r="M393" s="270"/>
      <c r="N393" s="195">
        <f>+Elementos_[[#This Row],[Cantidad 
LDV]]*Elementos_[[#This Row],[Valor de referencia]]</f>
        <v>0</v>
      </c>
      <c r="O393" s="166"/>
      <c r="P393" s="159">
        <f>+Elementos_[[#This Row],[Cantidad LNDV]]*Elementos_[[#This Row],[Valor de referencia]]</f>
        <v>0</v>
      </c>
      <c r="Q393" s="196"/>
      <c r="R393" s="159">
        <f>+Elementos_[[#This Row],[GGCA]]*Elementos_[[#This Row],[Valor de referencia]]</f>
        <v>0</v>
      </c>
      <c r="S393" s="166">
        <v>4</v>
      </c>
      <c r="T393" s="159">
        <f>+Elementos_[[#This Row],[Cantidad LDF]]*Elementos_[[#This Row],[Valor de referencia]]</f>
        <v>1095752</v>
      </c>
      <c r="U393" s="197"/>
      <c r="V393" s="159">
        <f>+Elementos_[[#This Row],[Cantidad LDF&amp;MR]]*Elementos_[[#This Row],[Valor de referencia]]</f>
        <v>0</v>
      </c>
      <c r="W393" s="166"/>
      <c r="X393" s="159">
        <f>+Elementos_[[#This Row],[Cantidad RED LASE]]*Elementos_[[#This Row],[Valor de referencia]]</f>
        <v>0</v>
      </c>
      <c r="Y393" s="196"/>
      <c r="Z393" s="159">
        <f>+Elementos_[[#This Row],[Cantidad LANIA]]*Elementos_[[#This Row],[Valor de referencia]]</f>
        <v>0</v>
      </c>
      <c r="AA393" s="196"/>
      <c r="AB393" s="159">
        <f>+Elementos_[[#This Row],[Cantidad SPA]]*Elementos_[[#This Row],[Valor de referencia]]</f>
        <v>0</v>
      </c>
      <c r="AC393" s="166" t="s">
        <v>2041</v>
      </c>
    </row>
    <row r="394" spans="1:29" ht="36" x14ac:dyDescent="0.2">
      <c r="A394" s="294" t="str">
        <f>IF(B394=Elementos_[[#This Row],[Cantidad LANIP]],"LANIP",IF(B394=Elementos_[[#This Row],[Cantidad 
LDV]],"LDV",IF(B394=Elementos_[[#This Row],[Cantidad LNDV]],"LNDV",IF(B394=Elementos_[[#This Row],[GGCA]],"GGCA",IF(B394=Elementos_[[#This Row],[Cantidad LDF]],"LDF",IF(B394=Elementos_[[#This Row],[Cantidad LDF&amp;MR]],"LDF&amp;MR",IF(B394=Elementos_[[#This Row],[Cantidad RED LASE]],"LASE",IF(B394=Elementos_[[#This Row],[Cantidad LANIA]],"LANIA",IF(B394=Elementos_[[#This Row],[Cantidad SPA]],"SPA"," ")))))))))</f>
        <v>LDF</v>
      </c>
      <c r="B39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394" s="298">
        <v>392</v>
      </c>
      <c r="D394" s="190">
        <v>596</v>
      </c>
      <c r="E394" s="273" t="s">
        <v>2727</v>
      </c>
      <c r="F394" s="201" t="s">
        <v>2728</v>
      </c>
      <c r="G394" s="192" t="s">
        <v>525</v>
      </c>
      <c r="H39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94" s="194">
        <v>32333</v>
      </c>
      <c r="J394" s="194">
        <f>+Elementos_[[#This Row],[Valor de referencia]]*Elementos_[[#This Row],[Cantidad]]</f>
        <v>193998</v>
      </c>
      <c r="K394" s="166"/>
      <c r="L394" s="159">
        <f>+Elementos_[[#This Row],[Cantidad LANIP]]*Elementos_[[#This Row],[Valor de referencia]]</f>
        <v>0</v>
      </c>
      <c r="M394" s="270">
        <v>0</v>
      </c>
      <c r="N394" s="195">
        <f>+Elementos_[[#This Row],[Cantidad 
LDV]]*Elementos_[[#This Row],[Valor de referencia]]</f>
        <v>0</v>
      </c>
      <c r="O394" s="166"/>
      <c r="P394" s="159">
        <f>+Elementos_[[#This Row],[Cantidad LNDV]]*Elementos_[[#This Row],[Valor de referencia]]</f>
        <v>0</v>
      </c>
      <c r="Q394" s="196"/>
      <c r="R394" s="159">
        <f>+Elementos_[[#This Row],[GGCA]]*Elementos_[[#This Row],[Valor de referencia]]</f>
        <v>0</v>
      </c>
      <c r="S394" s="166">
        <v>3</v>
      </c>
      <c r="T394" s="159">
        <f>+Elementos_[[#This Row],[Cantidad LDF]]*Elementos_[[#This Row],[Valor de referencia]]</f>
        <v>96999</v>
      </c>
      <c r="U394" s="197">
        <v>3</v>
      </c>
      <c r="V394" s="159">
        <f>+Elementos_[[#This Row],[Cantidad LDF&amp;MR]]*Elementos_[[#This Row],[Valor de referencia]]</f>
        <v>96999</v>
      </c>
      <c r="W394" s="166"/>
      <c r="X394" s="159">
        <f>+Elementos_[[#This Row],[Cantidad RED LASE]]*Elementos_[[#This Row],[Valor de referencia]]</f>
        <v>0</v>
      </c>
      <c r="Y394" s="196"/>
      <c r="Z394" s="159">
        <f>+Elementos_[[#This Row],[Cantidad LANIA]]*Elementos_[[#This Row],[Valor de referencia]]</f>
        <v>0</v>
      </c>
      <c r="AA394" s="196"/>
      <c r="AB394" s="159">
        <f>+Elementos_[[#This Row],[Cantidad SPA]]*Elementos_[[#This Row],[Valor de referencia]]</f>
        <v>0</v>
      </c>
      <c r="AC394" s="166" t="s">
        <v>2041</v>
      </c>
    </row>
    <row r="395" spans="1:29" ht="36" x14ac:dyDescent="0.2">
      <c r="A395" s="294" t="str">
        <f>IF(B395=Elementos_[[#This Row],[Cantidad LANIP]],"LANIP",IF(B395=Elementos_[[#This Row],[Cantidad 
LDV]],"LDV",IF(B395=Elementos_[[#This Row],[Cantidad LNDV]],"LNDV",IF(B395=Elementos_[[#This Row],[GGCA]],"GGCA",IF(B395=Elementos_[[#This Row],[Cantidad LDF]],"LDF",IF(B395=Elementos_[[#This Row],[Cantidad LDF&amp;MR]],"LDF&amp;MR",IF(B395=Elementos_[[#This Row],[Cantidad RED LASE]],"LASE",IF(B395=Elementos_[[#This Row],[Cantidad LANIA]],"LANIA",IF(B395=Elementos_[[#This Row],[Cantidad SPA]],"SPA"," ")))))))))</f>
        <v>LDF</v>
      </c>
      <c r="B39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395" s="298">
        <v>393</v>
      </c>
      <c r="D395" s="190">
        <v>597</v>
      </c>
      <c r="E395" s="273" t="s">
        <v>2729</v>
      </c>
      <c r="F395" s="201" t="s">
        <v>2730</v>
      </c>
      <c r="G395" s="192"/>
      <c r="H39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395" s="194">
        <v>39270</v>
      </c>
      <c r="J395" s="194">
        <f>+Elementos_[[#This Row],[Valor de referencia]]*Elementos_[[#This Row],[Cantidad]]</f>
        <v>235620</v>
      </c>
      <c r="K395" s="166"/>
      <c r="L395" s="159">
        <f>+Elementos_[[#This Row],[Cantidad LANIP]]*Elementos_[[#This Row],[Valor de referencia]]</f>
        <v>0</v>
      </c>
      <c r="M395" s="270">
        <v>0</v>
      </c>
      <c r="N395" s="195">
        <f>+Elementos_[[#This Row],[Cantidad 
LDV]]*Elementos_[[#This Row],[Valor de referencia]]</f>
        <v>0</v>
      </c>
      <c r="O395" s="166"/>
      <c r="P395" s="159">
        <f>+Elementos_[[#This Row],[Cantidad LNDV]]*Elementos_[[#This Row],[Valor de referencia]]</f>
        <v>0</v>
      </c>
      <c r="Q395" s="196"/>
      <c r="R395" s="159">
        <f>+Elementos_[[#This Row],[GGCA]]*Elementos_[[#This Row],[Valor de referencia]]</f>
        <v>0</v>
      </c>
      <c r="S395" s="166">
        <v>6</v>
      </c>
      <c r="T395" s="159">
        <f>+Elementos_[[#This Row],[Cantidad LDF]]*Elementos_[[#This Row],[Valor de referencia]]</f>
        <v>235620</v>
      </c>
      <c r="U395" s="197"/>
      <c r="V395" s="159">
        <f>+Elementos_[[#This Row],[Cantidad LDF&amp;MR]]*Elementos_[[#This Row],[Valor de referencia]]</f>
        <v>0</v>
      </c>
      <c r="W395" s="166"/>
      <c r="X395" s="159">
        <f>+Elementos_[[#This Row],[Cantidad RED LASE]]*Elementos_[[#This Row],[Valor de referencia]]</f>
        <v>0</v>
      </c>
      <c r="Y395" s="196"/>
      <c r="Z395" s="159">
        <f>+Elementos_[[#This Row],[Cantidad LANIA]]*Elementos_[[#This Row],[Valor de referencia]]</f>
        <v>0</v>
      </c>
      <c r="AA395" s="196"/>
      <c r="AB395" s="159">
        <f>+Elementos_[[#This Row],[Cantidad SPA]]*Elementos_[[#This Row],[Valor de referencia]]</f>
        <v>0</v>
      </c>
      <c r="AC395" s="166" t="s">
        <v>2041</v>
      </c>
    </row>
    <row r="396" spans="1:29" ht="36" x14ac:dyDescent="0.2">
      <c r="A396" s="294" t="str">
        <f>IF(B396=Elementos_[[#This Row],[Cantidad LANIP]],"LANIP",IF(B396=Elementos_[[#This Row],[Cantidad 
LDV]],"LDV",IF(B396=Elementos_[[#This Row],[Cantidad LNDV]],"LNDV",IF(B396=Elementos_[[#This Row],[GGCA]],"GGCA",IF(B396=Elementos_[[#This Row],[Cantidad LDF]],"LDF",IF(B396=Elementos_[[#This Row],[Cantidad LDF&amp;MR]],"LDF&amp;MR",IF(B396=Elementos_[[#This Row],[Cantidad RED LASE]],"LASE",IF(B396=Elementos_[[#This Row],[Cantidad LANIA]],"LANIA",IF(B396=Elementos_[[#This Row],[Cantidad SPA]],"SPA"," ")))))))))</f>
        <v>LDV</v>
      </c>
      <c r="B39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396" s="298">
        <v>394</v>
      </c>
      <c r="D396" s="190">
        <v>598</v>
      </c>
      <c r="E396" s="273" t="s">
        <v>2731</v>
      </c>
      <c r="F396" s="201" t="s">
        <v>2728</v>
      </c>
      <c r="G396" s="192" t="s">
        <v>525</v>
      </c>
      <c r="H39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I396" s="194">
        <v>124189</v>
      </c>
      <c r="J396" s="194">
        <f>+Elementos_[[#This Row],[Valor de referencia]]*Elementos_[[#This Row],[Cantidad]]</f>
        <v>1738646</v>
      </c>
      <c r="K396" s="166"/>
      <c r="L396" s="159">
        <f>+Elementos_[[#This Row],[Cantidad LANIP]]*Elementos_[[#This Row],[Valor de referencia]]</f>
        <v>0</v>
      </c>
      <c r="M396" s="270">
        <v>10</v>
      </c>
      <c r="N396" s="195">
        <f>+Elementos_[[#This Row],[Cantidad 
LDV]]*Elementos_[[#This Row],[Valor de referencia]]</f>
        <v>1241890</v>
      </c>
      <c r="O396" s="166"/>
      <c r="P396" s="159">
        <f>+Elementos_[[#This Row],[Cantidad LNDV]]*Elementos_[[#This Row],[Valor de referencia]]</f>
        <v>0</v>
      </c>
      <c r="Q396" s="196"/>
      <c r="R396" s="159">
        <f>+Elementos_[[#This Row],[GGCA]]*Elementos_[[#This Row],[Valor de referencia]]</f>
        <v>0</v>
      </c>
      <c r="S396" s="166">
        <v>4</v>
      </c>
      <c r="T396" s="159">
        <f>+Elementos_[[#This Row],[Cantidad LDF]]*Elementos_[[#This Row],[Valor de referencia]]</f>
        <v>496756</v>
      </c>
      <c r="U396" s="197"/>
      <c r="V396" s="159">
        <f>+Elementos_[[#This Row],[Cantidad LDF&amp;MR]]*Elementos_[[#This Row],[Valor de referencia]]</f>
        <v>0</v>
      </c>
      <c r="W396" s="166"/>
      <c r="X396" s="159">
        <f>+Elementos_[[#This Row],[Cantidad RED LASE]]*Elementos_[[#This Row],[Valor de referencia]]</f>
        <v>0</v>
      </c>
      <c r="Y396" s="196"/>
      <c r="Z396" s="159">
        <f>+Elementos_[[#This Row],[Cantidad LANIA]]*Elementos_[[#This Row],[Valor de referencia]]</f>
        <v>0</v>
      </c>
      <c r="AA396" s="196"/>
      <c r="AB396" s="159">
        <f>+Elementos_[[#This Row],[Cantidad SPA]]*Elementos_[[#This Row],[Valor de referencia]]</f>
        <v>0</v>
      </c>
      <c r="AC396" s="166" t="s">
        <v>2041</v>
      </c>
    </row>
    <row r="397" spans="1:29" ht="36" x14ac:dyDescent="0.2">
      <c r="A397" s="294" t="str">
        <f>IF(B397=Elementos_[[#This Row],[Cantidad LANIP]],"LANIP",IF(B397=Elementos_[[#This Row],[Cantidad 
LDV]],"LDV",IF(B397=Elementos_[[#This Row],[Cantidad LNDV]],"LNDV",IF(B397=Elementos_[[#This Row],[GGCA]],"GGCA",IF(B397=Elementos_[[#This Row],[Cantidad LDF]],"LDF",IF(B397=Elementos_[[#This Row],[Cantidad LDF&amp;MR]],"LDF&amp;MR",IF(B397=Elementos_[[#This Row],[Cantidad RED LASE]],"LASE",IF(B397=Elementos_[[#This Row],[Cantidad LANIA]],"LANIA",IF(B397=Elementos_[[#This Row],[Cantidad SPA]],"SPA"," ")))))))))</f>
        <v>LDF</v>
      </c>
      <c r="B39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397" s="298">
        <v>395</v>
      </c>
      <c r="D397" s="190">
        <v>599</v>
      </c>
      <c r="E397" s="273" t="s">
        <v>2732</v>
      </c>
      <c r="F397" s="201" t="s">
        <v>2728</v>
      </c>
      <c r="G397" s="192" t="s">
        <v>525</v>
      </c>
      <c r="H39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397" s="194">
        <v>45287</v>
      </c>
      <c r="J397" s="194">
        <f>+Elementos_[[#This Row],[Valor de referencia]]*Elementos_[[#This Row],[Cantidad]]</f>
        <v>135861</v>
      </c>
      <c r="K397" s="166"/>
      <c r="L397" s="159">
        <f>+Elementos_[[#This Row],[Cantidad LANIP]]*Elementos_[[#This Row],[Valor de referencia]]</f>
        <v>0</v>
      </c>
      <c r="M397" s="270"/>
      <c r="N397" s="195">
        <f>+Elementos_[[#This Row],[Cantidad 
LDV]]*Elementos_[[#This Row],[Valor de referencia]]</f>
        <v>0</v>
      </c>
      <c r="O397" s="166"/>
      <c r="P397" s="159">
        <f>+Elementos_[[#This Row],[Cantidad LNDV]]*Elementos_[[#This Row],[Valor de referencia]]</f>
        <v>0</v>
      </c>
      <c r="Q397" s="196"/>
      <c r="R397" s="159">
        <f>+Elementos_[[#This Row],[GGCA]]*Elementos_[[#This Row],[Valor de referencia]]</f>
        <v>0</v>
      </c>
      <c r="S397" s="166">
        <v>3</v>
      </c>
      <c r="T397" s="159">
        <f>+Elementos_[[#This Row],[Cantidad LDF]]*Elementos_[[#This Row],[Valor de referencia]]</f>
        <v>135861</v>
      </c>
      <c r="U397" s="197"/>
      <c r="V397" s="159">
        <f>+Elementos_[[#This Row],[Cantidad LDF&amp;MR]]*Elementos_[[#This Row],[Valor de referencia]]</f>
        <v>0</v>
      </c>
      <c r="W397" s="166"/>
      <c r="X397" s="159">
        <f>+Elementos_[[#This Row],[Cantidad RED LASE]]*Elementos_[[#This Row],[Valor de referencia]]</f>
        <v>0</v>
      </c>
      <c r="Y397" s="196"/>
      <c r="Z397" s="159">
        <f>+Elementos_[[#This Row],[Cantidad LANIA]]*Elementos_[[#This Row],[Valor de referencia]]</f>
        <v>0</v>
      </c>
      <c r="AA397" s="196"/>
      <c r="AB397" s="159">
        <f>+Elementos_[[#This Row],[Cantidad SPA]]*Elementos_[[#This Row],[Valor de referencia]]</f>
        <v>0</v>
      </c>
      <c r="AC397" s="166" t="s">
        <v>2041</v>
      </c>
    </row>
    <row r="398" spans="1:29" ht="36" x14ac:dyDescent="0.2">
      <c r="A398" s="294" t="str">
        <f>IF(B398=Elementos_[[#This Row],[Cantidad LANIP]],"LANIP",IF(B398=Elementos_[[#This Row],[Cantidad 
LDV]],"LDV",IF(B398=Elementos_[[#This Row],[Cantidad LNDV]],"LNDV",IF(B398=Elementos_[[#This Row],[GGCA]],"GGCA",IF(B398=Elementos_[[#This Row],[Cantidad LDF]],"LDF",IF(B398=Elementos_[[#This Row],[Cantidad LDF&amp;MR]],"LDF&amp;MR",IF(B398=Elementos_[[#This Row],[Cantidad RED LASE]],"LASE",IF(B398=Elementos_[[#This Row],[Cantidad LANIA]],"LANIA",IF(B398=Elementos_[[#This Row],[Cantidad SPA]],"SPA"," ")))))))))</f>
        <v>LDF</v>
      </c>
      <c r="B39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398" s="298">
        <v>396</v>
      </c>
      <c r="D398" s="190">
        <v>600</v>
      </c>
      <c r="E398" s="273" t="s">
        <v>2733</v>
      </c>
      <c r="F398" s="201" t="s">
        <v>2730</v>
      </c>
      <c r="G398" s="192"/>
      <c r="H39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398" s="194">
        <v>61404</v>
      </c>
      <c r="J398" s="194">
        <f>+Elementos_[[#This Row],[Valor de referencia]]*Elementos_[[#This Row],[Cantidad]]</f>
        <v>245616</v>
      </c>
      <c r="K398" s="166"/>
      <c r="L398" s="159">
        <f>+Elementos_[[#This Row],[Cantidad LANIP]]*Elementos_[[#This Row],[Valor de referencia]]</f>
        <v>0</v>
      </c>
      <c r="M398" s="270">
        <v>0</v>
      </c>
      <c r="N398" s="195">
        <f>+Elementos_[[#This Row],[Cantidad 
LDV]]*Elementos_[[#This Row],[Valor de referencia]]</f>
        <v>0</v>
      </c>
      <c r="O398" s="166"/>
      <c r="P398" s="159">
        <f>+Elementos_[[#This Row],[Cantidad LNDV]]*Elementos_[[#This Row],[Valor de referencia]]</f>
        <v>0</v>
      </c>
      <c r="Q398" s="196"/>
      <c r="R398" s="159">
        <f>+Elementos_[[#This Row],[GGCA]]*Elementos_[[#This Row],[Valor de referencia]]</f>
        <v>0</v>
      </c>
      <c r="S398" s="166">
        <v>4</v>
      </c>
      <c r="T398" s="159">
        <f>+Elementos_[[#This Row],[Cantidad LDF]]*Elementos_[[#This Row],[Valor de referencia]]</f>
        <v>245616</v>
      </c>
      <c r="U398" s="197"/>
      <c r="V398" s="159">
        <f>+Elementos_[[#This Row],[Cantidad LDF&amp;MR]]*Elementos_[[#This Row],[Valor de referencia]]</f>
        <v>0</v>
      </c>
      <c r="W398" s="166"/>
      <c r="X398" s="159">
        <f>+Elementos_[[#This Row],[Cantidad RED LASE]]*Elementos_[[#This Row],[Valor de referencia]]</f>
        <v>0</v>
      </c>
      <c r="Y398" s="196"/>
      <c r="Z398" s="159">
        <f>+Elementos_[[#This Row],[Cantidad LANIA]]*Elementos_[[#This Row],[Valor de referencia]]</f>
        <v>0</v>
      </c>
      <c r="AA398" s="196"/>
      <c r="AB398" s="159">
        <f>+Elementos_[[#This Row],[Cantidad SPA]]*Elementos_[[#This Row],[Valor de referencia]]</f>
        <v>0</v>
      </c>
      <c r="AC398" s="166" t="s">
        <v>2041</v>
      </c>
    </row>
    <row r="399" spans="1:29" ht="36" x14ac:dyDescent="0.2">
      <c r="A399" s="294" t="str">
        <f>IF(B399=Elementos_[[#This Row],[Cantidad LANIP]],"LANIP",IF(B399=Elementos_[[#This Row],[Cantidad 
LDV]],"LDV",IF(B399=Elementos_[[#This Row],[Cantidad LNDV]],"LNDV",IF(B399=Elementos_[[#This Row],[GGCA]],"GGCA",IF(B399=Elementos_[[#This Row],[Cantidad LDF]],"LDF",IF(B399=Elementos_[[#This Row],[Cantidad LDF&amp;MR]],"LDF&amp;MR",IF(B399=Elementos_[[#This Row],[Cantidad RED LASE]],"LASE",IF(B399=Elementos_[[#This Row],[Cantidad LANIA]],"LANIA",IF(B399=Elementos_[[#This Row],[Cantidad SPA]],"SPA"," ")))))))))</f>
        <v>LDF</v>
      </c>
      <c r="B39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399" s="298">
        <v>397</v>
      </c>
      <c r="D399" s="190">
        <v>601</v>
      </c>
      <c r="E399" s="273" t="s">
        <v>2734</v>
      </c>
      <c r="F399" s="201" t="s">
        <v>2728</v>
      </c>
      <c r="G399" s="192" t="s">
        <v>525</v>
      </c>
      <c r="H39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399" s="194">
        <v>41993</v>
      </c>
      <c r="J399" s="194">
        <f>+Elementos_[[#This Row],[Valor de referencia]]*Elementos_[[#This Row],[Cantidad]]</f>
        <v>83986</v>
      </c>
      <c r="K399" s="166"/>
      <c r="L399" s="159">
        <f>+Elementos_[[#This Row],[Cantidad LANIP]]*Elementos_[[#This Row],[Valor de referencia]]</f>
        <v>0</v>
      </c>
      <c r="M399" s="270">
        <v>0</v>
      </c>
      <c r="N399" s="195">
        <f>+Elementos_[[#This Row],[Cantidad 
LDV]]*Elementos_[[#This Row],[Valor de referencia]]</f>
        <v>0</v>
      </c>
      <c r="O399" s="166"/>
      <c r="P399" s="159">
        <f>+Elementos_[[#This Row],[Cantidad LNDV]]*Elementos_[[#This Row],[Valor de referencia]]</f>
        <v>0</v>
      </c>
      <c r="Q399" s="196"/>
      <c r="R399" s="159">
        <f>+Elementos_[[#This Row],[GGCA]]*Elementos_[[#This Row],[Valor de referencia]]</f>
        <v>0</v>
      </c>
      <c r="S399" s="166">
        <v>2</v>
      </c>
      <c r="T399" s="159">
        <f>+Elementos_[[#This Row],[Cantidad LDF]]*Elementos_[[#This Row],[Valor de referencia]]</f>
        <v>83986</v>
      </c>
      <c r="U399" s="197"/>
      <c r="V399" s="159">
        <f>+Elementos_[[#This Row],[Cantidad LDF&amp;MR]]*Elementos_[[#This Row],[Valor de referencia]]</f>
        <v>0</v>
      </c>
      <c r="W399" s="166"/>
      <c r="X399" s="159">
        <f>+Elementos_[[#This Row],[Cantidad RED LASE]]*Elementos_[[#This Row],[Valor de referencia]]</f>
        <v>0</v>
      </c>
      <c r="Y399" s="196"/>
      <c r="Z399" s="159">
        <f>+Elementos_[[#This Row],[Cantidad LANIA]]*Elementos_[[#This Row],[Valor de referencia]]</f>
        <v>0</v>
      </c>
      <c r="AA399" s="196"/>
      <c r="AB399" s="159">
        <f>+Elementos_[[#This Row],[Cantidad SPA]]*Elementos_[[#This Row],[Valor de referencia]]</f>
        <v>0</v>
      </c>
      <c r="AC399" s="166" t="s">
        <v>2041</v>
      </c>
    </row>
    <row r="400" spans="1:29" ht="73.5" customHeight="1" x14ac:dyDescent="0.2">
      <c r="A400" s="294" t="str">
        <f>IF(B400=Elementos_[[#This Row],[Cantidad LANIP]],"LANIP",IF(B400=Elementos_[[#This Row],[Cantidad 
LDV]],"LDV",IF(B400=Elementos_[[#This Row],[Cantidad LNDV]],"LNDV",IF(B400=Elementos_[[#This Row],[GGCA]],"GGCA",IF(B400=Elementos_[[#This Row],[Cantidad LDF]],"LDF",IF(B400=Elementos_[[#This Row],[Cantidad LDF&amp;MR]],"LDF&amp;MR",IF(B400=Elementos_[[#This Row],[Cantidad RED LASE]],"LASE",IF(B400=Elementos_[[#This Row],[Cantidad LANIA]],"LANIA",IF(B400=Elementos_[[#This Row],[Cantidad SPA]],"SPA"," ")))))))))</f>
        <v>LDV</v>
      </c>
      <c r="B40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C400" s="298">
        <v>398</v>
      </c>
      <c r="D400" s="190">
        <v>602</v>
      </c>
      <c r="E400" s="273" t="s">
        <v>2735</v>
      </c>
      <c r="F400" s="201" t="s">
        <v>2736</v>
      </c>
      <c r="G400" s="198" t="s">
        <v>2737</v>
      </c>
      <c r="H40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79</v>
      </c>
      <c r="I400" s="194">
        <v>774067</v>
      </c>
      <c r="J400" s="194">
        <f>+Elementos_[[#This Row],[Valor de referencia]]*Elementos_[[#This Row],[Cantidad]]</f>
        <v>61151293</v>
      </c>
      <c r="K400" s="166"/>
      <c r="L400" s="159">
        <f>+Elementos_[[#This Row],[Cantidad LANIP]]*Elementos_[[#This Row],[Valor de referencia]]</f>
        <v>0</v>
      </c>
      <c r="M400" s="270">
        <v>25</v>
      </c>
      <c r="N400" s="195">
        <f>+Elementos_[[#This Row],[Cantidad 
LDV]]*Elementos_[[#This Row],[Valor de referencia]]</f>
        <v>19351675</v>
      </c>
      <c r="O400" s="166">
        <v>20</v>
      </c>
      <c r="P400" s="159">
        <f>+Elementos_[[#This Row],[Cantidad LNDV]]*Elementos_[[#This Row],[Valor de referencia]]</f>
        <v>15481340</v>
      </c>
      <c r="Q400" s="196"/>
      <c r="R400" s="159">
        <f>+Elementos_[[#This Row],[GGCA]]*Elementos_[[#This Row],[Valor de referencia]]</f>
        <v>0</v>
      </c>
      <c r="S400" s="166">
        <v>18</v>
      </c>
      <c r="T400" s="195">
        <f>+Elementos_[[#This Row],[Cantidad LDF]]*Elementos_[[#This Row],[Valor de referencia]]</f>
        <v>13933206</v>
      </c>
      <c r="U400" s="224">
        <v>15</v>
      </c>
      <c r="V400" s="159">
        <f>+Elementos_[[#This Row],[Cantidad LDF&amp;MR]]*Elementos_[[#This Row],[Valor de referencia]]</f>
        <v>11611005</v>
      </c>
      <c r="W400" s="166"/>
      <c r="X400" s="159">
        <f>+Elementos_[[#This Row],[Cantidad RED LASE]]*Elementos_[[#This Row],[Valor de referencia]]</f>
        <v>0</v>
      </c>
      <c r="Y400" s="196">
        <v>1</v>
      </c>
      <c r="Z400" s="159">
        <f>+Elementos_[[#This Row],[Cantidad LANIA]]*Elementos_[[#This Row],[Valor de referencia]]</f>
        <v>774067</v>
      </c>
      <c r="AA400" s="196"/>
      <c r="AB400" s="159">
        <f>+Elementos_[[#This Row],[Cantidad SPA]]*Elementos_[[#This Row],[Valor de referencia]]</f>
        <v>0</v>
      </c>
      <c r="AC400" s="166" t="s">
        <v>2041</v>
      </c>
    </row>
    <row r="401" spans="1:29" ht="48" x14ac:dyDescent="0.2">
      <c r="A401" s="294" t="str">
        <f>IF(B401=Elementos_[[#This Row],[Cantidad LANIP]],"LANIP",IF(B401=Elementos_[[#This Row],[Cantidad 
LDV]],"LDV",IF(B401=Elementos_[[#This Row],[Cantidad LNDV]],"LNDV",IF(B401=Elementos_[[#This Row],[GGCA]],"GGCA",IF(B401=Elementos_[[#This Row],[Cantidad LDF]],"LDF",IF(B401=Elementos_[[#This Row],[Cantidad LDF&amp;MR]],"LDF&amp;MR",IF(B401=Elementos_[[#This Row],[Cantidad RED LASE]],"LASE",IF(B401=Elementos_[[#This Row],[Cantidad LANIA]],"LANIA",IF(B401=Elementos_[[#This Row],[Cantidad SPA]],"SPA"," ")))))))))</f>
        <v>LDV</v>
      </c>
      <c r="B40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401" s="298">
        <v>399</v>
      </c>
      <c r="D401" s="190">
        <v>603</v>
      </c>
      <c r="E401" s="274" t="s">
        <v>2738</v>
      </c>
      <c r="F401" s="201" t="s">
        <v>2739</v>
      </c>
      <c r="G401" s="198" t="s">
        <v>2737</v>
      </c>
      <c r="H40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55</v>
      </c>
      <c r="I401" s="194">
        <v>781560</v>
      </c>
      <c r="J401" s="194">
        <f>+Elementos_[[#This Row],[Valor de referencia]]*Elementos_[[#This Row],[Cantidad]]</f>
        <v>42985800</v>
      </c>
      <c r="K401" s="166"/>
      <c r="L401" s="159">
        <f>+Elementos_[[#This Row],[Cantidad LANIP]]*Elementos_[[#This Row],[Valor de referencia]]</f>
        <v>0</v>
      </c>
      <c r="M401" s="270">
        <v>15</v>
      </c>
      <c r="N401" s="195">
        <f>+Elementos_[[#This Row],[Cantidad 
LDV]]*Elementos_[[#This Row],[Valor de referencia]]</f>
        <v>11723400</v>
      </c>
      <c r="O401" s="166">
        <v>10</v>
      </c>
      <c r="P401" s="159">
        <f>+Elementos_[[#This Row],[Cantidad LNDV]]*Elementos_[[#This Row],[Valor de referencia]]</f>
        <v>7815600</v>
      </c>
      <c r="Q401" s="196">
        <v>1</v>
      </c>
      <c r="R401" s="159">
        <f>+Elementos_[[#This Row],[GGCA]]*Elementos_[[#This Row],[Valor de referencia]]</f>
        <v>781560</v>
      </c>
      <c r="S401" s="166">
        <v>14</v>
      </c>
      <c r="T401" s="195">
        <f>+Elementos_[[#This Row],[Cantidad LDF]]*Elementos_[[#This Row],[Valor de referencia]]</f>
        <v>10941840</v>
      </c>
      <c r="U401" s="224">
        <v>13</v>
      </c>
      <c r="V401" s="159">
        <f>+Elementos_[[#This Row],[Cantidad LDF&amp;MR]]*Elementos_[[#This Row],[Valor de referencia]]</f>
        <v>10160280</v>
      </c>
      <c r="W401" s="166"/>
      <c r="X401" s="159">
        <f>+Elementos_[[#This Row],[Cantidad RED LASE]]*Elementos_[[#This Row],[Valor de referencia]]</f>
        <v>0</v>
      </c>
      <c r="Y401" s="196">
        <v>2</v>
      </c>
      <c r="Z401" s="159">
        <f>+Elementos_[[#This Row],[Cantidad LANIA]]*Elementos_[[#This Row],[Valor de referencia]]</f>
        <v>1563120</v>
      </c>
      <c r="AA401" s="196"/>
      <c r="AB401" s="159">
        <f>+Elementos_[[#This Row],[Cantidad SPA]]*Elementos_[[#This Row],[Valor de referencia]]</f>
        <v>0</v>
      </c>
      <c r="AC401" s="166" t="s">
        <v>2041</v>
      </c>
    </row>
    <row r="402" spans="1:29" ht="36" x14ac:dyDescent="0.2">
      <c r="A402" s="294" t="str">
        <f>IF(B402=Elementos_[[#This Row],[Cantidad LANIP]],"LANIP",IF(B402=Elementos_[[#This Row],[Cantidad 
LDV]],"LDV",IF(B402=Elementos_[[#This Row],[Cantidad LNDV]],"LNDV",IF(B402=Elementos_[[#This Row],[GGCA]],"GGCA",IF(B402=Elementos_[[#This Row],[Cantidad LDF]],"LDF",IF(B402=Elementos_[[#This Row],[Cantidad LDF&amp;MR]],"LDF&amp;MR",IF(B402=Elementos_[[#This Row],[Cantidad RED LASE]],"LASE",IF(B402=Elementos_[[#This Row],[Cantidad LANIA]],"LANIA",IF(B402=Elementos_[[#This Row],[Cantidad SPA]],"SPA"," ")))))))))</f>
        <v>LANIA</v>
      </c>
      <c r="B40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402" s="298">
        <v>400</v>
      </c>
      <c r="D402" s="190">
        <v>604</v>
      </c>
      <c r="E402" s="273" t="s">
        <v>2740</v>
      </c>
      <c r="F402" s="201" t="s">
        <v>2741</v>
      </c>
      <c r="G402" s="192" t="s">
        <v>2742</v>
      </c>
      <c r="H40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I402" s="194">
        <v>594642</v>
      </c>
      <c r="J402" s="194">
        <f>+Elementos_[[#This Row],[Valor de referencia]]*Elementos_[[#This Row],[Cantidad]]</f>
        <v>9514272</v>
      </c>
      <c r="K402" s="166"/>
      <c r="L402" s="159">
        <f>+Elementos_[[#This Row],[Cantidad LANIP]]*Elementos_[[#This Row],[Valor de referencia]]</f>
        <v>0</v>
      </c>
      <c r="M402" s="270">
        <v>0</v>
      </c>
      <c r="N402" s="195">
        <f>+Elementos_[[#This Row],[Cantidad 
LDV]]*Elementos_[[#This Row],[Valor de referencia]]</f>
        <v>0</v>
      </c>
      <c r="O402" s="166">
        <v>5</v>
      </c>
      <c r="P402" s="159">
        <f>+Elementos_[[#This Row],[Cantidad LNDV]]*Elementos_[[#This Row],[Valor de referencia]]</f>
        <v>2973210</v>
      </c>
      <c r="Q402" s="196"/>
      <c r="R402" s="159">
        <f>+Elementos_[[#This Row],[GGCA]]*Elementos_[[#This Row],[Valor de referencia]]</f>
        <v>0</v>
      </c>
      <c r="S402" s="166">
        <v>1</v>
      </c>
      <c r="T402" s="195">
        <f>+Elementos_[[#This Row],[Cantidad LDF]]*Elementos_[[#This Row],[Valor de referencia]]</f>
        <v>594642</v>
      </c>
      <c r="U402" s="197"/>
      <c r="V402" s="159">
        <f>+Elementos_[[#This Row],[Cantidad LDF&amp;MR]]*Elementos_[[#This Row],[Valor de referencia]]</f>
        <v>0</v>
      </c>
      <c r="W402" s="166"/>
      <c r="X402" s="159">
        <f>+Elementos_[[#This Row],[Cantidad RED LASE]]*Elementos_[[#This Row],[Valor de referencia]]</f>
        <v>0</v>
      </c>
      <c r="Y402" s="196">
        <v>10</v>
      </c>
      <c r="Z402" s="159">
        <f>+Elementos_[[#This Row],[Cantidad LANIA]]*Elementos_[[#This Row],[Valor de referencia]]</f>
        <v>5946420</v>
      </c>
      <c r="AA402" s="196"/>
      <c r="AB402" s="159">
        <f>+Elementos_[[#This Row],[Cantidad SPA]]*Elementos_[[#This Row],[Valor de referencia]]</f>
        <v>0</v>
      </c>
      <c r="AC402" s="166" t="s">
        <v>2041</v>
      </c>
    </row>
    <row r="403" spans="1:29" ht="29.25" customHeight="1" x14ac:dyDescent="0.2">
      <c r="A403" s="294" t="str">
        <f>IF(B403=Elementos_[[#This Row],[Cantidad LANIP]],"LANIP",IF(B403=Elementos_[[#This Row],[Cantidad 
LDV]],"LDV",IF(B403=Elementos_[[#This Row],[Cantidad LNDV]],"LNDV",IF(B403=Elementos_[[#This Row],[GGCA]],"GGCA",IF(B403=Elementos_[[#This Row],[Cantidad LDF]],"LDF",IF(B403=Elementos_[[#This Row],[Cantidad LDF&amp;MR]],"LDF&amp;MR",IF(B403=Elementos_[[#This Row],[Cantidad RED LASE]],"LASE",IF(B403=Elementos_[[#This Row],[Cantidad LANIA]],"LANIA",IF(B403=Elementos_[[#This Row],[Cantidad SPA]],"SPA"," ")))))))))</f>
        <v>GGCA</v>
      </c>
      <c r="B40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403" s="298">
        <v>401</v>
      </c>
      <c r="D403" s="190">
        <v>606</v>
      </c>
      <c r="E403" s="411" t="s">
        <v>2743</v>
      </c>
      <c r="F403" s="204" t="s">
        <v>2744</v>
      </c>
      <c r="G403" s="192" t="s">
        <v>2745</v>
      </c>
      <c r="H40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403" s="194">
        <v>477044</v>
      </c>
      <c r="J403" s="194">
        <f>+Elementos_[[#This Row],[Valor de referencia]]*Elementos_[[#This Row],[Cantidad]]</f>
        <v>1431132</v>
      </c>
      <c r="K403" s="166"/>
      <c r="L403" s="159">
        <f>+Elementos_[[#This Row],[Cantidad LANIP]]*Elementos_[[#This Row],[Valor de referencia]]</f>
        <v>0</v>
      </c>
      <c r="M403" s="270">
        <v>0</v>
      </c>
      <c r="N403" s="195">
        <f>+Elementos_[[#This Row],[Cantidad 
LDV]]*Elementos_[[#This Row],[Valor de referencia]]</f>
        <v>0</v>
      </c>
      <c r="O403" s="166"/>
      <c r="P403" s="159">
        <f>+Elementos_[[#This Row],[Cantidad LNDV]]*Elementos_[[#This Row],[Valor de referencia]]</f>
        <v>0</v>
      </c>
      <c r="Q403" s="196">
        <v>3</v>
      </c>
      <c r="R403" s="159">
        <f>+Elementos_[[#This Row],[GGCA]]*Elementos_[[#This Row],[Valor de referencia]]</f>
        <v>1431132</v>
      </c>
      <c r="S403" s="166"/>
      <c r="T403" s="159">
        <f>+Elementos_[[#This Row],[Cantidad LDF]]*Elementos_[[#This Row],[Valor de referencia]]</f>
        <v>0</v>
      </c>
      <c r="U403" s="197"/>
      <c r="V403" s="159">
        <f>+Elementos_[[#This Row],[Cantidad LDF&amp;MR]]*Elementos_[[#This Row],[Valor de referencia]]</f>
        <v>0</v>
      </c>
      <c r="W403" s="166"/>
      <c r="X403" s="159">
        <f>+Elementos_[[#This Row],[Cantidad RED LASE]]*Elementos_[[#This Row],[Valor de referencia]]</f>
        <v>0</v>
      </c>
      <c r="Y403" s="196"/>
      <c r="Z403" s="159">
        <f>+Elementos_[[#This Row],[Cantidad LANIA]]*Elementos_[[#This Row],[Valor de referencia]]</f>
        <v>0</v>
      </c>
      <c r="AA403" s="196"/>
      <c r="AB403" s="159">
        <f>+Elementos_[[#This Row],[Cantidad SPA]]*Elementos_[[#This Row],[Valor de referencia]]</f>
        <v>0</v>
      </c>
      <c r="AC403" s="166" t="s">
        <v>2041</v>
      </c>
    </row>
    <row r="404" spans="1:29" ht="49.5" customHeight="1" x14ac:dyDescent="0.2">
      <c r="A404" s="294" t="str">
        <f>IF(B404=Elementos_[[#This Row],[Cantidad LANIP]],"LANIP",IF(B404=Elementos_[[#This Row],[Cantidad 
LDV]],"LDV",IF(B404=Elementos_[[#This Row],[Cantidad LNDV]],"LNDV",IF(B404=Elementos_[[#This Row],[GGCA]],"GGCA",IF(B404=Elementos_[[#This Row],[Cantidad LDF]],"LDF",IF(B404=Elementos_[[#This Row],[Cantidad LDF&amp;MR]],"LDF&amp;MR",IF(B404=Elementos_[[#This Row],[Cantidad RED LASE]],"LASE",IF(B404=Elementos_[[#This Row],[Cantidad LANIA]],"LANIA",IF(B404=Elementos_[[#This Row],[Cantidad SPA]],"SPA"," ")))))))))</f>
        <v>LNDV</v>
      </c>
      <c r="B40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404" s="298">
        <v>402</v>
      </c>
      <c r="D404" s="190">
        <v>607</v>
      </c>
      <c r="E404" s="273" t="s">
        <v>2746</v>
      </c>
      <c r="F404" s="201" t="s">
        <v>2747</v>
      </c>
      <c r="G404" s="413" t="s">
        <v>2748</v>
      </c>
      <c r="H40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404" s="194">
        <v>364838</v>
      </c>
      <c r="J404" s="194">
        <f>+Elementos_[[#This Row],[Valor de referencia]]*Elementos_[[#This Row],[Cantidad]]</f>
        <v>2918704</v>
      </c>
      <c r="K404" s="166"/>
      <c r="L404" s="159">
        <f>+Elementos_[[#This Row],[Cantidad LANIP]]*Elementos_[[#This Row],[Valor de referencia]]</f>
        <v>0</v>
      </c>
      <c r="M404" s="270">
        <v>0</v>
      </c>
      <c r="N404" s="195">
        <f>+Elementos_[[#This Row],[Cantidad 
LDV]]*Elementos_[[#This Row],[Valor de referencia]]</f>
        <v>0</v>
      </c>
      <c r="O404" s="166">
        <v>5</v>
      </c>
      <c r="P404" s="159">
        <f>+Elementos_[[#This Row],[Cantidad LNDV]]*Elementos_[[#This Row],[Valor de referencia]]</f>
        <v>1824190</v>
      </c>
      <c r="Q404" s="196"/>
      <c r="R404" s="159">
        <f>+Elementos_[[#This Row],[GGCA]]*Elementos_[[#This Row],[Valor de referencia]]</f>
        <v>0</v>
      </c>
      <c r="S404" s="166">
        <v>1</v>
      </c>
      <c r="T404" s="159">
        <f>+Elementos_[[#This Row],[Cantidad LDF]]*Elementos_[[#This Row],[Valor de referencia]]</f>
        <v>364838</v>
      </c>
      <c r="U404" s="224"/>
      <c r="V404" s="159">
        <f>+Elementos_[[#This Row],[Cantidad LDF&amp;MR]]*Elementos_[[#This Row],[Valor de referencia]]</f>
        <v>0</v>
      </c>
      <c r="W404" s="166"/>
      <c r="X404" s="159">
        <f>+Elementos_[[#This Row],[Cantidad RED LASE]]*Elementos_[[#This Row],[Valor de referencia]]</f>
        <v>0</v>
      </c>
      <c r="Y404" s="196">
        <v>2</v>
      </c>
      <c r="Z404" s="159">
        <f>+Elementos_[[#This Row],[Cantidad LANIA]]*Elementos_[[#This Row],[Valor de referencia]]</f>
        <v>729676</v>
      </c>
      <c r="AA404" s="196"/>
      <c r="AB404" s="159">
        <f>+Elementos_[[#This Row],[Cantidad SPA]]*Elementos_[[#This Row],[Valor de referencia]]</f>
        <v>0</v>
      </c>
      <c r="AC404" s="166" t="s">
        <v>2041</v>
      </c>
    </row>
    <row r="405" spans="1:29" ht="24" x14ac:dyDescent="0.2">
      <c r="A405" s="294" t="str">
        <f>IF(B405=Elementos_[[#This Row],[Cantidad LANIP]],"LANIP",IF(B405=Elementos_[[#This Row],[Cantidad 
LDV]],"LDV",IF(B405=Elementos_[[#This Row],[Cantidad LNDV]],"LNDV",IF(B405=Elementos_[[#This Row],[GGCA]],"GGCA",IF(B405=Elementos_[[#This Row],[Cantidad LDF]],"LDF",IF(B405=Elementos_[[#This Row],[Cantidad LDF&amp;MR]],"LDF&amp;MR",IF(B405=Elementos_[[#This Row],[Cantidad RED LASE]],"LASE",IF(B405=Elementos_[[#This Row],[Cantidad LANIA]],"LANIA",IF(B405=Elementos_[[#This Row],[Cantidad SPA]],"SPA"," ")))))))))</f>
        <v>GGCA</v>
      </c>
      <c r="B40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405" s="298">
        <v>403</v>
      </c>
      <c r="D405" s="190">
        <v>608</v>
      </c>
      <c r="E405" s="411" t="s">
        <v>2749</v>
      </c>
      <c r="F405" s="204" t="s">
        <v>2744</v>
      </c>
      <c r="G405" s="198" t="s">
        <v>2745</v>
      </c>
      <c r="H40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405" s="194">
        <v>438193</v>
      </c>
      <c r="J405" s="194">
        <f>+Elementos_[[#This Row],[Valor de referencia]]*Elementos_[[#This Row],[Cantidad]]</f>
        <v>1314579</v>
      </c>
      <c r="K405" s="166"/>
      <c r="L405" s="159">
        <f>+Elementos_[[#This Row],[Cantidad LANIP]]*Elementos_[[#This Row],[Valor de referencia]]</f>
        <v>0</v>
      </c>
      <c r="M405" s="270">
        <v>0</v>
      </c>
      <c r="N405" s="195">
        <f>+Elementos_[[#This Row],[Cantidad 
LDV]]*Elementos_[[#This Row],[Valor de referencia]]</f>
        <v>0</v>
      </c>
      <c r="O405" s="166"/>
      <c r="P405" s="159">
        <f>+Elementos_[[#This Row],[Cantidad LNDV]]*Elementos_[[#This Row],[Valor de referencia]]</f>
        <v>0</v>
      </c>
      <c r="Q405" s="196">
        <v>3</v>
      </c>
      <c r="R405" s="159">
        <f>+Elementos_[[#This Row],[GGCA]]*Elementos_[[#This Row],[Valor de referencia]]</f>
        <v>1314579</v>
      </c>
      <c r="S405" s="166"/>
      <c r="T405" s="159">
        <f>+Elementos_[[#This Row],[Cantidad LDF]]*Elementos_[[#This Row],[Valor de referencia]]</f>
        <v>0</v>
      </c>
      <c r="U405" s="197"/>
      <c r="V405" s="159">
        <f>+Elementos_[[#This Row],[Cantidad LDF&amp;MR]]*Elementos_[[#This Row],[Valor de referencia]]</f>
        <v>0</v>
      </c>
      <c r="W405" s="166"/>
      <c r="X405" s="159">
        <f>+Elementos_[[#This Row],[Cantidad RED LASE]]*Elementos_[[#This Row],[Valor de referencia]]</f>
        <v>0</v>
      </c>
      <c r="Y405" s="196"/>
      <c r="Z405" s="159">
        <f>+Elementos_[[#This Row],[Cantidad LANIA]]*Elementos_[[#This Row],[Valor de referencia]]</f>
        <v>0</v>
      </c>
      <c r="AA405" s="196"/>
      <c r="AB405" s="159">
        <f>+Elementos_[[#This Row],[Cantidad SPA]]*Elementos_[[#This Row],[Valor de referencia]]</f>
        <v>0</v>
      </c>
      <c r="AC405" s="166" t="s">
        <v>2041</v>
      </c>
    </row>
    <row r="406" spans="1:29" ht="24" x14ac:dyDescent="0.2">
      <c r="A406" s="294" t="str">
        <f>IF(B406=Elementos_[[#This Row],[Cantidad LANIP]],"LANIP",IF(B406=Elementos_[[#This Row],[Cantidad 
LDV]],"LDV",IF(B406=Elementos_[[#This Row],[Cantidad LNDV]],"LNDV",IF(B406=Elementos_[[#This Row],[GGCA]],"GGCA",IF(B406=Elementos_[[#This Row],[Cantidad LDF]],"LDF",IF(B406=Elementos_[[#This Row],[Cantidad LDF&amp;MR]],"LDF&amp;MR",IF(B406=Elementos_[[#This Row],[Cantidad RED LASE]],"LASE",IF(B406=Elementos_[[#This Row],[Cantidad LANIA]],"LANIA",IF(B406=Elementos_[[#This Row],[Cantidad SPA]],"SPA"," ")))))))))</f>
        <v>GGCA</v>
      </c>
      <c r="B40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406" s="298">
        <v>404</v>
      </c>
      <c r="D406" s="190">
        <v>609</v>
      </c>
      <c r="E406" s="277" t="s">
        <v>2750</v>
      </c>
      <c r="F406" s="204" t="s">
        <v>2744</v>
      </c>
      <c r="G406" s="198" t="s">
        <v>2745</v>
      </c>
      <c r="H40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06" s="194">
        <v>448814</v>
      </c>
      <c r="J406" s="194">
        <f>+Elementos_[[#This Row],[Valor de referencia]]*Elementos_[[#This Row],[Cantidad]]</f>
        <v>2692884</v>
      </c>
      <c r="K406" s="166"/>
      <c r="L406" s="159">
        <f>+Elementos_[[#This Row],[Cantidad LANIP]]*Elementos_[[#This Row],[Valor de referencia]]</f>
        <v>0</v>
      </c>
      <c r="M406" s="270">
        <v>0</v>
      </c>
      <c r="N406" s="195">
        <f>+Elementos_[[#This Row],[Cantidad 
LDV]]*Elementos_[[#This Row],[Valor de referencia]]</f>
        <v>0</v>
      </c>
      <c r="O406" s="166"/>
      <c r="P406" s="159">
        <f>+Elementos_[[#This Row],[Cantidad LNDV]]*Elementos_[[#This Row],[Valor de referencia]]</f>
        <v>0</v>
      </c>
      <c r="Q406" s="196">
        <v>3</v>
      </c>
      <c r="R406" s="159">
        <f>+Elementos_[[#This Row],[GGCA]]*Elementos_[[#This Row],[Valor de referencia]]</f>
        <v>1346442</v>
      </c>
      <c r="S406" s="166"/>
      <c r="T406" s="159">
        <f>+Elementos_[[#This Row],[Cantidad LDF]]*Elementos_[[#This Row],[Valor de referencia]]</f>
        <v>0</v>
      </c>
      <c r="U406" s="197"/>
      <c r="V406" s="159">
        <f>+Elementos_[[#This Row],[Cantidad LDF&amp;MR]]*Elementos_[[#This Row],[Valor de referencia]]</f>
        <v>0</v>
      </c>
      <c r="W406" s="166"/>
      <c r="X406" s="159">
        <f>+Elementos_[[#This Row],[Cantidad RED LASE]]*Elementos_[[#This Row],[Valor de referencia]]</f>
        <v>0</v>
      </c>
      <c r="Y406" s="196">
        <v>3</v>
      </c>
      <c r="Z406" s="159">
        <f>+Elementos_[[#This Row],[Cantidad LANIA]]*Elementos_[[#This Row],[Valor de referencia]]</f>
        <v>1346442</v>
      </c>
      <c r="AA406" s="196"/>
      <c r="AB406" s="159">
        <f>+Elementos_[[#This Row],[Cantidad SPA]]*Elementos_[[#This Row],[Valor de referencia]]</f>
        <v>0</v>
      </c>
      <c r="AC406" s="166" t="s">
        <v>2041</v>
      </c>
    </row>
    <row r="407" spans="1:29" ht="67.5" customHeight="1" x14ac:dyDescent="0.2">
      <c r="A407" s="294" t="str">
        <f>IF(B407=Elementos_[[#This Row],[Cantidad LANIP]],"LANIP",IF(B407=Elementos_[[#This Row],[Cantidad 
LDV]],"LDV",IF(B407=Elementos_[[#This Row],[Cantidad LNDV]],"LNDV",IF(B407=Elementos_[[#This Row],[GGCA]],"GGCA",IF(B407=Elementos_[[#This Row],[Cantidad LDF]],"LDF",IF(B407=Elementos_[[#This Row],[Cantidad LDF&amp;MR]],"LDF&amp;MR",IF(B407=Elementos_[[#This Row],[Cantidad RED LASE]],"LASE",IF(B407=Elementos_[[#This Row],[Cantidad LANIA]],"LANIA",IF(B407=Elementos_[[#This Row],[Cantidad SPA]],"SPA"," ")))))))))</f>
        <v>LDF&amp;MR</v>
      </c>
      <c r="B40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v>
      </c>
      <c r="C407" s="298">
        <v>405</v>
      </c>
      <c r="D407" s="190">
        <v>610</v>
      </c>
      <c r="E407" s="273" t="s">
        <v>2751</v>
      </c>
      <c r="F407" s="201" t="s">
        <v>2752</v>
      </c>
      <c r="G407" s="407" t="s">
        <v>2753</v>
      </c>
      <c r="H40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49</v>
      </c>
      <c r="I407" s="194">
        <v>284688</v>
      </c>
      <c r="J407" s="194">
        <f>+Elementos_[[#This Row],[Valor de referencia]]*Elementos_[[#This Row],[Cantidad]]</f>
        <v>13949712</v>
      </c>
      <c r="K407" s="166"/>
      <c r="L407" s="159">
        <f>+Elementos_[[#This Row],[Cantidad LANIP]]*Elementos_[[#This Row],[Valor de referencia]]</f>
        <v>0</v>
      </c>
      <c r="M407" s="270"/>
      <c r="N407" s="195">
        <f>+Elementos_[[#This Row],[Cantidad 
LDV]]*Elementos_[[#This Row],[Valor de referencia]]</f>
        <v>0</v>
      </c>
      <c r="O407" s="166">
        <v>10</v>
      </c>
      <c r="P407" s="159">
        <f>+Elementos_[[#This Row],[Cantidad LNDV]]*Elementos_[[#This Row],[Valor de referencia]]</f>
        <v>2846880</v>
      </c>
      <c r="Q407" s="196"/>
      <c r="R407" s="159">
        <f>+Elementos_[[#This Row],[GGCA]]*Elementos_[[#This Row],[Valor de referencia]]</f>
        <v>0</v>
      </c>
      <c r="S407" s="166">
        <v>12</v>
      </c>
      <c r="T407" s="159">
        <f>+Elementos_[[#This Row],[Cantidad LDF]]*Elementos_[[#This Row],[Valor de referencia]]</f>
        <v>3416256</v>
      </c>
      <c r="U407" s="224">
        <v>25</v>
      </c>
      <c r="V407" s="159">
        <f>+Elementos_[[#This Row],[Cantidad LDF&amp;MR]]*Elementos_[[#This Row],[Valor de referencia]]</f>
        <v>7117200</v>
      </c>
      <c r="W407" s="166"/>
      <c r="X407" s="159">
        <f>+Elementos_[[#This Row],[Cantidad RED LASE]]*Elementos_[[#This Row],[Valor de referencia]]</f>
        <v>0</v>
      </c>
      <c r="Y407" s="196">
        <v>2</v>
      </c>
      <c r="Z407" s="159">
        <f>+Elementos_[[#This Row],[Cantidad LANIA]]*Elementos_[[#This Row],[Valor de referencia]]</f>
        <v>569376</v>
      </c>
      <c r="AA407" s="196"/>
      <c r="AB407" s="159">
        <f>+Elementos_[[#This Row],[Cantidad SPA]]*Elementos_[[#This Row],[Valor de referencia]]</f>
        <v>0</v>
      </c>
      <c r="AC407" s="166" t="s">
        <v>2041</v>
      </c>
    </row>
    <row r="408" spans="1:29" ht="24" x14ac:dyDescent="0.2">
      <c r="A408" s="294" t="str">
        <f>IF(B408=Elementos_[[#This Row],[Cantidad LANIP]],"LANIP",IF(B408=Elementos_[[#This Row],[Cantidad 
LDV]],"LDV",IF(B408=Elementos_[[#This Row],[Cantidad LNDV]],"LNDV",IF(B408=Elementos_[[#This Row],[GGCA]],"GGCA",IF(B408=Elementos_[[#This Row],[Cantidad LDF]],"LDF",IF(B408=Elementos_[[#This Row],[Cantidad LDF&amp;MR]],"LDF&amp;MR",IF(B408=Elementos_[[#This Row],[Cantidad RED LASE]],"LASE",IF(B408=Elementos_[[#This Row],[Cantidad LANIA]],"LANIA",IF(B408=Elementos_[[#This Row],[Cantidad SPA]],"SPA"," ")))))))))</f>
        <v>LANIP</v>
      </c>
      <c r="B40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91</v>
      </c>
      <c r="C408" s="298">
        <v>406</v>
      </c>
      <c r="D408" s="190">
        <v>611</v>
      </c>
      <c r="E408" s="273" t="s">
        <v>2754</v>
      </c>
      <c r="F408" s="201" t="s">
        <v>2755</v>
      </c>
      <c r="G408" s="202" t="s">
        <v>2742</v>
      </c>
      <c r="H40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112</v>
      </c>
      <c r="I408" s="194">
        <v>856954</v>
      </c>
      <c r="J408" s="194">
        <f>+Elementos_[[#This Row],[Valor de referencia]]*Elementos_[[#This Row],[Cantidad]]</f>
        <v>95978848</v>
      </c>
      <c r="K408" s="166">
        <v>91</v>
      </c>
      <c r="L408" s="159">
        <f>+Elementos_[[#This Row],[Cantidad LANIP]]*Elementos_[[#This Row],[Valor de referencia]]</f>
        <v>77982814</v>
      </c>
      <c r="M408" s="270">
        <v>1</v>
      </c>
      <c r="N408" s="195">
        <f>+Elementos_[[#This Row],[Cantidad 
LDV]]*Elementos_[[#This Row],[Valor de referencia]]</f>
        <v>856954</v>
      </c>
      <c r="O408" s="166"/>
      <c r="P408" s="159">
        <f>+Elementos_[[#This Row],[Cantidad LNDV]]*Elementos_[[#This Row],[Valor de referencia]]</f>
        <v>0</v>
      </c>
      <c r="Q408" s="196"/>
      <c r="R408" s="159">
        <f>+Elementos_[[#This Row],[GGCA]]*Elementos_[[#This Row],[Valor de referencia]]</f>
        <v>0</v>
      </c>
      <c r="S408" s="166"/>
      <c r="T408" s="159">
        <f>+Elementos_[[#This Row],[Cantidad LDF]]*Elementos_[[#This Row],[Valor de referencia]]</f>
        <v>0</v>
      </c>
      <c r="U408" s="224">
        <v>17</v>
      </c>
      <c r="V408" s="159">
        <f>+Elementos_[[#This Row],[Cantidad LDF&amp;MR]]*Elementos_[[#This Row],[Valor de referencia]]</f>
        <v>14568218</v>
      </c>
      <c r="W408" s="166"/>
      <c r="X408" s="159">
        <f>+Elementos_[[#This Row],[Cantidad RED LASE]]*Elementos_[[#This Row],[Valor de referencia]]</f>
        <v>0</v>
      </c>
      <c r="Y408" s="196">
        <v>3</v>
      </c>
      <c r="Z408" s="159">
        <f>+Elementos_[[#This Row],[Cantidad LANIA]]*Elementos_[[#This Row],[Valor de referencia]]</f>
        <v>2570862</v>
      </c>
      <c r="AA408" s="196"/>
      <c r="AB408" s="159">
        <f>+Elementos_[[#This Row],[Cantidad SPA]]*Elementos_[[#This Row],[Valor de referencia]]</f>
        <v>0</v>
      </c>
      <c r="AC408" s="166" t="s">
        <v>2041</v>
      </c>
    </row>
    <row r="409" spans="1:29" ht="43.5" customHeight="1" x14ac:dyDescent="0.2">
      <c r="A409" s="294" t="str">
        <f>IF(B409=Elementos_[[#This Row],[Cantidad LANIP]],"LANIP",IF(B409=Elementos_[[#This Row],[Cantidad 
LDV]],"LDV",IF(B409=Elementos_[[#This Row],[Cantidad LNDV]],"LNDV",IF(B409=Elementos_[[#This Row],[GGCA]],"GGCA",IF(B409=Elementos_[[#This Row],[Cantidad LDF]],"LDF",IF(B409=Elementos_[[#This Row],[Cantidad LDF&amp;MR]],"LDF&amp;MR",IF(B409=Elementos_[[#This Row],[Cantidad RED LASE]],"LASE",IF(B409=Elementos_[[#This Row],[Cantidad LANIA]],"LANIA",IF(B409=Elementos_[[#This Row],[Cantidad SPA]],"SPA"," ")))))))))</f>
        <v>LDV</v>
      </c>
      <c r="B40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v>
      </c>
      <c r="C409" s="298">
        <v>407</v>
      </c>
      <c r="D409" s="190">
        <v>612</v>
      </c>
      <c r="E409" s="299" t="s">
        <v>2756</v>
      </c>
      <c r="F409" s="204" t="s">
        <v>2757</v>
      </c>
      <c r="G409" s="198" t="s">
        <v>2737</v>
      </c>
      <c r="H40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102</v>
      </c>
      <c r="I409" s="194">
        <v>746337</v>
      </c>
      <c r="J409" s="194">
        <f>+Elementos_[[#This Row],[Valor de referencia]]*Elementos_[[#This Row],[Cantidad]]</f>
        <v>76126374</v>
      </c>
      <c r="K409" s="166"/>
      <c r="L409" s="159">
        <f>+Elementos_[[#This Row],[Cantidad LANIP]]*Elementos_[[#This Row],[Valor de referencia]]</f>
        <v>0</v>
      </c>
      <c r="M409" s="270">
        <v>60</v>
      </c>
      <c r="N409" s="195">
        <f>+Elementos_[[#This Row],[Cantidad 
LDV]]*Elementos_[[#This Row],[Valor de referencia]]</f>
        <v>44780220</v>
      </c>
      <c r="O409" s="166">
        <v>15</v>
      </c>
      <c r="P409" s="159">
        <f>+Elementos_[[#This Row],[Cantidad LNDV]]*Elementos_[[#This Row],[Valor de referencia]]</f>
        <v>11195055</v>
      </c>
      <c r="Q409" s="196"/>
      <c r="R409" s="159">
        <f>+Elementos_[[#This Row],[GGCA]]*Elementos_[[#This Row],[Valor de referencia]]</f>
        <v>0</v>
      </c>
      <c r="S409" s="166">
        <v>25</v>
      </c>
      <c r="T409" s="159">
        <f>+Elementos_[[#This Row],[Cantidad LDF]]*Elementos_[[#This Row],[Valor de referencia]]</f>
        <v>18658425</v>
      </c>
      <c r="U409" s="197"/>
      <c r="V409" s="159">
        <f>+Elementos_[[#This Row],[Cantidad LDF&amp;MR]]*Elementos_[[#This Row],[Valor de referencia]]</f>
        <v>0</v>
      </c>
      <c r="W409" s="166"/>
      <c r="X409" s="159">
        <f>+Elementos_[[#This Row],[Cantidad RED LASE]]*Elementos_[[#This Row],[Valor de referencia]]</f>
        <v>0</v>
      </c>
      <c r="Y409" s="196">
        <v>2</v>
      </c>
      <c r="Z409" s="159">
        <f>+Elementos_[[#This Row],[Cantidad LANIA]]*Elementos_[[#This Row],[Valor de referencia]]</f>
        <v>1492674</v>
      </c>
      <c r="AA409" s="196"/>
      <c r="AB409" s="159">
        <f>+Elementos_[[#This Row],[Cantidad SPA]]*Elementos_[[#This Row],[Valor de referencia]]</f>
        <v>0</v>
      </c>
      <c r="AC409" s="166" t="s">
        <v>2041</v>
      </c>
    </row>
    <row r="410" spans="1:29" ht="36" x14ac:dyDescent="0.2">
      <c r="A410" s="294" t="str">
        <f>IF(B410=Elementos_[[#This Row],[Cantidad LANIP]],"LANIP",IF(B410=Elementos_[[#This Row],[Cantidad 
LDV]],"LDV",IF(B410=Elementos_[[#This Row],[Cantidad LNDV]],"LNDV",IF(B410=Elementos_[[#This Row],[GGCA]],"GGCA",IF(B410=Elementos_[[#This Row],[Cantidad LDF]],"LDF",IF(B410=Elementos_[[#This Row],[Cantidad LDF&amp;MR]],"LDF&amp;MR",IF(B410=Elementos_[[#This Row],[Cantidad RED LASE]],"LASE",IF(B410=Elementos_[[#This Row],[Cantidad LANIA]],"LANIA",IF(B410=Elementos_[[#This Row],[Cantidad SPA]],"SPA"," ")))))))))</f>
        <v>LDV</v>
      </c>
      <c r="B41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C410" s="298">
        <v>408</v>
      </c>
      <c r="D410" s="190">
        <v>614</v>
      </c>
      <c r="E410" s="299" t="s">
        <v>2758</v>
      </c>
      <c r="F410" s="201" t="s">
        <v>2759</v>
      </c>
      <c r="G410" s="198" t="s">
        <v>2737</v>
      </c>
      <c r="H41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95</v>
      </c>
      <c r="I410" s="194">
        <v>679489</v>
      </c>
      <c r="J410" s="194">
        <f>+Elementos_[[#This Row],[Valor de referencia]]*Elementos_[[#This Row],[Cantidad]]</f>
        <v>64551455</v>
      </c>
      <c r="K410" s="166"/>
      <c r="L410" s="159">
        <f>+Elementos_[[#This Row],[Cantidad LANIP]]*Elementos_[[#This Row],[Valor de referencia]]</f>
        <v>0</v>
      </c>
      <c r="M410" s="270">
        <v>35</v>
      </c>
      <c r="N410" s="195">
        <f>+Elementos_[[#This Row],[Cantidad 
LDV]]*Elementos_[[#This Row],[Valor de referencia]]</f>
        <v>23782115</v>
      </c>
      <c r="O410" s="166">
        <v>25</v>
      </c>
      <c r="P410" s="159">
        <f>+Elementos_[[#This Row],[Cantidad LNDV]]*Elementos_[[#This Row],[Valor de referencia]]</f>
        <v>16987225</v>
      </c>
      <c r="Q410" s="196"/>
      <c r="R410" s="159">
        <f>+Elementos_[[#This Row],[GGCA]]*Elementos_[[#This Row],[Valor de referencia]]</f>
        <v>0</v>
      </c>
      <c r="S410" s="166">
        <v>20</v>
      </c>
      <c r="T410" s="159">
        <f>+Elementos_[[#This Row],[Cantidad LDF]]*Elementos_[[#This Row],[Valor de referencia]]</f>
        <v>13589780</v>
      </c>
      <c r="U410" s="224">
        <v>15</v>
      </c>
      <c r="V410" s="159">
        <f>+Elementos_[[#This Row],[Cantidad LDF&amp;MR]]*Elementos_[[#This Row],[Valor de referencia]]</f>
        <v>10192335</v>
      </c>
      <c r="W410" s="166"/>
      <c r="X410" s="159">
        <f>+Elementos_[[#This Row],[Cantidad RED LASE]]*Elementos_[[#This Row],[Valor de referencia]]</f>
        <v>0</v>
      </c>
      <c r="Y410" s="196"/>
      <c r="Z410" s="159">
        <f>+Elementos_[[#This Row],[Cantidad LANIA]]*Elementos_[[#This Row],[Valor de referencia]]</f>
        <v>0</v>
      </c>
      <c r="AA410" s="196"/>
      <c r="AB410" s="159">
        <f>+Elementos_[[#This Row],[Cantidad SPA]]*Elementos_[[#This Row],[Valor de referencia]]</f>
        <v>0</v>
      </c>
      <c r="AC410" s="166" t="s">
        <v>2041</v>
      </c>
    </row>
    <row r="411" spans="1:29" ht="48" x14ac:dyDescent="0.2">
      <c r="A411" s="294" t="str">
        <f>IF(B411=Elementos_[[#This Row],[Cantidad LANIP]],"LANIP",IF(B411=Elementos_[[#This Row],[Cantidad 
LDV]],"LDV",IF(B411=Elementos_[[#This Row],[Cantidad LNDV]],"LNDV",IF(B411=Elementos_[[#This Row],[GGCA]],"GGCA",IF(B411=Elementos_[[#This Row],[Cantidad LDF]],"LDF",IF(B411=Elementos_[[#This Row],[Cantidad LDF&amp;MR]],"LDF&amp;MR",IF(B411=Elementos_[[#This Row],[Cantidad RED LASE]],"LASE",IF(B411=Elementos_[[#This Row],[Cantidad LANIA]],"LANIA",IF(B411=Elementos_[[#This Row],[Cantidad SPA]],"SPA"," ")))))))))</f>
        <v>LDV</v>
      </c>
      <c r="B41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70</v>
      </c>
      <c r="C411" s="298">
        <v>409</v>
      </c>
      <c r="D411" s="190">
        <v>617</v>
      </c>
      <c r="E411" s="299" t="s">
        <v>2760</v>
      </c>
      <c r="F411" s="201" t="s">
        <v>2761</v>
      </c>
      <c r="G411" s="198" t="s">
        <v>2737</v>
      </c>
      <c r="H41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140</v>
      </c>
      <c r="I411" s="194">
        <v>741489</v>
      </c>
      <c r="J411" s="194">
        <f>+Elementos_[[#This Row],[Valor de referencia]]*Elementos_[[#This Row],[Cantidad]]</f>
        <v>103808460</v>
      </c>
      <c r="K411" s="166"/>
      <c r="L411" s="159">
        <f>+Elementos_[[#This Row],[Cantidad LANIP]]*Elementos_[[#This Row],[Valor de referencia]]</f>
        <v>0</v>
      </c>
      <c r="M411" s="270">
        <v>70</v>
      </c>
      <c r="N411" s="195">
        <f>+Elementos_[[#This Row],[Cantidad 
LDV]]*Elementos_[[#This Row],[Valor de referencia]]</f>
        <v>51904230</v>
      </c>
      <c r="O411" s="166">
        <v>25</v>
      </c>
      <c r="P411" s="159">
        <f>+Elementos_[[#This Row],[Cantidad LNDV]]*Elementos_[[#This Row],[Valor de referencia]]</f>
        <v>18537225</v>
      </c>
      <c r="Q411" s="196"/>
      <c r="R411" s="159">
        <f>+Elementos_[[#This Row],[GGCA]]*Elementos_[[#This Row],[Valor de referencia]]</f>
        <v>0</v>
      </c>
      <c r="S411" s="166">
        <v>27</v>
      </c>
      <c r="T411" s="159">
        <f>+Elementos_[[#This Row],[Cantidad LDF]]*Elementos_[[#This Row],[Valor de referencia]]</f>
        <v>20020203</v>
      </c>
      <c r="U411" s="224">
        <v>15</v>
      </c>
      <c r="V411" s="159">
        <f>+Elementos_[[#This Row],[Cantidad LDF&amp;MR]]*Elementos_[[#This Row],[Valor de referencia]]</f>
        <v>11122335</v>
      </c>
      <c r="W411" s="166"/>
      <c r="X411" s="159">
        <f>+Elementos_[[#This Row],[Cantidad RED LASE]]*Elementos_[[#This Row],[Valor de referencia]]</f>
        <v>0</v>
      </c>
      <c r="Y411" s="196">
        <v>3</v>
      </c>
      <c r="Z411" s="159">
        <f>+Elementos_[[#This Row],[Cantidad LANIA]]*Elementos_[[#This Row],[Valor de referencia]]</f>
        <v>2224467</v>
      </c>
      <c r="AA411" s="196"/>
      <c r="AB411" s="159">
        <f>+Elementos_[[#This Row],[Cantidad SPA]]*Elementos_[[#This Row],[Valor de referencia]]</f>
        <v>0</v>
      </c>
      <c r="AC411" s="166" t="s">
        <v>2041</v>
      </c>
    </row>
    <row r="412" spans="1:29" ht="54.75" customHeight="1" x14ac:dyDescent="0.2">
      <c r="A412" s="294" t="str">
        <f>IF(B412=Elementos_[[#This Row],[Cantidad LANIP]],"LANIP",IF(B412=Elementos_[[#This Row],[Cantidad 
LDV]],"LDV",IF(B412=Elementos_[[#This Row],[Cantidad LNDV]],"LNDV",IF(B412=Elementos_[[#This Row],[GGCA]],"GGCA",IF(B412=Elementos_[[#This Row],[Cantidad LDF]],"LDF",IF(B412=Elementos_[[#This Row],[Cantidad LDF&amp;MR]],"LDF&amp;MR",IF(B412=Elementos_[[#This Row],[Cantidad RED LASE]],"LASE",IF(B412=Elementos_[[#This Row],[Cantidad LANIA]],"LANIA",IF(B412=Elementos_[[#This Row],[Cantidad SPA]],"SPA"," ")))))))))</f>
        <v>LNDV</v>
      </c>
      <c r="B41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350</v>
      </c>
      <c r="C412" s="298">
        <v>410</v>
      </c>
      <c r="D412" s="190">
        <v>618</v>
      </c>
      <c r="E412" s="274" t="s">
        <v>2762</v>
      </c>
      <c r="F412" s="201" t="s">
        <v>2763</v>
      </c>
      <c r="G412" s="192" t="s">
        <v>2633</v>
      </c>
      <c r="H41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491</v>
      </c>
      <c r="I412" s="194">
        <v>284535</v>
      </c>
      <c r="J412" s="194">
        <f>+Elementos_[[#This Row],[Valor de referencia]]*Elementos_[[#This Row],[Cantidad]]</f>
        <v>139706685</v>
      </c>
      <c r="K412" s="166"/>
      <c r="L412" s="159">
        <f>+Elementos_[[#This Row],[Cantidad LANIP]]*Elementos_[[#This Row],[Valor de referencia]]</f>
        <v>0</v>
      </c>
      <c r="M412" s="270">
        <v>118</v>
      </c>
      <c r="N412" s="195">
        <f>+Elementos_[[#This Row],[Cantidad 
LDV]]*Elementos_[[#This Row],[Valor de referencia]]</f>
        <v>33575130</v>
      </c>
      <c r="O412" s="166">
        <v>350</v>
      </c>
      <c r="P412" s="159">
        <f>+Elementos_[[#This Row],[Cantidad LNDV]]*Elementos_[[#This Row],[Valor de referencia]]</f>
        <v>99587250</v>
      </c>
      <c r="Q412" s="196"/>
      <c r="R412" s="159">
        <f>+Elementos_[[#This Row],[GGCA]]*Elementos_[[#This Row],[Valor de referencia]]</f>
        <v>0</v>
      </c>
      <c r="S412" s="166">
        <v>3</v>
      </c>
      <c r="T412" s="159">
        <f>+Elementos_[[#This Row],[Cantidad LDF]]*Elementos_[[#This Row],[Valor de referencia]]</f>
        <v>853605</v>
      </c>
      <c r="U412" s="224">
        <v>20</v>
      </c>
      <c r="V412" s="159">
        <f>+Elementos_[[#This Row],[Cantidad LDF&amp;MR]]*Elementos_[[#This Row],[Valor de referencia]]</f>
        <v>5690700</v>
      </c>
      <c r="W412" s="166"/>
      <c r="X412" s="159">
        <f>+Elementos_[[#This Row],[Cantidad RED LASE]]*Elementos_[[#This Row],[Valor de referencia]]</f>
        <v>0</v>
      </c>
      <c r="Y412" s="196"/>
      <c r="Z412" s="159">
        <f>+Elementos_[[#This Row],[Cantidad LANIA]]*Elementos_[[#This Row],[Valor de referencia]]</f>
        <v>0</v>
      </c>
      <c r="AA412" s="196"/>
      <c r="AB412" s="159">
        <f>+Elementos_[[#This Row],[Cantidad SPA]]*Elementos_[[#This Row],[Valor de referencia]]</f>
        <v>0</v>
      </c>
      <c r="AC412" s="166" t="s">
        <v>2041</v>
      </c>
    </row>
    <row r="413" spans="1:29" ht="48" x14ac:dyDescent="0.2">
      <c r="A413" s="294" t="str">
        <f>IF(B413=Elementos_[[#This Row],[Cantidad LANIP]],"LANIP",IF(B413=Elementos_[[#This Row],[Cantidad 
LDV]],"LDV",IF(B413=Elementos_[[#This Row],[Cantidad LNDV]],"LNDV",IF(B413=Elementos_[[#This Row],[GGCA]],"GGCA",IF(B413=Elementos_[[#This Row],[Cantidad LDF]],"LDF",IF(B413=Elementos_[[#This Row],[Cantidad LDF&amp;MR]],"LDF&amp;MR",IF(B413=Elementos_[[#This Row],[Cantidad RED LASE]],"LASE",IF(B413=Elementos_[[#This Row],[Cantidad LANIA]],"LANIA",IF(B413=Elementos_[[#This Row],[Cantidad SPA]],"SPA"," ")))))))))</f>
        <v>LDV</v>
      </c>
      <c r="B41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413" s="298">
        <v>411</v>
      </c>
      <c r="D413" s="190">
        <v>619</v>
      </c>
      <c r="E413" s="274" t="s">
        <v>2764</v>
      </c>
      <c r="F413" s="201" t="s">
        <v>2765</v>
      </c>
      <c r="G413" s="192" t="s">
        <v>2633</v>
      </c>
      <c r="H41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413" s="194">
        <v>535070</v>
      </c>
      <c r="J413" s="194">
        <f>+Elementos_[[#This Row],[Valor de referencia]]*Elementos_[[#This Row],[Cantidad]]</f>
        <v>10701400</v>
      </c>
      <c r="K413" s="166"/>
      <c r="L413" s="159">
        <f>+Elementos_[[#This Row],[Cantidad LANIP]]*Elementos_[[#This Row],[Valor de referencia]]</f>
        <v>0</v>
      </c>
      <c r="M413" s="270">
        <v>20</v>
      </c>
      <c r="N413" s="195">
        <f>+Elementos_[[#This Row],[Cantidad 
LDV]]*Elementos_[[#This Row],[Valor de referencia]]</f>
        <v>10701400</v>
      </c>
      <c r="O413" s="166"/>
      <c r="P413" s="159">
        <f>+Elementos_[[#This Row],[Cantidad LNDV]]*Elementos_[[#This Row],[Valor de referencia]]</f>
        <v>0</v>
      </c>
      <c r="Q413" s="196"/>
      <c r="R413" s="159">
        <f>+Elementos_[[#This Row],[GGCA]]*Elementos_[[#This Row],[Valor de referencia]]</f>
        <v>0</v>
      </c>
      <c r="S413" s="166"/>
      <c r="T413" s="159">
        <f>+Elementos_[[#This Row],[Cantidad LDF]]*Elementos_[[#This Row],[Valor de referencia]]</f>
        <v>0</v>
      </c>
      <c r="U413" s="197"/>
      <c r="V413" s="159">
        <f>+Elementos_[[#This Row],[Cantidad LDF&amp;MR]]*Elementos_[[#This Row],[Valor de referencia]]</f>
        <v>0</v>
      </c>
      <c r="W413" s="166"/>
      <c r="X413" s="159">
        <f>+Elementos_[[#This Row],[Cantidad RED LASE]]*Elementos_[[#This Row],[Valor de referencia]]</f>
        <v>0</v>
      </c>
      <c r="Y413" s="196"/>
      <c r="Z413" s="159">
        <f>+Elementos_[[#This Row],[Cantidad LANIA]]*Elementos_[[#This Row],[Valor de referencia]]</f>
        <v>0</v>
      </c>
      <c r="AA413" s="196"/>
      <c r="AB413" s="159">
        <f>+Elementos_[[#This Row],[Cantidad SPA]]*Elementos_[[#This Row],[Valor de referencia]]</f>
        <v>0</v>
      </c>
      <c r="AC413" s="166" t="s">
        <v>2041</v>
      </c>
    </row>
    <row r="414" spans="1:29" ht="48" x14ac:dyDescent="0.2">
      <c r="A414" s="294" t="str">
        <f>IF(B414=Elementos_[[#This Row],[Cantidad LANIP]],"LANIP",IF(B414=Elementos_[[#This Row],[Cantidad 
LDV]],"LDV",IF(B414=Elementos_[[#This Row],[Cantidad LNDV]],"LNDV",IF(B414=Elementos_[[#This Row],[GGCA]],"GGCA",IF(B414=Elementos_[[#This Row],[Cantidad LDF]],"LDF",IF(B414=Elementos_[[#This Row],[Cantidad LDF&amp;MR]],"LDF&amp;MR",IF(B414=Elementos_[[#This Row],[Cantidad RED LASE]],"LASE",IF(B414=Elementos_[[#This Row],[Cantidad LANIA]],"LANIA",IF(B414=Elementos_[[#This Row],[Cantidad SPA]],"SPA"," ")))))))))</f>
        <v>LDF&amp;MR</v>
      </c>
      <c r="B41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414" s="298">
        <v>412</v>
      </c>
      <c r="D414" s="190">
        <v>620</v>
      </c>
      <c r="E414" s="305" t="s">
        <v>2766</v>
      </c>
      <c r="F414" s="201" t="s">
        <v>2767</v>
      </c>
      <c r="G414" s="192" t="s">
        <v>2737</v>
      </c>
      <c r="H41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414" s="194">
        <v>953477</v>
      </c>
      <c r="J414" s="194">
        <f>+Elementos_[[#This Row],[Valor de referencia]]*Elementos_[[#This Row],[Cantidad]]</f>
        <v>4767385</v>
      </c>
      <c r="K414" s="166"/>
      <c r="L414" s="159">
        <f>+Elementos_[[#This Row],[Cantidad LANIP]]*Elementos_[[#This Row],[Valor de referencia]]</f>
        <v>0</v>
      </c>
      <c r="M414" s="270"/>
      <c r="N414" s="195">
        <f>+Elementos_[[#This Row],[Cantidad 
LDV]]*Elementos_[[#This Row],[Valor de referencia]]</f>
        <v>0</v>
      </c>
      <c r="O414" s="166"/>
      <c r="P414" s="159">
        <f>+Elementos_[[#This Row],[Cantidad LNDV]]*Elementos_[[#This Row],[Valor de referencia]]</f>
        <v>0</v>
      </c>
      <c r="Q414" s="196"/>
      <c r="R414" s="159">
        <f>+Elementos_[[#This Row],[GGCA]]*Elementos_[[#This Row],[Valor de referencia]]</f>
        <v>0</v>
      </c>
      <c r="S414" s="166"/>
      <c r="T414" s="159">
        <f>+Elementos_[[#This Row],[Cantidad LDF]]*Elementos_[[#This Row],[Valor de referencia]]</f>
        <v>0</v>
      </c>
      <c r="U414" s="224">
        <v>5</v>
      </c>
      <c r="V414" s="159">
        <f>+Elementos_[[#This Row],[Cantidad LDF&amp;MR]]*Elementos_[[#This Row],[Valor de referencia]]</f>
        <v>4767385</v>
      </c>
      <c r="W414" s="166"/>
      <c r="X414" s="159">
        <f>+Elementos_[[#This Row],[Cantidad RED LASE]]*Elementos_[[#This Row],[Valor de referencia]]</f>
        <v>0</v>
      </c>
      <c r="Y414" s="196"/>
      <c r="Z414" s="159">
        <f>+Elementos_[[#This Row],[Cantidad LANIA]]*Elementos_[[#This Row],[Valor de referencia]]</f>
        <v>0</v>
      </c>
      <c r="AA414" s="196"/>
      <c r="AB414" s="159">
        <f>+Elementos_[[#This Row],[Cantidad SPA]]*Elementos_[[#This Row],[Valor de referencia]]</f>
        <v>0</v>
      </c>
      <c r="AC414" s="166" t="s">
        <v>2041</v>
      </c>
    </row>
    <row r="415" spans="1:29" ht="48" x14ac:dyDescent="0.2">
      <c r="A415" s="294" t="str">
        <f>IF(B415=Elementos_[[#This Row],[Cantidad LANIP]],"LANIP",IF(B415=Elementos_[[#This Row],[Cantidad 
LDV]],"LDV",IF(B415=Elementos_[[#This Row],[Cantidad LNDV]],"LNDV",IF(B415=Elementos_[[#This Row],[GGCA]],"GGCA",IF(B415=Elementos_[[#This Row],[Cantidad LDF]],"LDF",IF(B415=Elementos_[[#This Row],[Cantidad LDF&amp;MR]],"LDF&amp;MR",IF(B415=Elementos_[[#This Row],[Cantidad RED LASE]],"LASE",IF(B415=Elementos_[[#This Row],[Cantidad LANIA]],"LANIA",IF(B415=Elementos_[[#This Row],[Cantidad SPA]],"SPA"," ")))))))))</f>
        <v>LANIP</v>
      </c>
      <c r="B41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200</v>
      </c>
      <c r="C415" s="298">
        <v>413</v>
      </c>
      <c r="D415" s="190">
        <v>621</v>
      </c>
      <c r="E415" s="305" t="s">
        <v>2768</v>
      </c>
      <c r="F415" s="201" t="s">
        <v>2769</v>
      </c>
      <c r="G415" s="198" t="s">
        <v>2633</v>
      </c>
      <c r="H41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314</v>
      </c>
      <c r="I415" s="194">
        <v>188496</v>
      </c>
      <c r="J415" s="194">
        <f>+Elementos_[[#This Row],[Valor de referencia]]*Elementos_[[#This Row],[Cantidad]]</f>
        <v>59187744</v>
      </c>
      <c r="K415" s="166">
        <v>200</v>
      </c>
      <c r="L415" s="159">
        <f>+Elementos_[[#This Row],[Cantidad LANIP]]*Elementos_[[#This Row],[Valor de referencia]]</f>
        <v>37699200</v>
      </c>
      <c r="M415" s="270">
        <v>80</v>
      </c>
      <c r="N415" s="195">
        <f>+Elementos_[[#This Row],[Cantidad 
LDV]]*Elementos_[[#This Row],[Valor de referencia]]</f>
        <v>15079680</v>
      </c>
      <c r="O415" s="166">
        <v>30</v>
      </c>
      <c r="P415" s="159">
        <f>+Elementos_[[#This Row],[Cantidad LNDV]]*Elementos_[[#This Row],[Valor de referencia]]</f>
        <v>5654880</v>
      </c>
      <c r="Q415" s="196"/>
      <c r="R415" s="159">
        <f>+Elementos_[[#This Row],[GGCA]]*Elementos_[[#This Row],[Valor de referencia]]</f>
        <v>0</v>
      </c>
      <c r="S415" s="166">
        <v>1</v>
      </c>
      <c r="T415" s="159">
        <f>+Elementos_[[#This Row],[Cantidad LDF]]*Elementos_[[#This Row],[Valor de referencia]]</f>
        <v>188496</v>
      </c>
      <c r="U415" s="197"/>
      <c r="V415" s="159">
        <f>+Elementos_[[#This Row],[Cantidad LDF&amp;MR]]*Elementos_[[#This Row],[Valor de referencia]]</f>
        <v>0</v>
      </c>
      <c r="W415" s="166"/>
      <c r="X415" s="159">
        <f>+Elementos_[[#This Row],[Cantidad RED LASE]]*Elementos_[[#This Row],[Valor de referencia]]</f>
        <v>0</v>
      </c>
      <c r="Y415" s="196">
        <v>3</v>
      </c>
      <c r="Z415" s="159">
        <f>+Elementos_[[#This Row],[Cantidad LANIA]]*Elementos_[[#This Row],[Valor de referencia]]</f>
        <v>565488</v>
      </c>
      <c r="AA415" s="196"/>
      <c r="AB415" s="159">
        <f>+Elementos_[[#This Row],[Cantidad SPA]]*Elementos_[[#This Row],[Valor de referencia]]</f>
        <v>0</v>
      </c>
      <c r="AC415" s="166" t="s">
        <v>2041</v>
      </c>
    </row>
    <row r="416" spans="1:29" ht="36" x14ac:dyDescent="0.2">
      <c r="A416" s="294" t="str">
        <f>IF(B416=Elementos_[[#This Row],[Cantidad LANIP]],"LANIP",IF(B416=Elementos_[[#This Row],[Cantidad 
LDV]],"LDV",IF(B416=Elementos_[[#This Row],[Cantidad LNDV]],"LNDV",IF(B416=Elementos_[[#This Row],[GGCA]],"GGCA",IF(B416=Elementos_[[#This Row],[Cantidad LDF]],"LDF",IF(B416=Elementos_[[#This Row],[Cantidad LDF&amp;MR]],"LDF&amp;MR",IF(B416=Elementos_[[#This Row],[Cantidad RED LASE]],"LASE",IF(B416=Elementos_[[#This Row],[Cantidad LANIA]],"LANIA",IF(B416=Elementos_[[#This Row],[Cantidad SPA]],"SPA"," ")))))))))</f>
        <v>LDF</v>
      </c>
      <c r="B41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16" s="298">
        <v>414</v>
      </c>
      <c r="D416" s="190">
        <v>622</v>
      </c>
      <c r="E416" s="277" t="s">
        <v>2770</v>
      </c>
      <c r="F416" s="204" t="s">
        <v>2771</v>
      </c>
      <c r="G416" s="198" t="s">
        <v>2737</v>
      </c>
      <c r="H41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16" s="194">
        <v>617613</v>
      </c>
      <c r="J416" s="194">
        <f>+Elementos_[[#This Row],[Valor de referencia]]*Elementos_[[#This Row],[Cantidad]]</f>
        <v>617613</v>
      </c>
      <c r="K416" s="166"/>
      <c r="L416" s="159">
        <f>+Elementos_[[#This Row],[Cantidad LANIP]]*Elementos_[[#This Row],[Valor de referencia]]</f>
        <v>0</v>
      </c>
      <c r="M416" s="270">
        <v>0</v>
      </c>
      <c r="N416" s="195">
        <f>+Elementos_[[#This Row],[Cantidad 
LDV]]*Elementos_[[#This Row],[Valor de referencia]]</f>
        <v>0</v>
      </c>
      <c r="O416" s="166"/>
      <c r="P416" s="159">
        <f>+Elementos_[[#This Row],[Cantidad LNDV]]*Elementos_[[#This Row],[Valor de referencia]]</f>
        <v>0</v>
      </c>
      <c r="Q416" s="196"/>
      <c r="R416" s="159">
        <f>+Elementos_[[#This Row],[GGCA]]*Elementos_[[#This Row],[Valor de referencia]]</f>
        <v>0</v>
      </c>
      <c r="S416" s="166">
        <v>1</v>
      </c>
      <c r="T416" s="159">
        <f>+Elementos_[[#This Row],[Cantidad LDF]]*Elementos_[[#This Row],[Valor de referencia]]</f>
        <v>617613</v>
      </c>
      <c r="U416" s="197"/>
      <c r="V416" s="159">
        <f>+Elementos_[[#This Row],[Cantidad LDF&amp;MR]]*Elementos_[[#This Row],[Valor de referencia]]</f>
        <v>0</v>
      </c>
      <c r="W416" s="166"/>
      <c r="X416" s="159">
        <f>+Elementos_[[#This Row],[Cantidad RED LASE]]*Elementos_[[#This Row],[Valor de referencia]]</f>
        <v>0</v>
      </c>
      <c r="Y416" s="196"/>
      <c r="Z416" s="159">
        <f>+Elementos_[[#This Row],[Cantidad LANIA]]*Elementos_[[#This Row],[Valor de referencia]]</f>
        <v>0</v>
      </c>
      <c r="AA416" s="196"/>
      <c r="AB416" s="159">
        <f>+Elementos_[[#This Row],[Cantidad SPA]]*Elementos_[[#This Row],[Valor de referencia]]</f>
        <v>0</v>
      </c>
      <c r="AC416" s="166" t="s">
        <v>2041</v>
      </c>
    </row>
    <row r="417" spans="1:29" ht="48" x14ac:dyDescent="0.2">
      <c r="A417" s="294" t="str">
        <f>IF(B417=Elementos_[[#This Row],[Cantidad LANIP]],"LANIP",IF(B417=Elementos_[[#This Row],[Cantidad 
LDV]],"LDV",IF(B417=Elementos_[[#This Row],[Cantidad LNDV]],"LNDV",IF(B417=Elementos_[[#This Row],[GGCA]],"GGCA",IF(B417=Elementos_[[#This Row],[Cantidad LDF]],"LDF",IF(B417=Elementos_[[#This Row],[Cantidad LDF&amp;MR]],"LDF&amp;MR",IF(B417=Elementos_[[#This Row],[Cantidad RED LASE]],"LASE",IF(B417=Elementos_[[#This Row],[Cantidad LANIA]],"LANIA",IF(B417=Elementos_[[#This Row],[Cantidad SPA]],"SPA"," ")))))))))</f>
        <v>LDV</v>
      </c>
      <c r="B41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417" s="298">
        <v>415</v>
      </c>
      <c r="D417" s="190">
        <v>624</v>
      </c>
      <c r="E417" s="273" t="s">
        <v>2772</v>
      </c>
      <c r="F417" s="201" t="s">
        <v>2773</v>
      </c>
      <c r="G417" s="199" t="s">
        <v>2737</v>
      </c>
      <c r="H41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76</v>
      </c>
      <c r="I417" s="194">
        <v>762590</v>
      </c>
      <c r="J417" s="194">
        <f>+Elementos_[[#This Row],[Valor de referencia]]*Elementos_[[#This Row],[Cantidad]]</f>
        <v>57956840</v>
      </c>
      <c r="K417" s="166"/>
      <c r="L417" s="159">
        <f>+Elementos_[[#This Row],[Cantidad LANIP]]*Elementos_[[#This Row],[Valor de referencia]]</f>
        <v>0</v>
      </c>
      <c r="M417" s="270">
        <v>30</v>
      </c>
      <c r="N417" s="195">
        <f>+Elementos_[[#This Row],[Cantidad 
LDV]]*Elementos_[[#This Row],[Valor de referencia]]</f>
        <v>22877700</v>
      </c>
      <c r="O417" s="166"/>
      <c r="P417" s="159">
        <f>+Elementos_[[#This Row],[Cantidad LNDV]]*Elementos_[[#This Row],[Valor de referencia]]</f>
        <v>0</v>
      </c>
      <c r="Q417" s="196"/>
      <c r="R417" s="159">
        <f>+Elementos_[[#This Row],[GGCA]]*Elementos_[[#This Row],[Valor de referencia]]</f>
        <v>0</v>
      </c>
      <c r="S417" s="166">
        <v>28</v>
      </c>
      <c r="T417" s="159">
        <f>+Elementos_[[#This Row],[Cantidad LDF]]*Elementos_[[#This Row],[Valor de referencia]]</f>
        <v>21352520</v>
      </c>
      <c r="U417" s="224">
        <v>18</v>
      </c>
      <c r="V417" s="159">
        <f>+Elementos_[[#This Row],[Cantidad LDF&amp;MR]]*Elementos_[[#This Row],[Valor de referencia]]</f>
        <v>13726620</v>
      </c>
      <c r="W417" s="166"/>
      <c r="X417" s="159">
        <f>+Elementos_[[#This Row],[Cantidad RED LASE]]*Elementos_[[#This Row],[Valor de referencia]]</f>
        <v>0</v>
      </c>
      <c r="Y417" s="196"/>
      <c r="Z417" s="159">
        <f>+Elementos_[[#This Row],[Cantidad LANIA]]*Elementos_[[#This Row],[Valor de referencia]]</f>
        <v>0</v>
      </c>
      <c r="AA417" s="196"/>
      <c r="AB417" s="159">
        <f>+Elementos_[[#This Row],[Cantidad SPA]]*Elementos_[[#This Row],[Valor de referencia]]</f>
        <v>0</v>
      </c>
      <c r="AC417" s="166" t="s">
        <v>2041</v>
      </c>
    </row>
    <row r="418" spans="1:29" ht="36" x14ac:dyDescent="0.2">
      <c r="A418" s="294" t="str">
        <f>IF(B418=Elementos_[[#This Row],[Cantidad LANIP]],"LANIP",IF(B418=Elementos_[[#This Row],[Cantidad 
LDV]],"LDV",IF(B418=Elementos_[[#This Row],[Cantidad LNDV]],"LNDV",IF(B418=Elementos_[[#This Row],[GGCA]],"GGCA",IF(B418=Elementos_[[#This Row],[Cantidad LDF]],"LDF",IF(B418=Elementos_[[#This Row],[Cantidad LDF&amp;MR]],"LDF&amp;MR",IF(B418=Elementos_[[#This Row],[Cantidad RED LASE]],"LASE",IF(B418=Elementos_[[#This Row],[Cantidad LANIA]],"LANIA",IF(B418=Elementos_[[#This Row],[Cantidad SPA]],"SPA"," ")))))))))</f>
        <v>LANIA</v>
      </c>
      <c r="B41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418" s="298">
        <v>416</v>
      </c>
      <c r="D418" s="190">
        <v>625</v>
      </c>
      <c r="E418" s="274" t="s">
        <v>2774</v>
      </c>
      <c r="F418" s="201" t="s">
        <v>2775</v>
      </c>
      <c r="G418" s="198" t="s">
        <v>2633</v>
      </c>
      <c r="H41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418" s="194">
        <v>162316</v>
      </c>
      <c r="J418" s="194">
        <f>+Elementos_[[#This Row],[Valor de referencia]]*Elementos_[[#This Row],[Cantidad]]</f>
        <v>2434740</v>
      </c>
      <c r="K418" s="166"/>
      <c r="L418" s="159">
        <f>+Elementos_[[#This Row],[Cantidad LANIP]]*Elementos_[[#This Row],[Valor de referencia]]</f>
        <v>0</v>
      </c>
      <c r="M418" s="270"/>
      <c r="N418" s="195">
        <f>+Elementos_[[#This Row],[Cantidad 
LDV]]*Elementos_[[#This Row],[Valor de referencia]]</f>
        <v>0</v>
      </c>
      <c r="O418" s="166"/>
      <c r="P418" s="159">
        <f>+Elementos_[[#This Row],[Cantidad LNDV]]*Elementos_[[#This Row],[Valor de referencia]]</f>
        <v>0</v>
      </c>
      <c r="Q418" s="196">
        <v>2</v>
      </c>
      <c r="R418" s="159">
        <f>+Elementos_[[#This Row],[GGCA]]*Elementos_[[#This Row],[Valor de referencia]]</f>
        <v>324632</v>
      </c>
      <c r="S418" s="166">
        <v>2</v>
      </c>
      <c r="T418" s="159">
        <f>+Elementos_[[#This Row],[Cantidad LDF]]*Elementos_[[#This Row],[Valor de referencia]]</f>
        <v>324632</v>
      </c>
      <c r="U418" s="224">
        <v>1</v>
      </c>
      <c r="V418" s="159">
        <f>+Elementos_[[#This Row],[Cantidad LDF&amp;MR]]*Elementos_[[#This Row],[Valor de referencia]]</f>
        <v>162316</v>
      </c>
      <c r="W418" s="166"/>
      <c r="X418" s="159">
        <f>+Elementos_[[#This Row],[Cantidad RED LASE]]*Elementos_[[#This Row],[Valor de referencia]]</f>
        <v>0</v>
      </c>
      <c r="Y418" s="196">
        <v>10</v>
      </c>
      <c r="Z418" s="159">
        <f>+Elementos_[[#This Row],[Cantidad LANIA]]*Elementos_[[#This Row],[Valor de referencia]]</f>
        <v>1623160</v>
      </c>
      <c r="AA418" s="196"/>
      <c r="AB418" s="159">
        <f>+Elementos_[[#This Row],[Cantidad SPA]]*Elementos_[[#This Row],[Valor de referencia]]</f>
        <v>0</v>
      </c>
      <c r="AC418" s="166" t="s">
        <v>2041</v>
      </c>
    </row>
    <row r="419" spans="1:29" ht="36" x14ac:dyDescent="0.2">
      <c r="A419" s="294" t="str">
        <f>IF(B419=Elementos_[[#This Row],[Cantidad LANIP]],"LANIP",IF(B419=Elementos_[[#This Row],[Cantidad 
LDV]],"LDV",IF(B419=Elementos_[[#This Row],[Cantidad LNDV]],"LNDV",IF(B419=Elementos_[[#This Row],[GGCA]],"GGCA",IF(B419=Elementos_[[#This Row],[Cantidad LDF]],"LDF",IF(B419=Elementos_[[#This Row],[Cantidad LDF&amp;MR]],"LDF&amp;MR",IF(B419=Elementos_[[#This Row],[Cantidad RED LASE]],"LASE",IF(B419=Elementos_[[#This Row],[Cantidad LANIA]],"LANIA",IF(B419=Elementos_[[#This Row],[Cantidad SPA]],"SPA"," ")))))))))</f>
        <v>LDF</v>
      </c>
      <c r="B41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419" s="298">
        <v>417</v>
      </c>
      <c r="D419" s="190">
        <v>627</v>
      </c>
      <c r="E419" s="299" t="s">
        <v>2776</v>
      </c>
      <c r="F419" s="204" t="s">
        <v>624</v>
      </c>
      <c r="G419" s="192" t="s">
        <v>2777</v>
      </c>
      <c r="H41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419" s="194">
        <v>138159</v>
      </c>
      <c r="J419" s="194">
        <f>+Elementos_[[#This Row],[Valor de referencia]]*Elementos_[[#This Row],[Cantidad]]</f>
        <v>1381590</v>
      </c>
      <c r="K419" s="166"/>
      <c r="L419" s="159">
        <f>+Elementos_[[#This Row],[Cantidad LANIP]]*Elementos_[[#This Row],[Valor de referencia]]</f>
        <v>0</v>
      </c>
      <c r="M419" s="270">
        <v>0</v>
      </c>
      <c r="N419" s="195">
        <f>+Elementos_[[#This Row],[Cantidad 
LDV]]*Elementos_[[#This Row],[Valor de referencia]]</f>
        <v>0</v>
      </c>
      <c r="O419" s="166"/>
      <c r="P419" s="159">
        <f>+Elementos_[[#This Row],[Cantidad LNDV]]*Elementos_[[#This Row],[Valor de referencia]]</f>
        <v>0</v>
      </c>
      <c r="Q419" s="196"/>
      <c r="R419" s="159">
        <f>+Elementos_[[#This Row],[GGCA]]*Elementos_[[#This Row],[Valor de referencia]]</f>
        <v>0</v>
      </c>
      <c r="S419" s="166">
        <v>10</v>
      </c>
      <c r="T419" s="159">
        <f>+Elementos_[[#This Row],[Cantidad LDF]]*Elementos_[[#This Row],[Valor de referencia]]</f>
        <v>1381590</v>
      </c>
      <c r="U419" s="197"/>
      <c r="V419" s="159">
        <f>+Elementos_[[#This Row],[Cantidad LDF&amp;MR]]*Elementos_[[#This Row],[Valor de referencia]]</f>
        <v>0</v>
      </c>
      <c r="W419" s="166"/>
      <c r="X419" s="159">
        <f>+Elementos_[[#This Row],[Cantidad RED LASE]]*Elementos_[[#This Row],[Valor de referencia]]</f>
        <v>0</v>
      </c>
      <c r="Y419" s="196"/>
      <c r="Z419" s="159">
        <f>+Elementos_[[#This Row],[Cantidad LANIA]]*Elementos_[[#This Row],[Valor de referencia]]</f>
        <v>0</v>
      </c>
      <c r="AA419" s="196"/>
      <c r="AB419" s="159">
        <f>+Elementos_[[#This Row],[Cantidad SPA]]*Elementos_[[#This Row],[Valor de referencia]]</f>
        <v>0</v>
      </c>
      <c r="AC419" s="166" t="s">
        <v>2041</v>
      </c>
    </row>
    <row r="420" spans="1:29" ht="24" x14ac:dyDescent="0.2">
      <c r="A420" s="294" t="str">
        <f>IF(B420=Elementos_[[#This Row],[Cantidad LANIP]],"LANIP",IF(B420=Elementos_[[#This Row],[Cantidad 
LDV]],"LDV",IF(B420=Elementos_[[#This Row],[Cantidad LNDV]],"LNDV",IF(B420=Elementos_[[#This Row],[GGCA]],"GGCA",IF(B420=Elementos_[[#This Row],[Cantidad LDF]],"LDF",IF(B420=Elementos_[[#This Row],[Cantidad LDF&amp;MR]],"LDF&amp;MR",IF(B420=Elementos_[[#This Row],[Cantidad RED LASE]],"LASE",IF(B420=Elementos_[[#This Row],[Cantidad LANIA]],"LANIA",IF(B420=Elementos_[[#This Row],[Cantidad SPA]],"SPA"," ")))))))))</f>
        <v>LDF</v>
      </c>
      <c r="B42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20" s="298">
        <v>418</v>
      </c>
      <c r="D420" s="190">
        <v>632</v>
      </c>
      <c r="E420" s="273" t="s">
        <v>2778</v>
      </c>
      <c r="F420" s="204" t="s">
        <v>2779</v>
      </c>
      <c r="G420" s="192" t="s">
        <v>2780</v>
      </c>
      <c r="H42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420" s="194">
        <v>251328</v>
      </c>
      <c r="J420" s="194">
        <f>+Elementos_[[#This Row],[Valor de referencia]]*Elementos_[[#This Row],[Cantidad]]</f>
        <v>753984</v>
      </c>
      <c r="K420" s="166"/>
      <c r="L420" s="159">
        <f>+Elementos_[[#This Row],[Cantidad LANIP]]*Elementos_[[#This Row],[Valor de referencia]]</f>
        <v>0</v>
      </c>
      <c r="M420" s="270">
        <v>0</v>
      </c>
      <c r="N420" s="195">
        <f>+Elementos_[[#This Row],[Cantidad 
LDV]]*Elementos_[[#This Row],[Valor de referencia]]</f>
        <v>0</v>
      </c>
      <c r="O420" s="166"/>
      <c r="P420" s="159">
        <f>+Elementos_[[#This Row],[Cantidad LNDV]]*Elementos_[[#This Row],[Valor de referencia]]</f>
        <v>0</v>
      </c>
      <c r="Q420" s="196"/>
      <c r="R420" s="159">
        <f>+Elementos_[[#This Row],[GGCA]]*Elementos_[[#This Row],[Valor de referencia]]</f>
        <v>0</v>
      </c>
      <c r="S420" s="166">
        <v>2</v>
      </c>
      <c r="T420" s="159">
        <f>+Elementos_[[#This Row],[Cantidad LDF]]*Elementos_[[#This Row],[Valor de referencia]]</f>
        <v>502656</v>
      </c>
      <c r="U420" s="197"/>
      <c r="V420" s="159">
        <f>+Elementos_[[#This Row],[Cantidad LDF&amp;MR]]*Elementos_[[#This Row],[Valor de referencia]]</f>
        <v>0</v>
      </c>
      <c r="W420" s="166"/>
      <c r="X420" s="159">
        <f>+Elementos_[[#This Row],[Cantidad RED LASE]]*Elementos_[[#This Row],[Valor de referencia]]</f>
        <v>0</v>
      </c>
      <c r="Y420" s="196">
        <v>1</v>
      </c>
      <c r="Z420" s="159">
        <f>+Elementos_[[#This Row],[Cantidad LANIA]]*Elementos_[[#This Row],[Valor de referencia]]</f>
        <v>251328</v>
      </c>
      <c r="AA420" s="196"/>
      <c r="AB420" s="159">
        <f>+Elementos_[[#This Row],[Cantidad SPA]]*Elementos_[[#This Row],[Valor de referencia]]</f>
        <v>0</v>
      </c>
      <c r="AC420" s="166" t="s">
        <v>2041</v>
      </c>
    </row>
    <row r="421" spans="1:29" ht="24" x14ac:dyDescent="0.2">
      <c r="A421" s="294" t="str">
        <f>IF(B421=Elementos_[[#This Row],[Cantidad LANIP]],"LANIP",IF(B421=Elementos_[[#This Row],[Cantidad 
LDV]],"LDV",IF(B421=Elementos_[[#This Row],[Cantidad LNDV]],"LNDV",IF(B421=Elementos_[[#This Row],[GGCA]],"GGCA",IF(B421=Elementos_[[#This Row],[Cantidad LDF]],"LDF",IF(B421=Elementos_[[#This Row],[Cantidad LDF&amp;MR]],"LDF&amp;MR",IF(B421=Elementos_[[#This Row],[Cantidad RED LASE]],"LASE",IF(B421=Elementos_[[#This Row],[Cantidad LANIA]],"LANIA",IF(B421=Elementos_[[#This Row],[Cantidad SPA]],"SPA"," ")))))))))</f>
        <v>LANIA</v>
      </c>
      <c r="B42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421" s="298">
        <v>419</v>
      </c>
      <c r="D421" s="190">
        <v>637</v>
      </c>
      <c r="E421" s="273" t="s">
        <v>2781</v>
      </c>
      <c r="F421" s="201" t="s">
        <v>2782</v>
      </c>
      <c r="G421" s="202" t="s">
        <v>2092</v>
      </c>
      <c r="H42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421" s="194">
        <v>287786</v>
      </c>
      <c r="J421" s="194">
        <f>+Elementos_[[#This Row],[Valor de referencia]]*Elementos_[[#This Row],[Cantidad]]</f>
        <v>1438930</v>
      </c>
      <c r="K421" s="166"/>
      <c r="L421" s="159">
        <f>+Elementos_[[#This Row],[Cantidad LANIP]]*Elementos_[[#This Row],[Valor de referencia]]</f>
        <v>0</v>
      </c>
      <c r="M421" s="270">
        <v>0</v>
      </c>
      <c r="N421" s="195">
        <f>+Elementos_[[#This Row],[Cantidad 
LDV]]*Elementos_[[#This Row],[Valor de referencia]]</f>
        <v>0</v>
      </c>
      <c r="O421" s="166"/>
      <c r="P421" s="159">
        <f>+Elementos_[[#This Row],[Cantidad LNDV]]*Elementos_[[#This Row],[Valor de referencia]]</f>
        <v>0</v>
      </c>
      <c r="Q421" s="196"/>
      <c r="R421" s="159">
        <f>+Elementos_[[#This Row],[GGCA]]*Elementos_[[#This Row],[Valor de referencia]]</f>
        <v>0</v>
      </c>
      <c r="S421" s="166">
        <v>2</v>
      </c>
      <c r="T421" s="159">
        <f>+Elementos_[[#This Row],[Cantidad LDF]]*Elementos_[[#This Row],[Valor de referencia]]</f>
        <v>575572</v>
      </c>
      <c r="U421" s="197"/>
      <c r="V421" s="159">
        <f>+Elementos_[[#This Row],[Cantidad LDF&amp;MR]]*Elementos_[[#This Row],[Valor de referencia]]</f>
        <v>0</v>
      </c>
      <c r="W421" s="166"/>
      <c r="X421" s="159">
        <f>+Elementos_[[#This Row],[Cantidad RED LASE]]*Elementos_[[#This Row],[Valor de referencia]]</f>
        <v>0</v>
      </c>
      <c r="Y421" s="196">
        <v>3</v>
      </c>
      <c r="Z421" s="159">
        <f>+Elementos_[[#This Row],[Cantidad LANIA]]*Elementos_[[#This Row],[Valor de referencia]]</f>
        <v>863358</v>
      </c>
      <c r="AA421" s="196"/>
      <c r="AB421" s="159">
        <f>+Elementos_[[#This Row],[Cantidad SPA]]*Elementos_[[#This Row],[Valor de referencia]]</f>
        <v>0</v>
      </c>
      <c r="AC421" s="166" t="s">
        <v>2041</v>
      </c>
    </row>
    <row r="422" spans="1:29" ht="24" x14ac:dyDescent="0.2">
      <c r="A422" s="294" t="str">
        <f>IF(B422=Elementos_[[#This Row],[Cantidad LANIP]],"LANIP",IF(B422=Elementos_[[#This Row],[Cantidad 
LDV]],"LDV",IF(B422=Elementos_[[#This Row],[Cantidad LNDV]],"LNDV",IF(B422=Elementos_[[#This Row],[GGCA]],"GGCA",IF(B422=Elementos_[[#This Row],[Cantidad LDF]],"LDF",IF(B422=Elementos_[[#This Row],[Cantidad LDF&amp;MR]],"LDF&amp;MR",IF(B422=Elementos_[[#This Row],[Cantidad RED LASE]],"LASE",IF(B422=Elementos_[[#This Row],[Cantidad LANIA]],"LANIA",IF(B422=Elementos_[[#This Row],[Cantidad SPA]],"SPA"," ")))))))))</f>
        <v>LDF</v>
      </c>
      <c r="B42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422" s="298">
        <v>420</v>
      </c>
      <c r="D422" s="190">
        <v>639</v>
      </c>
      <c r="E422" s="273" t="s">
        <v>2783</v>
      </c>
      <c r="F422" s="201" t="s">
        <v>183</v>
      </c>
      <c r="G422" s="192" t="s">
        <v>2784</v>
      </c>
      <c r="H42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32</v>
      </c>
      <c r="I422" s="194">
        <v>32839</v>
      </c>
      <c r="J422" s="194">
        <f>+Elementos_[[#This Row],[Valor de referencia]]*Elementos_[[#This Row],[Cantidad]]</f>
        <v>1050848</v>
      </c>
      <c r="K422" s="166"/>
      <c r="L422" s="159">
        <f>+Elementos_[[#This Row],[Cantidad LANIP]]*Elementos_[[#This Row],[Valor de referencia]]</f>
        <v>0</v>
      </c>
      <c r="M422" s="270"/>
      <c r="N422" s="195">
        <f>+Elementos_[[#This Row],[Cantidad 
LDV]]*Elementos_[[#This Row],[Valor de referencia]]</f>
        <v>0</v>
      </c>
      <c r="O422" s="166"/>
      <c r="P422" s="159">
        <f>+Elementos_[[#This Row],[Cantidad LNDV]]*Elementos_[[#This Row],[Valor de referencia]]</f>
        <v>0</v>
      </c>
      <c r="Q422" s="196"/>
      <c r="R422" s="159">
        <f>+Elementos_[[#This Row],[GGCA]]*Elementos_[[#This Row],[Valor de referencia]]</f>
        <v>0</v>
      </c>
      <c r="S422" s="166">
        <v>12</v>
      </c>
      <c r="T422" s="159">
        <f>+Elementos_[[#This Row],[Cantidad LDF]]*Elementos_[[#This Row],[Valor de referencia]]</f>
        <v>394068</v>
      </c>
      <c r="U422" s="197">
        <v>10</v>
      </c>
      <c r="V422" s="159">
        <f>+Elementos_[[#This Row],[Cantidad LDF&amp;MR]]*Elementos_[[#This Row],[Valor de referencia]]</f>
        <v>328390</v>
      </c>
      <c r="W422" s="166"/>
      <c r="X422" s="159">
        <f>+Elementos_[[#This Row],[Cantidad RED LASE]]*Elementos_[[#This Row],[Valor de referencia]]</f>
        <v>0</v>
      </c>
      <c r="Y422" s="196">
        <v>10</v>
      </c>
      <c r="Z422" s="159">
        <f>+Elementos_[[#This Row],[Cantidad LANIA]]*Elementos_[[#This Row],[Valor de referencia]]</f>
        <v>328390</v>
      </c>
      <c r="AA422" s="196"/>
      <c r="AB422" s="159">
        <f>+Elementos_[[#This Row],[Cantidad SPA]]*Elementos_[[#This Row],[Valor de referencia]]</f>
        <v>0</v>
      </c>
      <c r="AC422" s="166" t="s">
        <v>2041</v>
      </c>
    </row>
    <row r="423" spans="1:29" ht="12.75" x14ac:dyDescent="0.2">
      <c r="A423" s="294" t="str">
        <f>IF(B423=Elementos_[[#This Row],[Cantidad LANIP]],"LANIP",IF(B423=Elementos_[[#This Row],[Cantidad 
LDV]],"LDV",IF(B423=Elementos_[[#This Row],[Cantidad LNDV]],"LNDV",IF(B423=Elementos_[[#This Row],[GGCA]],"GGCA",IF(B423=Elementos_[[#This Row],[Cantidad LDF]],"LDF",IF(B423=Elementos_[[#This Row],[Cantidad LDF&amp;MR]],"LDF&amp;MR",IF(B423=Elementos_[[#This Row],[Cantidad RED LASE]],"LASE",IF(B423=Elementos_[[#This Row],[Cantidad LANIA]],"LANIA",IF(B423=Elementos_[[#This Row],[Cantidad SPA]],"SPA"," ")))))))))</f>
        <v>LDF</v>
      </c>
      <c r="B42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423" s="298">
        <v>421</v>
      </c>
      <c r="D423" s="190">
        <v>640</v>
      </c>
      <c r="E423" s="277" t="s">
        <v>2785</v>
      </c>
      <c r="F423" s="204" t="s">
        <v>183</v>
      </c>
      <c r="G423" s="192" t="s">
        <v>2786</v>
      </c>
      <c r="H42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23" s="194">
        <v>73218</v>
      </c>
      <c r="J423" s="194">
        <f>+Elementos_[[#This Row],[Valor de referencia]]*Elementos_[[#This Row],[Cantidad]]</f>
        <v>439308</v>
      </c>
      <c r="K423" s="166"/>
      <c r="L423" s="159">
        <f>+Elementos_[[#This Row],[Cantidad LANIP]]*Elementos_[[#This Row],[Valor de referencia]]</f>
        <v>0</v>
      </c>
      <c r="M423" s="270"/>
      <c r="N423" s="195">
        <f>+Elementos_[[#This Row],[Cantidad 
LDV]]*Elementos_[[#This Row],[Valor de referencia]]</f>
        <v>0</v>
      </c>
      <c r="O423" s="166"/>
      <c r="P423" s="159">
        <f>+Elementos_[[#This Row],[Cantidad LNDV]]*Elementos_[[#This Row],[Valor de referencia]]</f>
        <v>0</v>
      </c>
      <c r="Q423" s="196"/>
      <c r="R423" s="159">
        <f>+Elementos_[[#This Row],[GGCA]]*Elementos_[[#This Row],[Valor de referencia]]</f>
        <v>0</v>
      </c>
      <c r="S423" s="166">
        <v>6</v>
      </c>
      <c r="T423" s="159">
        <f>+Elementos_[[#This Row],[Cantidad LDF]]*Elementos_[[#This Row],[Valor de referencia]]</f>
        <v>439308</v>
      </c>
      <c r="U423" s="197"/>
      <c r="V423" s="159">
        <f>+Elementos_[[#This Row],[Cantidad LDF&amp;MR]]*Elementos_[[#This Row],[Valor de referencia]]</f>
        <v>0</v>
      </c>
      <c r="W423" s="166"/>
      <c r="X423" s="159">
        <f>+Elementos_[[#This Row],[Cantidad RED LASE]]*Elementos_[[#This Row],[Valor de referencia]]</f>
        <v>0</v>
      </c>
      <c r="Y423" s="196"/>
      <c r="Z423" s="159">
        <f>+Elementos_[[#This Row],[Cantidad LANIA]]*Elementos_[[#This Row],[Valor de referencia]]</f>
        <v>0</v>
      </c>
      <c r="AA423" s="196"/>
      <c r="AB423" s="159">
        <f>+Elementos_[[#This Row],[Cantidad SPA]]*Elementos_[[#This Row],[Valor de referencia]]</f>
        <v>0</v>
      </c>
      <c r="AC423" s="166" t="s">
        <v>2049</v>
      </c>
    </row>
    <row r="424" spans="1:29" ht="12.75" x14ac:dyDescent="0.2">
      <c r="A424" s="294" t="str">
        <f>IF(B424=Elementos_[[#This Row],[Cantidad LANIP]],"LANIP",IF(B424=Elementos_[[#This Row],[Cantidad 
LDV]],"LDV",IF(B424=Elementos_[[#This Row],[Cantidad LNDV]],"LNDV",IF(B424=Elementos_[[#This Row],[GGCA]],"GGCA",IF(B424=Elementos_[[#This Row],[Cantidad LDF]],"LDF",IF(B424=Elementos_[[#This Row],[Cantidad LDF&amp;MR]],"LDF&amp;MR",IF(B424=Elementos_[[#This Row],[Cantidad RED LASE]],"LASE",IF(B424=Elementos_[[#This Row],[Cantidad LANIA]],"LANIA",IF(B424=Elementos_[[#This Row],[Cantidad SPA]],"SPA"," ")))))))))</f>
        <v>LDF</v>
      </c>
      <c r="B42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424" s="298">
        <v>422</v>
      </c>
      <c r="D424" s="190">
        <v>641</v>
      </c>
      <c r="E424" s="277" t="s">
        <v>2787</v>
      </c>
      <c r="F424" s="204" t="s">
        <v>183</v>
      </c>
      <c r="G424" s="192" t="s">
        <v>2788</v>
      </c>
      <c r="H42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24" s="194">
        <v>49798</v>
      </c>
      <c r="J424" s="194">
        <f>+Elementos_[[#This Row],[Valor de referencia]]*Elementos_[[#This Row],[Cantidad]]</f>
        <v>298788</v>
      </c>
      <c r="K424" s="166"/>
      <c r="L424" s="159">
        <f>+Elementos_[[#This Row],[Cantidad LANIP]]*Elementos_[[#This Row],[Valor de referencia]]</f>
        <v>0</v>
      </c>
      <c r="M424" s="270">
        <v>0</v>
      </c>
      <c r="N424" s="195">
        <f>+Elementos_[[#This Row],[Cantidad 
LDV]]*Elementos_[[#This Row],[Valor de referencia]]</f>
        <v>0</v>
      </c>
      <c r="O424" s="166"/>
      <c r="P424" s="159">
        <f>+Elementos_[[#This Row],[Cantidad LNDV]]*Elementos_[[#This Row],[Valor de referencia]]</f>
        <v>0</v>
      </c>
      <c r="Q424" s="196"/>
      <c r="R424" s="159">
        <f>+Elementos_[[#This Row],[GGCA]]*Elementos_[[#This Row],[Valor de referencia]]</f>
        <v>0</v>
      </c>
      <c r="S424" s="166">
        <v>6</v>
      </c>
      <c r="T424" s="159">
        <f>+Elementos_[[#This Row],[Cantidad LDF]]*Elementos_[[#This Row],[Valor de referencia]]</f>
        <v>298788</v>
      </c>
      <c r="U424" s="197"/>
      <c r="V424" s="159">
        <f>+Elementos_[[#This Row],[Cantidad LDF&amp;MR]]*Elementos_[[#This Row],[Valor de referencia]]</f>
        <v>0</v>
      </c>
      <c r="W424" s="166"/>
      <c r="X424" s="159">
        <f>+Elementos_[[#This Row],[Cantidad RED LASE]]*Elementos_[[#This Row],[Valor de referencia]]</f>
        <v>0</v>
      </c>
      <c r="Y424" s="196"/>
      <c r="Z424" s="159">
        <f>+Elementos_[[#This Row],[Cantidad LANIA]]*Elementos_[[#This Row],[Valor de referencia]]</f>
        <v>0</v>
      </c>
      <c r="AA424" s="196"/>
      <c r="AB424" s="159">
        <f>+Elementos_[[#This Row],[Cantidad SPA]]*Elementos_[[#This Row],[Valor de referencia]]</f>
        <v>0</v>
      </c>
      <c r="AC424" s="166" t="s">
        <v>2049</v>
      </c>
    </row>
    <row r="425" spans="1:29" ht="31.5" customHeight="1" x14ac:dyDescent="0.2">
      <c r="A425" s="294" t="str">
        <f>IF(B425=Elementos_[[#This Row],[Cantidad LANIP]],"LANIP",IF(B425=Elementos_[[#This Row],[Cantidad 
LDV]],"LDV",IF(B425=Elementos_[[#This Row],[Cantidad LNDV]],"LNDV",IF(B425=Elementos_[[#This Row],[GGCA]],"GGCA",IF(B425=Elementos_[[#This Row],[Cantidad LDF]],"LDF",IF(B425=Elementos_[[#This Row],[Cantidad LDF&amp;MR]],"LDF&amp;MR",IF(B425=Elementos_[[#This Row],[Cantidad RED LASE]],"LASE",IF(B425=Elementos_[[#This Row],[Cantidad LANIA]],"LANIA",IF(B425=Elementos_[[#This Row],[Cantidad SPA]],"SPA"," ")))))))))</f>
        <v>LDF&amp;MR</v>
      </c>
      <c r="B42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25" s="298">
        <v>423</v>
      </c>
      <c r="D425" s="190">
        <v>642</v>
      </c>
      <c r="E425" s="273" t="s">
        <v>2789</v>
      </c>
      <c r="F425" s="201" t="s">
        <v>2790</v>
      </c>
      <c r="G425" s="192" t="s">
        <v>525</v>
      </c>
      <c r="H42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425" s="194">
        <v>292946</v>
      </c>
      <c r="J425" s="194">
        <f>+Elementos_[[#This Row],[Valor de referencia]]*Elementos_[[#This Row],[Cantidad]]</f>
        <v>1171784</v>
      </c>
      <c r="K425" s="166"/>
      <c r="L425" s="159">
        <f>+Elementos_[[#This Row],[Cantidad LANIP]]*Elementos_[[#This Row],[Valor de referencia]]</f>
        <v>0</v>
      </c>
      <c r="M425" s="270"/>
      <c r="N425" s="195">
        <f>+Elementos_[[#This Row],[Cantidad 
LDV]]*Elementos_[[#This Row],[Valor de referencia]]</f>
        <v>0</v>
      </c>
      <c r="O425" s="166"/>
      <c r="P425" s="159">
        <f>+Elementos_[[#This Row],[Cantidad LNDV]]*Elementos_[[#This Row],[Valor de referencia]]</f>
        <v>0</v>
      </c>
      <c r="Q425" s="196"/>
      <c r="R425" s="159">
        <f>+Elementos_[[#This Row],[GGCA]]*Elementos_[[#This Row],[Valor de referencia]]</f>
        <v>0</v>
      </c>
      <c r="S425" s="166"/>
      <c r="T425" s="159">
        <f>+Elementos_[[#This Row],[Cantidad LDF]]*Elementos_[[#This Row],[Valor de referencia]]</f>
        <v>0</v>
      </c>
      <c r="U425" s="197">
        <v>2</v>
      </c>
      <c r="V425" s="159">
        <f>+Elementos_[[#This Row],[Cantidad LDF&amp;MR]]*Elementos_[[#This Row],[Valor de referencia]]</f>
        <v>585892</v>
      </c>
      <c r="W425" s="166"/>
      <c r="X425" s="159">
        <f>+Elementos_[[#This Row],[Cantidad RED LASE]]*Elementos_[[#This Row],[Valor de referencia]]</f>
        <v>0</v>
      </c>
      <c r="Y425" s="196">
        <v>2</v>
      </c>
      <c r="Z425" s="159">
        <f>+Elementos_[[#This Row],[Cantidad LANIA]]*Elementos_[[#This Row],[Valor de referencia]]</f>
        <v>585892</v>
      </c>
      <c r="AA425" s="196"/>
      <c r="AB425" s="159">
        <f>+Elementos_[[#This Row],[Cantidad SPA]]*Elementos_[[#This Row],[Valor de referencia]]</f>
        <v>0</v>
      </c>
      <c r="AC425" s="166" t="s">
        <v>2041</v>
      </c>
    </row>
    <row r="426" spans="1:29" ht="60" x14ac:dyDescent="0.2">
      <c r="A426" s="294" t="str">
        <f>IF(B426=Elementos_[[#This Row],[Cantidad LANIP]],"LANIP",IF(B426=Elementos_[[#This Row],[Cantidad 
LDV]],"LDV",IF(B426=Elementos_[[#This Row],[Cantidad LNDV]],"LNDV",IF(B426=Elementos_[[#This Row],[GGCA]],"GGCA",IF(B426=Elementos_[[#This Row],[Cantidad LDF]],"LDF",IF(B426=Elementos_[[#This Row],[Cantidad LDF&amp;MR]],"LDF&amp;MR",IF(B426=Elementos_[[#This Row],[Cantidad RED LASE]],"LASE",IF(B426=Elementos_[[#This Row],[Cantidad LANIA]],"LANIA",IF(B426=Elementos_[[#This Row],[Cantidad SPA]],"SPA"," ")))))))))</f>
        <v>LDF</v>
      </c>
      <c r="B42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26" s="298">
        <v>424</v>
      </c>
      <c r="D426" s="190">
        <v>643</v>
      </c>
      <c r="E426" s="273" t="s">
        <v>2791</v>
      </c>
      <c r="F426" s="201" t="s">
        <v>2792</v>
      </c>
      <c r="G426" s="192" t="s">
        <v>2793</v>
      </c>
      <c r="H42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426" s="194">
        <v>293568</v>
      </c>
      <c r="J426" s="194">
        <f>+Elementos_[[#This Row],[Valor de referencia]]*Elementos_[[#This Row],[Cantidad]]</f>
        <v>587136</v>
      </c>
      <c r="K426" s="166"/>
      <c r="L426" s="159">
        <f>+Elementos_[[#This Row],[Cantidad LANIP]]*Elementos_[[#This Row],[Valor de referencia]]</f>
        <v>0</v>
      </c>
      <c r="M426" s="270">
        <v>0</v>
      </c>
      <c r="N426" s="195">
        <f>+Elementos_[[#This Row],[Cantidad 
LDV]]*Elementos_[[#This Row],[Valor de referencia]]</f>
        <v>0</v>
      </c>
      <c r="O426" s="166"/>
      <c r="P426" s="159">
        <f>+Elementos_[[#This Row],[Cantidad LNDV]]*Elementos_[[#This Row],[Valor de referencia]]</f>
        <v>0</v>
      </c>
      <c r="Q426" s="196"/>
      <c r="R426" s="159">
        <f>+Elementos_[[#This Row],[GGCA]]*Elementos_[[#This Row],[Valor de referencia]]</f>
        <v>0</v>
      </c>
      <c r="S426" s="166">
        <v>2</v>
      </c>
      <c r="T426" s="159">
        <f>+Elementos_[[#This Row],[Cantidad LDF]]*Elementos_[[#This Row],[Valor de referencia]]</f>
        <v>587136</v>
      </c>
      <c r="U426" s="197"/>
      <c r="V426" s="159">
        <f>+Elementos_[[#This Row],[Cantidad LDF&amp;MR]]*Elementos_[[#This Row],[Valor de referencia]]</f>
        <v>0</v>
      </c>
      <c r="W426" s="166"/>
      <c r="X426" s="159">
        <f>+Elementos_[[#This Row],[Cantidad RED LASE]]*Elementos_[[#This Row],[Valor de referencia]]</f>
        <v>0</v>
      </c>
      <c r="Y426" s="196"/>
      <c r="Z426" s="159">
        <f>+Elementos_[[#This Row],[Cantidad LANIA]]*Elementos_[[#This Row],[Valor de referencia]]</f>
        <v>0</v>
      </c>
      <c r="AA426" s="196"/>
      <c r="AB426" s="159">
        <f>+Elementos_[[#This Row],[Cantidad SPA]]*Elementos_[[#This Row],[Valor de referencia]]</f>
        <v>0</v>
      </c>
      <c r="AC426" s="166" t="s">
        <v>2041</v>
      </c>
    </row>
    <row r="427" spans="1:29" ht="48" x14ac:dyDescent="0.2">
      <c r="A427" s="294" t="str">
        <f>IF(B427=Elementos_[[#This Row],[Cantidad LANIP]],"LANIP",IF(B427=Elementos_[[#This Row],[Cantidad 
LDV]],"LDV",IF(B427=Elementos_[[#This Row],[Cantidad LNDV]],"LNDV",IF(B427=Elementos_[[#This Row],[GGCA]],"GGCA",IF(B427=Elementos_[[#This Row],[Cantidad LDF]],"LDF",IF(B427=Elementos_[[#This Row],[Cantidad LDF&amp;MR]],"LDF&amp;MR",IF(B427=Elementos_[[#This Row],[Cantidad RED LASE]],"LASE",IF(B427=Elementos_[[#This Row],[Cantidad LANIA]],"LANIA",IF(B427=Elementos_[[#This Row],[Cantidad SPA]],"SPA"," ")))))))))</f>
        <v>LNDV</v>
      </c>
      <c r="B42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427" s="298">
        <v>425</v>
      </c>
      <c r="D427" s="190">
        <v>645</v>
      </c>
      <c r="E427" s="273" t="s">
        <v>2794</v>
      </c>
      <c r="F427" s="204" t="s">
        <v>2795</v>
      </c>
      <c r="G427" s="192" t="s">
        <v>2796</v>
      </c>
      <c r="H42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427" s="194">
        <v>625583</v>
      </c>
      <c r="J427" s="194">
        <f>+Elementos_[[#This Row],[Valor de referencia]]*Elementos_[[#This Row],[Cantidad]]</f>
        <v>9383745</v>
      </c>
      <c r="K427" s="166"/>
      <c r="L427" s="159">
        <f>+Elementos_[[#This Row],[Cantidad LANIP]]*Elementos_[[#This Row],[Valor de referencia]]</f>
        <v>0</v>
      </c>
      <c r="M427" s="270">
        <v>0</v>
      </c>
      <c r="N427" s="195">
        <f>+Elementos_[[#This Row],[Cantidad 
LDV]]*Elementos_[[#This Row],[Valor de referencia]]</f>
        <v>0</v>
      </c>
      <c r="O427" s="230">
        <v>15</v>
      </c>
      <c r="P427" s="159">
        <f>+Elementos_[[#This Row],[Cantidad LNDV]]*Elementos_[[#This Row],[Valor de referencia]]</f>
        <v>9383745</v>
      </c>
      <c r="Q427" s="196"/>
      <c r="R427" s="159">
        <f>+Elementos_[[#This Row],[GGCA]]*Elementos_[[#This Row],[Valor de referencia]]</f>
        <v>0</v>
      </c>
      <c r="S427" s="166"/>
      <c r="T427" s="159">
        <f>+Elementos_[[#This Row],[Cantidad LDF]]*Elementos_[[#This Row],[Valor de referencia]]</f>
        <v>0</v>
      </c>
      <c r="U427" s="197"/>
      <c r="V427" s="159">
        <f>+Elementos_[[#This Row],[Cantidad LDF&amp;MR]]*Elementos_[[#This Row],[Valor de referencia]]</f>
        <v>0</v>
      </c>
      <c r="W427" s="166"/>
      <c r="X427" s="159">
        <f>+Elementos_[[#This Row],[Cantidad RED LASE]]*Elementos_[[#This Row],[Valor de referencia]]</f>
        <v>0</v>
      </c>
      <c r="Y427" s="196"/>
      <c r="Z427" s="159">
        <f>+Elementos_[[#This Row],[Cantidad LANIA]]*Elementos_[[#This Row],[Valor de referencia]]</f>
        <v>0</v>
      </c>
      <c r="AA427" s="196"/>
      <c r="AB427" s="159">
        <f>+Elementos_[[#This Row],[Cantidad SPA]]*Elementos_[[#This Row],[Valor de referencia]]</f>
        <v>0</v>
      </c>
      <c r="AC427" s="166" t="s">
        <v>2049</v>
      </c>
    </row>
    <row r="428" spans="1:29" ht="24" x14ac:dyDescent="0.2">
      <c r="A428" s="294" t="str">
        <f>IF(B428=Elementos_[[#This Row],[Cantidad LANIP]],"LANIP",IF(B428=Elementos_[[#This Row],[Cantidad 
LDV]],"LDV",IF(B428=Elementos_[[#This Row],[Cantidad LNDV]],"LNDV",IF(B428=Elementos_[[#This Row],[GGCA]],"GGCA",IF(B428=Elementos_[[#This Row],[Cantidad LDF]],"LDF",IF(B428=Elementos_[[#This Row],[Cantidad LDF&amp;MR]],"LDF&amp;MR",IF(B428=Elementos_[[#This Row],[Cantidad RED LASE]],"LASE",IF(B428=Elementos_[[#This Row],[Cantidad LANIA]],"LANIA",IF(B428=Elementos_[[#This Row],[Cantidad SPA]],"SPA"," ")))))))))</f>
        <v>LANIA</v>
      </c>
      <c r="B42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428" s="298">
        <v>426</v>
      </c>
      <c r="D428" s="190">
        <v>647</v>
      </c>
      <c r="E428" s="273" t="s">
        <v>2797</v>
      </c>
      <c r="F428" s="204" t="s">
        <v>624</v>
      </c>
      <c r="G428" s="231" t="s">
        <v>2798</v>
      </c>
      <c r="H42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428" s="194">
        <v>142800</v>
      </c>
      <c r="J428" s="194">
        <f>+Elementos_[[#This Row],[Valor de referencia]]*Elementos_[[#This Row],[Cantidad]]</f>
        <v>1428000</v>
      </c>
      <c r="K428" s="166"/>
      <c r="L428" s="159">
        <f>+Elementos_[[#This Row],[Cantidad LANIP]]*Elementos_[[#This Row],[Valor de referencia]]</f>
        <v>0</v>
      </c>
      <c r="M428" s="270">
        <v>0</v>
      </c>
      <c r="N428" s="195">
        <f>+Elementos_[[#This Row],[Cantidad 
LDV]]*Elementos_[[#This Row],[Valor de referencia]]</f>
        <v>0</v>
      </c>
      <c r="O428" s="166"/>
      <c r="P428" s="159">
        <f>+Elementos_[[#This Row],[Cantidad LNDV]]*Elementos_[[#This Row],[Valor de referencia]]</f>
        <v>0</v>
      </c>
      <c r="Q428" s="196"/>
      <c r="R428" s="159">
        <f>+Elementos_[[#This Row],[GGCA]]*Elementos_[[#This Row],[Valor de referencia]]</f>
        <v>0</v>
      </c>
      <c r="S428" s="166"/>
      <c r="T428" s="159">
        <f>+Elementos_[[#This Row],[Cantidad LDF]]*Elementos_[[#This Row],[Valor de referencia]]</f>
        <v>0</v>
      </c>
      <c r="U428" s="197"/>
      <c r="V428" s="159">
        <f>+Elementos_[[#This Row],[Cantidad LDF&amp;MR]]*Elementos_[[#This Row],[Valor de referencia]]</f>
        <v>0</v>
      </c>
      <c r="W428" s="166"/>
      <c r="X428" s="159">
        <f>+Elementos_[[#This Row],[Cantidad RED LASE]]*Elementos_[[#This Row],[Valor de referencia]]</f>
        <v>0</v>
      </c>
      <c r="Y428" s="196">
        <v>10</v>
      </c>
      <c r="Z428" s="159">
        <f>+Elementos_[[#This Row],[Cantidad LANIA]]*Elementos_[[#This Row],[Valor de referencia]]</f>
        <v>1428000</v>
      </c>
      <c r="AA428" s="196"/>
      <c r="AB428" s="159">
        <f>+Elementos_[[#This Row],[Cantidad SPA]]*Elementos_[[#This Row],[Valor de referencia]]</f>
        <v>0</v>
      </c>
      <c r="AC428" s="166" t="s">
        <v>2049</v>
      </c>
    </row>
    <row r="429" spans="1:29" ht="24" x14ac:dyDescent="0.2">
      <c r="A429" s="294" t="str">
        <f>IF(B429=Elementos_[[#This Row],[Cantidad LANIP]],"LANIP",IF(B429=Elementos_[[#This Row],[Cantidad 
LDV]],"LDV",IF(B429=Elementos_[[#This Row],[Cantidad LNDV]],"LNDV",IF(B429=Elementos_[[#This Row],[GGCA]],"GGCA",IF(B429=Elementos_[[#This Row],[Cantidad LDF]],"LDF",IF(B429=Elementos_[[#This Row],[Cantidad LDF&amp;MR]],"LDF&amp;MR",IF(B429=Elementos_[[#This Row],[Cantidad RED LASE]],"LASE",IF(B429=Elementos_[[#This Row],[Cantidad LANIA]],"LANIA",IF(B429=Elementos_[[#This Row],[Cantidad SPA]],"SPA"," ")))))))))</f>
        <v>LANIA</v>
      </c>
      <c r="B42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429" s="298">
        <v>427</v>
      </c>
      <c r="D429" s="190">
        <v>648</v>
      </c>
      <c r="E429" s="273" t="s">
        <v>2797</v>
      </c>
      <c r="F429" s="204" t="s">
        <v>624</v>
      </c>
      <c r="G429" s="231" t="s">
        <v>2799</v>
      </c>
      <c r="H42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429" s="194">
        <v>220388</v>
      </c>
      <c r="J429" s="194">
        <f>+Elementos_[[#This Row],[Valor de referencia]]*Elementos_[[#This Row],[Cantidad]]</f>
        <v>1101940</v>
      </c>
      <c r="K429" s="166"/>
      <c r="L429" s="159">
        <f>+Elementos_[[#This Row],[Cantidad LANIP]]*Elementos_[[#This Row],[Valor de referencia]]</f>
        <v>0</v>
      </c>
      <c r="M429" s="270">
        <v>0</v>
      </c>
      <c r="N429" s="195">
        <f>+Elementos_[[#This Row],[Cantidad 
LDV]]*Elementos_[[#This Row],[Valor de referencia]]</f>
        <v>0</v>
      </c>
      <c r="O429" s="166"/>
      <c r="P429" s="159">
        <f>+Elementos_[[#This Row],[Cantidad LNDV]]*Elementos_[[#This Row],[Valor de referencia]]</f>
        <v>0</v>
      </c>
      <c r="Q429" s="196"/>
      <c r="R429" s="159">
        <f>+Elementos_[[#This Row],[GGCA]]*Elementos_[[#This Row],[Valor de referencia]]</f>
        <v>0</v>
      </c>
      <c r="S429" s="166"/>
      <c r="T429" s="159">
        <f>+Elementos_[[#This Row],[Cantidad LDF]]*Elementos_[[#This Row],[Valor de referencia]]</f>
        <v>0</v>
      </c>
      <c r="U429" s="197"/>
      <c r="V429" s="159">
        <f>+Elementos_[[#This Row],[Cantidad LDF&amp;MR]]*Elementos_[[#This Row],[Valor de referencia]]</f>
        <v>0</v>
      </c>
      <c r="W429" s="166"/>
      <c r="X429" s="159">
        <f>+Elementos_[[#This Row],[Cantidad RED LASE]]*Elementos_[[#This Row],[Valor de referencia]]</f>
        <v>0</v>
      </c>
      <c r="Y429" s="196">
        <v>5</v>
      </c>
      <c r="Z429" s="159">
        <f>+Elementos_[[#This Row],[Cantidad LANIA]]*Elementos_[[#This Row],[Valor de referencia]]</f>
        <v>1101940</v>
      </c>
      <c r="AA429" s="196"/>
      <c r="AB429" s="159">
        <f>+Elementos_[[#This Row],[Cantidad SPA]]*Elementos_[[#This Row],[Valor de referencia]]</f>
        <v>0</v>
      </c>
      <c r="AC429" s="166" t="s">
        <v>2049</v>
      </c>
    </row>
    <row r="430" spans="1:29" ht="36" x14ac:dyDescent="0.2">
      <c r="A430" s="294" t="str">
        <f>IF(B430=Elementos_[[#This Row],[Cantidad LANIP]],"LANIP",IF(B430=Elementos_[[#This Row],[Cantidad 
LDV]],"LDV",IF(B430=Elementos_[[#This Row],[Cantidad LNDV]],"LNDV",IF(B430=Elementos_[[#This Row],[GGCA]],"GGCA",IF(B430=Elementos_[[#This Row],[Cantidad LDF]],"LDF",IF(B430=Elementos_[[#This Row],[Cantidad LDF&amp;MR]],"LDF&amp;MR",IF(B430=Elementos_[[#This Row],[Cantidad RED LASE]],"LASE",IF(B430=Elementos_[[#This Row],[Cantidad LANIA]],"LANIA",IF(B430=Elementos_[[#This Row],[Cantidad SPA]],"SPA"," ")))))))))</f>
        <v>LDF</v>
      </c>
      <c r="B43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430" s="298">
        <v>428</v>
      </c>
      <c r="D430" s="190">
        <v>652</v>
      </c>
      <c r="E430" s="273" t="s">
        <v>2800</v>
      </c>
      <c r="F430" s="201" t="s">
        <v>2801</v>
      </c>
      <c r="G430" s="192" t="s">
        <v>1256</v>
      </c>
      <c r="H43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30" s="194">
        <v>302331</v>
      </c>
      <c r="J430" s="194">
        <f>+Elementos_[[#This Row],[Valor de referencia]]*Elementos_[[#This Row],[Cantidad]]</f>
        <v>1813986</v>
      </c>
      <c r="K430" s="166"/>
      <c r="L430" s="159">
        <f>+Elementos_[[#This Row],[Cantidad LANIP]]*Elementos_[[#This Row],[Valor de referencia]]</f>
        <v>0</v>
      </c>
      <c r="M430" s="270">
        <v>0</v>
      </c>
      <c r="N430" s="195">
        <f>+Elementos_[[#This Row],[Cantidad 
LDV]]*Elementos_[[#This Row],[Valor de referencia]]</f>
        <v>0</v>
      </c>
      <c r="O430" s="166"/>
      <c r="P430" s="159">
        <f>+Elementos_[[#This Row],[Cantidad LNDV]]*Elementos_[[#This Row],[Valor de referencia]]</f>
        <v>0</v>
      </c>
      <c r="Q430" s="196"/>
      <c r="R430" s="159">
        <f>+Elementos_[[#This Row],[GGCA]]*Elementos_[[#This Row],[Valor de referencia]]</f>
        <v>0</v>
      </c>
      <c r="S430" s="166">
        <v>4</v>
      </c>
      <c r="T430" s="159">
        <f>+Elementos_[[#This Row],[Cantidad LDF]]*Elementos_[[#This Row],[Valor de referencia]]</f>
        <v>1209324</v>
      </c>
      <c r="U430" s="197">
        <v>2</v>
      </c>
      <c r="V430" s="159">
        <f>+Elementos_[[#This Row],[Cantidad LDF&amp;MR]]*Elementos_[[#This Row],[Valor de referencia]]</f>
        <v>604662</v>
      </c>
      <c r="W430" s="166"/>
      <c r="X430" s="159">
        <f>+Elementos_[[#This Row],[Cantidad RED LASE]]*Elementos_[[#This Row],[Valor de referencia]]</f>
        <v>0</v>
      </c>
      <c r="Y430" s="196"/>
      <c r="Z430" s="159">
        <f>+Elementos_[[#This Row],[Cantidad LANIA]]*Elementos_[[#This Row],[Valor de referencia]]</f>
        <v>0</v>
      </c>
      <c r="AA430" s="196"/>
      <c r="AB430" s="159">
        <f>+Elementos_[[#This Row],[Cantidad SPA]]*Elementos_[[#This Row],[Valor de referencia]]</f>
        <v>0</v>
      </c>
      <c r="AC430" s="166" t="s">
        <v>2041</v>
      </c>
    </row>
    <row r="431" spans="1:29" ht="18" customHeight="1" x14ac:dyDescent="0.2">
      <c r="A431" s="294" t="str">
        <f>IF(B431=Elementos_[[#This Row],[Cantidad LANIP]],"LANIP",IF(B431=Elementos_[[#This Row],[Cantidad 
LDV]],"LDV",IF(B431=Elementos_[[#This Row],[Cantidad LNDV]],"LNDV",IF(B431=Elementos_[[#This Row],[GGCA]],"GGCA",IF(B431=Elementos_[[#This Row],[Cantidad LDF]],"LDF",IF(B431=Elementos_[[#This Row],[Cantidad LDF&amp;MR]],"LDF&amp;MR",IF(B431=Elementos_[[#This Row],[Cantidad RED LASE]],"LASE",IF(B431=Elementos_[[#This Row],[Cantidad LANIA]],"LANIA",IF(B431=Elementos_[[#This Row],[Cantidad SPA]],"SPA"," ")))))))))</f>
        <v>LDF</v>
      </c>
      <c r="B43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431" s="298">
        <v>429</v>
      </c>
      <c r="D431" s="190">
        <v>655</v>
      </c>
      <c r="E431" s="285" t="s">
        <v>2802</v>
      </c>
      <c r="F431" s="232" t="s">
        <v>2039</v>
      </c>
      <c r="G431" s="219" t="s">
        <v>2803</v>
      </c>
      <c r="H43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31" s="194">
        <v>145876</v>
      </c>
      <c r="J431" s="194">
        <f>+Elementos_[[#This Row],[Valor de referencia]]*Elementos_[[#This Row],[Cantidad]]</f>
        <v>875256</v>
      </c>
      <c r="K431" s="166"/>
      <c r="L431" s="159">
        <f>+Elementos_[[#This Row],[Cantidad LANIP]]*Elementos_[[#This Row],[Valor de referencia]]</f>
        <v>0</v>
      </c>
      <c r="M431" s="270">
        <v>0</v>
      </c>
      <c r="N431" s="195">
        <f>+Elementos_[[#This Row],[Cantidad 
LDV]]*Elementos_[[#This Row],[Valor de referencia]]</f>
        <v>0</v>
      </c>
      <c r="O431" s="166"/>
      <c r="P431" s="159">
        <f>+Elementos_[[#This Row],[Cantidad LNDV]]*Elementos_[[#This Row],[Valor de referencia]]</f>
        <v>0</v>
      </c>
      <c r="Q431" s="196"/>
      <c r="R431" s="159">
        <f>+Elementos_[[#This Row],[GGCA]]*Elementos_[[#This Row],[Valor de referencia]]</f>
        <v>0</v>
      </c>
      <c r="S431" s="166">
        <v>6</v>
      </c>
      <c r="T431" s="159">
        <f>+Elementos_[[#This Row],[Cantidad LDF]]*Elementos_[[#This Row],[Valor de referencia]]</f>
        <v>875256</v>
      </c>
      <c r="U431" s="197"/>
      <c r="V431" s="159">
        <f>+Elementos_[[#This Row],[Cantidad LDF&amp;MR]]*Elementos_[[#This Row],[Valor de referencia]]</f>
        <v>0</v>
      </c>
      <c r="W431" s="166"/>
      <c r="X431" s="159">
        <f>+Elementos_[[#This Row],[Cantidad RED LASE]]*Elementos_[[#This Row],[Valor de referencia]]</f>
        <v>0</v>
      </c>
      <c r="Y431" s="196"/>
      <c r="Z431" s="159">
        <f>+Elementos_[[#This Row],[Cantidad LANIA]]*Elementos_[[#This Row],[Valor de referencia]]</f>
        <v>0</v>
      </c>
      <c r="AA431" s="196"/>
      <c r="AB431" s="159">
        <f>+Elementos_[[#This Row],[Cantidad SPA]]*Elementos_[[#This Row],[Valor de referencia]]</f>
        <v>0</v>
      </c>
      <c r="AC431" s="166" t="s">
        <v>2041</v>
      </c>
    </row>
    <row r="432" spans="1:29" ht="24" x14ac:dyDescent="0.2">
      <c r="A432" s="294" t="str">
        <f>IF(B432=Elementos_[[#This Row],[Cantidad LANIP]],"LANIP",IF(B432=Elementos_[[#This Row],[Cantidad 
LDV]],"LDV",IF(B432=Elementos_[[#This Row],[Cantidad LNDV]],"LNDV",IF(B432=Elementos_[[#This Row],[GGCA]],"GGCA",IF(B432=Elementos_[[#This Row],[Cantidad LDF]],"LDF",IF(B432=Elementos_[[#This Row],[Cantidad LDF&amp;MR]],"LDF&amp;MR",IF(B432=Elementos_[[#This Row],[Cantidad RED LASE]],"LASE",IF(B432=Elementos_[[#This Row],[Cantidad LANIA]],"LANIA",IF(B432=Elementos_[[#This Row],[Cantidad SPA]],"SPA"," ")))))))))</f>
        <v>LANIA</v>
      </c>
      <c r="B43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32" s="298">
        <v>430</v>
      </c>
      <c r="D432" s="190">
        <v>657</v>
      </c>
      <c r="E432" s="273" t="s">
        <v>2804</v>
      </c>
      <c r="F432" s="201" t="s">
        <v>2805</v>
      </c>
      <c r="G432" s="192" t="s">
        <v>525</v>
      </c>
      <c r="H43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432" s="194">
        <v>640497</v>
      </c>
      <c r="J432" s="194">
        <f>+Elementos_[[#This Row],[Valor de referencia]]*Elementos_[[#This Row],[Cantidad]]</f>
        <v>1921491</v>
      </c>
      <c r="K432" s="166"/>
      <c r="L432" s="159">
        <f>+Elementos_[[#This Row],[Cantidad LANIP]]*Elementos_[[#This Row],[Valor de referencia]]</f>
        <v>0</v>
      </c>
      <c r="M432" s="270">
        <v>0</v>
      </c>
      <c r="N432" s="195">
        <f>+Elementos_[[#This Row],[Cantidad 
LDV]]*Elementos_[[#This Row],[Valor de referencia]]</f>
        <v>0</v>
      </c>
      <c r="O432" s="166"/>
      <c r="P432" s="159">
        <f>+Elementos_[[#This Row],[Cantidad LNDV]]*Elementos_[[#This Row],[Valor de referencia]]</f>
        <v>0</v>
      </c>
      <c r="Q432" s="196"/>
      <c r="R432" s="159">
        <f>+Elementos_[[#This Row],[GGCA]]*Elementos_[[#This Row],[Valor de referencia]]</f>
        <v>0</v>
      </c>
      <c r="S432" s="166"/>
      <c r="T432" s="159">
        <f>+Elementos_[[#This Row],[Cantidad LDF]]*Elementos_[[#This Row],[Valor de referencia]]</f>
        <v>0</v>
      </c>
      <c r="U432" s="197">
        <v>1</v>
      </c>
      <c r="V432" s="159">
        <f>+Elementos_[[#This Row],[Cantidad LDF&amp;MR]]*Elementos_[[#This Row],[Valor de referencia]]</f>
        <v>640497</v>
      </c>
      <c r="W432" s="166"/>
      <c r="X432" s="159">
        <f>+Elementos_[[#This Row],[Cantidad RED LASE]]*Elementos_[[#This Row],[Valor de referencia]]</f>
        <v>0</v>
      </c>
      <c r="Y432" s="196">
        <v>2</v>
      </c>
      <c r="Z432" s="159">
        <f>+Elementos_[[#This Row],[Cantidad LANIA]]*Elementos_[[#This Row],[Valor de referencia]]</f>
        <v>1280994</v>
      </c>
      <c r="AA432" s="196"/>
      <c r="AB432" s="159">
        <f>+Elementos_[[#This Row],[Cantidad SPA]]*Elementos_[[#This Row],[Valor de referencia]]</f>
        <v>0</v>
      </c>
      <c r="AC432" s="166" t="s">
        <v>2041</v>
      </c>
    </row>
    <row r="433" spans="1:29" ht="36" x14ac:dyDescent="0.2">
      <c r="A433" s="294" t="str">
        <f>IF(B433=Elementos_[[#This Row],[Cantidad LANIP]],"LANIP",IF(B433=Elementos_[[#This Row],[Cantidad 
LDV]],"LDV",IF(B433=Elementos_[[#This Row],[Cantidad LNDV]],"LNDV",IF(B433=Elementos_[[#This Row],[GGCA]],"GGCA",IF(B433=Elementos_[[#This Row],[Cantidad LDF]],"LDF",IF(B433=Elementos_[[#This Row],[Cantidad LDF&amp;MR]],"LDF&amp;MR",IF(B433=Elementos_[[#This Row],[Cantidad RED LASE]],"LASE",IF(B433=Elementos_[[#This Row],[Cantidad LANIA]],"LANIA",IF(B433=Elementos_[[#This Row],[Cantidad SPA]],"SPA"," ")))))))))</f>
        <v>LDF</v>
      </c>
      <c r="B43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433" s="298">
        <v>431</v>
      </c>
      <c r="D433" s="190">
        <v>658</v>
      </c>
      <c r="E433" s="273" t="s">
        <v>2806</v>
      </c>
      <c r="F433" s="201" t="s">
        <v>2807</v>
      </c>
      <c r="G433" s="202" t="s">
        <v>525</v>
      </c>
      <c r="H43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433" s="194">
        <v>523255</v>
      </c>
      <c r="J433" s="194">
        <f>+Elementos_[[#This Row],[Valor de referencia]]*Elementos_[[#This Row],[Cantidad]]</f>
        <v>2616275</v>
      </c>
      <c r="K433" s="166"/>
      <c r="L433" s="159">
        <f>+Elementos_[[#This Row],[Cantidad LANIP]]*Elementos_[[#This Row],[Valor de referencia]]</f>
        <v>0</v>
      </c>
      <c r="M433" s="270">
        <v>0</v>
      </c>
      <c r="N433" s="195">
        <f>+Elementos_[[#This Row],[Cantidad 
LDV]]*Elementos_[[#This Row],[Valor de referencia]]</f>
        <v>0</v>
      </c>
      <c r="O433" s="166"/>
      <c r="P433" s="159">
        <f>+Elementos_[[#This Row],[Cantidad LNDV]]*Elementos_[[#This Row],[Valor de referencia]]</f>
        <v>0</v>
      </c>
      <c r="Q433" s="196"/>
      <c r="R433" s="159">
        <f>+Elementos_[[#This Row],[GGCA]]*Elementos_[[#This Row],[Valor de referencia]]</f>
        <v>0</v>
      </c>
      <c r="S433" s="166">
        <v>4</v>
      </c>
      <c r="T433" s="159">
        <f>+Elementos_[[#This Row],[Cantidad LDF]]*Elementos_[[#This Row],[Valor de referencia]]</f>
        <v>2093020</v>
      </c>
      <c r="U433" s="197">
        <v>1</v>
      </c>
      <c r="V433" s="159">
        <f>+Elementos_[[#This Row],[Cantidad LDF&amp;MR]]*Elementos_[[#This Row],[Valor de referencia]]</f>
        <v>523255</v>
      </c>
      <c r="W433" s="166"/>
      <c r="X433" s="159">
        <f>+Elementos_[[#This Row],[Cantidad RED LASE]]*Elementos_[[#This Row],[Valor de referencia]]</f>
        <v>0</v>
      </c>
      <c r="Y433" s="196"/>
      <c r="Z433" s="159">
        <f>+Elementos_[[#This Row],[Cantidad LANIA]]*Elementos_[[#This Row],[Valor de referencia]]</f>
        <v>0</v>
      </c>
      <c r="AA433" s="196"/>
      <c r="AB433" s="159">
        <f>+Elementos_[[#This Row],[Cantidad SPA]]*Elementos_[[#This Row],[Valor de referencia]]</f>
        <v>0</v>
      </c>
      <c r="AC433" s="166" t="s">
        <v>2041</v>
      </c>
    </row>
    <row r="434" spans="1:29" ht="60" x14ac:dyDescent="0.2">
      <c r="A434" s="294" t="str">
        <f>IF(B434=Elementos_[[#This Row],[Cantidad LANIP]],"LANIP",IF(B434=Elementos_[[#This Row],[Cantidad 
LDV]],"LDV",IF(B434=Elementos_[[#This Row],[Cantidad LNDV]],"LNDV",IF(B434=Elementos_[[#This Row],[GGCA]],"GGCA",IF(B434=Elementos_[[#This Row],[Cantidad LDF]],"LDF",IF(B434=Elementos_[[#This Row],[Cantidad LDF&amp;MR]],"LDF&amp;MR",IF(B434=Elementos_[[#This Row],[Cantidad RED LASE]],"LASE",IF(B434=Elementos_[[#This Row],[Cantidad LANIA]],"LANIA",IF(B434=Elementos_[[#This Row],[Cantidad SPA]],"SPA"," ")))))))))</f>
        <v>LANIA</v>
      </c>
      <c r="B43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34" s="298">
        <v>432</v>
      </c>
      <c r="D434" s="190">
        <v>659</v>
      </c>
      <c r="E434" s="412" t="s">
        <v>2808</v>
      </c>
      <c r="F434" s="204" t="s">
        <v>624</v>
      </c>
      <c r="G434" s="192" t="s">
        <v>525</v>
      </c>
      <c r="H43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434" s="194">
        <v>178500</v>
      </c>
      <c r="J434" s="194">
        <f>+Elementos_[[#This Row],[Valor de referencia]]*Elementos_[[#This Row],[Cantidad]]</f>
        <v>357000</v>
      </c>
      <c r="K434" s="166"/>
      <c r="L434" s="159">
        <f>+Elementos_[[#This Row],[Cantidad LANIP]]*Elementos_[[#This Row],[Valor de referencia]]</f>
        <v>0</v>
      </c>
      <c r="M434" s="270">
        <v>0</v>
      </c>
      <c r="N434" s="195">
        <f>+Elementos_[[#This Row],[Cantidad 
LDV]]*Elementos_[[#This Row],[Valor de referencia]]</f>
        <v>0</v>
      </c>
      <c r="O434" s="166"/>
      <c r="P434" s="159">
        <f>+Elementos_[[#This Row],[Cantidad LNDV]]*Elementos_[[#This Row],[Valor de referencia]]</f>
        <v>0</v>
      </c>
      <c r="Q434" s="196"/>
      <c r="R434" s="159">
        <f>+Elementos_[[#This Row],[GGCA]]*Elementos_[[#This Row],[Valor de referencia]]</f>
        <v>0</v>
      </c>
      <c r="S434" s="166"/>
      <c r="T434" s="159">
        <f>+Elementos_[[#This Row],[Cantidad LDF]]*Elementos_[[#This Row],[Valor de referencia]]</f>
        <v>0</v>
      </c>
      <c r="U434" s="197"/>
      <c r="V434" s="159">
        <f>+Elementos_[[#This Row],[Cantidad LDF&amp;MR]]*Elementos_[[#This Row],[Valor de referencia]]</f>
        <v>0</v>
      </c>
      <c r="W434" s="166"/>
      <c r="X434" s="159">
        <f>+Elementos_[[#This Row],[Cantidad RED LASE]]*Elementos_[[#This Row],[Valor de referencia]]</f>
        <v>0</v>
      </c>
      <c r="Y434" s="196">
        <v>2</v>
      </c>
      <c r="Z434" s="159">
        <f>+Elementos_[[#This Row],[Cantidad LANIA]]*Elementos_[[#This Row],[Valor de referencia]]</f>
        <v>357000</v>
      </c>
      <c r="AA434" s="196"/>
      <c r="AB434" s="159">
        <f>+Elementos_[[#This Row],[Cantidad SPA]]*Elementos_[[#This Row],[Valor de referencia]]</f>
        <v>0</v>
      </c>
      <c r="AC434" s="166" t="s">
        <v>2049</v>
      </c>
    </row>
    <row r="435" spans="1:29" ht="24" x14ac:dyDescent="0.2">
      <c r="A435" s="294" t="str">
        <f>IF(B435=Elementos_[[#This Row],[Cantidad LANIP]],"LANIP",IF(B435=Elementos_[[#This Row],[Cantidad 
LDV]],"LDV",IF(B435=Elementos_[[#This Row],[Cantidad LNDV]],"LNDV",IF(B435=Elementos_[[#This Row],[GGCA]],"GGCA",IF(B435=Elementos_[[#This Row],[Cantidad LDF]],"LDF",IF(B435=Elementos_[[#This Row],[Cantidad LDF&amp;MR]],"LDF&amp;MR",IF(B435=Elementos_[[#This Row],[Cantidad RED LASE]],"LASE",IF(B435=Elementos_[[#This Row],[Cantidad LANIA]],"LANIA",IF(B435=Elementos_[[#This Row],[Cantidad SPA]],"SPA"," ")))))))))</f>
        <v>LDF</v>
      </c>
      <c r="B43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435" s="298">
        <v>433</v>
      </c>
      <c r="D435" s="190">
        <v>661</v>
      </c>
      <c r="E435" s="411" t="s">
        <v>2809</v>
      </c>
      <c r="F435" s="204" t="s">
        <v>2449</v>
      </c>
      <c r="G435" s="192" t="s">
        <v>525</v>
      </c>
      <c r="H43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435" s="194">
        <v>241516</v>
      </c>
      <c r="J435" s="194">
        <f>+Elementos_[[#This Row],[Valor de referencia]]*Elementos_[[#This Row],[Cantidad]]</f>
        <v>724548</v>
      </c>
      <c r="K435" s="166"/>
      <c r="L435" s="159">
        <f>+Elementos_[[#This Row],[Cantidad LANIP]]*Elementos_[[#This Row],[Valor de referencia]]</f>
        <v>0</v>
      </c>
      <c r="M435" s="270">
        <v>0</v>
      </c>
      <c r="N435" s="195">
        <f>+Elementos_[[#This Row],[Cantidad 
LDV]]*Elementos_[[#This Row],[Valor de referencia]]</f>
        <v>0</v>
      </c>
      <c r="O435" s="166"/>
      <c r="P435" s="159">
        <f>+Elementos_[[#This Row],[Cantidad LNDV]]*Elementos_[[#This Row],[Valor de referencia]]</f>
        <v>0</v>
      </c>
      <c r="Q435" s="196"/>
      <c r="R435" s="159">
        <f>+Elementos_[[#This Row],[GGCA]]*Elementos_[[#This Row],[Valor de referencia]]</f>
        <v>0</v>
      </c>
      <c r="S435" s="166">
        <v>3</v>
      </c>
      <c r="T435" s="159">
        <f>+Elementos_[[#This Row],[Cantidad LDF]]*Elementos_[[#This Row],[Valor de referencia]]</f>
        <v>724548</v>
      </c>
      <c r="U435" s="197"/>
      <c r="V435" s="159">
        <f>+Elementos_[[#This Row],[Cantidad LDF&amp;MR]]*Elementos_[[#This Row],[Valor de referencia]]</f>
        <v>0</v>
      </c>
      <c r="W435" s="166"/>
      <c r="X435" s="159">
        <f>+Elementos_[[#This Row],[Cantidad RED LASE]]*Elementos_[[#This Row],[Valor de referencia]]</f>
        <v>0</v>
      </c>
      <c r="Y435" s="196"/>
      <c r="Z435" s="159">
        <f>+Elementos_[[#This Row],[Cantidad LANIA]]*Elementos_[[#This Row],[Valor de referencia]]</f>
        <v>0</v>
      </c>
      <c r="AA435" s="196"/>
      <c r="AB435" s="159">
        <f>+Elementos_[[#This Row],[Cantidad SPA]]*Elementos_[[#This Row],[Valor de referencia]]</f>
        <v>0</v>
      </c>
      <c r="AC435" s="166" t="s">
        <v>2041</v>
      </c>
    </row>
    <row r="436" spans="1:29" ht="48" x14ac:dyDescent="0.2">
      <c r="A436" s="294" t="str">
        <f>IF(B436=Elementos_[[#This Row],[Cantidad LANIP]],"LANIP",IF(B436=Elementos_[[#This Row],[Cantidad 
LDV]],"LDV",IF(B436=Elementos_[[#This Row],[Cantidad LNDV]],"LNDV",IF(B436=Elementos_[[#This Row],[GGCA]],"GGCA",IF(B436=Elementos_[[#This Row],[Cantidad LDF]],"LDF",IF(B436=Elementos_[[#This Row],[Cantidad LDF&amp;MR]],"LDF&amp;MR",IF(B436=Elementos_[[#This Row],[Cantidad RED LASE]],"LASE",IF(B436=Elementos_[[#This Row],[Cantidad LANIA]],"LANIA",IF(B436=Elementos_[[#This Row],[Cantidad SPA]],"SPA"," ")))))))))</f>
        <v>LDF</v>
      </c>
      <c r="B43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36" s="298">
        <v>434</v>
      </c>
      <c r="D436" s="190">
        <v>668</v>
      </c>
      <c r="E436" s="277" t="s">
        <v>2810</v>
      </c>
      <c r="F436" s="204" t="s">
        <v>2811</v>
      </c>
      <c r="G436" s="192" t="s">
        <v>525</v>
      </c>
      <c r="H43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436" s="194">
        <v>700592</v>
      </c>
      <c r="J436" s="194">
        <f>+Elementos_[[#This Row],[Valor de referencia]]*Elementos_[[#This Row],[Cantidad]]</f>
        <v>1401184</v>
      </c>
      <c r="K436" s="166"/>
      <c r="L436" s="159">
        <f>+Elementos_[[#This Row],[Cantidad LANIP]]*Elementos_[[#This Row],[Valor de referencia]]</f>
        <v>0</v>
      </c>
      <c r="M436" s="270">
        <v>0</v>
      </c>
      <c r="N436" s="195">
        <f>+Elementos_[[#This Row],[Cantidad 
LDV]]*Elementos_[[#This Row],[Valor de referencia]]</f>
        <v>0</v>
      </c>
      <c r="O436" s="166"/>
      <c r="P436" s="159">
        <f>+Elementos_[[#This Row],[Cantidad LNDV]]*Elementos_[[#This Row],[Valor de referencia]]</f>
        <v>0</v>
      </c>
      <c r="Q436" s="196"/>
      <c r="R436" s="159">
        <f>+Elementos_[[#This Row],[GGCA]]*Elementos_[[#This Row],[Valor de referencia]]</f>
        <v>0</v>
      </c>
      <c r="S436" s="166">
        <v>2</v>
      </c>
      <c r="T436" s="159">
        <f>+Elementos_[[#This Row],[Cantidad LDF]]*Elementos_[[#This Row],[Valor de referencia]]</f>
        <v>1401184</v>
      </c>
      <c r="U436" s="197"/>
      <c r="V436" s="159">
        <f>+Elementos_[[#This Row],[Cantidad LDF&amp;MR]]*Elementos_[[#This Row],[Valor de referencia]]</f>
        <v>0</v>
      </c>
      <c r="W436" s="166"/>
      <c r="X436" s="159">
        <f>+Elementos_[[#This Row],[Cantidad RED LASE]]*Elementos_[[#This Row],[Valor de referencia]]</f>
        <v>0</v>
      </c>
      <c r="Y436" s="196"/>
      <c r="Z436" s="159">
        <f>+Elementos_[[#This Row],[Cantidad LANIA]]*Elementos_[[#This Row],[Valor de referencia]]</f>
        <v>0</v>
      </c>
      <c r="AA436" s="196"/>
      <c r="AB436" s="159">
        <f>+Elementos_[[#This Row],[Cantidad SPA]]*Elementos_[[#This Row],[Valor de referencia]]</f>
        <v>0</v>
      </c>
      <c r="AC436" s="166" t="s">
        <v>2041</v>
      </c>
    </row>
    <row r="437" spans="1:29" ht="48" x14ac:dyDescent="0.2">
      <c r="A437" s="294" t="str">
        <f>IF(B437=Elementos_[[#This Row],[Cantidad LANIP]],"LANIP",IF(B437=Elementos_[[#This Row],[Cantidad 
LDV]],"LDV",IF(B437=Elementos_[[#This Row],[Cantidad LNDV]],"LNDV",IF(B437=Elementos_[[#This Row],[GGCA]],"GGCA",IF(B437=Elementos_[[#This Row],[Cantidad LDF]],"LDF",IF(B437=Elementos_[[#This Row],[Cantidad LDF&amp;MR]],"LDF&amp;MR",IF(B437=Elementos_[[#This Row],[Cantidad RED LASE]],"LASE",IF(B437=Elementos_[[#This Row],[Cantidad LANIA]],"LANIA",IF(B437=Elementos_[[#This Row],[Cantidad SPA]],"SPA"," ")))))))))</f>
        <v>LDF</v>
      </c>
      <c r="B43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37" s="298">
        <v>435</v>
      </c>
      <c r="D437" s="190">
        <v>669</v>
      </c>
      <c r="E437" s="277" t="s">
        <v>2812</v>
      </c>
      <c r="F437" s="204" t="s">
        <v>2811</v>
      </c>
      <c r="G437" s="192" t="s">
        <v>525</v>
      </c>
      <c r="H43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437" s="194">
        <v>1352138</v>
      </c>
      <c r="J437" s="194">
        <f>+Elementos_[[#This Row],[Valor de referencia]]*Elementos_[[#This Row],[Cantidad]]</f>
        <v>2704276</v>
      </c>
      <c r="K437" s="166"/>
      <c r="L437" s="159">
        <f>+Elementos_[[#This Row],[Cantidad LANIP]]*Elementos_[[#This Row],[Valor de referencia]]</f>
        <v>0</v>
      </c>
      <c r="M437" s="270">
        <v>0</v>
      </c>
      <c r="N437" s="195">
        <f>+Elementos_[[#This Row],[Cantidad 
LDV]]*Elementos_[[#This Row],[Valor de referencia]]</f>
        <v>0</v>
      </c>
      <c r="O437" s="166"/>
      <c r="P437" s="159">
        <f>+Elementos_[[#This Row],[Cantidad LNDV]]*Elementos_[[#This Row],[Valor de referencia]]</f>
        <v>0</v>
      </c>
      <c r="Q437" s="196"/>
      <c r="R437" s="159">
        <f>+Elementos_[[#This Row],[GGCA]]*Elementos_[[#This Row],[Valor de referencia]]</f>
        <v>0</v>
      </c>
      <c r="S437" s="166">
        <v>2</v>
      </c>
      <c r="T437" s="159">
        <f>+Elementos_[[#This Row],[Cantidad LDF]]*Elementos_[[#This Row],[Valor de referencia]]</f>
        <v>2704276</v>
      </c>
      <c r="U437" s="197"/>
      <c r="V437" s="159">
        <f>+Elementos_[[#This Row],[Cantidad LDF&amp;MR]]*Elementos_[[#This Row],[Valor de referencia]]</f>
        <v>0</v>
      </c>
      <c r="W437" s="166"/>
      <c r="X437" s="159">
        <f>+Elementos_[[#This Row],[Cantidad RED LASE]]*Elementos_[[#This Row],[Valor de referencia]]</f>
        <v>0</v>
      </c>
      <c r="Y437" s="196"/>
      <c r="Z437" s="159">
        <f>+Elementos_[[#This Row],[Cantidad LANIA]]*Elementos_[[#This Row],[Valor de referencia]]</f>
        <v>0</v>
      </c>
      <c r="AA437" s="196"/>
      <c r="AB437" s="159">
        <f>+Elementos_[[#This Row],[Cantidad SPA]]*Elementos_[[#This Row],[Valor de referencia]]</f>
        <v>0</v>
      </c>
      <c r="AC437" s="166" t="s">
        <v>2041</v>
      </c>
    </row>
    <row r="438" spans="1:29" ht="48" x14ac:dyDescent="0.2">
      <c r="A438" s="294" t="str">
        <f>IF(B438=Elementos_[[#This Row],[Cantidad LANIP]],"LANIP",IF(B438=Elementos_[[#This Row],[Cantidad 
LDV]],"LDV",IF(B438=Elementos_[[#This Row],[Cantidad LNDV]],"LNDV",IF(B438=Elementos_[[#This Row],[GGCA]],"GGCA",IF(B438=Elementos_[[#This Row],[Cantidad LDF]],"LDF",IF(B438=Elementos_[[#This Row],[Cantidad LDF&amp;MR]],"LDF&amp;MR",IF(B438=Elementos_[[#This Row],[Cantidad RED LASE]],"LASE",IF(B438=Elementos_[[#This Row],[Cantidad LANIA]],"LANIA",IF(B438=Elementos_[[#This Row],[Cantidad SPA]],"SPA"," ")))))))))</f>
        <v>LANIA</v>
      </c>
      <c r="B43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38" s="298">
        <v>436</v>
      </c>
      <c r="D438" s="190">
        <v>670</v>
      </c>
      <c r="E438" s="285" t="s">
        <v>2813</v>
      </c>
      <c r="F438" s="232" t="s">
        <v>2811</v>
      </c>
      <c r="G438" s="219" t="s">
        <v>525</v>
      </c>
      <c r="H43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38" s="194">
        <v>808373</v>
      </c>
      <c r="J438" s="194">
        <f>+Elementos_[[#This Row],[Valor de referencia]]*Elementos_[[#This Row],[Cantidad]]</f>
        <v>808373</v>
      </c>
      <c r="K438" s="166"/>
      <c r="L438" s="159">
        <f>+Elementos_[[#This Row],[Cantidad LANIP]]*Elementos_[[#This Row],[Valor de referencia]]</f>
        <v>0</v>
      </c>
      <c r="M438" s="270">
        <v>0</v>
      </c>
      <c r="N438" s="195">
        <f>+Elementos_[[#This Row],[Cantidad 
LDV]]*Elementos_[[#This Row],[Valor de referencia]]</f>
        <v>0</v>
      </c>
      <c r="O438" s="166"/>
      <c r="P438" s="159">
        <f>+Elementos_[[#This Row],[Cantidad LNDV]]*Elementos_[[#This Row],[Valor de referencia]]</f>
        <v>0</v>
      </c>
      <c r="Q438" s="196"/>
      <c r="R438" s="159">
        <f>+Elementos_[[#This Row],[GGCA]]*Elementos_[[#This Row],[Valor de referencia]]</f>
        <v>0</v>
      </c>
      <c r="S438" s="166"/>
      <c r="T438" s="159">
        <f>+Elementos_[[#This Row],[Cantidad LDF]]*Elementos_[[#This Row],[Valor de referencia]]</f>
        <v>0</v>
      </c>
      <c r="U438" s="197"/>
      <c r="V438" s="159">
        <f>+Elementos_[[#This Row],[Cantidad LDF&amp;MR]]*Elementos_[[#This Row],[Valor de referencia]]</f>
        <v>0</v>
      </c>
      <c r="W438" s="166"/>
      <c r="X438" s="159">
        <f>+Elementos_[[#This Row],[Cantidad RED LASE]]*Elementos_[[#This Row],[Valor de referencia]]</f>
        <v>0</v>
      </c>
      <c r="Y438" s="196">
        <v>1</v>
      </c>
      <c r="Z438" s="159">
        <f>+Elementos_[[#This Row],[Cantidad LANIA]]*Elementos_[[#This Row],[Valor de referencia]]</f>
        <v>808373</v>
      </c>
      <c r="AA438" s="196"/>
      <c r="AB438" s="159">
        <f>+Elementos_[[#This Row],[Cantidad SPA]]*Elementos_[[#This Row],[Valor de referencia]]</f>
        <v>0</v>
      </c>
      <c r="AC438" s="166" t="s">
        <v>2041</v>
      </c>
    </row>
    <row r="439" spans="1:29" ht="48" x14ac:dyDescent="0.2">
      <c r="A439" s="294" t="str">
        <f>IF(B439=Elementos_[[#This Row],[Cantidad LANIP]],"LANIP",IF(B439=Elementos_[[#This Row],[Cantidad 
LDV]],"LDV",IF(B439=Elementos_[[#This Row],[Cantidad LNDV]],"LNDV",IF(B439=Elementos_[[#This Row],[GGCA]],"GGCA",IF(B439=Elementos_[[#This Row],[Cantidad LDF]],"LDF",IF(B439=Elementos_[[#This Row],[Cantidad LDF&amp;MR]],"LDF&amp;MR",IF(B439=Elementos_[[#This Row],[Cantidad RED LASE]],"LASE",IF(B439=Elementos_[[#This Row],[Cantidad LANIA]],"LANIA",IF(B439=Elementos_[[#This Row],[Cantidad SPA]],"SPA"," ")))))))))</f>
        <v>LDF</v>
      </c>
      <c r="B43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39" s="298">
        <v>437</v>
      </c>
      <c r="D439" s="190">
        <v>671</v>
      </c>
      <c r="E439" s="290" t="s">
        <v>2814</v>
      </c>
      <c r="F439" s="214" t="s">
        <v>2811</v>
      </c>
      <c r="G439" s="192" t="s">
        <v>525</v>
      </c>
      <c r="H43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439" s="194">
        <v>574677</v>
      </c>
      <c r="J439" s="194">
        <f>+Elementos_[[#This Row],[Valor de referencia]]*Elementos_[[#This Row],[Cantidad]]</f>
        <v>1149354</v>
      </c>
      <c r="K439" s="166"/>
      <c r="L439" s="159">
        <f>+Elementos_[[#This Row],[Cantidad LANIP]]*Elementos_[[#This Row],[Valor de referencia]]</f>
        <v>0</v>
      </c>
      <c r="M439" s="270">
        <v>0</v>
      </c>
      <c r="N439" s="195">
        <f>+Elementos_[[#This Row],[Cantidad 
LDV]]*Elementos_[[#This Row],[Valor de referencia]]</f>
        <v>0</v>
      </c>
      <c r="O439" s="166"/>
      <c r="P439" s="159">
        <f>+Elementos_[[#This Row],[Cantidad LNDV]]*Elementos_[[#This Row],[Valor de referencia]]</f>
        <v>0</v>
      </c>
      <c r="Q439" s="196"/>
      <c r="R439" s="159">
        <f>+Elementos_[[#This Row],[GGCA]]*Elementos_[[#This Row],[Valor de referencia]]</f>
        <v>0</v>
      </c>
      <c r="S439" s="166">
        <v>1</v>
      </c>
      <c r="T439" s="159">
        <f>+Elementos_[[#This Row],[Cantidad LDF]]*Elementos_[[#This Row],[Valor de referencia]]</f>
        <v>574677</v>
      </c>
      <c r="U439" s="197">
        <v>1</v>
      </c>
      <c r="V439" s="159">
        <f>+Elementos_[[#This Row],[Cantidad LDF&amp;MR]]*Elementos_[[#This Row],[Valor de referencia]]</f>
        <v>574677</v>
      </c>
      <c r="W439" s="166"/>
      <c r="X439" s="159">
        <f>+Elementos_[[#This Row],[Cantidad RED LASE]]*Elementos_[[#This Row],[Valor de referencia]]</f>
        <v>0</v>
      </c>
      <c r="Y439" s="196"/>
      <c r="Z439" s="159">
        <f>+Elementos_[[#This Row],[Cantidad LANIA]]*Elementos_[[#This Row],[Valor de referencia]]</f>
        <v>0</v>
      </c>
      <c r="AA439" s="196"/>
      <c r="AB439" s="159">
        <f>+Elementos_[[#This Row],[Cantidad SPA]]*Elementos_[[#This Row],[Valor de referencia]]</f>
        <v>0</v>
      </c>
      <c r="AC439" s="166" t="s">
        <v>2041</v>
      </c>
    </row>
    <row r="440" spans="1:29" ht="36" x14ac:dyDescent="0.2">
      <c r="A440" s="294" t="str">
        <f>IF(B440=Elementos_[[#This Row],[Cantidad LANIP]],"LANIP",IF(B440=Elementos_[[#This Row],[Cantidad 
LDV]],"LDV",IF(B440=Elementos_[[#This Row],[Cantidad LNDV]],"LNDV",IF(B440=Elementos_[[#This Row],[GGCA]],"GGCA",IF(B440=Elementos_[[#This Row],[Cantidad LDF]],"LDF",IF(B440=Elementos_[[#This Row],[Cantidad LDF&amp;MR]],"LDF&amp;MR",IF(B440=Elementos_[[#This Row],[Cantidad RED LASE]],"LASE",IF(B440=Elementos_[[#This Row],[Cantidad LANIA]],"LANIA",IF(B440=Elementos_[[#This Row],[Cantidad SPA]],"SPA"," ")))))))))</f>
        <v>LDF</v>
      </c>
      <c r="B44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40" s="298">
        <v>438</v>
      </c>
      <c r="D440" s="190">
        <v>673</v>
      </c>
      <c r="E440" s="272" t="s">
        <v>2815</v>
      </c>
      <c r="F440" s="213" t="s">
        <v>2811</v>
      </c>
      <c r="G440" s="192" t="s">
        <v>525</v>
      </c>
      <c r="H44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440" s="194">
        <v>523600</v>
      </c>
      <c r="J440" s="194">
        <f>+Elementos_[[#This Row],[Valor de referencia]]*Elementos_[[#This Row],[Cantidad]]</f>
        <v>1047200</v>
      </c>
      <c r="K440" s="166"/>
      <c r="L440" s="159">
        <f>+Elementos_[[#This Row],[Cantidad LANIP]]*Elementos_[[#This Row],[Valor de referencia]]</f>
        <v>0</v>
      </c>
      <c r="M440" s="270">
        <v>0</v>
      </c>
      <c r="N440" s="195">
        <f>+Elementos_[[#This Row],[Cantidad 
LDV]]*Elementos_[[#This Row],[Valor de referencia]]</f>
        <v>0</v>
      </c>
      <c r="O440" s="166"/>
      <c r="P440" s="159">
        <f>+Elementos_[[#This Row],[Cantidad LNDV]]*Elementos_[[#This Row],[Valor de referencia]]</f>
        <v>0</v>
      </c>
      <c r="Q440" s="196"/>
      <c r="R440" s="159">
        <f>+Elementos_[[#This Row],[GGCA]]*Elementos_[[#This Row],[Valor de referencia]]</f>
        <v>0</v>
      </c>
      <c r="S440" s="166">
        <v>1</v>
      </c>
      <c r="T440" s="159">
        <f>+Elementos_[[#This Row],[Cantidad LDF]]*Elementos_[[#This Row],[Valor de referencia]]</f>
        <v>523600</v>
      </c>
      <c r="U440" s="197">
        <v>1</v>
      </c>
      <c r="V440" s="159">
        <f>+Elementos_[[#This Row],[Cantidad LDF&amp;MR]]*Elementos_[[#This Row],[Valor de referencia]]</f>
        <v>523600</v>
      </c>
      <c r="W440" s="166"/>
      <c r="X440" s="159">
        <f>+Elementos_[[#This Row],[Cantidad RED LASE]]*Elementos_[[#This Row],[Valor de referencia]]</f>
        <v>0</v>
      </c>
      <c r="Y440" s="196"/>
      <c r="Z440" s="159">
        <f>+Elementos_[[#This Row],[Cantidad LANIA]]*Elementos_[[#This Row],[Valor de referencia]]</f>
        <v>0</v>
      </c>
      <c r="AA440" s="196"/>
      <c r="AB440" s="159">
        <f>+Elementos_[[#This Row],[Cantidad SPA]]*Elementos_[[#This Row],[Valor de referencia]]</f>
        <v>0</v>
      </c>
      <c r="AC440" s="166" t="s">
        <v>2041</v>
      </c>
    </row>
    <row r="441" spans="1:29" ht="36" x14ac:dyDescent="0.2">
      <c r="A441" s="294" t="str">
        <f>IF(B441=Elementos_[[#This Row],[Cantidad LANIP]],"LANIP",IF(B441=Elementos_[[#This Row],[Cantidad 
LDV]],"LDV",IF(B441=Elementos_[[#This Row],[Cantidad LNDV]],"LNDV",IF(B441=Elementos_[[#This Row],[GGCA]],"GGCA",IF(B441=Elementos_[[#This Row],[Cantidad LDF]],"LDF",IF(B441=Elementos_[[#This Row],[Cantidad LDF&amp;MR]],"LDF&amp;MR",IF(B441=Elementos_[[#This Row],[Cantidad RED LASE]],"LASE",IF(B441=Elementos_[[#This Row],[Cantidad LANIA]],"LANIA",IF(B441=Elementos_[[#This Row],[Cantidad SPA]],"SPA"," ")))))))))</f>
        <v>LDF&amp;MR</v>
      </c>
      <c r="B44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41" s="298">
        <v>439</v>
      </c>
      <c r="D441" s="190">
        <v>674</v>
      </c>
      <c r="E441" s="272" t="s">
        <v>2816</v>
      </c>
      <c r="F441" s="213" t="s">
        <v>2811</v>
      </c>
      <c r="G441" s="192" t="s">
        <v>525</v>
      </c>
      <c r="H44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41" s="194">
        <v>645575</v>
      </c>
      <c r="J441" s="194">
        <f>+Elementos_[[#This Row],[Valor de referencia]]*Elementos_[[#This Row],[Cantidad]]</f>
        <v>645575</v>
      </c>
      <c r="K441" s="166"/>
      <c r="L441" s="159">
        <f>+Elementos_[[#This Row],[Cantidad LANIP]]*Elementos_[[#This Row],[Valor de referencia]]</f>
        <v>0</v>
      </c>
      <c r="M441" s="270">
        <v>0</v>
      </c>
      <c r="N441" s="195">
        <f>+Elementos_[[#This Row],[Cantidad 
LDV]]*Elementos_[[#This Row],[Valor de referencia]]</f>
        <v>0</v>
      </c>
      <c r="O441" s="166"/>
      <c r="P441" s="159">
        <f>+Elementos_[[#This Row],[Cantidad LNDV]]*Elementos_[[#This Row],[Valor de referencia]]</f>
        <v>0</v>
      </c>
      <c r="Q441" s="196"/>
      <c r="R441" s="159">
        <f>+Elementos_[[#This Row],[GGCA]]*Elementos_[[#This Row],[Valor de referencia]]</f>
        <v>0</v>
      </c>
      <c r="S441" s="166"/>
      <c r="T441" s="159">
        <f>+Elementos_[[#This Row],[Cantidad LDF]]*Elementos_[[#This Row],[Valor de referencia]]</f>
        <v>0</v>
      </c>
      <c r="U441" s="197">
        <v>1</v>
      </c>
      <c r="V441" s="159">
        <f>+Elementos_[[#This Row],[Cantidad LDF&amp;MR]]*Elementos_[[#This Row],[Valor de referencia]]</f>
        <v>645575</v>
      </c>
      <c r="W441" s="166"/>
      <c r="X441" s="159">
        <f>+Elementos_[[#This Row],[Cantidad RED LASE]]*Elementos_[[#This Row],[Valor de referencia]]</f>
        <v>0</v>
      </c>
      <c r="Y441" s="196"/>
      <c r="Z441" s="159">
        <f>+Elementos_[[#This Row],[Cantidad LANIA]]*Elementos_[[#This Row],[Valor de referencia]]</f>
        <v>0</v>
      </c>
      <c r="AA441" s="196"/>
      <c r="AB441" s="159">
        <f>+Elementos_[[#This Row],[Cantidad SPA]]*Elementos_[[#This Row],[Valor de referencia]]</f>
        <v>0</v>
      </c>
      <c r="AC441" s="166" t="s">
        <v>2041</v>
      </c>
    </row>
    <row r="442" spans="1:29" ht="24" x14ac:dyDescent="0.2">
      <c r="A442" s="294" t="str">
        <f>IF(B442=Elementos_[[#This Row],[Cantidad LANIP]],"LANIP",IF(B442=Elementos_[[#This Row],[Cantidad 
LDV]],"LDV",IF(B442=Elementos_[[#This Row],[Cantidad LNDV]],"LNDV",IF(B442=Elementos_[[#This Row],[GGCA]],"GGCA",IF(B442=Elementos_[[#This Row],[Cantidad LDF]],"LDF",IF(B442=Elementos_[[#This Row],[Cantidad LDF&amp;MR]],"LDF&amp;MR",IF(B442=Elementos_[[#This Row],[Cantidad RED LASE]],"LASE",IF(B442=Elementos_[[#This Row],[Cantidad LANIA]],"LANIA",IF(B442=Elementos_[[#This Row],[Cantidad SPA]],"SPA"," ")))))))))</f>
        <v>LDF</v>
      </c>
      <c r="B44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42" s="298">
        <v>440</v>
      </c>
      <c r="D442" s="190">
        <v>675</v>
      </c>
      <c r="E442" s="291" t="s">
        <v>2817</v>
      </c>
      <c r="F442" s="233" t="s">
        <v>624</v>
      </c>
      <c r="G442" s="219" t="s">
        <v>2092</v>
      </c>
      <c r="H44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42" s="194">
        <v>10233287</v>
      </c>
      <c r="J442" s="194">
        <f>+Elementos_[[#This Row],[Valor de referencia]]*Elementos_[[#This Row],[Cantidad]]</f>
        <v>10233287</v>
      </c>
      <c r="K442" s="166"/>
      <c r="L442" s="159">
        <f>+Elementos_[[#This Row],[Cantidad LANIP]]*Elementos_[[#This Row],[Valor de referencia]]</f>
        <v>0</v>
      </c>
      <c r="M442" s="270">
        <v>0</v>
      </c>
      <c r="N442" s="195">
        <f>+Elementos_[[#This Row],[Cantidad 
LDV]]*Elementos_[[#This Row],[Valor de referencia]]</f>
        <v>0</v>
      </c>
      <c r="O442" s="166"/>
      <c r="P442" s="159">
        <f>+Elementos_[[#This Row],[Cantidad LNDV]]*Elementos_[[#This Row],[Valor de referencia]]</f>
        <v>0</v>
      </c>
      <c r="Q442" s="196"/>
      <c r="R442" s="159">
        <f>+Elementos_[[#This Row],[GGCA]]*Elementos_[[#This Row],[Valor de referencia]]</f>
        <v>0</v>
      </c>
      <c r="S442" s="166">
        <v>1</v>
      </c>
      <c r="T442" s="159">
        <f>+Elementos_[[#This Row],[Cantidad LDF]]*Elementos_[[#This Row],[Valor de referencia]]</f>
        <v>10233287</v>
      </c>
      <c r="U442" s="197"/>
      <c r="V442" s="159">
        <f>+Elementos_[[#This Row],[Cantidad LDF&amp;MR]]*Elementos_[[#This Row],[Valor de referencia]]</f>
        <v>0</v>
      </c>
      <c r="W442" s="166"/>
      <c r="X442" s="159">
        <f>+Elementos_[[#This Row],[Cantidad RED LASE]]*Elementos_[[#This Row],[Valor de referencia]]</f>
        <v>0</v>
      </c>
      <c r="Y442" s="196"/>
      <c r="Z442" s="159">
        <f>+Elementos_[[#This Row],[Cantidad LANIA]]*Elementos_[[#This Row],[Valor de referencia]]</f>
        <v>0</v>
      </c>
      <c r="AA442" s="196"/>
      <c r="AB442" s="159">
        <f>+Elementos_[[#This Row],[Cantidad SPA]]*Elementos_[[#This Row],[Valor de referencia]]</f>
        <v>0</v>
      </c>
      <c r="AC442" s="166" t="s">
        <v>2041</v>
      </c>
    </row>
    <row r="443" spans="1:29" ht="24" x14ac:dyDescent="0.2">
      <c r="A443" s="294" t="str">
        <f>IF(B443=Elementos_[[#This Row],[Cantidad LANIP]],"LANIP",IF(B443=Elementos_[[#This Row],[Cantidad 
LDV]],"LDV",IF(B443=Elementos_[[#This Row],[Cantidad LNDV]],"LNDV",IF(B443=Elementos_[[#This Row],[GGCA]],"GGCA",IF(B443=Elementos_[[#This Row],[Cantidad LDF]],"LDF",IF(B443=Elementos_[[#This Row],[Cantidad LDF&amp;MR]],"LDF&amp;MR",IF(B443=Elementos_[[#This Row],[Cantidad RED LASE]],"LASE",IF(B443=Elementos_[[#This Row],[Cantidad LANIA]],"LANIA",IF(B443=Elementos_[[#This Row],[Cantidad SPA]],"SPA"," ")))))))))</f>
        <v>LNDV</v>
      </c>
      <c r="B44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43" s="298">
        <v>441</v>
      </c>
      <c r="D443" s="190">
        <v>678</v>
      </c>
      <c r="E443" s="235" t="s">
        <v>2818</v>
      </c>
      <c r="F443" s="201" t="s">
        <v>183</v>
      </c>
      <c r="G443" s="192" t="s">
        <v>2304</v>
      </c>
      <c r="H44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43" s="194">
        <v>3278331</v>
      </c>
      <c r="J443" s="194">
        <f>+Elementos_[[#This Row],[Valor de referencia]]*Elementos_[[#This Row],[Cantidad]]</f>
        <v>3278331</v>
      </c>
      <c r="K443" s="166"/>
      <c r="L443" s="159">
        <f>+Elementos_[[#This Row],[Cantidad LANIP]]*Elementos_[[#This Row],[Valor de referencia]]</f>
        <v>0</v>
      </c>
      <c r="M443" s="270">
        <v>0</v>
      </c>
      <c r="N443" s="195">
        <f>+Elementos_[[#This Row],[Cantidad 
LDV]]*Elementos_[[#This Row],[Valor de referencia]]</f>
        <v>0</v>
      </c>
      <c r="O443" s="166">
        <v>1</v>
      </c>
      <c r="P443" s="159">
        <f>+Elementos_[[#This Row],[Cantidad LNDV]]*Elementos_[[#This Row],[Valor de referencia]]</f>
        <v>3278331</v>
      </c>
      <c r="Q443" s="196"/>
      <c r="R443" s="159">
        <f>+Elementos_[[#This Row],[GGCA]]*Elementos_[[#This Row],[Valor de referencia]]</f>
        <v>0</v>
      </c>
      <c r="S443" s="166"/>
      <c r="T443" s="159">
        <f>+Elementos_[[#This Row],[Cantidad LDF]]*Elementos_[[#This Row],[Valor de referencia]]</f>
        <v>0</v>
      </c>
      <c r="U443" s="197"/>
      <c r="V443" s="159">
        <f>+Elementos_[[#This Row],[Cantidad LDF&amp;MR]]*Elementos_[[#This Row],[Valor de referencia]]</f>
        <v>0</v>
      </c>
      <c r="W443" s="166"/>
      <c r="X443" s="159">
        <f>+Elementos_[[#This Row],[Cantidad RED LASE]]*Elementos_[[#This Row],[Valor de referencia]]</f>
        <v>0</v>
      </c>
      <c r="Y443" s="196"/>
      <c r="Z443" s="159">
        <f>+Elementos_[[#This Row],[Cantidad LANIA]]*Elementos_[[#This Row],[Valor de referencia]]</f>
        <v>0</v>
      </c>
      <c r="AA443" s="196"/>
      <c r="AB443" s="159">
        <f>+Elementos_[[#This Row],[Cantidad SPA]]*Elementos_[[#This Row],[Valor de referencia]]</f>
        <v>0</v>
      </c>
      <c r="AC443" s="166" t="s">
        <v>2049</v>
      </c>
    </row>
    <row r="444" spans="1:29" ht="48" x14ac:dyDescent="0.2">
      <c r="A444" s="294" t="str">
        <f>IF(B444=Elementos_[[#This Row],[Cantidad LANIP]],"LANIP",IF(B444=Elementos_[[#This Row],[Cantidad 
LDV]],"LDV",IF(B444=Elementos_[[#This Row],[Cantidad LNDV]],"LNDV",IF(B444=Elementos_[[#This Row],[GGCA]],"GGCA",IF(B444=Elementos_[[#This Row],[Cantidad LDF]],"LDF",IF(B444=Elementos_[[#This Row],[Cantidad LDF&amp;MR]],"LDF&amp;MR",IF(B444=Elementos_[[#This Row],[Cantidad RED LASE]],"LASE",IF(B444=Elementos_[[#This Row],[Cantidad LANIA]],"LANIA",IF(B444=Elementos_[[#This Row],[Cantidad SPA]],"SPA"," ")))))))))</f>
        <v>LASE</v>
      </c>
      <c r="B44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444" s="298">
        <v>442</v>
      </c>
      <c r="D444" s="190">
        <v>679</v>
      </c>
      <c r="E444" s="273" t="s">
        <v>2819</v>
      </c>
      <c r="F444" s="201" t="s">
        <v>2820</v>
      </c>
      <c r="G444" s="192" t="s">
        <v>2064</v>
      </c>
      <c r="H44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44" s="194">
        <v>41490</v>
      </c>
      <c r="J444" s="194">
        <f>+Elementos_[[#This Row],[Valor de referencia]]*Elementos_[[#This Row],[Cantidad]]</f>
        <v>248940</v>
      </c>
      <c r="K444" s="166"/>
      <c r="L444" s="159">
        <f>+Elementos_[[#This Row],[Cantidad LANIP]]*Elementos_[[#This Row],[Valor de referencia]]</f>
        <v>0</v>
      </c>
      <c r="M444" s="270">
        <v>0</v>
      </c>
      <c r="N444" s="195">
        <f>+Elementos_[[#This Row],[Cantidad 
LDV]]*Elementos_[[#This Row],[Valor de referencia]]</f>
        <v>0</v>
      </c>
      <c r="O444" s="166"/>
      <c r="P444" s="159">
        <f>+Elementos_[[#This Row],[Cantidad LNDV]]*Elementos_[[#This Row],[Valor de referencia]]</f>
        <v>0</v>
      </c>
      <c r="Q444" s="196"/>
      <c r="R444" s="159">
        <f>+Elementos_[[#This Row],[GGCA]]*Elementos_[[#This Row],[Valor de referencia]]</f>
        <v>0</v>
      </c>
      <c r="S444" s="166"/>
      <c r="T444" s="159">
        <f>+Elementos_[[#This Row],[Cantidad LDF]]*Elementos_[[#This Row],[Valor de referencia]]</f>
        <v>0</v>
      </c>
      <c r="U444" s="197"/>
      <c r="V444" s="159">
        <f>+Elementos_[[#This Row],[Cantidad LDF&amp;MR]]*Elementos_[[#This Row],[Valor de referencia]]</f>
        <v>0</v>
      </c>
      <c r="W444" s="166">
        <v>6</v>
      </c>
      <c r="X444" s="159">
        <f>+Elementos_[[#This Row],[Cantidad RED LASE]]*Elementos_[[#This Row],[Valor de referencia]]</f>
        <v>248940</v>
      </c>
      <c r="Y444" s="196"/>
      <c r="Z444" s="159">
        <f>+Elementos_[[#This Row],[Cantidad LANIA]]*Elementos_[[#This Row],[Valor de referencia]]</f>
        <v>0</v>
      </c>
      <c r="AA444" s="196"/>
      <c r="AB444" s="159">
        <f>+Elementos_[[#This Row],[Cantidad SPA]]*Elementos_[[#This Row],[Valor de referencia]]</f>
        <v>0</v>
      </c>
      <c r="AC444" s="166" t="s">
        <v>2041</v>
      </c>
    </row>
    <row r="445" spans="1:29" ht="36" x14ac:dyDescent="0.2">
      <c r="A445" s="294" t="str">
        <f>IF(B445=Elementos_[[#This Row],[Cantidad LANIP]],"LANIP",IF(B445=Elementos_[[#This Row],[Cantidad 
LDV]],"LDV",IF(B445=Elementos_[[#This Row],[Cantidad LNDV]],"LNDV",IF(B445=Elementos_[[#This Row],[GGCA]],"GGCA",IF(B445=Elementos_[[#This Row],[Cantidad LDF]],"LDF",IF(B445=Elementos_[[#This Row],[Cantidad LDF&amp;MR]],"LDF&amp;MR",IF(B445=Elementos_[[#This Row],[Cantidad RED LASE]],"LASE",IF(B445=Elementos_[[#This Row],[Cantidad LANIA]],"LANIA",IF(B445=Elementos_[[#This Row],[Cantidad SPA]],"SPA"," ")))))))))</f>
        <v>LASE</v>
      </c>
      <c r="B44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C445" s="298">
        <v>443</v>
      </c>
      <c r="D445" s="190">
        <v>680</v>
      </c>
      <c r="E445" s="275" t="s">
        <v>2821</v>
      </c>
      <c r="F445" s="201" t="s">
        <v>2822</v>
      </c>
      <c r="G445" s="202" t="s">
        <v>2064</v>
      </c>
      <c r="H44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45" s="194">
        <v>53337</v>
      </c>
      <c r="J445" s="194">
        <f>+Elementos_[[#This Row],[Valor de referencia]]*Elementos_[[#This Row],[Cantidad]]</f>
        <v>320022</v>
      </c>
      <c r="K445" s="166"/>
      <c r="L445" s="159">
        <f>+Elementos_[[#This Row],[Cantidad LANIP]]*Elementos_[[#This Row],[Valor de referencia]]</f>
        <v>0</v>
      </c>
      <c r="M445" s="270">
        <v>0</v>
      </c>
      <c r="N445" s="195">
        <f>+Elementos_[[#This Row],[Cantidad 
LDV]]*Elementos_[[#This Row],[Valor de referencia]]</f>
        <v>0</v>
      </c>
      <c r="O445" s="166"/>
      <c r="P445" s="159">
        <f>+Elementos_[[#This Row],[Cantidad LNDV]]*Elementos_[[#This Row],[Valor de referencia]]</f>
        <v>0</v>
      </c>
      <c r="Q445" s="196"/>
      <c r="R445" s="159">
        <f>+Elementos_[[#This Row],[GGCA]]*Elementos_[[#This Row],[Valor de referencia]]</f>
        <v>0</v>
      </c>
      <c r="S445" s="166"/>
      <c r="T445" s="159">
        <f>+Elementos_[[#This Row],[Cantidad LDF]]*Elementos_[[#This Row],[Valor de referencia]]</f>
        <v>0</v>
      </c>
      <c r="U445" s="197"/>
      <c r="V445" s="159">
        <f>+Elementos_[[#This Row],[Cantidad LDF&amp;MR]]*Elementos_[[#This Row],[Valor de referencia]]</f>
        <v>0</v>
      </c>
      <c r="W445" s="166">
        <v>6</v>
      </c>
      <c r="X445" s="159">
        <f>+Elementos_[[#This Row],[Cantidad RED LASE]]*Elementos_[[#This Row],[Valor de referencia]]</f>
        <v>320022</v>
      </c>
      <c r="Y445" s="196"/>
      <c r="Z445" s="159">
        <f>+Elementos_[[#This Row],[Cantidad LANIA]]*Elementos_[[#This Row],[Valor de referencia]]</f>
        <v>0</v>
      </c>
      <c r="AA445" s="196"/>
      <c r="AB445" s="159">
        <f>+Elementos_[[#This Row],[Cantidad SPA]]*Elementos_[[#This Row],[Valor de referencia]]</f>
        <v>0</v>
      </c>
      <c r="AC445" s="166" t="s">
        <v>2041</v>
      </c>
    </row>
    <row r="446" spans="1:29" ht="24" x14ac:dyDescent="0.2">
      <c r="A446" s="294" t="str">
        <f>IF(B446=Elementos_[[#This Row],[Cantidad LANIP]],"LANIP",IF(B446=Elementos_[[#This Row],[Cantidad 
LDV]],"LDV",IF(B446=Elementos_[[#This Row],[Cantidad LNDV]],"LNDV",IF(B446=Elementos_[[#This Row],[GGCA]],"GGCA",IF(B446=Elementos_[[#This Row],[Cantidad LDF]],"LDF",IF(B446=Elementos_[[#This Row],[Cantidad LDF&amp;MR]],"LDF&amp;MR",IF(B446=Elementos_[[#This Row],[Cantidad RED LASE]],"LASE",IF(B446=Elementos_[[#This Row],[Cantidad LANIA]],"LANIA",IF(B446=Elementos_[[#This Row],[Cantidad SPA]],"SPA"," ")))))))))</f>
        <v>LANIA</v>
      </c>
      <c r="B44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446" s="298">
        <v>444</v>
      </c>
      <c r="D446" s="190">
        <v>682</v>
      </c>
      <c r="E446" s="276" t="s">
        <v>2823</v>
      </c>
      <c r="F446" s="204" t="s">
        <v>183</v>
      </c>
      <c r="G446" s="192" t="s">
        <v>2824</v>
      </c>
      <c r="H44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446" s="194">
        <v>219708</v>
      </c>
      <c r="J446" s="194">
        <f>+Elementos_[[#This Row],[Valor de referencia]]*Elementos_[[#This Row],[Cantidad]]</f>
        <v>2197080</v>
      </c>
      <c r="K446" s="166"/>
      <c r="L446" s="159">
        <f>+Elementos_[[#This Row],[Cantidad LANIP]]*Elementos_[[#This Row],[Valor de referencia]]</f>
        <v>0</v>
      </c>
      <c r="M446" s="270">
        <v>0</v>
      </c>
      <c r="N446" s="195">
        <f>+Elementos_[[#This Row],[Cantidad 
LDV]]*Elementos_[[#This Row],[Valor de referencia]]</f>
        <v>0</v>
      </c>
      <c r="O446" s="166"/>
      <c r="P446" s="159">
        <f>+Elementos_[[#This Row],[Cantidad LNDV]]*Elementos_[[#This Row],[Valor de referencia]]</f>
        <v>0</v>
      </c>
      <c r="Q446" s="196"/>
      <c r="R446" s="159">
        <f>+Elementos_[[#This Row],[GGCA]]*Elementos_[[#This Row],[Valor de referencia]]</f>
        <v>0</v>
      </c>
      <c r="S446" s="166"/>
      <c r="T446" s="159">
        <f>+Elementos_[[#This Row],[Cantidad LDF]]*Elementos_[[#This Row],[Valor de referencia]]</f>
        <v>0</v>
      </c>
      <c r="U446" s="197"/>
      <c r="V446" s="159">
        <f>+Elementos_[[#This Row],[Cantidad LDF&amp;MR]]*Elementos_[[#This Row],[Valor de referencia]]</f>
        <v>0</v>
      </c>
      <c r="W446" s="166"/>
      <c r="X446" s="159">
        <f>+Elementos_[[#This Row],[Cantidad RED LASE]]*Elementos_[[#This Row],[Valor de referencia]]</f>
        <v>0</v>
      </c>
      <c r="Y446" s="196">
        <v>10</v>
      </c>
      <c r="Z446" s="159">
        <f>+Elementos_[[#This Row],[Cantidad LANIA]]*Elementos_[[#This Row],[Valor de referencia]]</f>
        <v>2197080</v>
      </c>
      <c r="AA446" s="196"/>
      <c r="AB446" s="159">
        <f>+Elementos_[[#This Row],[Cantidad SPA]]*Elementos_[[#This Row],[Valor de referencia]]</f>
        <v>0</v>
      </c>
      <c r="AC446" s="166" t="s">
        <v>2049</v>
      </c>
    </row>
    <row r="447" spans="1:29" ht="24" x14ac:dyDescent="0.2">
      <c r="A447" s="294" t="str">
        <f>IF(B447=Elementos_[[#This Row],[Cantidad LANIP]],"LANIP",IF(B447=Elementos_[[#This Row],[Cantidad 
LDV]],"LDV",IF(B447=Elementos_[[#This Row],[Cantidad LNDV]],"LNDV",IF(B447=Elementos_[[#This Row],[GGCA]],"GGCA",IF(B447=Elementos_[[#This Row],[Cantidad LDF]],"LDF",IF(B447=Elementos_[[#This Row],[Cantidad LDF&amp;MR]],"LDF&amp;MR",IF(B447=Elementos_[[#This Row],[Cantidad RED LASE]],"LASE",IF(B447=Elementos_[[#This Row],[Cantidad LANIA]],"LANIA",IF(B447=Elementos_[[#This Row],[Cantidad SPA]],"SPA"," ")))))))))</f>
        <v>LNDV</v>
      </c>
      <c r="B44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47" s="298">
        <v>445</v>
      </c>
      <c r="D447" s="190">
        <v>683</v>
      </c>
      <c r="E447" s="276" t="s">
        <v>2825</v>
      </c>
      <c r="F447" s="204" t="s">
        <v>183</v>
      </c>
      <c r="G447" s="234" t="s">
        <v>2826</v>
      </c>
      <c r="H44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47" s="194">
        <v>280442</v>
      </c>
      <c r="J447" s="194">
        <f>+Elementos_[[#This Row],[Valor de referencia]]*Elementos_[[#This Row],[Cantidad]]</f>
        <v>280442</v>
      </c>
      <c r="K447" s="166"/>
      <c r="L447" s="159">
        <f>+Elementos_[[#This Row],[Cantidad LANIP]]*Elementos_[[#This Row],[Valor de referencia]]</f>
        <v>0</v>
      </c>
      <c r="M447" s="270">
        <v>0</v>
      </c>
      <c r="N447" s="195">
        <f>+Elementos_[[#This Row],[Cantidad 
LDV]]*Elementos_[[#This Row],[Valor de referencia]]</f>
        <v>0</v>
      </c>
      <c r="O447" s="166">
        <v>1</v>
      </c>
      <c r="P447" s="159">
        <f>+Elementos_[[#This Row],[Cantidad LNDV]]*Elementos_[[#This Row],[Valor de referencia]]</f>
        <v>280442</v>
      </c>
      <c r="Q447" s="196"/>
      <c r="R447" s="159">
        <f>+Elementos_[[#This Row],[GGCA]]*Elementos_[[#This Row],[Valor de referencia]]</f>
        <v>0</v>
      </c>
      <c r="S447" s="166"/>
      <c r="T447" s="159">
        <f>+Elementos_[[#This Row],[Cantidad LDF]]*Elementos_[[#This Row],[Valor de referencia]]</f>
        <v>0</v>
      </c>
      <c r="U447" s="197"/>
      <c r="V447" s="159">
        <f>+Elementos_[[#This Row],[Cantidad LDF&amp;MR]]*Elementos_[[#This Row],[Valor de referencia]]</f>
        <v>0</v>
      </c>
      <c r="W447" s="166"/>
      <c r="X447" s="159">
        <f>+Elementos_[[#This Row],[Cantidad RED LASE]]*Elementos_[[#This Row],[Valor de referencia]]</f>
        <v>0</v>
      </c>
      <c r="Y447" s="196"/>
      <c r="Z447" s="159">
        <f>+Elementos_[[#This Row],[Cantidad LANIA]]*Elementos_[[#This Row],[Valor de referencia]]</f>
        <v>0</v>
      </c>
      <c r="AA447" s="196"/>
      <c r="AB447" s="159">
        <f>+Elementos_[[#This Row],[Cantidad SPA]]*Elementos_[[#This Row],[Valor de referencia]]</f>
        <v>0</v>
      </c>
      <c r="AC447" s="166" t="s">
        <v>2049</v>
      </c>
    </row>
    <row r="448" spans="1:29" ht="24" x14ac:dyDescent="0.2">
      <c r="A448" s="294" t="str">
        <f>IF(B448=Elementos_[[#This Row],[Cantidad LANIP]],"LANIP",IF(B448=Elementos_[[#This Row],[Cantidad 
LDV]],"LDV",IF(B448=Elementos_[[#This Row],[Cantidad LNDV]],"LNDV",IF(B448=Elementos_[[#This Row],[GGCA]],"GGCA",IF(B448=Elementos_[[#This Row],[Cantidad LDF]],"LDF",IF(B448=Elementos_[[#This Row],[Cantidad LDF&amp;MR]],"LDF&amp;MR",IF(B448=Elementos_[[#This Row],[Cantidad RED LASE]],"LASE",IF(B448=Elementos_[[#This Row],[Cantidad LANIA]],"LANIA",IF(B448=Elementos_[[#This Row],[Cantidad SPA]],"SPA"," ")))))))))</f>
        <v>LANIA</v>
      </c>
      <c r="B44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448" s="298">
        <v>446</v>
      </c>
      <c r="D448" s="190">
        <v>684</v>
      </c>
      <c r="E448" s="235" t="s">
        <v>2827</v>
      </c>
      <c r="F448" s="204" t="s">
        <v>624</v>
      </c>
      <c r="G448" s="192" t="s">
        <v>525</v>
      </c>
      <c r="H44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448" s="194">
        <v>59262</v>
      </c>
      <c r="J448" s="194">
        <f>+Elementos_[[#This Row],[Valor de referencia]]*Elementos_[[#This Row],[Cantidad]]</f>
        <v>1185240</v>
      </c>
      <c r="K448" s="166"/>
      <c r="L448" s="159">
        <f>+Elementos_[[#This Row],[Cantidad LANIP]]*Elementos_[[#This Row],[Valor de referencia]]</f>
        <v>0</v>
      </c>
      <c r="M448" s="270">
        <v>0</v>
      </c>
      <c r="N448" s="195">
        <f>+Elementos_[[#This Row],[Cantidad 
LDV]]*Elementos_[[#This Row],[Valor de referencia]]</f>
        <v>0</v>
      </c>
      <c r="O448" s="166"/>
      <c r="P448" s="159">
        <f>+Elementos_[[#This Row],[Cantidad LNDV]]*Elementos_[[#This Row],[Valor de referencia]]</f>
        <v>0</v>
      </c>
      <c r="Q448" s="196"/>
      <c r="R448" s="159">
        <f>+Elementos_[[#This Row],[GGCA]]*Elementos_[[#This Row],[Valor de referencia]]</f>
        <v>0</v>
      </c>
      <c r="S448" s="166"/>
      <c r="T448" s="159">
        <f>+Elementos_[[#This Row],[Cantidad LDF]]*Elementos_[[#This Row],[Valor de referencia]]</f>
        <v>0</v>
      </c>
      <c r="U448" s="197"/>
      <c r="V448" s="159">
        <f>+Elementos_[[#This Row],[Cantidad LDF&amp;MR]]*Elementos_[[#This Row],[Valor de referencia]]</f>
        <v>0</v>
      </c>
      <c r="W448" s="166"/>
      <c r="X448" s="159">
        <f>+Elementos_[[#This Row],[Cantidad RED LASE]]*Elementos_[[#This Row],[Valor de referencia]]</f>
        <v>0</v>
      </c>
      <c r="Y448" s="196">
        <v>20</v>
      </c>
      <c r="Z448" s="159">
        <f>+Elementos_[[#This Row],[Cantidad LANIA]]*Elementos_[[#This Row],[Valor de referencia]]</f>
        <v>1185240</v>
      </c>
      <c r="AA448" s="196"/>
      <c r="AB448" s="159">
        <f>+Elementos_[[#This Row],[Cantidad SPA]]*Elementos_[[#This Row],[Valor de referencia]]</f>
        <v>0</v>
      </c>
      <c r="AC448" s="166" t="s">
        <v>2049</v>
      </c>
    </row>
    <row r="449" spans="1:29" ht="71.25" customHeight="1" x14ac:dyDescent="0.2">
      <c r="A449" s="294" t="str">
        <f>IF(B449=Elementos_[[#This Row],[Cantidad LANIP]],"LANIP",IF(B449=Elementos_[[#This Row],[Cantidad 
LDV]],"LDV",IF(B449=Elementos_[[#This Row],[Cantidad LNDV]],"LNDV",IF(B449=Elementos_[[#This Row],[GGCA]],"GGCA",IF(B449=Elementos_[[#This Row],[Cantidad LDF]],"LDF",IF(B449=Elementos_[[#This Row],[Cantidad LDF&amp;MR]],"LDF&amp;MR",IF(B449=Elementos_[[#This Row],[Cantidad RED LASE]],"LASE",IF(B449=Elementos_[[#This Row],[Cantidad LANIA]],"LANIA",IF(B449=Elementos_[[#This Row],[Cantidad SPA]],"SPA"," ")))))))))</f>
        <v>LDF</v>
      </c>
      <c r="B44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449" s="298">
        <v>447</v>
      </c>
      <c r="D449" s="190">
        <v>686</v>
      </c>
      <c r="E449" s="282" t="s">
        <v>2828</v>
      </c>
      <c r="F449" s="201" t="s">
        <v>2829</v>
      </c>
      <c r="G449" s="192" t="s">
        <v>525</v>
      </c>
      <c r="H44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I449" s="194">
        <v>857510</v>
      </c>
      <c r="J449" s="194">
        <f>+Elementos_[[#This Row],[Valor de referencia]]*Elementos_[[#This Row],[Cantidad]]</f>
        <v>12862650</v>
      </c>
      <c r="K449" s="166"/>
      <c r="L449" s="159">
        <f>+Elementos_[[#This Row],[Cantidad LANIP]]*Elementos_[[#This Row],[Valor de referencia]]</f>
        <v>0</v>
      </c>
      <c r="M449" s="270">
        <v>5</v>
      </c>
      <c r="N449" s="195">
        <f>+Elementos_[[#This Row],[Cantidad 
LDV]]*Elementos_[[#This Row],[Valor de referencia]]</f>
        <v>4287550</v>
      </c>
      <c r="O449" s="166">
        <v>1</v>
      </c>
      <c r="P449" s="159">
        <f>+Elementos_[[#This Row],[Cantidad LNDV]]*Elementos_[[#This Row],[Valor de referencia]]</f>
        <v>857510</v>
      </c>
      <c r="Q449" s="196"/>
      <c r="R449" s="159">
        <f>+Elementos_[[#This Row],[GGCA]]*Elementos_[[#This Row],[Valor de referencia]]</f>
        <v>0</v>
      </c>
      <c r="S449" s="166">
        <v>8</v>
      </c>
      <c r="T449" s="159">
        <f>+Elementos_[[#This Row],[Cantidad LDF]]*Elementos_[[#This Row],[Valor de referencia]]</f>
        <v>6860080</v>
      </c>
      <c r="U449" s="197">
        <v>1</v>
      </c>
      <c r="V449" s="159">
        <f>+Elementos_[[#This Row],[Cantidad LDF&amp;MR]]*Elementos_[[#This Row],[Valor de referencia]]</f>
        <v>857510</v>
      </c>
      <c r="W449" s="166"/>
      <c r="X449" s="159">
        <f>+Elementos_[[#This Row],[Cantidad RED LASE]]*Elementos_[[#This Row],[Valor de referencia]]</f>
        <v>0</v>
      </c>
      <c r="Y449" s="196"/>
      <c r="Z449" s="159">
        <f>+Elementos_[[#This Row],[Cantidad LANIA]]*Elementos_[[#This Row],[Valor de referencia]]</f>
        <v>0</v>
      </c>
      <c r="AA449" s="196"/>
      <c r="AB449" s="159">
        <f>+Elementos_[[#This Row],[Cantidad SPA]]*Elementos_[[#This Row],[Valor de referencia]]</f>
        <v>0</v>
      </c>
      <c r="AC449" s="166" t="s">
        <v>2041</v>
      </c>
    </row>
    <row r="450" spans="1:29" ht="120" x14ac:dyDescent="0.2">
      <c r="A450" s="294" t="str">
        <f>IF(B450=Elementos_[[#This Row],[Cantidad LANIP]],"LANIP",IF(B450=Elementos_[[#This Row],[Cantidad 
LDV]],"LDV",IF(B450=Elementos_[[#This Row],[Cantidad LNDV]],"LNDV",IF(B450=Elementos_[[#This Row],[GGCA]],"GGCA",IF(B450=Elementos_[[#This Row],[Cantidad LDF]],"LDF",IF(B450=Elementos_[[#This Row],[Cantidad LDF&amp;MR]],"LDF&amp;MR",IF(B450=Elementos_[[#This Row],[Cantidad RED LASE]],"LASE",IF(B450=Elementos_[[#This Row],[Cantidad LANIA]],"LANIA",IF(B450=Elementos_[[#This Row],[Cantidad SPA]],"SPA"," ")))))))))</f>
        <v>LANIA</v>
      </c>
      <c r="B45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50" s="298">
        <v>448</v>
      </c>
      <c r="D450" s="190">
        <v>688</v>
      </c>
      <c r="E450" s="235" t="s">
        <v>2830</v>
      </c>
      <c r="F450" s="201" t="s">
        <v>2831</v>
      </c>
      <c r="G450" s="202" t="s">
        <v>2064</v>
      </c>
      <c r="H45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50" s="194">
        <v>2715818</v>
      </c>
      <c r="J450" s="194">
        <f>+Elementos_[[#This Row],[Valor de referencia]]*Elementos_[[#This Row],[Cantidad]]</f>
        <v>2715818</v>
      </c>
      <c r="K450" s="166"/>
      <c r="L450" s="159">
        <f>+Elementos_[[#This Row],[Cantidad LANIP]]*Elementos_[[#This Row],[Valor de referencia]]</f>
        <v>0</v>
      </c>
      <c r="M450" s="270">
        <v>0</v>
      </c>
      <c r="N450" s="195">
        <f>+Elementos_[[#This Row],[Cantidad 
LDV]]*Elementos_[[#This Row],[Valor de referencia]]</f>
        <v>0</v>
      </c>
      <c r="O450" s="166"/>
      <c r="P450" s="159">
        <f>+Elementos_[[#This Row],[Cantidad LNDV]]*Elementos_[[#This Row],[Valor de referencia]]</f>
        <v>0</v>
      </c>
      <c r="Q450" s="196"/>
      <c r="R450" s="159">
        <f>+Elementos_[[#This Row],[GGCA]]*Elementos_[[#This Row],[Valor de referencia]]</f>
        <v>0</v>
      </c>
      <c r="S450" s="166"/>
      <c r="T450" s="159">
        <f>+Elementos_[[#This Row],[Cantidad LDF]]*Elementos_[[#This Row],[Valor de referencia]]</f>
        <v>0</v>
      </c>
      <c r="U450" s="197"/>
      <c r="V450" s="159">
        <f>+Elementos_[[#This Row],[Cantidad LDF&amp;MR]]*Elementos_[[#This Row],[Valor de referencia]]</f>
        <v>0</v>
      </c>
      <c r="W450" s="166"/>
      <c r="X450" s="159">
        <f>+Elementos_[[#This Row],[Cantidad RED LASE]]*Elementos_[[#This Row],[Valor de referencia]]</f>
        <v>0</v>
      </c>
      <c r="Y450" s="196">
        <v>1</v>
      </c>
      <c r="Z450" s="159">
        <f>+Elementos_[[#This Row],[Cantidad LANIA]]*Elementos_[[#This Row],[Valor de referencia]]</f>
        <v>2715818</v>
      </c>
      <c r="AA450" s="196"/>
      <c r="AB450" s="159">
        <f>+Elementos_[[#This Row],[Cantidad SPA]]*Elementos_[[#This Row],[Valor de referencia]]</f>
        <v>0</v>
      </c>
      <c r="AC450" s="166" t="s">
        <v>2041</v>
      </c>
    </row>
    <row r="451" spans="1:29" ht="48" x14ac:dyDescent="0.2">
      <c r="A451" s="294" t="str">
        <f>IF(B451=Elementos_[[#This Row],[Cantidad LANIP]],"LANIP",IF(B451=Elementos_[[#This Row],[Cantidad 
LDV]],"LDV",IF(B451=Elementos_[[#This Row],[Cantidad LNDV]],"LNDV",IF(B451=Elementos_[[#This Row],[GGCA]],"GGCA",IF(B451=Elementos_[[#This Row],[Cantidad LDF]],"LDF",IF(B451=Elementos_[[#This Row],[Cantidad LDF&amp;MR]],"LDF&amp;MR",IF(B451=Elementos_[[#This Row],[Cantidad RED LASE]],"LASE",IF(B451=Elementos_[[#This Row],[Cantidad LANIA]],"LANIA",IF(B451=Elementos_[[#This Row],[Cantidad SPA]],"SPA"," ")))))))))</f>
        <v>LDF&amp;MR</v>
      </c>
      <c r="B45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51" s="298">
        <v>449</v>
      </c>
      <c r="D451" s="190">
        <v>695</v>
      </c>
      <c r="E451" s="282" t="s">
        <v>2832</v>
      </c>
      <c r="F451" s="201" t="s">
        <v>2833</v>
      </c>
      <c r="G451" s="192" t="s">
        <v>525</v>
      </c>
      <c r="H45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51" s="194">
        <v>2049251</v>
      </c>
      <c r="J451" s="194">
        <f>+Elementos_[[#This Row],[Valor de referencia]]*Elementos_[[#This Row],[Cantidad]]</f>
        <v>2049251</v>
      </c>
      <c r="K451" s="166"/>
      <c r="L451" s="159">
        <f>+Elementos_[[#This Row],[Cantidad LANIP]]*Elementos_[[#This Row],[Valor de referencia]]</f>
        <v>0</v>
      </c>
      <c r="M451" s="270">
        <v>0</v>
      </c>
      <c r="N451" s="195">
        <f>+Elementos_[[#This Row],[Cantidad 
LDV]]*Elementos_[[#This Row],[Valor de referencia]]</f>
        <v>0</v>
      </c>
      <c r="O451" s="166"/>
      <c r="P451" s="159">
        <f>+Elementos_[[#This Row],[Cantidad LNDV]]*Elementos_[[#This Row],[Valor de referencia]]</f>
        <v>0</v>
      </c>
      <c r="Q451" s="196"/>
      <c r="R451" s="159">
        <f>+Elementos_[[#This Row],[GGCA]]*Elementos_[[#This Row],[Valor de referencia]]</f>
        <v>0</v>
      </c>
      <c r="S451" s="166"/>
      <c r="T451" s="159">
        <f>+Elementos_[[#This Row],[Cantidad LDF]]*Elementos_[[#This Row],[Valor de referencia]]</f>
        <v>0</v>
      </c>
      <c r="U451" s="197">
        <v>1</v>
      </c>
      <c r="V451" s="159">
        <f>+Elementos_[[#This Row],[Cantidad LDF&amp;MR]]*Elementos_[[#This Row],[Valor de referencia]]</f>
        <v>2049251</v>
      </c>
      <c r="W451" s="166"/>
      <c r="X451" s="159">
        <f>+Elementos_[[#This Row],[Cantidad RED LASE]]*Elementos_[[#This Row],[Valor de referencia]]</f>
        <v>0</v>
      </c>
      <c r="Y451" s="196"/>
      <c r="Z451" s="159">
        <f>+Elementos_[[#This Row],[Cantidad LANIA]]*Elementos_[[#This Row],[Valor de referencia]]</f>
        <v>0</v>
      </c>
      <c r="AA451" s="196"/>
      <c r="AB451" s="159">
        <f>+Elementos_[[#This Row],[Cantidad SPA]]*Elementos_[[#This Row],[Valor de referencia]]</f>
        <v>0</v>
      </c>
      <c r="AC451" s="166" t="s">
        <v>2041</v>
      </c>
    </row>
    <row r="452" spans="1:29" ht="204" x14ac:dyDescent="0.2">
      <c r="A452" s="294" t="str">
        <f>IF(B452=Elementos_[[#This Row],[Cantidad LANIP]],"LANIP",IF(B452=Elementos_[[#This Row],[Cantidad 
LDV]],"LDV",IF(B452=Elementos_[[#This Row],[Cantidad LNDV]],"LNDV",IF(B452=Elementos_[[#This Row],[GGCA]],"GGCA",IF(B452=Elementos_[[#This Row],[Cantidad LDF]],"LDF",IF(B452=Elementos_[[#This Row],[Cantidad LDF&amp;MR]],"LDF&amp;MR",IF(B452=Elementos_[[#This Row],[Cantidad RED LASE]],"LASE",IF(B452=Elementos_[[#This Row],[Cantidad LANIA]],"LANIA",IF(B452=Elementos_[[#This Row],[Cantidad SPA]],"SPA"," ")))))))))</f>
        <v>LDF&amp;MR</v>
      </c>
      <c r="B45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52" s="298">
        <v>450</v>
      </c>
      <c r="D452" s="190">
        <v>700</v>
      </c>
      <c r="E452" s="235" t="s">
        <v>2834</v>
      </c>
      <c r="F452" s="204" t="s">
        <v>2835</v>
      </c>
      <c r="G452" s="192" t="s">
        <v>525</v>
      </c>
      <c r="H45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52" s="194">
        <v>1644937</v>
      </c>
      <c r="J452" s="194">
        <f>+Elementos_[[#This Row],[Valor de referencia]]*Elementos_[[#This Row],[Cantidad]]</f>
        <v>1644937</v>
      </c>
      <c r="K452" s="166"/>
      <c r="L452" s="159">
        <f>+Elementos_[[#This Row],[Cantidad LANIP]]*Elementos_[[#This Row],[Valor de referencia]]</f>
        <v>0</v>
      </c>
      <c r="M452" s="270">
        <v>0</v>
      </c>
      <c r="N452" s="195">
        <f>+Elementos_[[#This Row],[Cantidad 
LDV]]*Elementos_[[#This Row],[Valor de referencia]]</f>
        <v>0</v>
      </c>
      <c r="O452" s="166"/>
      <c r="P452" s="159">
        <f>+Elementos_[[#This Row],[Cantidad LNDV]]*Elementos_[[#This Row],[Valor de referencia]]</f>
        <v>0</v>
      </c>
      <c r="Q452" s="196"/>
      <c r="R452" s="159">
        <f>+Elementos_[[#This Row],[GGCA]]*Elementos_[[#This Row],[Valor de referencia]]</f>
        <v>0</v>
      </c>
      <c r="S452" s="166"/>
      <c r="T452" s="159">
        <f>+Elementos_[[#This Row],[Cantidad LDF]]*Elementos_[[#This Row],[Valor de referencia]]</f>
        <v>0</v>
      </c>
      <c r="U452" s="197">
        <v>1</v>
      </c>
      <c r="V452" s="159">
        <f>+Elementos_[[#This Row],[Cantidad LDF&amp;MR]]*Elementos_[[#This Row],[Valor de referencia]]</f>
        <v>1644937</v>
      </c>
      <c r="W452" s="166"/>
      <c r="X452" s="159">
        <f>+Elementos_[[#This Row],[Cantidad RED LASE]]*Elementos_[[#This Row],[Valor de referencia]]</f>
        <v>0</v>
      </c>
      <c r="Y452" s="196"/>
      <c r="Z452" s="159">
        <f>+Elementos_[[#This Row],[Cantidad LANIA]]*Elementos_[[#This Row],[Valor de referencia]]</f>
        <v>0</v>
      </c>
      <c r="AA452" s="196"/>
      <c r="AB452" s="159">
        <f>+Elementos_[[#This Row],[Cantidad SPA]]*Elementos_[[#This Row],[Valor de referencia]]</f>
        <v>0</v>
      </c>
      <c r="AC452" s="166" t="s">
        <v>2041</v>
      </c>
    </row>
    <row r="453" spans="1:29" ht="96" x14ac:dyDescent="0.2">
      <c r="A453" s="294" t="str">
        <f>IF(B453=Elementos_[[#This Row],[Cantidad LANIP]],"LANIP",IF(B453=Elementos_[[#This Row],[Cantidad 
LDV]],"LDV",IF(B453=Elementos_[[#This Row],[Cantidad LNDV]],"LNDV",IF(B453=Elementos_[[#This Row],[GGCA]],"GGCA",IF(B453=Elementos_[[#This Row],[Cantidad LDF]],"LDF",IF(B453=Elementos_[[#This Row],[Cantidad LDF&amp;MR]],"LDF&amp;MR",IF(B453=Elementos_[[#This Row],[Cantidad RED LASE]],"LASE",IF(B453=Elementos_[[#This Row],[Cantidad LANIA]],"LANIA",IF(B453=Elementos_[[#This Row],[Cantidad SPA]],"SPA"," ")))))))))</f>
        <v>GGCA</v>
      </c>
      <c r="B45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53" s="298">
        <v>451</v>
      </c>
      <c r="D453" s="190">
        <v>701</v>
      </c>
      <c r="E453" s="282" t="s">
        <v>2836</v>
      </c>
      <c r="F453" s="204" t="s">
        <v>183</v>
      </c>
      <c r="G453" s="192" t="s">
        <v>525</v>
      </c>
      <c r="H45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53" s="194">
        <v>2382642</v>
      </c>
      <c r="J453" s="194">
        <f>+Elementos_[[#This Row],[Valor de referencia]]*Elementos_[[#This Row],[Cantidad]]</f>
        <v>2382642</v>
      </c>
      <c r="K453" s="166"/>
      <c r="L453" s="159">
        <f>+Elementos_[[#This Row],[Cantidad LANIP]]*Elementos_[[#This Row],[Valor de referencia]]</f>
        <v>0</v>
      </c>
      <c r="M453" s="270">
        <v>0</v>
      </c>
      <c r="N453" s="195">
        <f>+Elementos_[[#This Row],[Cantidad 
LDV]]*Elementos_[[#This Row],[Valor de referencia]]</f>
        <v>0</v>
      </c>
      <c r="O453" s="166"/>
      <c r="P453" s="159">
        <f>+Elementos_[[#This Row],[Cantidad LNDV]]*Elementos_[[#This Row],[Valor de referencia]]</f>
        <v>0</v>
      </c>
      <c r="Q453" s="196">
        <v>1</v>
      </c>
      <c r="R453" s="159">
        <f>+Elementos_[[#This Row],[GGCA]]*Elementos_[[#This Row],[Valor de referencia]]</f>
        <v>2382642</v>
      </c>
      <c r="S453" s="166"/>
      <c r="T453" s="159">
        <f>+Elementos_[[#This Row],[Cantidad LDF]]*Elementos_[[#This Row],[Valor de referencia]]</f>
        <v>0</v>
      </c>
      <c r="U453" s="197"/>
      <c r="V453" s="159">
        <f>+Elementos_[[#This Row],[Cantidad LDF&amp;MR]]*Elementos_[[#This Row],[Valor de referencia]]</f>
        <v>0</v>
      </c>
      <c r="W453" s="166"/>
      <c r="X453" s="159">
        <f>+Elementos_[[#This Row],[Cantidad RED LASE]]*Elementos_[[#This Row],[Valor de referencia]]</f>
        <v>0</v>
      </c>
      <c r="Y453" s="196"/>
      <c r="Z453" s="159">
        <f>+Elementos_[[#This Row],[Cantidad LANIA]]*Elementos_[[#This Row],[Valor de referencia]]</f>
        <v>0</v>
      </c>
      <c r="AA453" s="196"/>
      <c r="AB453" s="159">
        <f>+Elementos_[[#This Row],[Cantidad SPA]]*Elementos_[[#This Row],[Valor de referencia]]</f>
        <v>0</v>
      </c>
      <c r="AC453" s="166" t="s">
        <v>2041</v>
      </c>
    </row>
    <row r="454" spans="1:29" ht="36" x14ac:dyDescent="0.2">
      <c r="A454" s="294" t="str">
        <f>IF(B454=Elementos_[[#This Row],[Cantidad LANIP]],"LANIP",IF(B454=Elementos_[[#This Row],[Cantidad 
LDV]],"LDV",IF(B454=Elementos_[[#This Row],[Cantidad LNDV]],"LNDV",IF(B454=Elementos_[[#This Row],[GGCA]],"GGCA",IF(B454=Elementos_[[#This Row],[Cantidad LDF]],"LDF",IF(B454=Elementos_[[#This Row],[Cantidad LDF&amp;MR]],"LDF&amp;MR",IF(B454=Elementos_[[#This Row],[Cantidad RED LASE]],"LASE",IF(B454=Elementos_[[#This Row],[Cantidad LANIA]],"LANIA",IF(B454=Elementos_[[#This Row],[Cantidad SPA]],"SPA"," ")))))))))</f>
        <v>LNDV</v>
      </c>
      <c r="B45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50</v>
      </c>
      <c r="C454" s="298">
        <v>452</v>
      </c>
      <c r="D454" s="190">
        <v>705</v>
      </c>
      <c r="E454" s="235" t="s">
        <v>2837</v>
      </c>
      <c r="F454" s="204" t="s">
        <v>2838</v>
      </c>
      <c r="G454" s="192" t="s">
        <v>525</v>
      </c>
      <c r="H45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91</v>
      </c>
      <c r="I454" s="194">
        <v>64093</v>
      </c>
      <c r="J454" s="194">
        <f>+Elementos_[[#This Row],[Valor de referencia]]*Elementos_[[#This Row],[Cantidad]]</f>
        <v>5832463</v>
      </c>
      <c r="K454" s="166"/>
      <c r="L454" s="159">
        <f>+Elementos_[[#This Row],[Cantidad LANIP]]*Elementos_[[#This Row],[Valor de referencia]]</f>
        <v>0</v>
      </c>
      <c r="M454" s="270">
        <v>13</v>
      </c>
      <c r="N454" s="195">
        <f>+Elementos_[[#This Row],[Cantidad 
LDV]]*Elementos_[[#This Row],[Valor de referencia]]</f>
        <v>833209</v>
      </c>
      <c r="O454" s="166">
        <v>50</v>
      </c>
      <c r="P454" s="159">
        <f>+Elementos_[[#This Row],[Cantidad LNDV]]*Elementos_[[#This Row],[Valor de referencia]]</f>
        <v>3204650</v>
      </c>
      <c r="Q454" s="196"/>
      <c r="R454" s="159">
        <f>+Elementos_[[#This Row],[GGCA]]*Elementos_[[#This Row],[Valor de referencia]]</f>
        <v>0</v>
      </c>
      <c r="S454" s="166">
        <v>18</v>
      </c>
      <c r="T454" s="159">
        <f>+Elementos_[[#This Row],[Cantidad LDF]]*Elementos_[[#This Row],[Valor de referencia]]</f>
        <v>1153674</v>
      </c>
      <c r="U454" s="197"/>
      <c r="V454" s="159">
        <f>+Elementos_[[#This Row],[Cantidad LDF&amp;MR]]*Elementos_[[#This Row],[Valor de referencia]]</f>
        <v>0</v>
      </c>
      <c r="W454" s="166"/>
      <c r="X454" s="159">
        <f>+Elementos_[[#This Row],[Cantidad RED LASE]]*Elementos_[[#This Row],[Valor de referencia]]</f>
        <v>0</v>
      </c>
      <c r="Y454" s="196">
        <v>10</v>
      </c>
      <c r="Z454" s="159">
        <f>+Elementos_[[#This Row],[Cantidad LANIA]]*Elementos_[[#This Row],[Valor de referencia]]</f>
        <v>640930</v>
      </c>
      <c r="AA454" s="196"/>
      <c r="AB454" s="159">
        <f>+Elementos_[[#This Row],[Cantidad SPA]]*Elementos_[[#This Row],[Valor de referencia]]</f>
        <v>0</v>
      </c>
      <c r="AC454" s="166" t="s">
        <v>2049</v>
      </c>
    </row>
    <row r="455" spans="1:29" ht="48" x14ac:dyDescent="0.2">
      <c r="A455" s="294" t="str">
        <f>IF(B455=Elementos_[[#This Row],[Cantidad LANIP]],"LANIP",IF(B455=Elementos_[[#This Row],[Cantidad 
LDV]],"LDV",IF(B455=Elementos_[[#This Row],[Cantidad LNDV]],"LNDV",IF(B455=Elementos_[[#This Row],[GGCA]],"GGCA",IF(B455=Elementos_[[#This Row],[Cantidad LDF]],"LDF",IF(B455=Elementos_[[#This Row],[Cantidad LDF&amp;MR]],"LDF&amp;MR",IF(B455=Elementos_[[#This Row],[Cantidad RED LASE]],"LASE",IF(B455=Elementos_[[#This Row],[Cantidad LANIA]],"LANIA",IF(B455=Elementos_[[#This Row],[Cantidad SPA]],"SPA"," ")))))))))</f>
        <v>SPA</v>
      </c>
      <c r="B45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66</v>
      </c>
      <c r="C455" s="298">
        <v>453</v>
      </c>
      <c r="D455" s="190">
        <v>706</v>
      </c>
      <c r="E455" s="235" t="s">
        <v>2839</v>
      </c>
      <c r="F455" s="204" t="s">
        <v>2840</v>
      </c>
      <c r="G455" s="192" t="s">
        <v>525</v>
      </c>
      <c r="H45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66</v>
      </c>
      <c r="I455" s="194">
        <v>60763</v>
      </c>
      <c r="J455" s="194">
        <f>+Elementos_[[#This Row],[Valor de referencia]]*Elementos_[[#This Row],[Cantidad]]</f>
        <v>4010358</v>
      </c>
      <c r="K455" s="166"/>
      <c r="L455" s="159">
        <f>+Elementos_[[#This Row],[Cantidad LANIP]]*Elementos_[[#This Row],[Valor de referencia]]</f>
        <v>0</v>
      </c>
      <c r="M455" s="270"/>
      <c r="N455" s="195">
        <f>+Elementos_[[#This Row],[Cantidad 
LDV]]*Elementos_[[#This Row],[Valor de referencia]]</f>
        <v>0</v>
      </c>
      <c r="O455" s="166"/>
      <c r="P455" s="159">
        <f>+Elementos_[[#This Row],[Cantidad LNDV]]*Elementos_[[#This Row],[Valor de referencia]]</f>
        <v>0</v>
      </c>
      <c r="Q455" s="196"/>
      <c r="R455" s="159">
        <f>+Elementos_[[#This Row],[GGCA]]*Elementos_[[#This Row],[Valor de referencia]]</f>
        <v>0</v>
      </c>
      <c r="S455" s="166"/>
      <c r="T455" s="194">
        <f>+Elementos_[[#This Row],[Cantidad LDF]]*Elementos_[[#This Row],[Valor de referencia]]</f>
        <v>0</v>
      </c>
      <c r="U455" s="197"/>
      <c r="V455" s="194">
        <f>+Elementos_[[#This Row],[Cantidad LDF&amp;MR]]*Elementos_[[#This Row],[Valor de referencia]]</f>
        <v>0</v>
      </c>
      <c r="W455" s="166"/>
      <c r="X455" s="194">
        <f>+Elementos_[[#This Row],[Cantidad RED LASE]]*Elementos_[[#This Row],[Valor de referencia]]</f>
        <v>0</v>
      </c>
      <c r="Y455" s="196"/>
      <c r="Z455" s="194">
        <f>+Elementos_[[#This Row],[Cantidad LANIA]]*Elementos_[[#This Row],[Valor de referencia]]</f>
        <v>0</v>
      </c>
      <c r="AA455" s="196">
        <v>66</v>
      </c>
      <c r="AB455" s="194">
        <f>+Elementos_[[#This Row],[Cantidad SPA]]*Elementos_[[#This Row],[Valor de referencia]]</f>
        <v>4010358</v>
      </c>
      <c r="AC455" s="166" t="s">
        <v>2049</v>
      </c>
    </row>
    <row r="456" spans="1:29" ht="36" x14ac:dyDescent="0.2">
      <c r="A456" s="294" t="str">
        <f>IF(B456=Elementos_[[#This Row],[Cantidad LANIP]],"LANIP",IF(B456=Elementos_[[#This Row],[Cantidad 
LDV]],"LDV",IF(B456=Elementos_[[#This Row],[Cantidad LNDV]],"LNDV",IF(B456=Elementos_[[#This Row],[GGCA]],"GGCA",IF(B456=Elementos_[[#This Row],[Cantidad LDF]],"LDF",IF(B456=Elementos_[[#This Row],[Cantidad LDF&amp;MR]],"LDF&amp;MR",IF(B456=Elementos_[[#This Row],[Cantidad RED LASE]],"LASE",IF(B456=Elementos_[[#This Row],[Cantidad LANIA]],"LANIA",IF(B456=Elementos_[[#This Row],[Cantidad SPA]],"SPA"," ")))))))))</f>
        <v>SPA</v>
      </c>
      <c r="B45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32</v>
      </c>
      <c r="C456" s="298">
        <v>454</v>
      </c>
      <c r="D456" s="190">
        <v>707</v>
      </c>
      <c r="E456" s="235" t="s">
        <v>2841</v>
      </c>
      <c r="F456" s="204" t="s">
        <v>2842</v>
      </c>
      <c r="G456" s="192" t="s">
        <v>525</v>
      </c>
      <c r="H45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42</v>
      </c>
      <c r="I456" s="194">
        <v>253831</v>
      </c>
      <c r="J456" s="194">
        <f>+Elementos_[[#This Row],[Valor de referencia]]*Elementos_[[#This Row],[Cantidad]]</f>
        <v>10660902</v>
      </c>
      <c r="K456" s="166"/>
      <c r="L456" s="159">
        <f>+Elementos_[[#This Row],[Cantidad LANIP]]*Elementos_[[#This Row],[Valor de referencia]]</f>
        <v>0</v>
      </c>
      <c r="M456" s="270"/>
      <c r="N456" s="195">
        <f>+Elementos_[[#This Row],[Cantidad 
LDV]]*Elementos_[[#This Row],[Valor de referencia]]</f>
        <v>0</v>
      </c>
      <c r="O456" s="166">
        <v>10</v>
      </c>
      <c r="P456" s="159">
        <f>+Elementos_[[#This Row],[Cantidad LNDV]]*Elementos_[[#This Row],[Valor de referencia]]</f>
        <v>2538310</v>
      </c>
      <c r="Q456" s="196"/>
      <c r="R456" s="159">
        <f>+Elementos_[[#This Row],[GGCA]]*Elementos_[[#This Row],[Valor de referencia]]</f>
        <v>0</v>
      </c>
      <c r="S456" s="166"/>
      <c r="T456" s="194">
        <f>+Elementos_[[#This Row],[Cantidad LDF]]*Elementos_[[#This Row],[Valor de referencia]]</f>
        <v>0</v>
      </c>
      <c r="U456" s="197"/>
      <c r="V456" s="194">
        <f>+Elementos_[[#This Row],[Cantidad LDF&amp;MR]]*Elementos_[[#This Row],[Valor de referencia]]</f>
        <v>0</v>
      </c>
      <c r="W456" s="166"/>
      <c r="X456" s="194">
        <f>+Elementos_[[#This Row],[Cantidad RED LASE]]*Elementos_[[#This Row],[Valor de referencia]]</f>
        <v>0</v>
      </c>
      <c r="Y456" s="196"/>
      <c r="Z456" s="194">
        <f>+Elementos_[[#This Row],[Cantidad LANIA]]*Elementos_[[#This Row],[Valor de referencia]]</f>
        <v>0</v>
      </c>
      <c r="AA456" s="196">
        <v>32</v>
      </c>
      <c r="AB456" s="194">
        <f>+Elementos_[[#This Row],[Cantidad SPA]]*Elementos_[[#This Row],[Valor de referencia]]</f>
        <v>8122592</v>
      </c>
      <c r="AC456" s="166" t="s">
        <v>2049</v>
      </c>
    </row>
    <row r="457" spans="1:29" ht="36" x14ac:dyDescent="0.2">
      <c r="A457" s="294" t="str">
        <f>IF(B457=Elementos_[[#This Row],[Cantidad LANIP]],"LANIP",IF(B457=Elementos_[[#This Row],[Cantidad 
LDV]],"LDV",IF(B457=Elementos_[[#This Row],[Cantidad LNDV]],"LNDV",IF(B457=Elementos_[[#This Row],[GGCA]],"GGCA",IF(B457=Elementos_[[#This Row],[Cantidad LDF]],"LDF",IF(B457=Elementos_[[#This Row],[Cantidad LDF&amp;MR]],"LDF&amp;MR",IF(B457=Elementos_[[#This Row],[Cantidad RED LASE]],"LASE",IF(B457=Elementos_[[#This Row],[Cantidad LANIA]],"LANIA",IF(B457=Elementos_[[#This Row],[Cantidad SPA]],"SPA"," ")))))))))</f>
        <v>SPA</v>
      </c>
      <c r="B45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66</v>
      </c>
      <c r="C457" s="298">
        <v>455</v>
      </c>
      <c r="D457" s="190">
        <v>708</v>
      </c>
      <c r="E457" s="235" t="s">
        <v>2843</v>
      </c>
      <c r="F457" s="204" t="s">
        <v>2842</v>
      </c>
      <c r="G457" s="192" t="s">
        <v>525</v>
      </c>
      <c r="H45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66</v>
      </c>
      <c r="I457" s="194">
        <v>69108</v>
      </c>
      <c r="J457" s="194">
        <f>+Elementos_[[#This Row],[Valor de referencia]]*Elementos_[[#This Row],[Cantidad]]</f>
        <v>4561128</v>
      </c>
      <c r="K457" s="166"/>
      <c r="L457" s="159">
        <f>+Elementos_[[#This Row],[Cantidad LANIP]]*Elementos_[[#This Row],[Valor de referencia]]</f>
        <v>0</v>
      </c>
      <c r="M457" s="270"/>
      <c r="N457" s="195">
        <f>+Elementos_[[#This Row],[Cantidad 
LDV]]*Elementos_[[#This Row],[Valor de referencia]]</f>
        <v>0</v>
      </c>
      <c r="O457" s="166"/>
      <c r="P457" s="159">
        <f>+Elementos_[[#This Row],[Cantidad LNDV]]*Elementos_[[#This Row],[Valor de referencia]]</f>
        <v>0</v>
      </c>
      <c r="Q457" s="196"/>
      <c r="R457" s="159">
        <f>+Elementos_[[#This Row],[GGCA]]*Elementos_[[#This Row],[Valor de referencia]]</f>
        <v>0</v>
      </c>
      <c r="S457" s="166"/>
      <c r="T457" s="194">
        <f>+Elementos_[[#This Row],[Cantidad LDF]]*Elementos_[[#This Row],[Valor de referencia]]</f>
        <v>0</v>
      </c>
      <c r="U457" s="197"/>
      <c r="V457" s="194">
        <f>+Elementos_[[#This Row],[Cantidad LDF&amp;MR]]*Elementos_[[#This Row],[Valor de referencia]]</f>
        <v>0</v>
      </c>
      <c r="W457" s="166"/>
      <c r="X457" s="194">
        <f>+Elementos_[[#This Row],[Cantidad RED LASE]]*Elementos_[[#This Row],[Valor de referencia]]</f>
        <v>0</v>
      </c>
      <c r="Y457" s="196"/>
      <c r="Z457" s="194">
        <f>+Elementos_[[#This Row],[Cantidad LANIA]]*Elementos_[[#This Row],[Valor de referencia]]</f>
        <v>0</v>
      </c>
      <c r="AA457" s="196">
        <v>66</v>
      </c>
      <c r="AB457" s="194">
        <f>+Elementos_[[#This Row],[Cantidad SPA]]*Elementos_[[#This Row],[Valor de referencia]]</f>
        <v>4561128</v>
      </c>
      <c r="AC457" s="166" t="s">
        <v>2049</v>
      </c>
    </row>
    <row r="458" spans="1:29" ht="36" x14ac:dyDescent="0.2">
      <c r="A458" s="294" t="str">
        <f>IF(B458=Elementos_[[#This Row],[Cantidad LANIP]],"LANIP",IF(B458=Elementos_[[#This Row],[Cantidad 
LDV]],"LDV",IF(B458=Elementos_[[#This Row],[Cantidad LNDV]],"LNDV",IF(B458=Elementos_[[#This Row],[GGCA]],"GGCA",IF(B458=Elementos_[[#This Row],[Cantidad LDF]],"LDF",IF(B458=Elementos_[[#This Row],[Cantidad LDF&amp;MR]],"LDF&amp;MR",IF(B458=Elementos_[[#This Row],[Cantidad RED LASE]],"LASE",IF(B458=Elementos_[[#This Row],[Cantidad LANIA]],"LANIA",IF(B458=Elementos_[[#This Row],[Cantidad SPA]],"SPA"," ")))))))))</f>
        <v>LNDV</v>
      </c>
      <c r="B45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458" s="298">
        <v>456</v>
      </c>
      <c r="D458" s="190">
        <v>709</v>
      </c>
      <c r="E458" s="235" t="s">
        <v>2844</v>
      </c>
      <c r="F458" s="201" t="s">
        <v>2845</v>
      </c>
      <c r="G458" s="192" t="s">
        <v>525</v>
      </c>
      <c r="H45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458" s="194">
        <v>563439</v>
      </c>
      <c r="J458" s="194">
        <f>+Elementos_[[#This Row],[Valor de referencia]]*Elementos_[[#This Row],[Cantidad]]</f>
        <v>1690317</v>
      </c>
      <c r="K458" s="166"/>
      <c r="L458" s="159">
        <f>+Elementos_[[#This Row],[Cantidad LANIP]]*Elementos_[[#This Row],[Valor de referencia]]</f>
        <v>0</v>
      </c>
      <c r="M458" s="270">
        <v>0</v>
      </c>
      <c r="N458" s="195">
        <f>+Elementos_[[#This Row],[Cantidad 
LDV]]*Elementos_[[#This Row],[Valor de referencia]]</f>
        <v>0</v>
      </c>
      <c r="O458" s="166">
        <v>3</v>
      </c>
      <c r="P458" s="159">
        <f>+Elementos_[[#This Row],[Cantidad LNDV]]*Elementos_[[#This Row],[Valor de referencia]]</f>
        <v>1690317</v>
      </c>
      <c r="Q458" s="196"/>
      <c r="R458" s="159">
        <f>+Elementos_[[#This Row],[GGCA]]*Elementos_[[#This Row],[Valor de referencia]]</f>
        <v>0</v>
      </c>
      <c r="S458" s="166"/>
      <c r="T458" s="159">
        <f>+Elementos_[[#This Row],[Cantidad LDF]]*Elementos_[[#This Row],[Valor de referencia]]</f>
        <v>0</v>
      </c>
      <c r="U458" s="197"/>
      <c r="V458" s="159">
        <f>+Elementos_[[#This Row],[Cantidad LDF&amp;MR]]*Elementos_[[#This Row],[Valor de referencia]]</f>
        <v>0</v>
      </c>
      <c r="W458" s="166"/>
      <c r="X458" s="159">
        <f>+Elementos_[[#This Row],[Cantidad RED LASE]]*Elementos_[[#This Row],[Valor de referencia]]</f>
        <v>0</v>
      </c>
      <c r="Y458" s="196"/>
      <c r="Z458" s="159">
        <f>+Elementos_[[#This Row],[Cantidad LANIA]]*Elementos_[[#This Row],[Valor de referencia]]</f>
        <v>0</v>
      </c>
      <c r="AA458" s="196"/>
      <c r="AB458" s="159">
        <f>+Elementos_[[#This Row],[Cantidad SPA]]*Elementos_[[#This Row],[Valor de referencia]]</f>
        <v>0</v>
      </c>
      <c r="AC458" s="166" t="s">
        <v>2049</v>
      </c>
    </row>
    <row r="459" spans="1:29" ht="36" x14ac:dyDescent="0.2">
      <c r="A459" s="294" t="str">
        <f>IF(B459=Elementos_[[#This Row],[Cantidad LANIP]],"LANIP",IF(B459=Elementos_[[#This Row],[Cantidad 
LDV]],"LDV",IF(B459=Elementos_[[#This Row],[Cantidad LNDV]],"LNDV",IF(B459=Elementos_[[#This Row],[GGCA]],"GGCA",IF(B459=Elementos_[[#This Row],[Cantidad LDF]],"LDF",IF(B459=Elementos_[[#This Row],[Cantidad LDF&amp;MR]],"LDF&amp;MR",IF(B459=Elementos_[[#This Row],[Cantidad RED LASE]],"LASE",IF(B459=Elementos_[[#This Row],[Cantidad LANIA]],"LANIA",IF(B459=Elementos_[[#This Row],[Cantidad SPA]],"SPA"," ")))))))))</f>
        <v>SPA</v>
      </c>
      <c r="B45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C459" s="298">
        <v>457</v>
      </c>
      <c r="D459" s="190">
        <v>713</v>
      </c>
      <c r="E459" s="235" t="s">
        <v>2846</v>
      </c>
      <c r="F459" s="204" t="s">
        <v>2847</v>
      </c>
      <c r="G459" s="192" t="s">
        <v>525</v>
      </c>
      <c r="H45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I459" s="194">
        <v>266484</v>
      </c>
      <c r="J459" s="194">
        <f>+Elementos_[[#This Row],[Valor de referencia]]*Elementos_[[#This Row],[Cantidad]]</f>
        <v>9326940</v>
      </c>
      <c r="K459" s="166"/>
      <c r="L459" s="159">
        <f>+Elementos_[[#This Row],[Cantidad LANIP]]*Elementos_[[#This Row],[Valor de referencia]]</f>
        <v>0</v>
      </c>
      <c r="M459" s="270"/>
      <c r="N459" s="195">
        <f>+Elementos_[[#This Row],[Cantidad 
LDV]]*Elementos_[[#This Row],[Valor de referencia]]</f>
        <v>0</v>
      </c>
      <c r="O459" s="166"/>
      <c r="P459" s="159">
        <f>+Elementos_[[#This Row],[Cantidad LNDV]]*Elementos_[[#This Row],[Valor de referencia]]</f>
        <v>0</v>
      </c>
      <c r="Q459" s="196"/>
      <c r="R459" s="159">
        <f>+Elementos_[[#This Row],[GGCA]]*Elementos_[[#This Row],[Valor de referencia]]</f>
        <v>0</v>
      </c>
      <c r="S459" s="166"/>
      <c r="T459" s="194">
        <f>+Elementos_[[#This Row],[Cantidad LDF]]*Elementos_[[#This Row],[Valor de referencia]]</f>
        <v>0</v>
      </c>
      <c r="U459" s="224"/>
      <c r="V459" s="194">
        <f>+Elementos_[[#This Row],[Cantidad LDF&amp;MR]]*Elementos_[[#This Row],[Valor de referencia]]</f>
        <v>0</v>
      </c>
      <c r="W459" s="166"/>
      <c r="X459" s="194">
        <f>+Elementos_[[#This Row],[Cantidad RED LASE]]*Elementos_[[#This Row],[Valor de referencia]]</f>
        <v>0</v>
      </c>
      <c r="Y459" s="196"/>
      <c r="Z459" s="194">
        <f>+Elementos_[[#This Row],[Cantidad LANIA]]*Elementos_[[#This Row],[Valor de referencia]]</f>
        <v>0</v>
      </c>
      <c r="AA459" s="196">
        <v>35</v>
      </c>
      <c r="AB459" s="194">
        <f>+Elementos_[[#This Row],[Cantidad SPA]]*Elementos_[[#This Row],[Valor de referencia]]</f>
        <v>9326940</v>
      </c>
      <c r="AC459" s="166" t="s">
        <v>2041</v>
      </c>
    </row>
    <row r="460" spans="1:29" ht="24" x14ac:dyDescent="0.2">
      <c r="A460" s="294" t="str">
        <f>IF(B460=Elementos_[[#This Row],[Cantidad LANIP]],"LANIP",IF(B460=Elementos_[[#This Row],[Cantidad 
LDV]],"LDV",IF(B460=Elementos_[[#This Row],[Cantidad LNDV]],"LNDV",IF(B460=Elementos_[[#This Row],[GGCA]],"GGCA",IF(B460=Elementos_[[#This Row],[Cantidad LDF]],"LDF",IF(B460=Elementos_[[#This Row],[Cantidad LDF&amp;MR]],"LDF&amp;MR",IF(B460=Elementos_[[#This Row],[Cantidad RED LASE]],"LASE",IF(B460=Elementos_[[#This Row],[Cantidad LANIA]],"LANIA",IF(B460=Elementos_[[#This Row],[Cantidad SPA]],"SPA"," ")))))))))</f>
        <v>LDV</v>
      </c>
      <c r="B46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460" s="298">
        <v>458</v>
      </c>
      <c r="D460" s="190">
        <v>714</v>
      </c>
      <c r="E460" s="235" t="s">
        <v>2848</v>
      </c>
      <c r="F460" s="201" t="s">
        <v>2849</v>
      </c>
      <c r="G460" s="202" t="s">
        <v>525</v>
      </c>
      <c r="H46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9</v>
      </c>
      <c r="I460" s="194">
        <v>326018</v>
      </c>
      <c r="J460" s="194">
        <f>+Elementos_[[#This Row],[Valor de referencia]]*Elementos_[[#This Row],[Cantidad]]</f>
        <v>2934162</v>
      </c>
      <c r="K460" s="166"/>
      <c r="L460" s="159">
        <f>+Elementos_[[#This Row],[Cantidad LANIP]]*Elementos_[[#This Row],[Valor de referencia]]</f>
        <v>0</v>
      </c>
      <c r="M460" s="270">
        <v>5</v>
      </c>
      <c r="N460" s="195">
        <f>+Elementos_[[#This Row],[Cantidad 
LDV]]*Elementos_[[#This Row],[Valor de referencia]]</f>
        <v>1630090</v>
      </c>
      <c r="O460" s="166"/>
      <c r="P460" s="159">
        <f>+Elementos_[[#This Row],[Cantidad LNDV]]*Elementos_[[#This Row],[Valor de referencia]]</f>
        <v>0</v>
      </c>
      <c r="Q460" s="196"/>
      <c r="R460" s="159">
        <f>+Elementos_[[#This Row],[GGCA]]*Elementos_[[#This Row],[Valor de referencia]]</f>
        <v>0</v>
      </c>
      <c r="S460" s="166">
        <v>4</v>
      </c>
      <c r="T460" s="159">
        <f>+Elementos_[[#This Row],[Cantidad LDF]]*Elementos_[[#This Row],[Valor de referencia]]</f>
        <v>1304072</v>
      </c>
      <c r="U460" s="197"/>
      <c r="V460" s="159">
        <f>+Elementos_[[#This Row],[Cantidad LDF&amp;MR]]*Elementos_[[#This Row],[Valor de referencia]]</f>
        <v>0</v>
      </c>
      <c r="W460" s="166"/>
      <c r="X460" s="159">
        <f>+Elementos_[[#This Row],[Cantidad RED LASE]]*Elementos_[[#This Row],[Valor de referencia]]</f>
        <v>0</v>
      </c>
      <c r="Y460" s="196"/>
      <c r="Z460" s="159">
        <f>+Elementos_[[#This Row],[Cantidad LANIA]]*Elementos_[[#This Row],[Valor de referencia]]</f>
        <v>0</v>
      </c>
      <c r="AA460" s="196"/>
      <c r="AB460" s="159">
        <f>+Elementos_[[#This Row],[Cantidad SPA]]*Elementos_[[#This Row],[Valor de referencia]]</f>
        <v>0</v>
      </c>
      <c r="AC460" s="166" t="s">
        <v>2041</v>
      </c>
    </row>
    <row r="461" spans="1:29" ht="12.75" x14ac:dyDescent="0.2">
      <c r="A461" s="294" t="str">
        <f>IF(B461=Elementos_[[#This Row],[Cantidad LANIP]],"LANIP",IF(B461=Elementos_[[#This Row],[Cantidad 
LDV]],"LDV",IF(B461=Elementos_[[#This Row],[Cantidad LNDV]],"LNDV",IF(B461=Elementos_[[#This Row],[GGCA]],"GGCA",IF(B461=Elementos_[[#This Row],[Cantidad LDF]],"LDF",IF(B461=Elementos_[[#This Row],[Cantidad LDF&amp;MR]],"LDF&amp;MR",IF(B461=Elementos_[[#This Row],[Cantidad RED LASE]],"LASE",IF(B461=Elementos_[[#This Row],[Cantidad LANIA]],"LANIA",IF(B461=Elementos_[[#This Row],[Cantidad SPA]],"SPA"," ")))))))))</f>
        <v>GGCA</v>
      </c>
      <c r="B46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61" s="298">
        <v>459</v>
      </c>
      <c r="D461" s="190">
        <v>716</v>
      </c>
      <c r="E461" s="276" t="s">
        <v>2850</v>
      </c>
      <c r="F461" s="201" t="s">
        <v>183</v>
      </c>
      <c r="G461" s="192" t="s">
        <v>2851</v>
      </c>
      <c r="H46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461" s="194">
        <v>595000</v>
      </c>
      <c r="J461" s="194">
        <f>+Elementos_[[#This Row],[Valor de referencia]]*Elementos_[[#This Row],[Cantidad]]</f>
        <v>1190000</v>
      </c>
      <c r="K461" s="166"/>
      <c r="L461" s="159">
        <f>+Elementos_[[#This Row],[Cantidad LANIP]]*Elementos_[[#This Row],[Valor de referencia]]</f>
        <v>0</v>
      </c>
      <c r="M461" s="270">
        <v>0</v>
      </c>
      <c r="N461" s="195">
        <f>+Elementos_[[#This Row],[Cantidad 
LDV]]*Elementos_[[#This Row],[Valor de referencia]]</f>
        <v>0</v>
      </c>
      <c r="O461" s="166"/>
      <c r="P461" s="159">
        <f>+Elementos_[[#This Row],[Cantidad LNDV]]*Elementos_[[#This Row],[Valor de referencia]]</f>
        <v>0</v>
      </c>
      <c r="Q461" s="196">
        <v>2</v>
      </c>
      <c r="R461" s="159">
        <f>+Elementos_[[#This Row],[GGCA]]*Elementos_[[#This Row],[Valor de referencia]]</f>
        <v>1190000</v>
      </c>
      <c r="S461" s="166"/>
      <c r="T461" s="159">
        <f>+Elementos_[[#This Row],[Cantidad LDF]]*Elementos_[[#This Row],[Valor de referencia]]</f>
        <v>0</v>
      </c>
      <c r="U461" s="197"/>
      <c r="V461" s="159">
        <f>+Elementos_[[#This Row],[Cantidad LDF&amp;MR]]*Elementos_[[#This Row],[Valor de referencia]]</f>
        <v>0</v>
      </c>
      <c r="W461" s="166"/>
      <c r="X461" s="159">
        <f>+Elementos_[[#This Row],[Cantidad RED LASE]]*Elementos_[[#This Row],[Valor de referencia]]</f>
        <v>0</v>
      </c>
      <c r="Y461" s="196"/>
      <c r="Z461" s="159">
        <f>+Elementos_[[#This Row],[Cantidad LANIA]]*Elementos_[[#This Row],[Valor de referencia]]</f>
        <v>0</v>
      </c>
      <c r="AA461" s="196"/>
      <c r="AB461" s="159">
        <f>+Elementos_[[#This Row],[Cantidad SPA]]*Elementos_[[#This Row],[Valor de referencia]]</f>
        <v>0</v>
      </c>
      <c r="AC461" s="406" t="s">
        <v>101</v>
      </c>
    </row>
    <row r="462" spans="1:29" ht="48" x14ac:dyDescent="0.2">
      <c r="A462" s="294" t="str">
        <f>IF(B462=Elementos_[[#This Row],[Cantidad LANIP]],"LANIP",IF(B462=Elementos_[[#This Row],[Cantidad 
LDV]],"LDV",IF(B462=Elementos_[[#This Row],[Cantidad LNDV]],"LNDV",IF(B462=Elementos_[[#This Row],[GGCA]],"GGCA",IF(B462=Elementos_[[#This Row],[Cantidad LDF]],"LDF",IF(B462=Elementos_[[#This Row],[Cantidad LDF&amp;MR]],"LDF&amp;MR",IF(B462=Elementos_[[#This Row],[Cantidad RED LASE]],"LASE",IF(B462=Elementos_[[#This Row],[Cantidad LANIA]],"LANIA",IF(B462=Elementos_[[#This Row],[Cantidad SPA]],"SPA"," ")))))))))</f>
        <v>LDF</v>
      </c>
      <c r="B46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v>
      </c>
      <c r="C462" s="298">
        <v>460</v>
      </c>
      <c r="D462" s="190">
        <v>717</v>
      </c>
      <c r="E462" s="235" t="s">
        <v>2852</v>
      </c>
      <c r="F462" s="201" t="s">
        <v>2853</v>
      </c>
      <c r="G462" s="198" t="s">
        <v>2854</v>
      </c>
      <c r="H46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v>
      </c>
      <c r="I462" s="194">
        <v>139032</v>
      </c>
      <c r="J462" s="194">
        <f>+Elementos_[[#This Row],[Valor de referencia]]*Elementos_[[#This Row],[Cantidad]]</f>
        <v>1946448</v>
      </c>
      <c r="K462" s="166"/>
      <c r="L462" s="159">
        <f>+Elementos_[[#This Row],[Cantidad LANIP]]*Elementos_[[#This Row],[Valor de referencia]]</f>
        <v>0</v>
      </c>
      <c r="M462" s="270">
        <v>0</v>
      </c>
      <c r="N462" s="195">
        <f>+Elementos_[[#This Row],[Cantidad 
LDV]]*Elementos_[[#This Row],[Valor de referencia]]</f>
        <v>0</v>
      </c>
      <c r="O462" s="166">
        <v>2</v>
      </c>
      <c r="P462" s="159">
        <f>+Elementos_[[#This Row],[Cantidad LNDV]]*Elementos_[[#This Row],[Valor de referencia]]</f>
        <v>278064</v>
      </c>
      <c r="Q462" s="196"/>
      <c r="R462" s="159">
        <f>+Elementos_[[#This Row],[GGCA]]*Elementos_[[#This Row],[Valor de referencia]]</f>
        <v>0</v>
      </c>
      <c r="S462" s="166">
        <v>7</v>
      </c>
      <c r="T462" s="159">
        <f>+Elementos_[[#This Row],[Cantidad LDF]]*Elementos_[[#This Row],[Valor de referencia]]</f>
        <v>973224</v>
      </c>
      <c r="U462" s="197"/>
      <c r="V462" s="159">
        <f>+Elementos_[[#This Row],[Cantidad LDF&amp;MR]]*Elementos_[[#This Row],[Valor de referencia]]</f>
        <v>0</v>
      </c>
      <c r="W462" s="166"/>
      <c r="X462" s="159">
        <f>+Elementos_[[#This Row],[Cantidad RED LASE]]*Elementos_[[#This Row],[Valor de referencia]]</f>
        <v>0</v>
      </c>
      <c r="Y462" s="196">
        <v>5</v>
      </c>
      <c r="Z462" s="159">
        <f>+Elementos_[[#This Row],[Cantidad LANIA]]*Elementos_[[#This Row],[Valor de referencia]]</f>
        <v>695160</v>
      </c>
      <c r="AA462" s="196"/>
      <c r="AB462" s="159">
        <f>+Elementos_[[#This Row],[Cantidad SPA]]*Elementos_[[#This Row],[Valor de referencia]]</f>
        <v>0</v>
      </c>
      <c r="AC462" s="166" t="s">
        <v>2041</v>
      </c>
    </row>
    <row r="463" spans="1:29" ht="36" x14ac:dyDescent="0.2">
      <c r="A463" s="294" t="str">
        <f>IF(B463=Elementos_[[#This Row],[Cantidad LANIP]],"LANIP",IF(B463=Elementos_[[#This Row],[Cantidad 
LDV]],"LDV",IF(B463=Elementos_[[#This Row],[Cantidad LNDV]],"LNDV",IF(B463=Elementos_[[#This Row],[GGCA]],"GGCA",IF(B463=Elementos_[[#This Row],[Cantidad LDF]],"LDF",IF(B463=Elementos_[[#This Row],[Cantidad LDF&amp;MR]],"LDF&amp;MR",IF(B463=Elementos_[[#This Row],[Cantidad RED LASE]],"LASE",IF(B463=Elementos_[[#This Row],[Cantidad LANIA]],"LANIA",IF(B463=Elementos_[[#This Row],[Cantidad SPA]],"SPA"," ")))))))))</f>
        <v>LDV</v>
      </c>
      <c r="B46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463" s="298">
        <v>461</v>
      </c>
      <c r="D463" s="190">
        <v>718</v>
      </c>
      <c r="E463" s="303" t="s">
        <v>2855</v>
      </c>
      <c r="F463" s="204" t="s">
        <v>2856</v>
      </c>
      <c r="G463" s="198" t="s">
        <v>2857</v>
      </c>
      <c r="H46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63" s="194">
        <v>259380</v>
      </c>
      <c r="J463" s="194">
        <f>+Elementos_[[#This Row],[Valor de referencia]]*Elementos_[[#This Row],[Cantidad]]</f>
        <v>1556280</v>
      </c>
      <c r="K463" s="166"/>
      <c r="L463" s="159">
        <f>+Elementos_[[#This Row],[Cantidad LANIP]]*Elementos_[[#This Row],[Valor de referencia]]</f>
        <v>0</v>
      </c>
      <c r="M463" s="270">
        <v>5</v>
      </c>
      <c r="N463" s="195">
        <f>+Elementos_[[#This Row],[Cantidad 
LDV]]*Elementos_[[#This Row],[Valor de referencia]]</f>
        <v>1296900</v>
      </c>
      <c r="O463" s="166"/>
      <c r="P463" s="159">
        <f>+Elementos_[[#This Row],[Cantidad LNDV]]*Elementos_[[#This Row],[Valor de referencia]]</f>
        <v>0</v>
      </c>
      <c r="Q463" s="196"/>
      <c r="R463" s="159">
        <f>+Elementos_[[#This Row],[GGCA]]*Elementos_[[#This Row],[Valor de referencia]]</f>
        <v>0</v>
      </c>
      <c r="S463" s="166">
        <v>1</v>
      </c>
      <c r="T463" s="159">
        <f>+Elementos_[[#This Row],[Cantidad LDF]]*Elementos_[[#This Row],[Valor de referencia]]</f>
        <v>259380</v>
      </c>
      <c r="U463" s="197"/>
      <c r="V463" s="159">
        <f>+Elementos_[[#This Row],[Cantidad LDF&amp;MR]]*Elementos_[[#This Row],[Valor de referencia]]</f>
        <v>0</v>
      </c>
      <c r="W463" s="166"/>
      <c r="X463" s="159">
        <f>+Elementos_[[#This Row],[Cantidad RED LASE]]*Elementos_[[#This Row],[Valor de referencia]]</f>
        <v>0</v>
      </c>
      <c r="Y463" s="196"/>
      <c r="Z463" s="159">
        <f>+Elementos_[[#This Row],[Cantidad LANIA]]*Elementos_[[#This Row],[Valor de referencia]]</f>
        <v>0</v>
      </c>
      <c r="AA463" s="196"/>
      <c r="AB463" s="159">
        <f>+Elementos_[[#This Row],[Cantidad SPA]]*Elementos_[[#This Row],[Valor de referencia]]</f>
        <v>0</v>
      </c>
      <c r="AC463" s="166" t="s">
        <v>2041</v>
      </c>
    </row>
    <row r="464" spans="1:29" ht="24" x14ac:dyDescent="0.2">
      <c r="A464" s="294" t="str">
        <f>IF(B464=Elementos_[[#This Row],[Cantidad LANIP]],"LANIP",IF(B464=Elementos_[[#This Row],[Cantidad 
LDV]],"LDV",IF(B464=Elementos_[[#This Row],[Cantidad LNDV]],"LNDV",IF(B464=Elementos_[[#This Row],[GGCA]],"GGCA",IF(B464=Elementos_[[#This Row],[Cantidad LDF]],"LDF",IF(B464=Elementos_[[#This Row],[Cantidad LDF&amp;MR]],"LDF&amp;MR",IF(B464=Elementos_[[#This Row],[Cantidad RED LASE]],"LASE",IF(B464=Elementos_[[#This Row],[Cantidad LANIA]],"LANIA",IF(B464=Elementos_[[#This Row],[Cantidad SPA]],"SPA"," ")))))))))</f>
        <v>SPA</v>
      </c>
      <c r="B46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350</v>
      </c>
      <c r="C464" s="298">
        <v>462</v>
      </c>
      <c r="D464" s="190">
        <v>720</v>
      </c>
      <c r="E464" s="235" t="s">
        <v>2858</v>
      </c>
      <c r="F464" s="204" t="s">
        <v>2859</v>
      </c>
      <c r="G464" s="192" t="s">
        <v>2268</v>
      </c>
      <c r="H46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670</v>
      </c>
      <c r="I464" s="194">
        <v>48732</v>
      </c>
      <c r="J464" s="194">
        <f>+Elementos_[[#This Row],[Valor de referencia]]*Elementos_[[#This Row],[Cantidad]]</f>
        <v>32650440</v>
      </c>
      <c r="K464" s="166"/>
      <c r="L464" s="159">
        <f>+Elementos_[[#This Row],[Cantidad LANIP]]*Elementos_[[#This Row],[Valor de referencia]]</f>
        <v>0</v>
      </c>
      <c r="M464" s="270">
        <v>0</v>
      </c>
      <c r="N464" s="195">
        <f>+Elementos_[[#This Row],[Cantidad 
LDV]]*Elementos_[[#This Row],[Valor de referencia]]</f>
        <v>0</v>
      </c>
      <c r="O464" s="166">
        <v>100</v>
      </c>
      <c r="P464" s="159">
        <f>+Elementos_[[#This Row],[Cantidad LNDV]]*Elementos_[[#This Row],[Valor de referencia]]</f>
        <v>4873200</v>
      </c>
      <c r="Q464" s="196"/>
      <c r="R464" s="159">
        <f>+Elementos_[[#This Row],[GGCA]]*Elementos_[[#This Row],[Valor de referencia]]</f>
        <v>0</v>
      </c>
      <c r="S464" s="166">
        <v>60</v>
      </c>
      <c r="T464" s="194">
        <f>+Elementos_[[#This Row],[Cantidad LDF]]*Elementos_[[#This Row],[Valor de referencia]]</f>
        <v>2923920</v>
      </c>
      <c r="U464" s="197">
        <v>30</v>
      </c>
      <c r="V464" s="194">
        <f>+Elementos_[[#This Row],[Cantidad LDF&amp;MR]]*Elementos_[[#This Row],[Valor de referencia]]</f>
        <v>1461960</v>
      </c>
      <c r="W464" s="166"/>
      <c r="X464" s="194">
        <f>+Elementos_[[#This Row],[Cantidad RED LASE]]*Elementos_[[#This Row],[Valor de referencia]]</f>
        <v>0</v>
      </c>
      <c r="Y464" s="196">
        <f>80+50</f>
        <v>130</v>
      </c>
      <c r="Z464" s="194">
        <f>+Elementos_[[#This Row],[Cantidad LANIA]]*Elementos_[[#This Row],[Valor de referencia]]</f>
        <v>6335160</v>
      </c>
      <c r="AA464" s="196">
        <v>350</v>
      </c>
      <c r="AB464" s="194">
        <f>+Elementos_[[#This Row],[Cantidad SPA]]*Elementos_[[#This Row],[Valor de referencia]]</f>
        <v>17056200</v>
      </c>
      <c r="AC464" s="166" t="s">
        <v>2049</v>
      </c>
    </row>
    <row r="465" spans="1:29" ht="24" x14ac:dyDescent="0.2">
      <c r="A465" s="294" t="str">
        <f>IF(B465=Elementos_[[#This Row],[Cantidad LANIP]],"LANIP",IF(B465=Elementos_[[#This Row],[Cantidad 
LDV]],"LDV",IF(B465=Elementos_[[#This Row],[Cantidad LNDV]],"LNDV",IF(B465=Elementos_[[#This Row],[GGCA]],"GGCA",IF(B465=Elementos_[[#This Row],[Cantidad LDF]],"LDF",IF(B465=Elementos_[[#This Row],[Cantidad LDF&amp;MR]],"LDF&amp;MR",IF(B465=Elementos_[[#This Row],[Cantidad RED LASE]],"LASE",IF(B465=Elementos_[[#This Row],[Cantidad LANIA]],"LANIA",IF(B465=Elementos_[[#This Row],[Cantidad SPA]],"SPA"," ")))))))))</f>
        <v>LDV</v>
      </c>
      <c r="B46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465" s="298">
        <v>463</v>
      </c>
      <c r="D465" s="190">
        <v>721</v>
      </c>
      <c r="E465" s="235" t="s">
        <v>2860</v>
      </c>
      <c r="F465" s="204" t="s">
        <v>2861</v>
      </c>
      <c r="G465" s="192" t="s">
        <v>2862</v>
      </c>
      <c r="H46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74</v>
      </c>
      <c r="I465" s="194">
        <v>498062</v>
      </c>
      <c r="J465" s="194">
        <f>+Elementos_[[#This Row],[Valor de referencia]]*Elementos_[[#This Row],[Cantidad]]</f>
        <v>36856588</v>
      </c>
      <c r="K465" s="166"/>
      <c r="L465" s="159">
        <f>+Elementos_[[#This Row],[Cantidad LANIP]]*Elementos_[[#This Row],[Valor de referencia]]</f>
        <v>0</v>
      </c>
      <c r="M465" s="270">
        <v>30</v>
      </c>
      <c r="N465" s="195">
        <f>+Elementos_[[#This Row],[Cantidad 
LDV]]*Elementos_[[#This Row],[Valor de referencia]]</f>
        <v>14941860</v>
      </c>
      <c r="O465" s="166"/>
      <c r="P465" s="159">
        <f>+Elementos_[[#This Row],[Cantidad LNDV]]*Elementos_[[#This Row],[Valor de referencia]]</f>
        <v>0</v>
      </c>
      <c r="Q465" s="196"/>
      <c r="R465" s="159">
        <f>+Elementos_[[#This Row],[GGCA]]*Elementos_[[#This Row],[Valor de referencia]]</f>
        <v>0</v>
      </c>
      <c r="S465" s="166">
        <v>20</v>
      </c>
      <c r="T465" s="159">
        <f>+Elementos_[[#This Row],[Cantidad LDF]]*Elementos_[[#This Row],[Valor de referencia]]</f>
        <v>9961240</v>
      </c>
      <c r="U465" s="197">
        <v>24</v>
      </c>
      <c r="V465" s="159">
        <f>+Elementos_[[#This Row],[Cantidad LDF&amp;MR]]*Elementos_[[#This Row],[Valor de referencia]]</f>
        <v>11953488</v>
      </c>
      <c r="W465" s="166"/>
      <c r="X465" s="159">
        <f>+Elementos_[[#This Row],[Cantidad RED LASE]]*Elementos_[[#This Row],[Valor de referencia]]</f>
        <v>0</v>
      </c>
      <c r="Y465" s="196"/>
      <c r="Z465" s="159">
        <f>+Elementos_[[#This Row],[Cantidad LANIA]]*Elementos_[[#This Row],[Valor de referencia]]</f>
        <v>0</v>
      </c>
      <c r="AA465" s="196"/>
      <c r="AB465" s="159">
        <f>+Elementos_[[#This Row],[Cantidad SPA]]*Elementos_[[#This Row],[Valor de referencia]]</f>
        <v>0</v>
      </c>
      <c r="AC465" s="166" t="s">
        <v>2049</v>
      </c>
    </row>
    <row r="466" spans="1:29" ht="60" x14ac:dyDescent="0.2">
      <c r="A466" s="294" t="str">
        <f>IF(B466=Elementos_[[#This Row],[Cantidad LANIP]],"LANIP",IF(B466=Elementos_[[#This Row],[Cantidad 
LDV]],"LDV",IF(B466=Elementos_[[#This Row],[Cantidad LNDV]],"LNDV",IF(B466=Elementos_[[#This Row],[GGCA]],"GGCA",IF(B466=Elementos_[[#This Row],[Cantidad LDF]],"LDF",IF(B466=Elementos_[[#This Row],[Cantidad LDF&amp;MR]],"LDF&amp;MR",IF(B466=Elementos_[[#This Row],[Cantidad RED LASE]],"LASE",IF(B466=Elementos_[[#This Row],[Cantidad LANIA]],"LANIA",IF(B466=Elementos_[[#This Row],[Cantidad SPA]],"SPA"," ")))))))))</f>
        <v>LDF&amp;MR</v>
      </c>
      <c r="B46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466" s="298">
        <v>464</v>
      </c>
      <c r="D466" s="190">
        <v>723</v>
      </c>
      <c r="E466" s="235" t="s">
        <v>2863</v>
      </c>
      <c r="F466" s="201" t="s">
        <v>2864</v>
      </c>
      <c r="G466" s="202" t="s">
        <v>2865</v>
      </c>
      <c r="H46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34</v>
      </c>
      <c r="I466" s="194">
        <v>213271</v>
      </c>
      <c r="J466" s="194">
        <f>+Elementos_[[#This Row],[Valor de referencia]]*Elementos_[[#This Row],[Cantidad]]</f>
        <v>7251214</v>
      </c>
      <c r="K466" s="166"/>
      <c r="L466" s="159">
        <f>+Elementos_[[#This Row],[Cantidad LANIP]]*Elementos_[[#This Row],[Valor de referencia]]</f>
        <v>0</v>
      </c>
      <c r="M466" s="270">
        <v>0</v>
      </c>
      <c r="N466" s="195">
        <f>+Elementos_[[#This Row],[Cantidad 
LDV]]*Elementos_[[#This Row],[Valor de referencia]]</f>
        <v>0</v>
      </c>
      <c r="O466" s="166"/>
      <c r="P466" s="159">
        <f>+Elementos_[[#This Row],[Cantidad LNDV]]*Elementos_[[#This Row],[Valor de referencia]]</f>
        <v>0</v>
      </c>
      <c r="Q466" s="196"/>
      <c r="R466" s="159">
        <f>+Elementos_[[#This Row],[GGCA]]*Elementos_[[#This Row],[Valor de referencia]]</f>
        <v>0</v>
      </c>
      <c r="S466" s="166">
        <v>14</v>
      </c>
      <c r="T466" s="159">
        <f>+Elementos_[[#This Row],[Cantidad LDF]]*Elementos_[[#This Row],[Valor de referencia]]</f>
        <v>2985794</v>
      </c>
      <c r="U466" s="197">
        <v>20</v>
      </c>
      <c r="V466" s="159">
        <f>+Elementos_[[#This Row],[Cantidad LDF&amp;MR]]*Elementos_[[#This Row],[Valor de referencia]]</f>
        <v>4265420</v>
      </c>
      <c r="W466" s="166"/>
      <c r="X466" s="159">
        <f>+Elementos_[[#This Row],[Cantidad RED LASE]]*Elementos_[[#This Row],[Valor de referencia]]</f>
        <v>0</v>
      </c>
      <c r="Y466" s="196"/>
      <c r="Z466" s="159">
        <f>+Elementos_[[#This Row],[Cantidad LANIA]]*Elementos_[[#This Row],[Valor de referencia]]</f>
        <v>0</v>
      </c>
      <c r="AA466" s="196"/>
      <c r="AB466" s="159">
        <f>+Elementos_[[#This Row],[Cantidad SPA]]*Elementos_[[#This Row],[Valor de referencia]]</f>
        <v>0</v>
      </c>
      <c r="AC466" s="166" t="s">
        <v>2041</v>
      </c>
    </row>
    <row r="467" spans="1:29" ht="76.5" customHeight="1" x14ac:dyDescent="0.2">
      <c r="A467" s="294" t="str">
        <f>IF(B467=Elementos_[[#This Row],[Cantidad LANIP]],"LANIP",IF(B467=Elementos_[[#This Row],[Cantidad 
LDV]],"LDV",IF(B467=Elementos_[[#This Row],[Cantidad LNDV]],"LNDV",IF(B467=Elementos_[[#This Row],[GGCA]],"GGCA",IF(B467=Elementos_[[#This Row],[Cantidad LDF]],"LDF",IF(B467=Elementos_[[#This Row],[Cantidad LDF&amp;MR]],"LDF&amp;MR",IF(B467=Elementos_[[#This Row],[Cantidad RED LASE]],"LASE",IF(B467=Elementos_[[#This Row],[Cantidad LANIA]],"LANIA",IF(B467=Elementos_[[#This Row],[Cantidad SPA]],"SPA"," ")))))))))</f>
        <v>LDV</v>
      </c>
      <c r="B46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150</v>
      </c>
      <c r="C467" s="298">
        <v>465</v>
      </c>
      <c r="D467" s="190">
        <v>724</v>
      </c>
      <c r="E467" s="282" t="s">
        <v>2866</v>
      </c>
      <c r="F467" s="201" t="s">
        <v>2867</v>
      </c>
      <c r="G467" s="192" t="s">
        <v>2865</v>
      </c>
      <c r="H46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269</v>
      </c>
      <c r="I467" s="194">
        <v>207939</v>
      </c>
      <c r="J467" s="194">
        <f>+Elementos_[[#This Row],[Valor de referencia]]*Elementos_[[#This Row],[Cantidad]]</f>
        <v>55935591</v>
      </c>
      <c r="K467" s="166"/>
      <c r="L467" s="159">
        <f>+Elementos_[[#This Row],[Cantidad LANIP]]*Elementos_[[#This Row],[Valor de referencia]]</f>
        <v>0</v>
      </c>
      <c r="M467" s="270">
        <v>150</v>
      </c>
      <c r="N467" s="195">
        <f>+Elementos_[[#This Row],[Cantidad 
LDV]]*Elementos_[[#This Row],[Valor de referencia]]</f>
        <v>31190850</v>
      </c>
      <c r="O467" s="166">
        <v>60</v>
      </c>
      <c r="P467" s="159">
        <f>+Elementos_[[#This Row],[Cantidad LNDV]]*Elementos_[[#This Row],[Valor de referencia]]</f>
        <v>12476340</v>
      </c>
      <c r="Q467" s="196"/>
      <c r="R467" s="159">
        <f>+Elementos_[[#This Row],[GGCA]]*Elementos_[[#This Row],[Valor de referencia]]</f>
        <v>0</v>
      </c>
      <c r="S467" s="166">
        <v>26</v>
      </c>
      <c r="T467" s="159">
        <f>+Elementos_[[#This Row],[Cantidad LDF]]*Elementos_[[#This Row],[Valor de referencia]]</f>
        <v>5406414</v>
      </c>
      <c r="U467" s="197">
        <v>30</v>
      </c>
      <c r="V467" s="159">
        <f>+Elementos_[[#This Row],[Cantidad LDF&amp;MR]]*Elementos_[[#This Row],[Valor de referencia]]</f>
        <v>6238170</v>
      </c>
      <c r="W467" s="166"/>
      <c r="X467" s="159">
        <f>+Elementos_[[#This Row],[Cantidad RED LASE]]*Elementos_[[#This Row],[Valor de referencia]]</f>
        <v>0</v>
      </c>
      <c r="Y467" s="196">
        <v>3</v>
      </c>
      <c r="Z467" s="159">
        <f>+Elementos_[[#This Row],[Cantidad LANIA]]*Elementos_[[#This Row],[Valor de referencia]]</f>
        <v>623817</v>
      </c>
      <c r="AA467" s="196"/>
      <c r="AB467" s="159">
        <f>+Elementos_[[#This Row],[Cantidad SPA]]*Elementos_[[#This Row],[Valor de referencia]]</f>
        <v>0</v>
      </c>
      <c r="AC467" s="166" t="s">
        <v>2041</v>
      </c>
    </row>
    <row r="468" spans="1:29" ht="72" x14ac:dyDescent="0.2">
      <c r="A468" s="294" t="str">
        <f>IF(B468=Elementos_[[#This Row],[Cantidad LANIP]],"LANIP",IF(B468=Elementos_[[#This Row],[Cantidad 
LDV]],"LDV",IF(B468=Elementos_[[#This Row],[Cantidad LNDV]],"LNDV",IF(B468=Elementos_[[#This Row],[GGCA]],"GGCA",IF(B468=Elementos_[[#This Row],[Cantidad LDF]],"LDF",IF(B468=Elementos_[[#This Row],[Cantidad LDF&amp;MR]],"LDF&amp;MR",IF(B468=Elementos_[[#This Row],[Cantidad RED LASE]],"LASE",IF(B468=Elementos_[[#This Row],[Cantidad LANIA]],"LANIA",IF(B468=Elementos_[[#This Row],[Cantidad SPA]],"SPA"," ")))))))))</f>
        <v>LNDV</v>
      </c>
      <c r="B46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468" s="298">
        <v>466</v>
      </c>
      <c r="D468" s="190">
        <v>725</v>
      </c>
      <c r="E468" s="235" t="s">
        <v>2868</v>
      </c>
      <c r="F468" s="204" t="s">
        <v>2869</v>
      </c>
      <c r="G468" s="192" t="s">
        <v>2081</v>
      </c>
      <c r="H46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32</v>
      </c>
      <c r="I468" s="194">
        <v>710740</v>
      </c>
      <c r="J468" s="194">
        <f>+Elementos_[[#This Row],[Valor de referencia]]*Elementos_[[#This Row],[Cantidad]]</f>
        <v>22743680</v>
      </c>
      <c r="K468" s="166"/>
      <c r="L468" s="159">
        <f>+Elementos_[[#This Row],[Cantidad LANIP]]*Elementos_[[#This Row],[Valor de referencia]]</f>
        <v>0</v>
      </c>
      <c r="M468" s="270"/>
      <c r="N468" s="195">
        <f>+Elementos_[[#This Row],[Cantidad 
LDV]]*Elementos_[[#This Row],[Valor de referencia]]</f>
        <v>0</v>
      </c>
      <c r="O468" s="166">
        <v>15</v>
      </c>
      <c r="P468" s="159">
        <f>+Elementos_[[#This Row],[Cantidad LNDV]]*Elementos_[[#This Row],[Valor de referencia]]</f>
        <v>10661100</v>
      </c>
      <c r="Q468" s="196"/>
      <c r="R468" s="159">
        <f>+Elementos_[[#This Row],[GGCA]]*Elementos_[[#This Row],[Valor de referencia]]</f>
        <v>0</v>
      </c>
      <c r="S468" s="166">
        <v>2</v>
      </c>
      <c r="T468" s="159">
        <f>+Elementos_[[#This Row],[Cantidad LDF]]*Elementos_[[#This Row],[Valor de referencia]]</f>
        <v>1421480</v>
      </c>
      <c r="U468" s="197"/>
      <c r="V468" s="159">
        <f>+Elementos_[[#This Row],[Cantidad LDF&amp;MR]]*Elementos_[[#This Row],[Valor de referencia]]</f>
        <v>0</v>
      </c>
      <c r="W468" s="166"/>
      <c r="X468" s="159">
        <f>+Elementos_[[#This Row],[Cantidad RED LASE]]*Elementos_[[#This Row],[Valor de referencia]]</f>
        <v>0</v>
      </c>
      <c r="Y468" s="196">
        <v>15</v>
      </c>
      <c r="Z468" s="159">
        <f>+Elementos_[[#This Row],[Cantidad LANIA]]*Elementos_[[#This Row],[Valor de referencia]]</f>
        <v>10661100</v>
      </c>
      <c r="AA468" s="196"/>
      <c r="AB468" s="159">
        <f>+Elementos_[[#This Row],[Cantidad SPA]]*Elementos_[[#This Row],[Valor de referencia]]</f>
        <v>0</v>
      </c>
      <c r="AC468" s="166" t="s">
        <v>2041</v>
      </c>
    </row>
    <row r="469" spans="1:29" ht="60" x14ac:dyDescent="0.2">
      <c r="A469" s="294" t="str">
        <f>IF(B469=Elementos_[[#This Row],[Cantidad LANIP]],"LANIP",IF(B469=Elementos_[[#This Row],[Cantidad 
LDV]],"LDV",IF(B469=Elementos_[[#This Row],[Cantidad LNDV]],"LNDV",IF(B469=Elementos_[[#This Row],[GGCA]],"GGCA",IF(B469=Elementos_[[#This Row],[Cantidad LDF]],"LDF",IF(B469=Elementos_[[#This Row],[Cantidad LDF&amp;MR]],"LDF&amp;MR",IF(B469=Elementos_[[#This Row],[Cantidad RED LASE]],"LASE",IF(B469=Elementos_[[#This Row],[Cantidad LANIA]],"LANIA",IF(B469=Elementos_[[#This Row],[Cantidad SPA]],"SPA"," ")))))))))</f>
        <v>LANIA</v>
      </c>
      <c r="B46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C469" s="298">
        <v>467</v>
      </c>
      <c r="D469" s="190">
        <v>726</v>
      </c>
      <c r="E469" s="235" t="s">
        <v>2870</v>
      </c>
      <c r="F469" s="201" t="s">
        <v>2871</v>
      </c>
      <c r="G469" s="202" t="s">
        <v>2081</v>
      </c>
      <c r="H46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35</v>
      </c>
      <c r="I469" s="194">
        <v>857086</v>
      </c>
      <c r="J469" s="194">
        <f>+Elementos_[[#This Row],[Valor de referencia]]*Elementos_[[#This Row],[Cantidad]]</f>
        <v>29998010</v>
      </c>
      <c r="K469" s="166"/>
      <c r="L469" s="159">
        <f>+Elementos_[[#This Row],[Cantidad LANIP]]*Elementos_[[#This Row],[Valor de referencia]]</f>
        <v>0</v>
      </c>
      <c r="M469" s="270"/>
      <c r="N469" s="195">
        <f>+Elementos_[[#This Row],[Cantidad 
LDV]]*Elementos_[[#This Row],[Valor de referencia]]</f>
        <v>0</v>
      </c>
      <c r="O469" s="166">
        <v>8</v>
      </c>
      <c r="P469" s="159">
        <f>+Elementos_[[#This Row],[Cantidad LNDV]]*Elementos_[[#This Row],[Valor de referencia]]</f>
        <v>6856688</v>
      </c>
      <c r="Q469" s="196"/>
      <c r="R469" s="159">
        <f>+Elementos_[[#This Row],[GGCA]]*Elementos_[[#This Row],[Valor de referencia]]</f>
        <v>0</v>
      </c>
      <c r="S469" s="166">
        <v>5</v>
      </c>
      <c r="T469" s="159">
        <f>+Elementos_[[#This Row],[Cantidad LDF]]*Elementos_[[#This Row],[Valor de referencia]]</f>
        <v>4285430</v>
      </c>
      <c r="U469" s="197">
        <v>2</v>
      </c>
      <c r="V469" s="159">
        <f>+Elementos_[[#This Row],[Cantidad LDF&amp;MR]]*Elementos_[[#This Row],[Valor de referencia]]</f>
        <v>1714172</v>
      </c>
      <c r="W469" s="166"/>
      <c r="X469" s="159">
        <f>+Elementos_[[#This Row],[Cantidad RED LASE]]*Elementos_[[#This Row],[Valor de referencia]]</f>
        <v>0</v>
      </c>
      <c r="Y469" s="196">
        <v>20</v>
      </c>
      <c r="Z469" s="159">
        <f>+Elementos_[[#This Row],[Cantidad LANIA]]*Elementos_[[#This Row],[Valor de referencia]]</f>
        <v>17141720</v>
      </c>
      <c r="AA469" s="196"/>
      <c r="AB469" s="159">
        <f>+Elementos_[[#This Row],[Cantidad SPA]]*Elementos_[[#This Row],[Valor de referencia]]</f>
        <v>0</v>
      </c>
      <c r="AC469" s="166" t="s">
        <v>2041</v>
      </c>
    </row>
    <row r="470" spans="1:29" ht="48" x14ac:dyDescent="0.2">
      <c r="A470" s="294" t="str">
        <f>IF(B470=Elementos_[[#This Row],[Cantidad LANIP]],"LANIP",IF(B470=Elementos_[[#This Row],[Cantidad 
LDV]],"LDV",IF(B470=Elementos_[[#This Row],[Cantidad LNDV]],"LNDV",IF(B470=Elementos_[[#This Row],[GGCA]],"GGCA",IF(B470=Elementos_[[#This Row],[Cantidad LDF]],"LDF",IF(B470=Elementos_[[#This Row],[Cantidad LDF&amp;MR]],"LDF&amp;MR",IF(B470=Elementos_[[#This Row],[Cantidad RED LASE]],"LASE",IF(B470=Elementos_[[#This Row],[Cantidad LANIA]],"LANIA",IF(B470=Elementos_[[#This Row],[Cantidad SPA]],"SPA"," ")))))))))</f>
        <v>LNDV</v>
      </c>
      <c r="B47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470" s="298">
        <v>468</v>
      </c>
      <c r="D470" s="190">
        <v>730</v>
      </c>
      <c r="E470" s="235" t="s">
        <v>2872</v>
      </c>
      <c r="F470" s="201" t="s">
        <v>2873</v>
      </c>
      <c r="G470" s="192" t="s">
        <v>2874</v>
      </c>
      <c r="H47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v>
      </c>
      <c r="I470" s="194">
        <v>499800</v>
      </c>
      <c r="J470" s="194">
        <f>+Elementos_[[#This Row],[Valor de referencia]]*Elementos_[[#This Row],[Cantidad]]</f>
        <v>9996000</v>
      </c>
      <c r="K470" s="166"/>
      <c r="L470" s="159">
        <f>+Elementos_[[#This Row],[Cantidad LANIP]]*Elementos_[[#This Row],[Valor de referencia]]</f>
        <v>0</v>
      </c>
      <c r="M470" s="270">
        <v>5</v>
      </c>
      <c r="N470" s="195">
        <f>+Elementos_[[#This Row],[Cantidad 
LDV]]*Elementos_[[#This Row],[Valor de referencia]]</f>
        <v>2499000</v>
      </c>
      <c r="O470" s="166">
        <v>15</v>
      </c>
      <c r="P470" s="159">
        <f>+Elementos_[[#This Row],[Cantidad LNDV]]*Elementos_[[#This Row],[Valor de referencia]]</f>
        <v>7497000</v>
      </c>
      <c r="Q470" s="196"/>
      <c r="R470" s="159">
        <f>+Elementos_[[#This Row],[GGCA]]*Elementos_[[#This Row],[Valor de referencia]]</f>
        <v>0</v>
      </c>
      <c r="S470" s="166"/>
      <c r="T470" s="159">
        <f>+Elementos_[[#This Row],[Cantidad LDF]]*Elementos_[[#This Row],[Valor de referencia]]</f>
        <v>0</v>
      </c>
      <c r="U470" s="197"/>
      <c r="V470" s="159">
        <f>+Elementos_[[#This Row],[Cantidad LDF&amp;MR]]*Elementos_[[#This Row],[Valor de referencia]]</f>
        <v>0</v>
      </c>
      <c r="W470" s="166"/>
      <c r="X470" s="159">
        <f>+Elementos_[[#This Row],[Cantidad RED LASE]]*Elementos_[[#This Row],[Valor de referencia]]</f>
        <v>0</v>
      </c>
      <c r="Y470" s="196"/>
      <c r="Z470" s="159">
        <f>+Elementos_[[#This Row],[Cantidad LANIA]]*Elementos_[[#This Row],[Valor de referencia]]</f>
        <v>0</v>
      </c>
      <c r="AA470" s="196"/>
      <c r="AB470" s="159">
        <f>+Elementos_[[#This Row],[Cantidad SPA]]*Elementos_[[#This Row],[Valor de referencia]]</f>
        <v>0</v>
      </c>
      <c r="AC470" s="166" t="s">
        <v>2041</v>
      </c>
    </row>
    <row r="471" spans="1:29" ht="48" x14ac:dyDescent="0.2">
      <c r="A471" s="294" t="str">
        <f>IF(B471=Elementos_[[#This Row],[Cantidad LANIP]],"LANIP",IF(B471=Elementos_[[#This Row],[Cantidad 
LDV]],"LDV",IF(B471=Elementos_[[#This Row],[Cantidad LNDV]],"LNDV",IF(B471=Elementos_[[#This Row],[GGCA]],"GGCA",IF(B471=Elementos_[[#This Row],[Cantidad LDF]],"LDF",IF(B471=Elementos_[[#This Row],[Cantidad LDF&amp;MR]],"LDF&amp;MR",IF(B471=Elementos_[[#This Row],[Cantidad RED LASE]],"LASE",IF(B471=Elementos_[[#This Row],[Cantidad LANIA]],"LANIA",IF(B471=Elementos_[[#This Row],[Cantidad SPA]],"SPA"," ")))))))))</f>
        <v>LDV</v>
      </c>
      <c r="B47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71" s="298">
        <v>469</v>
      </c>
      <c r="D471" s="190">
        <v>731</v>
      </c>
      <c r="E471" s="235" t="s">
        <v>2875</v>
      </c>
      <c r="F471" s="201" t="s">
        <v>2876</v>
      </c>
      <c r="G471" s="192" t="s">
        <v>1391</v>
      </c>
      <c r="H47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471" s="194">
        <v>646906</v>
      </c>
      <c r="J471" s="194">
        <f>+Elementos_[[#This Row],[Valor de referencia]]*Elementos_[[#This Row],[Cantidad]]</f>
        <v>1940718</v>
      </c>
      <c r="K471" s="166"/>
      <c r="L471" s="159">
        <f>+Elementos_[[#This Row],[Cantidad LANIP]]*Elementos_[[#This Row],[Valor de referencia]]</f>
        <v>0</v>
      </c>
      <c r="M471" s="270">
        <v>2</v>
      </c>
      <c r="N471" s="195">
        <f>+Elementos_[[#This Row],[Cantidad 
LDV]]*Elementos_[[#This Row],[Valor de referencia]]</f>
        <v>1293812</v>
      </c>
      <c r="O471" s="166"/>
      <c r="P471" s="159">
        <f>+Elementos_[[#This Row],[Cantidad LNDV]]*Elementos_[[#This Row],[Valor de referencia]]</f>
        <v>0</v>
      </c>
      <c r="Q471" s="196"/>
      <c r="R471" s="159">
        <f>+Elementos_[[#This Row],[GGCA]]*Elementos_[[#This Row],[Valor de referencia]]</f>
        <v>0</v>
      </c>
      <c r="S471" s="166">
        <v>1</v>
      </c>
      <c r="T471" s="159">
        <f>+Elementos_[[#This Row],[Cantidad LDF]]*Elementos_[[#This Row],[Valor de referencia]]</f>
        <v>646906</v>
      </c>
      <c r="U471" s="197"/>
      <c r="V471" s="159">
        <f>+Elementos_[[#This Row],[Cantidad LDF&amp;MR]]*Elementos_[[#This Row],[Valor de referencia]]</f>
        <v>0</v>
      </c>
      <c r="W471" s="166"/>
      <c r="X471" s="159">
        <f>+Elementos_[[#This Row],[Cantidad RED LASE]]*Elementos_[[#This Row],[Valor de referencia]]</f>
        <v>0</v>
      </c>
      <c r="Y471" s="196"/>
      <c r="Z471" s="159">
        <f>+Elementos_[[#This Row],[Cantidad LANIA]]*Elementos_[[#This Row],[Valor de referencia]]</f>
        <v>0</v>
      </c>
      <c r="AA471" s="196"/>
      <c r="AB471" s="159">
        <f>+Elementos_[[#This Row],[Cantidad SPA]]*Elementos_[[#This Row],[Valor de referencia]]</f>
        <v>0</v>
      </c>
      <c r="AC471" s="166" t="s">
        <v>2041</v>
      </c>
    </row>
    <row r="472" spans="1:29" ht="24" x14ac:dyDescent="0.2">
      <c r="A472" s="294" t="str">
        <f>IF(B472=Elementos_[[#This Row],[Cantidad LANIP]],"LANIP",IF(B472=Elementos_[[#This Row],[Cantidad 
LDV]],"LDV",IF(B472=Elementos_[[#This Row],[Cantidad LNDV]],"LNDV",IF(B472=Elementos_[[#This Row],[GGCA]],"GGCA",IF(B472=Elementos_[[#This Row],[Cantidad LDF]],"LDF",IF(B472=Elementos_[[#This Row],[Cantidad LDF&amp;MR]],"LDF&amp;MR",IF(B472=Elementos_[[#This Row],[Cantidad RED LASE]],"LASE",IF(B472=Elementos_[[#This Row],[Cantidad LANIA]],"LANIA",IF(B472=Elementos_[[#This Row],[Cantidad SPA]],"SPA"," ")))))))))</f>
        <v>LDV</v>
      </c>
      <c r="B47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200</v>
      </c>
      <c r="C472" s="298">
        <v>470</v>
      </c>
      <c r="D472" s="190">
        <v>732</v>
      </c>
      <c r="E472" s="235" t="s">
        <v>2877</v>
      </c>
      <c r="F472" s="201" t="s">
        <v>2878</v>
      </c>
      <c r="G472" s="192" t="s">
        <v>525</v>
      </c>
      <c r="H47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250</v>
      </c>
      <c r="I472" s="194">
        <v>5065</v>
      </c>
      <c r="J472" s="194">
        <f>+Elementos_[[#This Row],[Valor de referencia]]*Elementos_[[#This Row],[Cantidad]]</f>
        <v>1266250</v>
      </c>
      <c r="K472" s="166"/>
      <c r="L472" s="159">
        <f>+Elementos_[[#This Row],[Cantidad LANIP]]*Elementos_[[#This Row],[Valor de referencia]]</f>
        <v>0</v>
      </c>
      <c r="M472" s="270">
        <v>200</v>
      </c>
      <c r="N472" s="195">
        <f>+Elementos_[[#This Row],[Cantidad 
LDV]]*Elementos_[[#This Row],[Valor de referencia]]</f>
        <v>1013000</v>
      </c>
      <c r="O472" s="166">
        <v>50</v>
      </c>
      <c r="P472" s="159">
        <f>+Elementos_[[#This Row],[Cantidad LNDV]]*Elementos_[[#This Row],[Valor de referencia]]</f>
        <v>253250</v>
      </c>
      <c r="Q472" s="196"/>
      <c r="R472" s="159">
        <f>+Elementos_[[#This Row],[GGCA]]*Elementos_[[#This Row],[Valor de referencia]]</f>
        <v>0</v>
      </c>
      <c r="S472" s="166"/>
      <c r="T472" s="159">
        <f>+Elementos_[[#This Row],[Cantidad LDF]]*Elementos_[[#This Row],[Valor de referencia]]</f>
        <v>0</v>
      </c>
      <c r="U472" s="197"/>
      <c r="V472" s="159">
        <f>+Elementos_[[#This Row],[Cantidad LDF&amp;MR]]*Elementos_[[#This Row],[Valor de referencia]]</f>
        <v>0</v>
      </c>
      <c r="W472" s="166"/>
      <c r="X472" s="159">
        <f>+Elementos_[[#This Row],[Cantidad RED LASE]]*Elementos_[[#This Row],[Valor de referencia]]</f>
        <v>0</v>
      </c>
      <c r="Y472" s="196"/>
      <c r="Z472" s="159">
        <f>+Elementos_[[#This Row],[Cantidad LANIA]]*Elementos_[[#This Row],[Valor de referencia]]</f>
        <v>0</v>
      </c>
      <c r="AA472" s="196"/>
      <c r="AB472" s="159">
        <f>+Elementos_[[#This Row],[Cantidad SPA]]*Elementos_[[#This Row],[Valor de referencia]]</f>
        <v>0</v>
      </c>
      <c r="AC472" s="166" t="s">
        <v>2041</v>
      </c>
    </row>
    <row r="473" spans="1:29" ht="84" x14ac:dyDescent="0.2">
      <c r="A473" s="294" t="str">
        <f>IF(B473=Elementos_[[#This Row],[Cantidad LANIP]],"LANIP",IF(B473=Elementos_[[#This Row],[Cantidad 
LDV]],"LDV",IF(B473=Elementos_[[#This Row],[Cantidad LNDV]],"LNDV",IF(B473=Elementos_[[#This Row],[GGCA]],"GGCA",IF(B473=Elementos_[[#This Row],[Cantidad LDF]],"LDF",IF(B473=Elementos_[[#This Row],[Cantidad LDF&amp;MR]],"LDF&amp;MR",IF(B473=Elementos_[[#This Row],[Cantidad RED LASE]],"LASE",IF(B473=Elementos_[[#This Row],[Cantidad LANIA]],"LANIA",IF(B473=Elementos_[[#This Row],[Cantidad SPA]],"SPA"," ")))))))))</f>
        <v>LDF</v>
      </c>
      <c r="B47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73" s="298">
        <v>471</v>
      </c>
      <c r="D473" s="190">
        <v>736</v>
      </c>
      <c r="E473" s="235" t="s">
        <v>2879</v>
      </c>
      <c r="F473" s="201" t="s">
        <v>2880</v>
      </c>
      <c r="G473" s="192" t="s">
        <v>2450</v>
      </c>
      <c r="H47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73" s="194">
        <v>567221</v>
      </c>
      <c r="J473" s="194">
        <f>+Elementos_[[#This Row],[Valor de referencia]]*Elementos_[[#This Row],[Cantidad]]</f>
        <v>567221</v>
      </c>
      <c r="K473" s="166"/>
      <c r="L473" s="159">
        <f>+Elementos_[[#This Row],[Cantidad LANIP]]*Elementos_[[#This Row],[Valor de referencia]]</f>
        <v>0</v>
      </c>
      <c r="M473" s="270">
        <v>0</v>
      </c>
      <c r="N473" s="195">
        <f>+Elementos_[[#This Row],[Cantidad 
LDV]]*Elementos_[[#This Row],[Valor de referencia]]</f>
        <v>0</v>
      </c>
      <c r="O473" s="166"/>
      <c r="P473" s="159">
        <f>+Elementos_[[#This Row],[Cantidad LNDV]]*Elementos_[[#This Row],[Valor de referencia]]</f>
        <v>0</v>
      </c>
      <c r="Q473" s="196"/>
      <c r="R473" s="159">
        <f>+Elementos_[[#This Row],[GGCA]]*Elementos_[[#This Row],[Valor de referencia]]</f>
        <v>0</v>
      </c>
      <c r="S473" s="166">
        <v>1</v>
      </c>
      <c r="T473" s="159">
        <f>+Elementos_[[#This Row],[Cantidad LDF]]*Elementos_[[#This Row],[Valor de referencia]]</f>
        <v>567221</v>
      </c>
      <c r="U473" s="197"/>
      <c r="V473" s="159">
        <f>+Elementos_[[#This Row],[Cantidad LDF&amp;MR]]*Elementos_[[#This Row],[Valor de referencia]]</f>
        <v>0</v>
      </c>
      <c r="W473" s="166"/>
      <c r="X473" s="159">
        <f>+Elementos_[[#This Row],[Cantidad RED LASE]]*Elementos_[[#This Row],[Valor de referencia]]</f>
        <v>0</v>
      </c>
      <c r="Y473" s="196"/>
      <c r="Z473" s="159">
        <f>+Elementos_[[#This Row],[Cantidad LANIA]]*Elementos_[[#This Row],[Valor de referencia]]</f>
        <v>0</v>
      </c>
      <c r="AA473" s="196"/>
      <c r="AB473" s="159">
        <f>+Elementos_[[#This Row],[Cantidad SPA]]*Elementos_[[#This Row],[Valor de referencia]]</f>
        <v>0</v>
      </c>
      <c r="AC473" s="166" t="s">
        <v>2041</v>
      </c>
    </row>
    <row r="474" spans="1:29" ht="36" x14ac:dyDescent="0.2">
      <c r="A474" s="294" t="str">
        <f>IF(B474=Elementos_[[#This Row],[Cantidad LANIP]],"LANIP",IF(B474=Elementos_[[#This Row],[Cantidad 
LDV]],"LDV",IF(B474=Elementos_[[#This Row],[Cantidad LNDV]],"LNDV",IF(B474=Elementos_[[#This Row],[GGCA]],"GGCA",IF(B474=Elementos_[[#This Row],[Cantidad LDF]],"LDF",IF(B474=Elementos_[[#This Row],[Cantidad LDF&amp;MR]],"LDF&amp;MR",IF(B474=Elementos_[[#This Row],[Cantidad RED LASE]],"LASE",IF(B474=Elementos_[[#This Row],[Cantidad LANIA]],"LANIA",IF(B474=Elementos_[[#This Row],[Cantidad SPA]],"SPA"," ")))))))))</f>
        <v>LDV</v>
      </c>
      <c r="B47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474" s="298">
        <v>472</v>
      </c>
      <c r="D474" s="190">
        <v>738</v>
      </c>
      <c r="E474" s="235" t="s">
        <v>2881</v>
      </c>
      <c r="F474" s="201" t="s">
        <v>2882</v>
      </c>
      <c r="G474" s="192" t="s">
        <v>2883</v>
      </c>
      <c r="H47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474" s="194">
        <v>245782</v>
      </c>
      <c r="J474" s="194">
        <f>+Elementos_[[#This Row],[Valor de referencia]]*Elementos_[[#This Row],[Cantidad]]</f>
        <v>2457820</v>
      </c>
      <c r="K474" s="166"/>
      <c r="L474" s="159">
        <f>+Elementos_[[#This Row],[Cantidad LANIP]]*Elementos_[[#This Row],[Valor de referencia]]</f>
        <v>0</v>
      </c>
      <c r="M474" s="270">
        <v>10</v>
      </c>
      <c r="N474" s="195">
        <f>+Elementos_[[#This Row],[Cantidad 
LDV]]*Elementos_[[#This Row],[Valor de referencia]]</f>
        <v>2457820</v>
      </c>
      <c r="O474" s="166"/>
      <c r="P474" s="159">
        <f>+Elementos_[[#This Row],[Cantidad LNDV]]*Elementos_[[#This Row],[Valor de referencia]]</f>
        <v>0</v>
      </c>
      <c r="Q474" s="196"/>
      <c r="R474" s="159">
        <f>+Elementos_[[#This Row],[GGCA]]*Elementos_[[#This Row],[Valor de referencia]]</f>
        <v>0</v>
      </c>
      <c r="S474" s="166"/>
      <c r="T474" s="159">
        <f>+Elementos_[[#This Row],[Cantidad LDF]]*Elementos_[[#This Row],[Valor de referencia]]</f>
        <v>0</v>
      </c>
      <c r="U474" s="197"/>
      <c r="V474" s="159">
        <f>+Elementos_[[#This Row],[Cantidad LDF&amp;MR]]*Elementos_[[#This Row],[Valor de referencia]]</f>
        <v>0</v>
      </c>
      <c r="W474" s="166"/>
      <c r="X474" s="159">
        <f>+Elementos_[[#This Row],[Cantidad RED LASE]]*Elementos_[[#This Row],[Valor de referencia]]</f>
        <v>0</v>
      </c>
      <c r="Y474" s="196"/>
      <c r="Z474" s="159">
        <f>+Elementos_[[#This Row],[Cantidad LANIA]]*Elementos_[[#This Row],[Valor de referencia]]</f>
        <v>0</v>
      </c>
      <c r="AA474" s="196"/>
      <c r="AB474" s="159">
        <f>+Elementos_[[#This Row],[Cantidad SPA]]*Elementos_[[#This Row],[Valor de referencia]]</f>
        <v>0</v>
      </c>
      <c r="AC474" s="166" t="s">
        <v>2041</v>
      </c>
    </row>
    <row r="475" spans="1:29" ht="35.25" customHeight="1" x14ac:dyDescent="0.2">
      <c r="A475" s="294" t="str">
        <f>IF(B475=Elementos_[[#This Row],[Cantidad LANIP]],"LANIP",IF(B475=Elementos_[[#This Row],[Cantidad 
LDV]],"LDV",IF(B475=Elementos_[[#This Row],[Cantidad LNDV]],"LNDV",IF(B475=Elementos_[[#This Row],[GGCA]],"GGCA",IF(B475=Elementos_[[#This Row],[Cantidad LDF]],"LDF",IF(B475=Elementos_[[#This Row],[Cantidad LDF&amp;MR]],"LDF&amp;MR",IF(B475=Elementos_[[#This Row],[Cantidad RED LASE]],"LASE",IF(B475=Elementos_[[#This Row],[Cantidad LANIA]],"LANIA",IF(B475=Elementos_[[#This Row],[Cantidad SPA]],"SPA"," ")))))))))</f>
        <v>LANIP</v>
      </c>
      <c r="B47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475" s="298">
        <v>473</v>
      </c>
      <c r="D475" s="190">
        <v>740</v>
      </c>
      <c r="E475" s="276" t="s">
        <v>2884</v>
      </c>
      <c r="F475" s="204" t="s">
        <v>2885</v>
      </c>
      <c r="G475" s="192" t="s">
        <v>2052</v>
      </c>
      <c r="H47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I475" s="194">
        <v>139973</v>
      </c>
      <c r="J475" s="194">
        <f>+Elementos_[[#This Row],[Valor de referencia]]*Elementos_[[#This Row],[Cantidad]]</f>
        <v>13997300</v>
      </c>
      <c r="K475" s="166">
        <v>100</v>
      </c>
      <c r="L475" s="159">
        <f>+Elementos_[[#This Row],[Cantidad LANIP]]*Elementos_[[#This Row],[Valor de referencia]]</f>
        <v>13997300</v>
      </c>
      <c r="M475" s="270">
        <v>0</v>
      </c>
      <c r="N475" s="195">
        <f>+Elementos_[[#This Row],[Cantidad 
LDV]]*Elementos_[[#This Row],[Valor de referencia]]</f>
        <v>0</v>
      </c>
      <c r="O475" s="166"/>
      <c r="P475" s="159">
        <f>+Elementos_[[#This Row],[Cantidad LNDV]]*Elementos_[[#This Row],[Valor de referencia]]</f>
        <v>0</v>
      </c>
      <c r="Q475" s="196"/>
      <c r="R475" s="159">
        <f>+Elementos_[[#This Row],[GGCA]]*Elementos_[[#This Row],[Valor de referencia]]</f>
        <v>0</v>
      </c>
      <c r="S475" s="166"/>
      <c r="T475" s="159">
        <f>+Elementos_[[#This Row],[Cantidad LDF]]*Elementos_[[#This Row],[Valor de referencia]]</f>
        <v>0</v>
      </c>
      <c r="U475" s="197"/>
      <c r="V475" s="159">
        <f>+Elementos_[[#This Row],[Cantidad LDF&amp;MR]]*Elementos_[[#This Row],[Valor de referencia]]</f>
        <v>0</v>
      </c>
      <c r="W475" s="166"/>
      <c r="X475" s="159">
        <f>+Elementos_[[#This Row],[Cantidad RED LASE]]*Elementos_[[#This Row],[Valor de referencia]]</f>
        <v>0</v>
      </c>
      <c r="Y475" s="196"/>
      <c r="Z475" s="159">
        <f>+Elementos_[[#This Row],[Cantidad LANIA]]*Elementos_[[#This Row],[Valor de referencia]]</f>
        <v>0</v>
      </c>
      <c r="AA475" s="196"/>
      <c r="AB475" s="159">
        <f>+Elementos_[[#This Row],[Cantidad SPA]]*Elementos_[[#This Row],[Valor de referencia]]</f>
        <v>0</v>
      </c>
      <c r="AC475" s="166" t="s">
        <v>2041</v>
      </c>
    </row>
    <row r="476" spans="1:29" ht="68.25" customHeight="1" x14ac:dyDescent="0.2">
      <c r="A476" s="294" t="str">
        <f>IF(B476=Elementos_[[#This Row],[Cantidad LANIP]],"LANIP",IF(B476=Elementos_[[#This Row],[Cantidad 
LDV]],"LDV",IF(B476=Elementos_[[#This Row],[Cantidad LNDV]],"LNDV",IF(B476=Elementos_[[#This Row],[GGCA]],"GGCA",IF(B476=Elementos_[[#This Row],[Cantidad LDF]],"LDF",IF(B476=Elementos_[[#This Row],[Cantidad LDF&amp;MR]],"LDF&amp;MR",IF(B476=Elementos_[[#This Row],[Cantidad RED LASE]],"LASE",IF(B476=Elementos_[[#This Row],[Cantidad LANIA]],"LANIA",IF(B476=Elementos_[[#This Row],[Cantidad SPA]],"SPA"," ")))))))))</f>
        <v>LDF&amp;MR</v>
      </c>
      <c r="B47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23</v>
      </c>
      <c r="C476" s="298">
        <v>474</v>
      </c>
      <c r="D476" s="190">
        <v>741</v>
      </c>
      <c r="E476" s="235" t="s">
        <v>2886</v>
      </c>
      <c r="F476" s="201" t="s">
        <v>2887</v>
      </c>
      <c r="G476" s="192" t="s">
        <v>2633</v>
      </c>
      <c r="H47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58</v>
      </c>
      <c r="I476" s="194">
        <v>380143</v>
      </c>
      <c r="J476" s="194">
        <f>+Elementos_[[#This Row],[Valor de referencia]]*Elementos_[[#This Row],[Cantidad]]</f>
        <v>22048294</v>
      </c>
      <c r="K476" s="166"/>
      <c r="L476" s="159">
        <f>+Elementos_[[#This Row],[Cantidad LANIP]]*Elementos_[[#This Row],[Valor de referencia]]</f>
        <v>0</v>
      </c>
      <c r="M476" s="270">
        <v>10</v>
      </c>
      <c r="N476" s="195">
        <f>+Elementos_[[#This Row],[Cantidad 
LDV]]*Elementos_[[#This Row],[Valor de referencia]]</f>
        <v>3801430</v>
      </c>
      <c r="O476" s="166">
        <v>10</v>
      </c>
      <c r="P476" s="159">
        <f>+Elementos_[[#This Row],[Cantidad LNDV]]*Elementos_[[#This Row],[Valor de referencia]]</f>
        <v>3801430</v>
      </c>
      <c r="Q476" s="196"/>
      <c r="R476" s="159">
        <f>+Elementos_[[#This Row],[GGCA]]*Elementos_[[#This Row],[Valor de referencia]]</f>
        <v>0</v>
      </c>
      <c r="S476" s="166">
        <v>15</v>
      </c>
      <c r="T476" s="159">
        <f>+Elementos_[[#This Row],[Cantidad LDF]]*Elementos_[[#This Row],[Valor de referencia]]</f>
        <v>5702145</v>
      </c>
      <c r="U476" s="197">
        <v>23</v>
      </c>
      <c r="V476" s="159">
        <f>+Elementos_[[#This Row],[Cantidad LDF&amp;MR]]*Elementos_[[#This Row],[Valor de referencia]]</f>
        <v>8743289</v>
      </c>
      <c r="W476" s="166"/>
      <c r="X476" s="159">
        <f>+Elementos_[[#This Row],[Cantidad RED LASE]]*Elementos_[[#This Row],[Valor de referencia]]</f>
        <v>0</v>
      </c>
      <c r="Y476" s="196"/>
      <c r="Z476" s="159">
        <f>+Elementos_[[#This Row],[Cantidad LANIA]]*Elementos_[[#This Row],[Valor de referencia]]</f>
        <v>0</v>
      </c>
      <c r="AA476" s="196"/>
      <c r="AB476" s="159">
        <f>+Elementos_[[#This Row],[Cantidad SPA]]*Elementos_[[#This Row],[Valor de referencia]]</f>
        <v>0</v>
      </c>
      <c r="AC476" s="166" t="s">
        <v>2041</v>
      </c>
    </row>
    <row r="477" spans="1:29" ht="48" x14ac:dyDescent="0.2">
      <c r="A477" s="294" t="str">
        <f>IF(B477=Elementos_[[#This Row],[Cantidad LANIP]],"LANIP",IF(B477=Elementos_[[#This Row],[Cantidad 
LDV]],"LDV",IF(B477=Elementos_[[#This Row],[Cantidad LNDV]],"LNDV",IF(B477=Elementos_[[#This Row],[GGCA]],"GGCA",IF(B477=Elementos_[[#This Row],[Cantidad LDF]],"LDF",IF(B477=Elementos_[[#This Row],[Cantidad LDF&amp;MR]],"LDF&amp;MR",IF(B477=Elementos_[[#This Row],[Cantidad RED LASE]],"LASE",IF(B477=Elementos_[[#This Row],[Cantidad LANIA]],"LANIA",IF(B477=Elementos_[[#This Row],[Cantidad SPA]],"SPA"," ")))))))))</f>
        <v>LNDV</v>
      </c>
      <c r="B47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477" s="298">
        <v>475</v>
      </c>
      <c r="D477" s="190">
        <v>742</v>
      </c>
      <c r="E477" s="276" t="s">
        <v>2888</v>
      </c>
      <c r="F477" s="204" t="s">
        <v>2889</v>
      </c>
      <c r="G477" s="192" t="s">
        <v>1391</v>
      </c>
      <c r="H47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477" s="194">
        <v>167573</v>
      </c>
      <c r="J477" s="194">
        <f>+Elementos_[[#This Row],[Valor de referencia]]*Elementos_[[#This Row],[Cantidad]]</f>
        <v>502719</v>
      </c>
      <c r="K477" s="166"/>
      <c r="L477" s="159">
        <f>+Elementos_[[#This Row],[Cantidad LANIP]]*Elementos_[[#This Row],[Valor de referencia]]</f>
        <v>0</v>
      </c>
      <c r="M477" s="270">
        <v>0</v>
      </c>
      <c r="N477" s="195">
        <f>+Elementos_[[#This Row],[Cantidad 
LDV]]*Elementos_[[#This Row],[Valor de referencia]]</f>
        <v>0</v>
      </c>
      <c r="O477" s="166">
        <v>3</v>
      </c>
      <c r="P477" s="159">
        <f>+Elementos_[[#This Row],[Cantidad LNDV]]*Elementos_[[#This Row],[Valor de referencia]]</f>
        <v>502719</v>
      </c>
      <c r="Q477" s="196"/>
      <c r="R477" s="159">
        <f>+Elementos_[[#This Row],[GGCA]]*Elementos_[[#This Row],[Valor de referencia]]</f>
        <v>0</v>
      </c>
      <c r="S477" s="166"/>
      <c r="T477" s="159">
        <f>+Elementos_[[#This Row],[Cantidad LDF]]*Elementos_[[#This Row],[Valor de referencia]]</f>
        <v>0</v>
      </c>
      <c r="U477" s="197"/>
      <c r="V477" s="159">
        <f>+Elementos_[[#This Row],[Cantidad LDF&amp;MR]]*Elementos_[[#This Row],[Valor de referencia]]</f>
        <v>0</v>
      </c>
      <c r="W477" s="166"/>
      <c r="X477" s="159">
        <f>+Elementos_[[#This Row],[Cantidad RED LASE]]*Elementos_[[#This Row],[Valor de referencia]]</f>
        <v>0</v>
      </c>
      <c r="Y477" s="196"/>
      <c r="Z477" s="159">
        <f>+Elementos_[[#This Row],[Cantidad LANIA]]*Elementos_[[#This Row],[Valor de referencia]]</f>
        <v>0</v>
      </c>
      <c r="AA477" s="196"/>
      <c r="AB477" s="159">
        <f>+Elementos_[[#This Row],[Cantidad SPA]]*Elementos_[[#This Row],[Valor de referencia]]</f>
        <v>0</v>
      </c>
      <c r="AC477" s="166" t="s">
        <v>2041</v>
      </c>
    </row>
    <row r="478" spans="1:29" ht="36" x14ac:dyDescent="0.2">
      <c r="A478" s="294" t="str">
        <f>IF(B478=Elementos_[[#This Row],[Cantidad LANIP]],"LANIP",IF(B478=Elementos_[[#This Row],[Cantidad 
LDV]],"LDV",IF(B478=Elementos_[[#This Row],[Cantidad LNDV]],"LNDV",IF(B478=Elementos_[[#This Row],[GGCA]],"GGCA",IF(B478=Elementos_[[#This Row],[Cantidad LDF]],"LDF",IF(B478=Elementos_[[#This Row],[Cantidad LDF&amp;MR]],"LDF&amp;MR",IF(B478=Elementos_[[#This Row],[Cantidad RED LASE]],"LASE",IF(B478=Elementos_[[#This Row],[Cantidad LANIA]],"LANIA",IF(B478=Elementos_[[#This Row],[Cantidad SPA]],"SPA"," ")))))))))</f>
        <v>SPA</v>
      </c>
      <c r="B47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661</v>
      </c>
      <c r="C478" s="298">
        <v>476</v>
      </c>
      <c r="D478" s="190">
        <v>743</v>
      </c>
      <c r="E478" s="288" t="s">
        <v>2890</v>
      </c>
      <c r="F478" s="232" t="s">
        <v>2891</v>
      </c>
      <c r="G478" s="219" t="s">
        <v>2892</v>
      </c>
      <c r="H47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766</v>
      </c>
      <c r="I478" s="194">
        <v>108048</v>
      </c>
      <c r="J478" s="194">
        <f>+Elementos_[[#This Row],[Valor de referencia]]*Elementos_[[#This Row],[Cantidad]]</f>
        <v>82764768</v>
      </c>
      <c r="K478" s="166">
        <v>100</v>
      </c>
      <c r="L478" s="159">
        <f>+Elementos_[[#This Row],[Cantidad LANIP]]*Elementos_[[#This Row],[Valor de referencia]]</f>
        <v>10804800</v>
      </c>
      <c r="M478" s="270">
        <v>0</v>
      </c>
      <c r="N478" s="195">
        <f>+Elementos_[[#This Row],[Cantidad 
LDV]]*Elementos_[[#This Row],[Valor de referencia]]</f>
        <v>0</v>
      </c>
      <c r="O478" s="166">
        <v>5</v>
      </c>
      <c r="P478" s="159">
        <f>+Elementos_[[#This Row],[Cantidad LNDV]]*Elementos_[[#This Row],[Valor de referencia]]</f>
        <v>540240</v>
      </c>
      <c r="Q478" s="196"/>
      <c r="R478" s="159">
        <f>+Elementos_[[#This Row],[GGCA]]*Elementos_[[#This Row],[Valor de referencia]]</f>
        <v>0</v>
      </c>
      <c r="S478" s="166"/>
      <c r="T478" s="159">
        <f>+Elementos_[[#This Row],[Cantidad LDF]]*Elementos_[[#This Row],[Valor de referencia]]</f>
        <v>0</v>
      </c>
      <c r="U478" s="197"/>
      <c r="V478" s="159">
        <f>+Elementos_[[#This Row],[Cantidad LDF&amp;MR]]*Elementos_[[#This Row],[Valor de referencia]]</f>
        <v>0</v>
      </c>
      <c r="W478" s="166"/>
      <c r="X478" s="159">
        <f>+Elementos_[[#This Row],[Cantidad RED LASE]]*Elementos_[[#This Row],[Valor de referencia]]</f>
        <v>0</v>
      </c>
      <c r="Y478" s="196"/>
      <c r="Z478" s="159">
        <f>+Elementos_[[#This Row],[Cantidad LANIA]]*Elementos_[[#This Row],[Valor de referencia]]</f>
        <v>0</v>
      </c>
      <c r="AA478" s="196">
        <v>661</v>
      </c>
      <c r="AB478" s="159">
        <f>+Elementos_[[#This Row],[Cantidad SPA]]*Elementos_[[#This Row],[Valor de referencia]]</f>
        <v>71419728</v>
      </c>
      <c r="AC478" s="166" t="s">
        <v>2041</v>
      </c>
    </row>
    <row r="479" spans="1:29" ht="51.75" customHeight="1" x14ac:dyDescent="0.2">
      <c r="A479" s="294" t="str">
        <f>IF(B479=Elementos_[[#This Row],[Cantidad LANIP]],"LANIP",IF(B479=Elementos_[[#This Row],[Cantidad 
LDV]],"LDV",IF(B479=Elementos_[[#This Row],[Cantidad LNDV]],"LNDV",IF(B479=Elementos_[[#This Row],[GGCA]],"GGCA",IF(B479=Elementos_[[#This Row],[Cantidad LDF]],"LDF",IF(B479=Elementos_[[#This Row],[Cantidad LDF&amp;MR]],"LDF&amp;MR",IF(B479=Elementos_[[#This Row],[Cantidad RED LASE]],"LASE",IF(B479=Elementos_[[#This Row],[Cantidad LANIA]],"LANIA",IF(B479=Elementos_[[#This Row],[Cantidad SPA]],"SPA"," ")))))))))</f>
        <v>LDF&amp;MR</v>
      </c>
      <c r="B47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41</v>
      </c>
      <c r="C479" s="298">
        <v>477</v>
      </c>
      <c r="D479" s="190">
        <v>746</v>
      </c>
      <c r="E479" s="235" t="s">
        <v>2893</v>
      </c>
      <c r="F479" s="204" t="s">
        <v>2894</v>
      </c>
      <c r="G479" s="192" t="s">
        <v>2865</v>
      </c>
      <c r="H47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79</v>
      </c>
      <c r="I479" s="194">
        <v>356881</v>
      </c>
      <c r="J479" s="194">
        <f>+Elementos_[[#This Row],[Valor de referencia]]*Elementos_[[#This Row],[Cantidad]]</f>
        <v>28193599</v>
      </c>
      <c r="K479" s="166"/>
      <c r="L479" s="159">
        <f>+Elementos_[[#This Row],[Cantidad LANIP]]*Elementos_[[#This Row],[Valor de referencia]]</f>
        <v>0</v>
      </c>
      <c r="M479" s="270">
        <v>10</v>
      </c>
      <c r="N479" s="195">
        <f>+Elementos_[[#This Row],[Cantidad 
LDV]]*Elementos_[[#This Row],[Valor de referencia]]</f>
        <v>3568810</v>
      </c>
      <c r="O479" s="166">
        <v>4</v>
      </c>
      <c r="P479" s="159">
        <f>+Elementos_[[#This Row],[Cantidad LNDV]]*Elementos_[[#This Row],[Valor de referencia]]</f>
        <v>1427524</v>
      </c>
      <c r="Q479" s="196"/>
      <c r="R479" s="159">
        <f>+Elementos_[[#This Row],[GGCA]]*Elementos_[[#This Row],[Valor de referencia]]</f>
        <v>0</v>
      </c>
      <c r="S479" s="166">
        <v>24</v>
      </c>
      <c r="T479" s="159">
        <f>+Elementos_[[#This Row],[Cantidad LDF]]*Elementos_[[#This Row],[Valor de referencia]]</f>
        <v>8565144</v>
      </c>
      <c r="U479" s="197">
        <v>41</v>
      </c>
      <c r="V479" s="159">
        <f>+Elementos_[[#This Row],[Cantidad LDF&amp;MR]]*Elementos_[[#This Row],[Valor de referencia]]</f>
        <v>14632121</v>
      </c>
      <c r="W479" s="166"/>
      <c r="X479" s="159">
        <f>+Elementos_[[#This Row],[Cantidad RED LASE]]*Elementos_[[#This Row],[Valor de referencia]]</f>
        <v>0</v>
      </c>
      <c r="Y479" s="196"/>
      <c r="Z479" s="159">
        <f>+Elementos_[[#This Row],[Cantidad LANIA]]*Elementos_[[#This Row],[Valor de referencia]]</f>
        <v>0</v>
      </c>
      <c r="AA479" s="196"/>
      <c r="AB479" s="159">
        <f>+Elementos_[[#This Row],[Cantidad SPA]]*Elementos_[[#This Row],[Valor de referencia]]</f>
        <v>0</v>
      </c>
      <c r="AC479" s="166" t="s">
        <v>2041</v>
      </c>
    </row>
    <row r="480" spans="1:29" ht="48" x14ac:dyDescent="0.2">
      <c r="A480" s="294" t="str">
        <f>IF(B480=Elementos_[[#This Row],[Cantidad LANIP]],"LANIP",IF(B480=Elementos_[[#This Row],[Cantidad 
LDV]],"LDV",IF(B480=Elementos_[[#This Row],[Cantidad LNDV]],"LNDV",IF(B480=Elementos_[[#This Row],[GGCA]],"GGCA",IF(B480=Elementos_[[#This Row],[Cantidad LDF]],"LDF",IF(B480=Elementos_[[#This Row],[Cantidad LDF&amp;MR]],"LDF&amp;MR",IF(B480=Elementos_[[#This Row],[Cantidad RED LASE]],"LASE",IF(B480=Elementos_[[#This Row],[Cantidad LANIA]],"LANIA",IF(B480=Elementos_[[#This Row],[Cantidad SPA]],"SPA"," ")))))))))</f>
        <v>LNDV</v>
      </c>
      <c r="B48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480" s="298">
        <v>478</v>
      </c>
      <c r="D480" s="190">
        <v>747</v>
      </c>
      <c r="E480" s="235" t="s">
        <v>2895</v>
      </c>
      <c r="F480" s="201" t="s">
        <v>2896</v>
      </c>
      <c r="G480" s="192" t="s">
        <v>2897</v>
      </c>
      <c r="H48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480" s="194">
        <v>488174</v>
      </c>
      <c r="J480" s="194">
        <f>+Elementos_[[#This Row],[Valor de referencia]]*Elementos_[[#This Row],[Cantidad]]</f>
        <v>1952696</v>
      </c>
      <c r="K480" s="166"/>
      <c r="L480" s="159">
        <f>+Elementos_[[#This Row],[Cantidad LANIP]]*Elementos_[[#This Row],[Valor de referencia]]</f>
        <v>0</v>
      </c>
      <c r="M480" s="270"/>
      <c r="N480" s="195">
        <f>+Elementos_[[#This Row],[Cantidad 
LDV]]*Elementos_[[#This Row],[Valor de referencia]]</f>
        <v>0</v>
      </c>
      <c r="O480" s="166">
        <v>4</v>
      </c>
      <c r="P480" s="159">
        <f>+Elementos_[[#This Row],[Cantidad LNDV]]*Elementos_[[#This Row],[Valor de referencia]]</f>
        <v>1952696</v>
      </c>
      <c r="Q480" s="196"/>
      <c r="R480" s="159">
        <f>+Elementos_[[#This Row],[GGCA]]*Elementos_[[#This Row],[Valor de referencia]]</f>
        <v>0</v>
      </c>
      <c r="S480" s="166"/>
      <c r="T480" s="159">
        <f>+Elementos_[[#This Row],[Cantidad LDF]]*Elementos_[[#This Row],[Valor de referencia]]</f>
        <v>0</v>
      </c>
      <c r="U480" s="197"/>
      <c r="V480" s="159">
        <f>+Elementos_[[#This Row],[Cantidad LDF&amp;MR]]*Elementos_[[#This Row],[Valor de referencia]]</f>
        <v>0</v>
      </c>
      <c r="W480" s="166"/>
      <c r="X480" s="159">
        <f>+Elementos_[[#This Row],[Cantidad RED LASE]]*Elementos_[[#This Row],[Valor de referencia]]</f>
        <v>0</v>
      </c>
      <c r="Y480" s="196"/>
      <c r="Z480" s="159">
        <f>+Elementos_[[#This Row],[Cantidad LANIA]]*Elementos_[[#This Row],[Valor de referencia]]</f>
        <v>0</v>
      </c>
      <c r="AA480" s="196"/>
      <c r="AB480" s="159">
        <f>+Elementos_[[#This Row],[Cantidad SPA]]*Elementos_[[#This Row],[Valor de referencia]]</f>
        <v>0</v>
      </c>
      <c r="AC480" s="166" t="s">
        <v>2041</v>
      </c>
    </row>
    <row r="481" spans="1:29" ht="60" x14ac:dyDescent="0.2">
      <c r="A481" s="294" t="str">
        <f>IF(B481=Elementos_[[#This Row],[Cantidad LANIP]],"LANIP",IF(B481=Elementos_[[#This Row],[Cantidad 
LDV]],"LDV",IF(B481=Elementos_[[#This Row],[Cantidad LNDV]],"LNDV",IF(B481=Elementos_[[#This Row],[GGCA]],"GGCA",IF(B481=Elementos_[[#This Row],[Cantidad LDF]],"LDF",IF(B481=Elementos_[[#This Row],[Cantidad LDF&amp;MR]],"LDF&amp;MR",IF(B481=Elementos_[[#This Row],[Cantidad RED LASE]],"LASE",IF(B481=Elementos_[[#This Row],[Cantidad LANIA]],"LANIA",IF(B481=Elementos_[[#This Row],[Cantidad SPA]],"SPA"," ")))))))))</f>
        <v>LANIA</v>
      </c>
      <c r="B48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81" s="298">
        <v>479</v>
      </c>
      <c r="D481" s="190">
        <v>748</v>
      </c>
      <c r="E481" s="303" t="s">
        <v>2898</v>
      </c>
      <c r="F481" s="204" t="s">
        <v>2899</v>
      </c>
      <c r="G481" s="192" t="s">
        <v>2900</v>
      </c>
      <c r="H48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81" s="194">
        <v>4330172</v>
      </c>
      <c r="J481" s="194">
        <f>+Elementos_[[#This Row],[Valor de referencia]]*Elementos_[[#This Row],[Cantidad]]</f>
        <v>4330172</v>
      </c>
      <c r="K481" s="166"/>
      <c r="L481" s="159">
        <f>+Elementos_[[#This Row],[Cantidad LANIP]]*Elementos_[[#This Row],[Valor de referencia]]</f>
        <v>0</v>
      </c>
      <c r="M481" s="270">
        <v>0</v>
      </c>
      <c r="N481" s="195">
        <f>+Elementos_[[#This Row],[Cantidad 
LDV]]*Elementos_[[#This Row],[Valor de referencia]]</f>
        <v>0</v>
      </c>
      <c r="O481" s="166"/>
      <c r="P481" s="159">
        <f>+Elementos_[[#This Row],[Cantidad LNDV]]*Elementos_[[#This Row],[Valor de referencia]]</f>
        <v>0</v>
      </c>
      <c r="Q481" s="196"/>
      <c r="R481" s="159">
        <f>+Elementos_[[#This Row],[GGCA]]*Elementos_[[#This Row],[Valor de referencia]]</f>
        <v>0</v>
      </c>
      <c r="S481" s="166"/>
      <c r="T481" s="159">
        <f>+Elementos_[[#This Row],[Cantidad LDF]]*Elementos_[[#This Row],[Valor de referencia]]</f>
        <v>0</v>
      </c>
      <c r="U481" s="197"/>
      <c r="V481" s="159">
        <f>+Elementos_[[#This Row],[Cantidad LDF&amp;MR]]*Elementos_[[#This Row],[Valor de referencia]]</f>
        <v>0</v>
      </c>
      <c r="W481" s="166"/>
      <c r="X481" s="159">
        <f>+Elementos_[[#This Row],[Cantidad RED LASE]]*Elementos_[[#This Row],[Valor de referencia]]</f>
        <v>0</v>
      </c>
      <c r="Y481" s="196">
        <v>1</v>
      </c>
      <c r="Z481" s="159">
        <f>+Elementos_[[#This Row],[Cantidad LANIA]]*Elementos_[[#This Row],[Valor de referencia]]</f>
        <v>4330172</v>
      </c>
      <c r="AA481" s="196"/>
      <c r="AB481" s="159">
        <f>+Elementos_[[#This Row],[Cantidad SPA]]*Elementos_[[#This Row],[Valor de referencia]]</f>
        <v>0</v>
      </c>
      <c r="AC481" s="166" t="s">
        <v>2041</v>
      </c>
    </row>
    <row r="482" spans="1:29" ht="48" x14ac:dyDescent="0.2">
      <c r="A482" s="294" t="str">
        <f>IF(B482=Elementos_[[#This Row],[Cantidad LANIP]],"LANIP",IF(B482=Elementos_[[#This Row],[Cantidad 
LDV]],"LDV",IF(B482=Elementos_[[#This Row],[Cantidad LNDV]],"LNDV",IF(B482=Elementos_[[#This Row],[GGCA]],"GGCA",IF(B482=Elementos_[[#This Row],[Cantidad LDF]],"LDF",IF(B482=Elementos_[[#This Row],[Cantidad LDF&amp;MR]],"LDF&amp;MR",IF(B482=Elementos_[[#This Row],[Cantidad RED LASE]],"LASE",IF(B482=Elementos_[[#This Row],[Cantidad LANIA]],"LANIA",IF(B482=Elementos_[[#This Row],[Cantidad SPA]],"SPA"," ")))))))))</f>
        <v>LDF&amp;MR</v>
      </c>
      <c r="B48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C482" s="298">
        <v>480</v>
      </c>
      <c r="D482" s="190">
        <v>751</v>
      </c>
      <c r="E482" s="235" t="s">
        <v>2901</v>
      </c>
      <c r="F482" s="223" t="s">
        <v>2902</v>
      </c>
      <c r="G482" s="306" t="s">
        <v>2865</v>
      </c>
      <c r="H48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30</v>
      </c>
      <c r="I482" s="194">
        <v>398412</v>
      </c>
      <c r="J482" s="194">
        <f>+Elementos_[[#This Row],[Valor de referencia]]*Elementos_[[#This Row],[Cantidad]]</f>
        <v>11952360</v>
      </c>
      <c r="K482" s="166"/>
      <c r="L482" s="159">
        <f>+Elementos_[[#This Row],[Cantidad LANIP]]*Elementos_[[#This Row],[Valor de referencia]]</f>
        <v>0</v>
      </c>
      <c r="M482" s="270">
        <v>0</v>
      </c>
      <c r="N482" s="195">
        <f>+Elementos_[[#This Row],[Cantidad 
LDV]]*Elementos_[[#This Row],[Valor de referencia]]</f>
        <v>0</v>
      </c>
      <c r="O482" s="166"/>
      <c r="P482" s="159">
        <f>+Elementos_[[#This Row],[Cantidad LNDV]]*Elementos_[[#This Row],[Valor de referencia]]</f>
        <v>0</v>
      </c>
      <c r="Q482" s="196"/>
      <c r="R482" s="159">
        <f>+Elementos_[[#This Row],[GGCA]]*Elementos_[[#This Row],[Valor de referencia]]</f>
        <v>0</v>
      </c>
      <c r="S482" s="166"/>
      <c r="T482" s="159">
        <f>+Elementos_[[#This Row],[Cantidad LDF]]*Elementos_[[#This Row],[Valor de referencia]]</f>
        <v>0</v>
      </c>
      <c r="U482" s="197">
        <v>30</v>
      </c>
      <c r="V482" s="159">
        <f>+Elementos_[[#This Row],[Cantidad LDF&amp;MR]]*Elementos_[[#This Row],[Valor de referencia]]</f>
        <v>11952360</v>
      </c>
      <c r="W482" s="166"/>
      <c r="X482" s="159">
        <f>+Elementos_[[#This Row],[Cantidad RED LASE]]*Elementos_[[#This Row],[Valor de referencia]]</f>
        <v>0</v>
      </c>
      <c r="Y482" s="196"/>
      <c r="Z482" s="159">
        <f>+Elementos_[[#This Row],[Cantidad LANIA]]*Elementos_[[#This Row],[Valor de referencia]]</f>
        <v>0</v>
      </c>
      <c r="AA482" s="196"/>
      <c r="AB482" s="159">
        <f>+Elementos_[[#This Row],[Cantidad SPA]]*Elementos_[[#This Row],[Valor de referencia]]</f>
        <v>0</v>
      </c>
      <c r="AC482" s="166" t="s">
        <v>2041</v>
      </c>
    </row>
    <row r="483" spans="1:29" ht="36" x14ac:dyDescent="0.2">
      <c r="A483" s="294" t="str">
        <f>IF(B483=Elementos_[[#This Row],[Cantidad LANIP]],"LANIP",IF(B483=Elementos_[[#This Row],[Cantidad 
LDV]],"LDV",IF(B483=Elementos_[[#This Row],[Cantidad LNDV]],"LNDV",IF(B483=Elementos_[[#This Row],[GGCA]],"GGCA",IF(B483=Elementos_[[#This Row],[Cantidad LDF]],"LDF",IF(B483=Elementos_[[#This Row],[Cantidad LDF&amp;MR]],"LDF&amp;MR",IF(B483=Elementos_[[#This Row],[Cantidad RED LASE]],"LASE",IF(B483=Elementos_[[#This Row],[Cantidad LANIA]],"LANIA",IF(B483=Elementos_[[#This Row],[Cantidad SPA]],"SPA"," ")))))))))</f>
        <v>LDF&amp;MR</v>
      </c>
      <c r="B48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83" s="298">
        <v>481</v>
      </c>
      <c r="D483" s="190">
        <v>754</v>
      </c>
      <c r="E483" s="235" t="s">
        <v>2903</v>
      </c>
      <c r="F483" s="205" t="s">
        <v>2904</v>
      </c>
      <c r="G483" s="192" t="s">
        <v>525</v>
      </c>
      <c r="H48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83" s="194">
        <v>261137</v>
      </c>
      <c r="J483" s="194">
        <f>+Elementos_[[#This Row],[Valor de referencia]]*Elementos_[[#This Row],[Cantidad]]</f>
        <v>261137</v>
      </c>
      <c r="K483" s="166"/>
      <c r="L483" s="159">
        <f>+Elementos_[[#This Row],[Cantidad LANIP]]*Elementos_[[#This Row],[Valor de referencia]]</f>
        <v>0</v>
      </c>
      <c r="M483" s="270">
        <v>0</v>
      </c>
      <c r="N483" s="195">
        <f>+Elementos_[[#This Row],[Cantidad 
LDV]]*Elementos_[[#This Row],[Valor de referencia]]</f>
        <v>0</v>
      </c>
      <c r="O483" s="166"/>
      <c r="P483" s="159">
        <f>+Elementos_[[#This Row],[Cantidad LNDV]]*Elementos_[[#This Row],[Valor de referencia]]</f>
        <v>0</v>
      </c>
      <c r="Q483" s="196"/>
      <c r="R483" s="159">
        <f>+Elementos_[[#This Row],[GGCA]]*Elementos_[[#This Row],[Valor de referencia]]</f>
        <v>0</v>
      </c>
      <c r="S483" s="166"/>
      <c r="T483" s="159">
        <f>+Elementos_[[#This Row],[Cantidad LDF]]*Elementos_[[#This Row],[Valor de referencia]]</f>
        <v>0</v>
      </c>
      <c r="U483" s="197">
        <v>1</v>
      </c>
      <c r="V483" s="159">
        <f>+Elementos_[[#This Row],[Cantidad LDF&amp;MR]]*Elementos_[[#This Row],[Valor de referencia]]</f>
        <v>261137</v>
      </c>
      <c r="W483" s="166"/>
      <c r="X483" s="159">
        <f>+Elementos_[[#This Row],[Cantidad RED LASE]]*Elementos_[[#This Row],[Valor de referencia]]</f>
        <v>0</v>
      </c>
      <c r="Y483" s="196"/>
      <c r="Z483" s="159">
        <f>+Elementos_[[#This Row],[Cantidad LANIA]]*Elementos_[[#This Row],[Valor de referencia]]</f>
        <v>0</v>
      </c>
      <c r="AA483" s="196"/>
      <c r="AB483" s="159">
        <f>+Elementos_[[#This Row],[Cantidad SPA]]*Elementos_[[#This Row],[Valor de referencia]]</f>
        <v>0</v>
      </c>
      <c r="AC483" s="166" t="s">
        <v>2041</v>
      </c>
    </row>
    <row r="484" spans="1:29" ht="60" x14ac:dyDescent="0.2">
      <c r="A484" s="294" t="str">
        <f>IF(B484=Elementos_[[#This Row],[Cantidad LANIP]],"LANIP",IF(B484=Elementos_[[#This Row],[Cantidad 
LDV]],"LDV",IF(B484=Elementos_[[#This Row],[Cantidad LNDV]],"LNDV",IF(B484=Elementos_[[#This Row],[GGCA]],"GGCA",IF(B484=Elementos_[[#This Row],[Cantidad LDF]],"LDF",IF(B484=Elementos_[[#This Row],[Cantidad LDF&amp;MR]],"LDF&amp;MR",IF(B484=Elementos_[[#This Row],[Cantidad RED LASE]],"LASE",IF(B484=Elementos_[[#This Row],[Cantidad LANIA]],"LANIA",IF(B484=Elementos_[[#This Row],[Cantidad SPA]],"SPA"," ")))))))))</f>
        <v>LANIA</v>
      </c>
      <c r="B48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84" s="298">
        <v>482</v>
      </c>
      <c r="D484" s="190">
        <v>758</v>
      </c>
      <c r="E484" s="235" t="s">
        <v>2905</v>
      </c>
      <c r="F484" s="223" t="s">
        <v>2906</v>
      </c>
      <c r="G484" s="202" t="s">
        <v>2064</v>
      </c>
      <c r="H48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84" s="194">
        <v>480380</v>
      </c>
      <c r="J484" s="194">
        <f>+Elementos_[[#This Row],[Valor de referencia]]*Elementos_[[#This Row],[Cantidad]]</f>
        <v>480380</v>
      </c>
      <c r="K484" s="166"/>
      <c r="L484" s="159">
        <f>+Elementos_[[#This Row],[Cantidad LANIP]]*Elementos_[[#This Row],[Valor de referencia]]</f>
        <v>0</v>
      </c>
      <c r="M484" s="270">
        <v>0</v>
      </c>
      <c r="N484" s="195">
        <f>+Elementos_[[#This Row],[Cantidad 
LDV]]*Elementos_[[#This Row],[Valor de referencia]]</f>
        <v>0</v>
      </c>
      <c r="O484" s="166"/>
      <c r="P484" s="159">
        <f>+Elementos_[[#This Row],[Cantidad LNDV]]*Elementos_[[#This Row],[Valor de referencia]]</f>
        <v>0</v>
      </c>
      <c r="Q484" s="196"/>
      <c r="R484" s="159">
        <f>+Elementos_[[#This Row],[GGCA]]*Elementos_[[#This Row],[Valor de referencia]]</f>
        <v>0</v>
      </c>
      <c r="S484" s="166"/>
      <c r="T484" s="159">
        <f>+Elementos_[[#This Row],[Cantidad LDF]]*Elementos_[[#This Row],[Valor de referencia]]</f>
        <v>0</v>
      </c>
      <c r="U484" s="197"/>
      <c r="V484" s="159">
        <f>+Elementos_[[#This Row],[Cantidad LDF&amp;MR]]*Elementos_[[#This Row],[Valor de referencia]]</f>
        <v>0</v>
      </c>
      <c r="W484" s="166"/>
      <c r="X484" s="159">
        <f>+Elementos_[[#This Row],[Cantidad RED LASE]]*Elementos_[[#This Row],[Valor de referencia]]</f>
        <v>0</v>
      </c>
      <c r="Y484" s="196">
        <v>1</v>
      </c>
      <c r="Z484" s="159">
        <f>+Elementos_[[#This Row],[Cantidad LANIA]]*Elementos_[[#This Row],[Valor de referencia]]</f>
        <v>480380</v>
      </c>
      <c r="AA484" s="196"/>
      <c r="AB484" s="159">
        <f>+Elementos_[[#This Row],[Cantidad SPA]]*Elementos_[[#This Row],[Valor de referencia]]</f>
        <v>0</v>
      </c>
      <c r="AC484" s="166" t="s">
        <v>2041</v>
      </c>
    </row>
    <row r="485" spans="1:29" ht="17.25" customHeight="1" x14ac:dyDescent="0.2">
      <c r="A485" s="294" t="str">
        <f>IF(B485=Elementos_[[#This Row],[Cantidad LANIP]],"LANIP",IF(B485=Elementos_[[#This Row],[Cantidad 
LDV]],"LDV",IF(B485=Elementos_[[#This Row],[Cantidad LNDV]],"LNDV",IF(B485=Elementos_[[#This Row],[GGCA]],"GGCA",IF(B485=Elementos_[[#This Row],[Cantidad LDF]],"LDF",IF(B485=Elementos_[[#This Row],[Cantidad LDF&amp;MR]],"LDF&amp;MR",IF(B485=Elementos_[[#This Row],[Cantidad RED LASE]],"LASE",IF(B485=Elementos_[[#This Row],[Cantidad LANIA]],"LANIA",IF(B485=Elementos_[[#This Row],[Cantidad SPA]],"SPA"," ")))))))))</f>
        <v>LDF</v>
      </c>
      <c r="B48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485" s="298">
        <v>483</v>
      </c>
      <c r="D485" s="190">
        <v>759</v>
      </c>
      <c r="E485" s="276" t="s">
        <v>2907</v>
      </c>
      <c r="F485" s="204" t="s">
        <v>2908</v>
      </c>
      <c r="G485" s="192" t="s">
        <v>525</v>
      </c>
      <c r="H48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485" s="194">
        <v>540572</v>
      </c>
      <c r="J485" s="194">
        <f>+Elementos_[[#This Row],[Valor de referencia]]*Elementos_[[#This Row],[Cantidad]]</f>
        <v>540572</v>
      </c>
      <c r="K485" s="166"/>
      <c r="L485" s="159">
        <f>+Elementos_[[#This Row],[Cantidad LANIP]]*Elementos_[[#This Row],[Valor de referencia]]</f>
        <v>0</v>
      </c>
      <c r="M485" s="270">
        <v>0</v>
      </c>
      <c r="N485" s="195">
        <f>+Elementos_[[#This Row],[Cantidad 
LDV]]*Elementos_[[#This Row],[Valor de referencia]]</f>
        <v>0</v>
      </c>
      <c r="O485" s="166"/>
      <c r="P485" s="159">
        <f>+Elementos_[[#This Row],[Cantidad LNDV]]*Elementos_[[#This Row],[Valor de referencia]]</f>
        <v>0</v>
      </c>
      <c r="Q485" s="196"/>
      <c r="R485" s="159">
        <f>+Elementos_[[#This Row],[GGCA]]*Elementos_[[#This Row],[Valor de referencia]]</f>
        <v>0</v>
      </c>
      <c r="S485" s="166">
        <v>1</v>
      </c>
      <c r="T485" s="159">
        <f>+Elementos_[[#This Row],[Cantidad LDF]]*Elementos_[[#This Row],[Valor de referencia]]</f>
        <v>540572</v>
      </c>
      <c r="U485" s="197"/>
      <c r="V485" s="159">
        <f>+Elementos_[[#This Row],[Cantidad LDF&amp;MR]]*Elementos_[[#This Row],[Valor de referencia]]</f>
        <v>0</v>
      </c>
      <c r="W485" s="166"/>
      <c r="X485" s="159">
        <f>+Elementos_[[#This Row],[Cantidad RED LASE]]*Elementos_[[#This Row],[Valor de referencia]]</f>
        <v>0</v>
      </c>
      <c r="Y485" s="196"/>
      <c r="Z485" s="159">
        <f>+Elementos_[[#This Row],[Cantidad LANIA]]*Elementos_[[#This Row],[Valor de referencia]]</f>
        <v>0</v>
      </c>
      <c r="AA485" s="196"/>
      <c r="AB485" s="159">
        <f>+Elementos_[[#This Row],[Cantidad SPA]]*Elementos_[[#This Row],[Valor de referencia]]</f>
        <v>0</v>
      </c>
      <c r="AC485" s="166" t="s">
        <v>2041</v>
      </c>
    </row>
    <row r="486" spans="1:29" ht="60" x14ac:dyDescent="0.2">
      <c r="A486" s="294" t="str">
        <f>IF(B486=Elementos_[[#This Row],[Cantidad LANIP]],"LANIP",IF(B486=Elementos_[[#This Row],[Cantidad 
LDV]],"LDV",IF(B486=Elementos_[[#This Row],[Cantidad LNDV]],"LNDV",IF(B486=Elementos_[[#This Row],[GGCA]],"GGCA",IF(B486=Elementos_[[#This Row],[Cantidad LDF]],"LDF",IF(B486=Elementos_[[#This Row],[Cantidad LDF&amp;MR]],"LDF&amp;MR",IF(B486=Elementos_[[#This Row],[Cantidad RED LASE]],"LASE",IF(B486=Elementos_[[#This Row],[Cantidad LANIA]],"LANIA",IF(B486=Elementos_[[#This Row],[Cantidad SPA]],"SPA"," ")))))))))</f>
        <v>LDF</v>
      </c>
      <c r="B48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16</v>
      </c>
      <c r="C486" s="298">
        <v>484</v>
      </c>
      <c r="D486" s="190">
        <v>760</v>
      </c>
      <c r="E486" s="303" t="s">
        <v>2909</v>
      </c>
      <c r="F486" s="201" t="s">
        <v>2910</v>
      </c>
      <c r="G486" s="202" t="s">
        <v>2064</v>
      </c>
      <c r="H48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26</v>
      </c>
      <c r="I486" s="194">
        <v>46248</v>
      </c>
      <c r="J486" s="194">
        <f>+Elementos_[[#This Row],[Valor de referencia]]*Elementos_[[#This Row],[Cantidad]]</f>
        <v>1202448</v>
      </c>
      <c r="K486" s="166"/>
      <c r="L486" s="159">
        <f>+Elementos_[[#This Row],[Cantidad LANIP]]*Elementos_[[#This Row],[Valor de referencia]]</f>
        <v>0</v>
      </c>
      <c r="M486" s="270">
        <v>0</v>
      </c>
      <c r="N486" s="195">
        <f>+Elementos_[[#This Row],[Cantidad 
LDV]]*Elementos_[[#This Row],[Valor de referencia]]</f>
        <v>0</v>
      </c>
      <c r="O486" s="166"/>
      <c r="P486" s="159">
        <f>+Elementos_[[#This Row],[Cantidad LNDV]]*Elementos_[[#This Row],[Valor de referencia]]</f>
        <v>0</v>
      </c>
      <c r="Q486" s="196"/>
      <c r="R486" s="159">
        <f>+Elementos_[[#This Row],[GGCA]]*Elementos_[[#This Row],[Valor de referencia]]</f>
        <v>0</v>
      </c>
      <c r="S486" s="166">
        <v>16</v>
      </c>
      <c r="T486" s="159">
        <f>+Elementos_[[#This Row],[Cantidad LDF]]*Elementos_[[#This Row],[Valor de referencia]]</f>
        <v>739968</v>
      </c>
      <c r="U486" s="197"/>
      <c r="V486" s="159">
        <f>+Elementos_[[#This Row],[Cantidad LDF&amp;MR]]*Elementos_[[#This Row],[Valor de referencia]]</f>
        <v>0</v>
      </c>
      <c r="W486" s="166"/>
      <c r="X486" s="159">
        <f>+Elementos_[[#This Row],[Cantidad RED LASE]]*Elementos_[[#This Row],[Valor de referencia]]</f>
        <v>0</v>
      </c>
      <c r="Y486" s="196">
        <v>10</v>
      </c>
      <c r="Z486" s="159">
        <f>+Elementos_[[#This Row],[Cantidad LANIA]]*Elementos_[[#This Row],[Valor de referencia]]</f>
        <v>462480</v>
      </c>
      <c r="AA486" s="196"/>
      <c r="AB486" s="159">
        <f>+Elementos_[[#This Row],[Cantidad SPA]]*Elementos_[[#This Row],[Valor de referencia]]</f>
        <v>0</v>
      </c>
      <c r="AC486" s="166" t="s">
        <v>2041</v>
      </c>
    </row>
    <row r="487" spans="1:29" ht="60" x14ac:dyDescent="0.2">
      <c r="A487" s="294" t="str">
        <f>IF(B487=Elementos_[[#This Row],[Cantidad LANIP]],"LANIP",IF(B487=Elementos_[[#This Row],[Cantidad 
LDV]],"LDV",IF(B487=Elementos_[[#This Row],[Cantidad LNDV]],"LNDV",IF(B487=Elementos_[[#This Row],[GGCA]],"GGCA",IF(B487=Elementos_[[#This Row],[Cantidad LDF]],"LDF",IF(B487=Elementos_[[#This Row],[Cantidad LDF&amp;MR]],"LDF&amp;MR",IF(B487=Elementos_[[#This Row],[Cantidad RED LASE]],"LASE",IF(B487=Elementos_[[#This Row],[Cantidad LANIA]],"LANIA",IF(B487=Elementos_[[#This Row],[Cantidad SPA]],"SPA"," ")))))))))</f>
        <v>LDF</v>
      </c>
      <c r="B48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487" s="298">
        <v>485</v>
      </c>
      <c r="D487" s="190">
        <v>761</v>
      </c>
      <c r="E487" s="303" t="s">
        <v>2911</v>
      </c>
      <c r="F487" s="201" t="s">
        <v>2910</v>
      </c>
      <c r="G487" s="192" t="s">
        <v>525</v>
      </c>
      <c r="H48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487" s="194">
        <v>41437</v>
      </c>
      <c r="J487" s="194">
        <f>+Elementos_[[#This Row],[Valor de referencia]]*Elementos_[[#This Row],[Cantidad]]</f>
        <v>331496</v>
      </c>
      <c r="K487" s="166"/>
      <c r="L487" s="159">
        <f>+Elementos_[[#This Row],[Cantidad LANIP]]*Elementos_[[#This Row],[Valor de referencia]]</f>
        <v>0</v>
      </c>
      <c r="M487" s="270">
        <v>0</v>
      </c>
      <c r="N487" s="195">
        <f>+Elementos_[[#This Row],[Cantidad 
LDV]]*Elementos_[[#This Row],[Valor de referencia]]</f>
        <v>0</v>
      </c>
      <c r="O487" s="166"/>
      <c r="P487" s="159">
        <f>+Elementos_[[#This Row],[Cantidad LNDV]]*Elementos_[[#This Row],[Valor de referencia]]</f>
        <v>0</v>
      </c>
      <c r="Q487" s="196"/>
      <c r="R487" s="159">
        <f>+Elementos_[[#This Row],[GGCA]]*Elementos_[[#This Row],[Valor de referencia]]</f>
        <v>0</v>
      </c>
      <c r="S487" s="166">
        <v>8</v>
      </c>
      <c r="T487" s="159">
        <f>+Elementos_[[#This Row],[Cantidad LDF]]*Elementos_[[#This Row],[Valor de referencia]]</f>
        <v>331496</v>
      </c>
      <c r="U487" s="197"/>
      <c r="V487" s="159">
        <f>+Elementos_[[#This Row],[Cantidad LDF&amp;MR]]*Elementos_[[#This Row],[Valor de referencia]]</f>
        <v>0</v>
      </c>
      <c r="W487" s="166"/>
      <c r="X487" s="159">
        <f>+Elementos_[[#This Row],[Cantidad RED LASE]]*Elementos_[[#This Row],[Valor de referencia]]</f>
        <v>0</v>
      </c>
      <c r="Y487" s="196"/>
      <c r="Z487" s="159">
        <f>+Elementos_[[#This Row],[Cantidad LANIA]]*Elementos_[[#This Row],[Valor de referencia]]</f>
        <v>0</v>
      </c>
      <c r="AA487" s="196"/>
      <c r="AB487" s="159">
        <f>+Elementos_[[#This Row],[Cantidad SPA]]*Elementos_[[#This Row],[Valor de referencia]]</f>
        <v>0</v>
      </c>
      <c r="AC487" s="166" t="s">
        <v>2041</v>
      </c>
    </row>
    <row r="488" spans="1:29" ht="48" x14ac:dyDescent="0.2">
      <c r="A488" s="294" t="str">
        <f>IF(B488=Elementos_[[#This Row],[Cantidad LANIP]],"LANIP",IF(B488=Elementos_[[#This Row],[Cantidad 
LDV]],"LDV",IF(B488=Elementos_[[#This Row],[Cantidad LNDV]],"LNDV",IF(B488=Elementos_[[#This Row],[GGCA]],"GGCA",IF(B488=Elementos_[[#This Row],[Cantidad LDF]],"LDF",IF(B488=Elementos_[[#This Row],[Cantidad LDF&amp;MR]],"LDF&amp;MR",IF(B488=Elementos_[[#This Row],[Cantidad RED LASE]],"LASE",IF(B488=Elementos_[[#This Row],[Cantidad LANIA]],"LANIA",IF(B488=Elementos_[[#This Row],[Cantidad SPA]],"SPA"," ")))))))))</f>
        <v>LANIA</v>
      </c>
      <c r="B48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488" s="298">
        <v>486</v>
      </c>
      <c r="D488" s="190">
        <v>762</v>
      </c>
      <c r="E488" s="282" t="s">
        <v>2912</v>
      </c>
      <c r="F488" s="201" t="s">
        <v>2910</v>
      </c>
      <c r="G488" s="192" t="s">
        <v>525</v>
      </c>
      <c r="H48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488" s="194">
        <v>69360</v>
      </c>
      <c r="J488" s="194">
        <f>+Elementos_[[#This Row],[Valor de referencia]]*Elementos_[[#This Row],[Cantidad]]</f>
        <v>1248480</v>
      </c>
      <c r="K488" s="166"/>
      <c r="L488" s="159">
        <f>+Elementos_[[#This Row],[Cantidad LANIP]]*Elementos_[[#This Row],[Valor de referencia]]</f>
        <v>0</v>
      </c>
      <c r="M488" s="270">
        <v>0</v>
      </c>
      <c r="N488" s="195">
        <f>+Elementos_[[#This Row],[Cantidad 
LDV]]*Elementos_[[#This Row],[Valor de referencia]]</f>
        <v>0</v>
      </c>
      <c r="O488" s="166"/>
      <c r="P488" s="159">
        <f>+Elementos_[[#This Row],[Cantidad LNDV]]*Elementos_[[#This Row],[Valor de referencia]]</f>
        <v>0</v>
      </c>
      <c r="Q488" s="196"/>
      <c r="R488" s="159">
        <f>+Elementos_[[#This Row],[GGCA]]*Elementos_[[#This Row],[Valor de referencia]]</f>
        <v>0</v>
      </c>
      <c r="S488" s="166">
        <v>8</v>
      </c>
      <c r="T488" s="159">
        <f>+Elementos_[[#This Row],[Cantidad LDF]]*Elementos_[[#This Row],[Valor de referencia]]</f>
        <v>554880</v>
      </c>
      <c r="U488" s="197"/>
      <c r="V488" s="159">
        <f>+Elementos_[[#This Row],[Cantidad LDF&amp;MR]]*Elementos_[[#This Row],[Valor de referencia]]</f>
        <v>0</v>
      </c>
      <c r="W488" s="166"/>
      <c r="X488" s="159">
        <f>+Elementos_[[#This Row],[Cantidad RED LASE]]*Elementos_[[#This Row],[Valor de referencia]]</f>
        <v>0</v>
      </c>
      <c r="Y488" s="196">
        <v>10</v>
      </c>
      <c r="Z488" s="159">
        <f>+Elementos_[[#This Row],[Cantidad LANIA]]*Elementos_[[#This Row],[Valor de referencia]]</f>
        <v>693600</v>
      </c>
      <c r="AA488" s="196"/>
      <c r="AB488" s="159">
        <f>+Elementos_[[#This Row],[Cantidad SPA]]*Elementos_[[#This Row],[Valor de referencia]]</f>
        <v>0</v>
      </c>
      <c r="AC488" s="166" t="s">
        <v>2041</v>
      </c>
    </row>
    <row r="489" spans="1:29" ht="24" x14ac:dyDescent="0.2">
      <c r="A489" s="294" t="str">
        <f>IF(B489=Elementos_[[#This Row],[Cantidad LANIP]],"LANIP",IF(B489=Elementos_[[#This Row],[Cantidad 
LDV]],"LDV",IF(B489=Elementos_[[#This Row],[Cantidad LNDV]],"LNDV",IF(B489=Elementos_[[#This Row],[GGCA]],"GGCA",IF(B489=Elementos_[[#This Row],[Cantidad LDF]],"LDF",IF(B489=Elementos_[[#This Row],[Cantidad LDF&amp;MR]],"LDF&amp;MR",IF(B489=Elementos_[[#This Row],[Cantidad RED LASE]],"LASE",IF(B489=Elementos_[[#This Row],[Cantidad LANIA]],"LANIA",IF(B489=Elementos_[[#This Row],[Cantidad SPA]],"SPA"," ")))))))))</f>
        <v>LDF</v>
      </c>
      <c r="B48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489" s="298">
        <v>487</v>
      </c>
      <c r="D489" s="190">
        <v>764</v>
      </c>
      <c r="E489" s="235" t="s">
        <v>2913</v>
      </c>
      <c r="F489" s="201" t="s">
        <v>2513</v>
      </c>
      <c r="G489" s="192" t="s">
        <v>2914</v>
      </c>
      <c r="H48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89" s="194">
        <v>122501</v>
      </c>
      <c r="J489" s="194">
        <f>+Elementos_[[#This Row],[Valor de referencia]]*Elementos_[[#This Row],[Cantidad]]</f>
        <v>735006</v>
      </c>
      <c r="K489" s="166"/>
      <c r="L489" s="159">
        <f>+Elementos_[[#This Row],[Cantidad LANIP]]*Elementos_[[#This Row],[Valor de referencia]]</f>
        <v>0</v>
      </c>
      <c r="M489" s="270">
        <v>0</v>
      </c>
      <c r="N489" s="195">
        <f>+Elementos_[[#This Row],[Cantidad 
LDV]]*Elementos_[[#This Row],[Valor de referencia]]</f>
        <v>0</v>
      </c>
      <c r="O489" s="166"/>
      <c r="P489" s="159">
        <f>+Elementos_[[#This Row],[Cantidad LNDV]]*Elementos_[[#This Row],[Valor de referencia]]</f>
        <v>0</v>
      </c>
      <c r="Q489" s="196"/>
      <c r="R489" s="159">
        <f>+Elementos_[[#This Row],[GGCA]]*Elementos_[[#This Row],[Valor de referencia]]</f>
        <v>0</v>
      </c>
      <c r="S489" s="166">
        <v>5</v>
      </c>
      <c r="T489" s="159">
        <f>+Elementos_[[#This Row],[Cantidad LDF]]*Elementos_[[#This Row],[Valor de referencia]]</f>
        <v>612505</v>
      </c>
      <c r="U489" s="197">
        <v>1</v>
      </c>
      <c r="V489" s="159">
        <f>+Elementos_[[#This Row],[Cantidad LDF&amp;MR]]*Elementos_[[#This Row],[Valor de referencia]]</f>
        <v>122501</v>
      </c>
      <c r="W489" s="166"/>
      <c r="X489" s="159">
        <f>+Elementos_[[#This Row],[Cantidad RED LASE]]*Elementos_[[#This Row],[Valor de referencia]]</f>
        <v>0</v>
      </c>
      <c r="Y489" s="196"/>
      <c r="Z489" s="159">
        <f>+Elementos_[[#This Row],[Cantidad LANIA]]*Elementos_[[#This Row],[Valor de referencia]]</f>
        <v>0</v>
      </c>
      <c r="AA489" s="196"/>
      <c r="AB489" s="159">
        <f>+Elementos_[[#This Row],[Cantidad SPA]]*Elementos_[[#This Row],[Valor de referencia]]</f>
        <v>0</v>
      </c>
      <c r="AC489" s="166" t="s">
        <v>2041</v>
      </c>
    </row>
    <row r="490" spans="1:29" ht="24" x14ac:dyDescent="0.2">
      <c r="A490" s="294" t="str">
        <f>IF(B490=Elementos_[[#This Row],[Cantidad LANIP]],"LANIP",IF(B490=Elementos_[[#This Row],[Cantidad 
LDV]],"LDV",IF(B490=Elementos_[[#This Row],[Cantidad LNDV]],"LNDV",IF(B490=Elementos_[[#This Row],[GGCA]],"GGCA",IF(B490=Elementos_[[#This Row],[Cantidad LDF]],"LDF",IF(B490=Elementos_[[#This Row],[Cantidad LDF&amp;MR]],"LDF&amp;MR",IF(B490=Elementos_[[#This Row],[Cantidad RED LASE]],"LASE",IF(B490=Elementos_[[#This Row],[Cantidad LANIA]],"LANIA",IF(B490=Elementos_[[#This Row],[Cantidad SPA]],"SPA"," ")))))))))</f>
        <v>LDF</v>
      </c>
      <c r="B49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490" s="298">
        <v>488</v>
      </c>
      <c r="D490" s="190">
        <v>766</v>
      </c>
      <c r="E490" s="235" t="s">
        <v>2915</v>
      </c>
      <c r="F490" s="201" t="s">
        <v>2513</v>
      </c>
      <c r="G490" s="192" t="s">
        <v>2251</v>
      </c>
      <c r="H49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v>
      </c>
      <c r="I490" s="194">
        <v>125102</v>
      </c>
      <c r="J490" s="194">
        <f>+Elementos_[[#This Row],[Valor de referencia]]*Elementos_[[#This Row],[Cantidad]]</f>
        <v>750612</v>
      </c>
      <c r="K490" s="166"/>
      <c r="L490" s="159">
        <f>+Elementos_[[#This Row],[Cantidad LANIP]]*Elementos_[[#This Row],[Valor de referencia]]</f>
        <v>0</v>
      </c>
      <c r="M490" s="270">
        <v>0</v>
      </c>
      <c r="N490" s="195">
        <f>+Elementos_[[#This Row],[Cantidad 
LDV]]*Elementos_[[#This Row],[Valor de referencia]]</f>
        <v>0</v>
      </c>
      <c r="O490" s="166"/>
      <c r="P490" s="159">
        <f>+Elementos_[[#This Row],[Cantidad LNDV]]*Elementos_[[#This Row],[Valor de referencia]]</f>
        <v>0</v>
      </c>
      <c r="Q490" s="196"/>
      <c r="R490" s="159">
        <f>+Elementos_[[#This Row],[GGCA]]*Elementos_[[#This Row],[Valor de referencia]]</f>
        <v>0</v>
      </c>
      <c r="S490" s="166">
        <v>4</v>
      </c>
      <c r="T490" s="159">
        <f>+Elementos_[[#This Row],[Cantidad LDF]]*Elementos_[[#This Row],[Valor de referencia]]</f>
        <v>500408</v>
      </c>
      <c r="U490" s="197"/>
      <c r="V490" s="159">
        <f>+Elementos_[[#This Row],[Cantidad LDF&amp;MR]]*Elementos_[[#This Row],[Valor de referencia]]</f>
        <v>0</v>
      </c>
      <c r="W490" s="166"/>
      <c r="X490" s="159">
        <f>+Elementos_[[#This Row],[Cantidad RED LASE]]*Elementos_[[#This Row],[Valor de referencia]]</f>
        <v>0</v>
      </c>
      <c r="Y490" s="196">
        <v>2</v>
      </c>
      <c r="Z490" s="159">
        <f>+Elementos_[[#This Row],[Cantidad LANIA]]*Elementos_[[#This Row],[Valor de referencia]]</f>
        <v>250204</v>
      </c>
      <c r="AA490" s="196"/>
      <c r="AB490" s="159">
        <f>+Elementos_[[#This Row],[Cantidad SPA]]*Elementos_[[#This Row],[Valor de referencia]]</f>
        <v>0</v>
      </c>
      <c r="AC490" s="166" t="s">
        <v>2041</v>
      </c>
    </row>
    <row r="491" spans="1:29" ht="36" x14ac:dyDescent="0.2">
      <c r="A491" s="294" t="str">
        <f>IF(B491=Elementos_[[#This Row],[Cantidad LANIP]],"LANIP",IF(B491=Elementos_[[#This Row],[Cantidad 
LDV]],"LDV",IF(B491=Elementos_[[#This Row],[Cantidad LNDV]],"LNDV",IF(B491=Elementos_[[#This Row],[GGCA]],"GGCA",IF(B491=Elementos_[[#This Row],[Cantidad LDF]],"LDF",IF(B491=Elementos_[[#This Row],[Cantidad LDF&amp;MR]],"LDF&amp;MR",IF(B491=Elementos_[[#This Row],[Cantidad RED LASE]],"LASE",IF(B491=Elementos_[[#This Row],[Cantidad LANIA]],"LANIA",IF(B491=Elementos_[[#This Row],[Cantidad SPA]],"SPA"," ")))))))))</f>
        <v>LANIA</v>
      </c>
      <c r="B49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91" s="298">
        <v>489</v>
      </c>
      <c r="D491" s="190">
        <v>767</v>
      </c>
      <c r="E491" s="235" t="s">
        <v>2916</v>
      </c>
      <c r="F491" s="201" t="s">
        <v>2917</v>
      </c>
      <c r="G491" s="192" t="s">
        <v>525</v>
      </c>
      <c r="H49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I491" s="194">
        <v>240950</v>
      </c>
      <c r="J491" s="194">
        <f>+Elementos_[[#This Row],[Valor de referencia]]*Elementos_[[#This Row],[Cantidad]]</f>
        <v>722850</v>
      </c>
      <c r="K491" s="166"/>
      <c r="L491" s="159">
        <f>+Elementos_[[#This Row],[Cantidad LANIP]]*Elementos_[[#This Row],[Valor de referencia]]</f>
        <v>0</v>
      </c>
      <c r="M491" s="270">
        <v>0</v>
      </c>
      <c r="N491" s="195">
        <f>+Elementos_[[#This Row],[Cantidad 
LDV]]*Elementos_[[#This Row],[Valor de referencia]]</f>
        <v>0</v>
      </c>
      <c r="O491" s="166"/>
      <c r="P491" s="159">
        <f>+Elementos_[[#This Row],[Cantidad LNDV]]*Elementos_[[#This Row],[Valor de referencia]]</f>
        <v>0</v>
      </c>
      <c r="Q491" s="196"/>
      <c r="R491" s="159">
        <f>+Elementos_[[#This Row],[GGCA]]*Elementos_[[#This Row],[Valor de referencia]]</f>
        <v>0</v>
      </c>
      <c r="S491" s="166">
        <v>1</v>
      </c>
      <c r="T491" s="159">
        <f>+Elementos_[[#This Row],[Cantidad LDF]]*Elementos_[[#This Row],[Valor de referencia]]</f>
        <v>240950</v>
      </c>
      <c r="U491" s="197"/>
      <c r="V491" s="159">
        <f>+Elementos_[[#This Row],[Cantidad LDF&amp;MR]]*Elementos_[[#This Row],[Valor de referencia]]</f>
        <v>0</v>
      </c>
      <c r="W491" s="166"/>
      <c r="X491" s="159">
        <f>+Elementos_[[#This Row],[Cantidad RED LASE]]*Elementos_[[#This Row],[Valor de referencia]]</f>
        <v>0</v>
      </c>
      <c r="Y491" s="196">
        <v>2</v>
      </c>
      <c r="Z491" s="159">
        <f>+Elementos_[[#This Row],[Cantidad LANIA]]*Elementos_[[#This Row],[Valor de referencia]]</f>
        <v>481900</v>
      </c>
      <c r="AA491" s="196"/>
      <c r="AB491" s="159">
        <f>+Elementos_[[#This Row],[Cantidad SPA]]*Elementos_[[#This Row],[Valor de referencia]]</f>
        <v>0</v>
      </c>
      <c r="AC491" s="166" t="s">
        <v>2041</v>
      </c>
    </row>
    <row r="492" spans="1:29" ht="24" x14ac:dyDescent="0.2">
      <c r="A492" s="294" t="str">
        <f>IF(B492=Elementos_[[#This Row],[Cantidad LANIP]],"LANIP",IF(B492=Elementos_[[#This Row],[Cantidad 
LDV]],"LDV",IF(B492=Elementos_[[#This Row],[Cantidad LNDV]],"LNDV",IF(B492=Elementos_[[#This Row],[GGCA]],"GGCA",IF(B492=Elementos_[[#This Row],[Cantidad LDF]],"LDF",IF(B492=Elementos_[[#This Row],[Cantidad LDF&amp;MR]],"LDF&amp;MR",IF(B492=Elementos_[[#This Row],[Cantidad RED LASE]],"LASE",IF(B492=Elementos_[[#This Row],[Cantidad LANIA]],"LANIA",IF(B492=Elementos_[[#This Row],[Cantidad SPA]],"SPA"," ")))))))))</f>
        <v>LDF</v>
      </c>
      <c r="B49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3</v>
      </c>
      <c r="C492" s="298">
        <v>490</v>
      </c>
      <c r="D492" s="190">
        <v>768</v>
      </c>
      <c r="E492" s="235" t="s">
        <v>2918</v>
      </c>
      <c r="F492" s="201" t="s">
        <v>2513</v>
      </c>
      <c r="G492" s="192" t="s">
        <v>2919</v>
      </c>
      <c r="H49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492" s="194">
        <v>105437</v>
      </c>
      <c r="J492" s="194">
        <f>+Elementos_[[#This Row],[Valor de referencia]]*Elementos_[[#This Row],[Cantidad]]</f>
        <v>421748</v>
      </c>
      <c r="K492" s="166"/>
      <c r="L492" s="159">
        <f>+Elementos_[[#This Row],[Cantidad LANIP]]*Elementos_[[#This Row],[Valor de referencia]]</f>
        <v>0</v>
      </c>
      <c r="M492" s="270">
        <v>0</v>
      </c>
      <c r="N492" s="195">
        <f>+Elementos_[[#This Row],[Cantidad 
LDV]]*Elementos_[[#This Row],[Valor de referencia]]</f>
        <v>0</v>
      </c>
      <c r="O492" s="166"/>
      <c r="P492" s="159">
        <f>+Elementos_[[#This Row],[Cantidad LNDV]]*Elementos_[[#This Row],[Valor de referencia]]</f>
        <v>0</v>
      </c>
      <c r="Q492" s="196"/>
      <c r="R492" s="159">
        <f>+Elementos_[[#This Row],[GGCA]]*Elementos_[[#This Row],[Valor de referencia]]</f>
        <v>0</v>
      </c>
      <c r="S492" s="166">
        <v>3</v>
      </c>
      <c r="T492" s="159">
        <f>+Elementos_[[#This Row],[Cantidad LDF]]*Elementos_[[#This Row],[Valor de referencia]]</f>
        <v>316311</v>
      </c>
      <c r="U492" s="197">
        <v>1</v>
      </c>
      <c r="V492" s="159">
        <f>+Elementos_[[#This Row],[Cantidad LDF&amp;MR]]*Elementos_[[#This Row],[Valor de referencia]]</f>
        <v>105437</v>
      </c>
      <c r="W492" s="166"/>
      <c r="X492" s="159">
        <f>+Elementos_[[#This Row],[Cantidad RED LASE]]*Elementos_[[#This Row],[Valor de referencia]]</f>
        <v>0</v>
      </c>
      <c r="Y492" s="196"/>
      <c r="Z492" s="159">
        <f>+Elementos_[[#This Row],[Cantidad LANIA]]*Elementos_[[#This Row],[Valor de referencia]]</f>
        <v>0</v>
      </c>
      <c r="AA492" s="196"/>
      <c r="AB492" s="159">
        <f>+Elementos_[[#This Row],[Cantidad SPA]]*Elementos_[[#This Row],[Valor de referencia]]</f>
        <v>0</v>
      </c>
      <c r="AC492" s="166" t="s">
        <v>2041</v>
      </c>
    </row>
    <row r="493" spans="1:29" ht="60" x14ac:dyDescent="0.2">
      <c r="A493" s="294" t="str">
        <f>IF(B493=Elementos_[[#This Row],[Cantidad LANIP]],"LANIP",IF(B493=Elementos_[[#This Row],[Cantidad 
LDV]],"LDV",IF(B493=Elementos_[[#This Row],[Cantidad LNDV]],"LNDV",IF(B493=Elementos_[[#This Row],[GGCA]],"GGCA",IF(B493=Elementos_[[#This Row],[Cantidad LDF]],"LDF",IF(B493=Elementos_[[#This Row],[Cantidad LDF&amp;MR]],"LDF&amp;MR",IF(B493=Elementos_[[#This Row],[Cantidad RED LASE]],"LASE",IF(B493=Elementos_[[#This Row],[Cantidad LANIA]],"LANIA",IF(B493=Elementos_[[#This Row],[Cantidad SPA]],"SPA"," ")))))))))</f>
        <v>LANIA</v>
      </c>
      <c r="B49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15</v>
      </c>
      <c r="C493" s="298">
        <v>491</v>
      </c>
      <c r="D493" s="190">
        <v>769</v>
      </c>
      <c r="E493" s="235" t="s">
        <v>2920</v>
      </c>
      <c r="F493" s="201" t="s">
        <v>2921</v>
      </c>
      <c r="G493" s="192" t="s">
        <v>525</v>
      </c>
      <c r="H49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18</v>
      </c>
      <c r="I493" s="194">
        <v>65022</v>
      </c>
      <c r="J493" s="194">
        <f>+Elementos_[[#This Row],[Valor de referencia]]*Elementos_[[#This Row],[Cantidad]]</f>
        <v>1170396</v>
      </c>
      <c r="K493" s="166"/>
      <c r="L493" s="159">
        <f>+Elementos_[[#This Row],[Cantidad LANIP]]*Elementos_[[#This Row],[Valor de referencia]]</f>
        <v>0</v>
      </c>
      <c r="M493" s="270">
        <v>0</v>
      </c>
      <c r="N493" s="195">
        <f>+Elementos_[[#This Row],[Cantidad 
LDV]]*Elementos_[[#This Row],[Valor de referencia]]</f>
        <v>0</v>
      </c>
      <c r="O493" s="166"/>
      <c r="P493" s="159">
        <f>+Elementos_[[#This Row],[Cantidad LNDV]]*Elementos_[[#This Row],[Valor de referencia]]</f>
        <v>0</v>
      </c>
      <c r="Q493" s="196"/>
      <c r="R493" s="159">
        <f>+Elementos_[[#This Row],[GGCA]]*Elementos_[[#This Row],[Valor de referencia]]</f>
        <v>0</v>
      </c>
      <c r="S493" s="166">
        <v>3</v>
      </c>
      <c r="T493" s="159">
        <f>+Elementos_[[#This Row],[Cantidad LDF]]*Elementos_[[#This Row],[Valor de referencia]]</f>
        <v>195066</v>
      </c>
      <c r="U493" s="197"/>
      <c r="V493" s="159">
        <f>+Elementos_[[#This Row],[Cantidad LDF&amp;MR]]*Elementos_[[#This Row],[Valor de referencia]]</f>
        <v>0</v>
      </c>
      <c r="W493" s="166"/>
      <c r="X493" s="159">
        <f>+Elementos_[[#This Row],[Cantidad RED LASE]]*Elementos_[[#This Row],[Valor de referencia]]</f>
        <v>0</v>
      </c>
      <c r="Y493" s="196">
        <v>15</v>
      </c>
      <c r="Z493" s="159">
        <f>+Elementos_[[#This Row],[Cantidad LANIA]]*Elementos_[[#This Row],[Valor de referencia]]</f>
        <v>975330</v>
      </c>
      <c r="AA493" s="196"/>
      <c r="AB493" s="159">
        <f>+Elementos_[[#This Row],[Cantidad SPA]]*Elementos_[[#This Row],[Valor de referencia]]</f>
        <v>0</v>
      </c>
      <c r="AC493" s="166" t="s">
        <v>2041</v>
      </c>
    </row>
    <row r="494" spans="1:29" ht="48" x14ac:dyDescent="0.2">
      <c r="A494" s="294" t="str">
        <f>IF(B494=Elementos_[[#This Row],[Cantidad LANIP]],"LANIP",IF(B494=Elementos_[[#This Row],[Cantidad 
LDV]],"LDV",IF(B494=Elementos_[[#This Row],[Cantidad LNDV]],"LNDV",IF(B494=Elementos_[[#This Row],[GGCA]],"GGCA",IF(B494=Elementos_[[#This Row],[Cantidad LDF]],"LDF",IF(B494=Elementos_[[#This Row],[Cantidad LDF&amp;MR]],"LDF&amp;MR",IF(B494=Elementos_[[#This Row],[Cantidad RED LASE]],"LASE",IF(B494=Elementos_[[#This Row],[Cantidad LANIA]],"LANIA",IF(B494=Elementos_[[#This Row],[Cantidad SPA]],"SPA"," ")))))))))</f>
        <v>LANIA</v>
      </c>
      <c r="B49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494" s="298">
        <v>492</v>
      </c>
      <c r="D494" s="190">
        <v>770</v>
      </c>
      <c r="E494" s="235" t="s">
        <v>2922</v>
      </c>
      <c r="F494" s="201" t="s">
        <v>2921</v>
      </c>
      <c r="G494" s="192" t="s">
        <v>525</v>
      </c>
      <c r="H49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494" s="194">
        <v>193316</v>
      </c>
      <c r="J494" s="194">
        <f>+Elementos_[[#This Row],[Valor de referencia]]*Elementos_[[#This Row],[Cantidad]]</f>
        <v>966580</v>
      </c>
      <c r="K494" s="166"/>
      <c r="L494" s="159">
        <f>+Elementos_[[#This Row],[Cantidad LANIP]]*Elementos_[[#This Row],[Valor de referencia]]</f>
        <v>0</v>
      </c>
      <c r="M494" s="270">
        <v>0</v>
      </c>
      <c r="N494" s="195">
        <f>+Elementos_[[#This Row],[Cantidad 
LDV]]*Elementos_[[#This Row],[Valor de referencia]]</f>
        <v>0</v>
      </c>
      <c r="O494" s="166"/>
      <c r="P494" s="159">
        <f>+Elementos_[[#This Row],[Cantidad LNDV]]*Elementos_[[#This Row],[Valor de referencia]]</f>
        <v>0</v>
      </c>
      <c r="Q494" s="196"/>
      <c r="R494" s="159">
        <f>+Elementos_[[#This Row],[GGCA]]*Elementos_[[#This Row],[Valor de referencia]]</f>
        <v>0</v>
      </c>
      <c r="S494" s="166"/>
      <c r="T494" s="159">
        <f>+Elementos_[[#This Row],[Cantidad LDF]]*Elementos_[[#This Row],[Valor de referencia]]</f>
        <v>0</v>
      </c>
      <c r="U494" s="197"/>
      <c r="V494" s="159">
        <f>+Elementos_[[#This Row],[Cantidad LDF&amp;MR]]*Elementos_[[#This Row],[Valor de referencia]]</f>
        <v>0</v>
      </c>
      <c r="W494" s="166"/>
      <c r="X494" s="159">
        <f>+Elementos_[[#This Row],[Cantidad RED LASE]]*Elementos_[[#This Row],[Valor de referencia]]</f>
        <v>0</v>
      </c>
      <c r="Y494" s="196">
        <v>5</v>
      </c>
      <c r="Z494" s="159">
        <f>+Elementos_[[#This Row],[Cantidad LANIA]]*Elementos_[[#This Row],[Valor de referencia]]</f>
        <v>966580</v>
      </c>
      <c r="AA494" s="196"/>
      <c r="AB494" s="159">
        <f>+Elementos_[[#This Row],[Cantidad SPA]]*Elementos_[[#This Row],[Valor de referencia]]</f>
        <v>0</v>
      </c>
      <c r="AC494" s="166" t="s">
        <v>2041</v>
      </c>
    </row>
    <row r="495" spans="1:29" ht="48" x14ac:dyDescent="0.2">
      <c r="A495" s="294" t="str">
        <f>IF(B495=Elementos_[[#This Row],[Cantidad LANIP]],"LANIP",IF(B495=Elementos_[[#This Row],[Cantidad 
LDV]],"LDV",IF(B495=Elementos_[[#This Row],[Cantidad LNDV]],"LNDV",IF(B495=Elementos_[[#This Row],[GGCA]],"GGCA",IF(B495=Elementos_[[#This Row],[Cantidad LDF]],"LDF",IF(B495=Elementos_[[#This Row],[Cantidad LDF&amp;MR]],"LDF&amp;MR",IF(B495=Elementos_[[#This Row],[Cantidad RED LASE]],"LASE",IF(B495=Elementos_[[#This Row],[Cantidad LANIA]],"LANIA",IF(B495=Elementos_[[#This Row],[Cantidad SPA]],"SPA"," ")))))))))</f>
        <v>LANIA</v>
      </c>
      <c r="B49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495" s="298">
        <v>493</v>
      </c>
      <c r="D495" s="190">
        <v>771</v>
      </c>
      <c r="E495" s="303" t="s">
        <v>2923</v>
      </c>
      <c r="F495" s="201" t="s">
        <v>2921</v>
      </c>
      <c r="G495" s="192" t="s">
        <v>525</v>
      </c>
      <c r="H49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495" s="194">
        <v>900563</v>
      </c>
      <c r="J495" s="194">
        <f>+Elementos_[[#This Row],[Valor de referencia]]*Elementos_[[#This Row],[Cantidad]]</f>
        <v>1801126</v>
      </c>
      <c r="K495" s="166"/>
      <c r="L495" s="159">
        <f>+Elementos_[[#This Row],[Cantidad LANIP]]*Elementos_[[#This Row],[Valor de referencia]]</f>
        <v>0</v>
      </c>
      <c r="M495" s="270">
        <v>0</v>
      </c>
      <c r="N495" s="195">
        <f>+Elementos_[[#This Row],[Cantidad 
LDV]]*Elementos_[[#This Row],[Valor de referencia]]</f>
        <v>0</v>
      </c>
      <c r="O495" s="166"/>
      <c r="P495" s="159">
        <f>+Elementos_[[#This Row],[Cantidad LNDV]]*Elementos_[[#This Row],[Valor de referencia]]</f>
        <v>0</v>
      </c>
      <c r="Q495" s="196"/>
      <c r="R495" s="159">
        <f>+Elementos_[[#This Row],[GGCA]]*Elementos_[[#This Row],[Valor de referencia]]</f>
        <v>0</v>
      </c>
      <c r="S495" s="166"/>
      <c r="T495" s="159">
        <f>+Elementos_[[#This Row],[Cantidad LDF]]*Elementos_[[#This Row],[Valor de referencia]]</f>
        <v>0</v>
      </c>
      <c r="U495" s="197"/>
      <c r="V495" s="159">
        <f>+Elementos_[[#This Row],[Cantidad LDF&amp;MR]]*Elementos_[[#This Row],[Valor de referencia]]</f>
        <v>0</v>
      </c>
      <c r="W495" s="166"/>
      <c r="X495" s="159">
        <f>+Elementos_[[#This Row],[Cantidad RED LASE]]*Elementos_[[#This Row],[Valor de referencia]]</f>
        <v>0</v>
      </c>
      <c r="Y495" s="196">
        <v>2</v>
      </c>
      <c r="Z495" s="159">
        <f>+Elementos_[[#This Row],[Cantidad LANIA]]*Elementos_[[#This Row],[Valor de referencia]]</f>
        <v>1801126</v>
      </c>
      <c r="AA495" s="196"/>
      <c r="AB495" s="159">
        <f>+Elementos_[[#This Row],[Cantidad SPA]]*Elementos_[[#This Row],[Valor de referencia]]</f>
        <v>0</v>
      </c>
      <c r="AC495" s="166" t="s">
        <v>2041</v>
      </c>
    </row>
    <row r="496" spans="1:29" ht="48" x14ac:dyDescent="0.2">
      <c r="A496" s="294" t="str">
        <f>IF(B496=Elementos_[[#This Row],[Cantidad LANIP]],"LANIP",IF(B496=Elementos_[[#This Row],[Cantidad 
LDV]],"LDV",IF(B496=Elementos_[[#This Row],[Cantidad LNDV]],"LNDV",IF(B496=Elementos_[[#This Row],[GGCA]],"GGCA",IF(B496=Elementos_[[#This Row],[Cantidad LDF]],"LDF",IF(B496=Elementos_[[#This Row],[Cantidad LDF&amp;MR]],"LDF&amp;MR",IF(B496=Elementos_[[#This Row],[Cantidad RED LASE]],"LASE",IF(B496=Elementos_[[#This Row],[Cantidad LANIA]],"LANIA",IF(B496=Elementos_[[#This Row],[Cantidad SPA]],"SPA"," ")))))))))</f>
        <v>LANIA</v>
      </c>
      <c r="B49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496" s="298">
        <v>494</v>
      </c>
      <c r="D496" s="190">
        <v>772</v>
      </c>
      <c r="E496" s="235" t="s">
        <v>2924</v>
      </c>
      <c r="F496" s="201" t="s">
        <v>2921</v>
      </c>
      <c r="G496" s="192" t="s">
        <v>525</v>
      </c>
      <c r="H49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496" s="194">
        <v>53098</v>
      </c>
      <c r="J496" s="194">
        <f>+Elementos_[[#This Row],[Valor de referencia]]*Elementos_[[#This Row],[Cantidad]]</f>
        <v>530980</v>
      </c>
      <c r="K496" s="166"/>
      <c r="L496" s="159">
        <f>+Elementos_[[#This Row],[Cantidad LANIP]]*Elementos_[[#This Row],[Valor de referencia]]</f>
        <v>0</v>
      </c>
      <c r="M496" s="270">
        <v>0</v>
      </c>
      <c r="N496" s="195">
        <f>+Elementos_[[#This Row],[Cantidad 
LDV]]*Elementos_[[#This Row],[Valor de referencia]]</f>
        <v>0</v>
      </c>
      <c r="O496" s="166"/>
      <c r="P496" s="159">
        <f>+Elementos_[[#This Row],[Cantidad LNDV]]*Elementos_[[#This Row],[Valor de referencia]]</f>
        <v>0</v>
      </c>
      <c r="Q496" s="196"/>
      <c r="R496" s="159">
        <f>+Elementos_[[#This Row],[GGCA]]*Elementos_[[#This Row],[Valor de referencia]]</f>
        <v>0</v>
      </c>
      <c r="S496" s="166"/>
      <c r="T496" s="159">
        <f>+Elementos_[[#This Row],[Cantidad LDF]]*Elementos_[[#This Row],[Valor de referencia]]</f>
        <v>0</v>
      </c>
      <c r="U496" s="197"/>
      <c r="V496" s="159">
        <f>+Elementos_[[#This Row],[Cantidad LDF&amp;MR]]*Elementos_[[#This Row],[Valor de referencia]]</f>
        <v>0</v>
      </c>
      <c r="W496" s="166"/>
      <c r="X496" s="159">
        <f>+Elementos_[[#This Row],[Cantidad RED LASE]]*Elementos_[[#This Row],[Valor de referencia]]</f>
        <v>0</v>
      </c>
      <c r="Y496" s="196">
        <v>10</v>
      </c>
      <c r="Z496" s="159">
        <f>+Elementos_[[#This Row],[Cantidad LANIA]]*Elementos_[[#This Row],[Valor de referencia]]</f>
        <v>530980</v>
      </c>
      <c r="AA496" s="196"/>
      <c r="AB496" s="159">
        <f>+Elementos_[[#This Row],[Cantidad SPA]]*Elementos_[[#This Row],[Valor de referencia]]</f>
        <v>0</v>
      </c>
      <c r="AC496" s="166" t="s">
        <v>2041</v>
      </c>
    </row>
    <row r="497" spans="1:29" ht="48" x14ac:dyDescent="0.2">
      <c r="A497" s="294" t="str">
        <f>IF(B497=Elementos_[[#This Row],[Cantidad LANIP]],"LANIP",IF(B497=Elementos_[[#This Row],[Cantidad 
LDV]],"LDV",IF(B497=Elementos_[[#This Row],[Cantidad LNDV]],"LNDV",IF(B497=Elementos_[[#This Row],[GGCA]],"GGCA",IF(B497=Elementos_[[#This Row],[Cantidad LDF]],"LDF",IF(B497=Elementos_[[#This Row],[Cantidad LDF&amp;MR]],"LDF&amp;MR",IF(B497=Elementos_[[#This Row],[Cantidad RED LASE]],"LASE",IF(B497=Elementos_[[#This Row],[Cantidad LANIA]],"LANIA",IF(B497=Elementos_[[#This Row],[Cantidad SPA]],"SPA"," ")))))))))</f>
        <v>LDF</v>
      </c>
      <c r="B49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497" s="298">
        <v>495</v>
      </c>
      <c r="D497" s="190">
        <v>773</v>
      </c>
      <c r="E497" s="276" t="s">
        <v>2925</v>
      </c>
      <c r="F497" s="204" t="s">
        <v>2910</v>
      </c>
      <c r="G497" s="192" t="s">
        <v>525</v>
      </c>
      <c r="H49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497" s="194">
        <v>28523</v>
      </c>
      <c r="J497" s="194">
        <f>+Elementos_[[#This Row],[Valor de referencia]]*Elementos_[[#This Row],[Cantidad]]</f>
        <v>342276</v>
      </c>
      <c r="K497" s="166"/>
      <c r="L497" s="159">
        <f>+Elementos_[[#This Row],[Cantidad LANIP]]*Elementos_[[#This Row],[Valor de referencia]]</f>
        <v>0</v>
      </c>
      <c r="M497" s="270">
        <v>0</v>
      </c>
      <c r="N497" s="195">
        <f>+Elementos_[[#This Row],[Cantidad 
LDV]]*Elementos_[[#This Row],[Valor de referencia]]</f>
        <v>0</v>
      </c>
      <c r="O497" s="166"/>
      <c r="P497" s="159">
        <f>+Elementos_[[#This Row],[Cantidad LNDV]]*Elementos_[[#This Row],[Valor de referencia]]</f>
        <v>0</v>
      </c>
      <c r="Q497" s="196"/>
      <c r="R497" s="159">
        <f>+Elementos_[[#This Row],[GGCA]]*Elementos_[[#This Row],[Valor de referencia]]</f>
        <v>0</v>
      </c>
      <c r="S497" s="166">
        <v>12</v>
      </c>
      <c r="T497" s="159">
        <f>+Elementos_[[#This Row],[Cantidad LDF]]*Elementos_[[#This Row],[Valor de referencia]]</f>
        <v>342276</v>
      </c>
      <c r="U497" s="197"/>
      <c r="V497" s="159">
        <f>+Elementos_[[#This Row],[Cantidad LDF&amp;MR]]*Elementos_[[#This Row],[Valor de referencia]]</f>
        <v>0</v>
      </c>
      <c r="W497" s="166"/>
      <c r="X497" s="159">
        <f>+Elementos_[[#This Row],[Cantidad RED LASE]]*Elementos_[[#This Row],[Valor de referencia]]</f>
        <v>0</v>
      </c>
      <c r="Y497" s="196"/>
      <c r="Z497" s="159">
        <f>+Elementos_[[#This Row],[Cantidad LANIA]]*Elementos_[[#This Row],[Valor de referencia]]</f>
        <v>0</v>
      </c>
      <c r="AA497" s="196"/>
      <c r="AB497" s="159">
        <f>+Elementos_[[#This Row],[Cantidad SPA]]*Elementos_[[#This Row],[Valor de referencia]]</f>
        <v>0</v>
      </c>
      <c r="AC497" s="166" t="s">
        <v>2041</v>
      </c>
    </row>
    <row r="498" spans="1:29" ht="60" x14ac:dyDescent="0.2">
      <c r="A498" s="294" t="str">
        <f>IF(B498=Elementos_[[#This Row],[Cantidad LANIP]],"LANIP",IF(B498=Elementos_[[#This Row],[Cantidad 
LDV]],"LDV",IF(B498=Elementos_[[#This Row],[Cantidad LNDV]],"LNDV",IF(B498=Elementos_[[#This Row],[GGCA]],"GGCA",IF(B498=Elementos_[[#This Row],[Cantidad LDF]],"LDF",IF(B498=Elementos_[[#This Row],[Cantidad LDF&amp;MR]],"LDF&amp;MR",IF(B498=Elementos_[[#This Row],[Cantidad RED LASE]],"LASE",IF(B498=Elementos_[[#This Row],[Cantidad LANIA]],"LANIA",IF(B498=Elementos_[[#This Row],[Cantidad SPA]],"SPA"," ")))))))))</f>
        <v>LANIA</v>
      </c>
      <c r="B49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498" s="298">
        <v>496</v>
      </c>
      <c r="D498" s="190">
        <v>774</v>
      </c>
      <c r="E498" s="276" t="s">
        <v>2926</v>
      </c>
      <c r="F498" s="204" t="s">
        <v>2910</v>
      </c>
      <c r="G498" s="192" t="s">
        <v>525</v>
      </c>
      <c r="H49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I498" s="194">
        <v>32615</v>
      </c>
      <c r="J498" s="194">
        <f>+Elementos_[[#This Row],[Valor de referencia]]*Elementos_[[#This Row],[Cantidad]]</f>
        <v>391380</v>
      </c>
      <c r="K498" s="166"/>
      <c r="L498" s="159">
        <f>+Elementos_[[#This Row],[Cantidad LANIP]]*Elementos_[[#This Row],[Valor de referencia]]</f>
        <v>0</v>
      </c>
      <c r="M498" s="270">
        <v>0</v>
      </c>
      <c r="N498" s="195">
        <f>+Elementos_[[#This Row],[Cantidad 
LDV]]*Elementos_[[#This Row],[Valor de referencia]]</f>
        <v>0</v>
      </c>
      <c r="O498" s="166"/>
      <c r="P498" s="159">
        <f>+Elementos_[[#This Row],[Cantidad LNDV]]*Elementos_[[#This Row],[Valor de referencia]]</f>
        <v>0</v>
      </c>
      <c r="Q498" s="196"/>
      <c r="R498" s="159">
        <f>+Elementos_[[#This Row],[GGCA]]*Elementos_[[#This Row],[Valor de referencia]]</f>
        <v>0</v>
      </c>
      <c r="S498" s="166">
        <v>2</v>
      </c>
      <c r="T498" s="159">
        <f>+Elementos_[[#This Row],[Cantidad LDF]]*Elementos_[[#This Row],[Valor de referencia]]</f>
        <v>65230</v>
      </c>
      <c r="U498" s="197"/>
      <c r="V498" s="159">
        <f>+Elementos_[[#This Row],[Cantidad LDF&amp;MR]]*Elementos_[[#This Row],[Valor de referencia]]</f>
        <v>0</v>
      </c>
      <c r="W498" s="166"/>
      <c r="X498" s="159">
        <f>+Elementos_[[#This Row],[Cantidad RED LASE]]*Elementos_[[#This Row],[Valor de referencia]]</f>
        <v>0</v>
      </c>
      <c r="Y498" s="196">
        <v>10</v>
      </c>
      <c r="Z498" s="159">
        <f>+Elementos_[[#This Row],[Cantidad LANIA]]*Elementos_[[#This Row],[Valor de referencia]]</f>
        <v>326150</v>
      </c>
      <c r="AA498" s="196"/>
      <c r="AB498" s="159">
        <f>+Elementos_[[#This Row],[Cantidad SPA]]*Elementos_[[#This Row],[Valor de referencia]]</f>
        <v>0</v>
      </c>
      <c r="AC498" s="166" t="s">
        <v>2041</v>
      </c>
    </row>
    <row r="499" spans="1:29" ht="48" x14ac:dyDescent="0.2">
      <c r="A499" s="294" t="str">
        <f>IF(B499=Elementos_[[#This Row],[Cantidad LANIP]],"LANIP",IF(B499=Elementos_[[#This Row],[Cantidad 
LDV]],"LDV",IF(B499=Elementos_[[#This Row],[Cantidad LNDV]],"LNDV",IF(B499=Elementos_[[#This Row],[GGCA]],"GGCA",IF(B499=Elementos_[[#This Row],[Cantidad LDF]],"LDF",IF(B499=Elementos_[[#This Row],[Cantidad LDF&amp;MR]],"LDF&amp;MR",IF(B499=Elementos_[[#This Row],[Cantidad RED LASE]],"LASE",IF(B499=Elementos_[[#This Row],[Cantidad LANIA]],"LANIA",IF(B499=Elementos_[[#This Row],[Cantidad SPA]],"SPA"," ")))))))))</f>
        <v>LDF</v>
      </c>
      <c r="B49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12</v>
      </c>
      <c r="C499" s="298">
        <v>497</v>
      </c>
      <c r="D499" s="190">
        <v>776</v>
      </c>
      <c r="E499" s="276" t="s">
        <v>2927</v>
      </c>
      <c r="F499" s="204" t="s">
        <v>2910</v>
      </c>
      <c r="G499" s="192" t="s">
        <v>525</v>
      </c>
      <c r="H49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22</v>
      </c>
      <c r="I499" s="194">
        <v>67371</v>
      </c>
      <c r="J499" s="194">
        <f>+Elementos_[[#This Row],[Valor de referencia]]*Elementos_[[#This Row],[Cantidad]]</f>
        <v>1482162</v>
      </c>
      <c r="K499" s="166"/>
      <c r="L499" s="159">
        <f>+Elementos_[[#This Row],[Cantidad LANIP]]*Elementos_[[#This Row],[Valor de referencia]]</f>
        <v>0</v>
      </c>
      <c r="M499" s="270">
        <v>0</v>
      </c>
      <c r="N499" s="195">
        <f>+Elementos_[[#This Row],[Cantidad 
LDV]]*Elementos_[[#This Row],[Valor de referencia]]</f>
        <v>0</v>
      </c>
      <c r="O499" s="166"/>
      <c r="P499" s="159">
        <f>+Elementos_[[#This Row],[Cantidad LNDV]]*Elementos_[[#This Row],[Valor de referencia]]</f>
        <v>0</v>
      </c>
      <c r="Q499" s="196"/>
      <c r="R499" s="159">
        <f>+Elementos_[[#This Row],[GGCA]]*Elementos_[[#This Row],[Valor de referencia]]</f>
        <v>0</v>
      </c>
      <c r="S499" s="166">
        <v>12</v>
      </c>
      <c r="T499" s="159">
        <f>+Elementos_[[#This Row],[Cantidad LDF]]*Elementos_[[#This Row],[Valor de referencia]]</f>
        <v>808452</v>
      </c>
      <c r="U499" s="197"/>
      <c r="V499" s="159">
        <f>+Elementos_[[#This Row],[Cantidad LDF&amp;MR]]*Elementos_[[#This Row],[Valor de referencia]]</f>
        <v>0</v>
      </c>
      <c r="W499" s="166"/>
      <c r="X499" s="159">
        <f>+Elementos_[[#This Row],[Cantidad RED LASE]]*Elementos_[[#This Row],[Valor de referencia]]</f>
        <v>0</v>
      </c>
      <c r="Y499" s="196">
        <v>10</v>
      </c>
      <c r="Z499" s="159">
        <f>+Elementos_[[#This Row],[Cantidad LANIA]]*Elementos_[[#This Row],[Valor de referencia]]</f>
        <v>673710</v>
      </c>
      <c r="AA499" s="196"/>
      <c r="AB499" s="159">
        <f>+Elementos_[[#This Row],[Cantidad SPA]]*Elementos_[[#This Row],[Valor de referencia]]</f>
        <v>0</v>
      </c>
      <c r="AC499" s="166" t="s">
        <v>2041</v>
      </c>
    </row>
    <row r="500" spans="1:29" ht="24" x14ac:dyDescent="0.2">
      <c r="A500" s="294" t="str">
        <f>IF(B500=Elementos_[[#This Row],[Cantidad LANIP]],"LANIP",IF(B500=Elementos_[[#This Row],[Cantidad 
LDV]],"LDV",IF(B500=Elementos_[[#This Row],[Cantidad LNDV]],"LNDV",IF(B500=Elementos_[[#This Row],[GGCA]],"GGCA",IF(B500=Elementos_[[#This Row],[Cantidad LDF]],"LDF",IF(B500=Elementos_[[#This Row],[Cantidad LDF&amp;MR]],"LDF&amp;MR",IF(B500=Elementos_[[#This Row],[Cantidad RED LASE]],"LASE",IF(B500=Elementos_[[#This Row],[Cantidad LANIA]],"LANIA",IF(B500=Elementos_[[#This Row],[Cantidad SPA]],"SPA"," ")))))))))</f>
        <v>LANIP</v>
      </c>
      <c r="B50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v>
      </c>
      <c r="C500" s="298">
        <v>498</v>
      </c>
      <c r="D500" s="190">
        <v>778</v>
      </c>
      <c r="E500" s="235" t="s">
        <v>2928</v>
      </c>
      <c r="F500" s="201" t="s">
        <v>624</v>
      </c>
      <c r="G500" s="192" t="s">
        <v>1391</v>
      </c>
      <c r="H50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11</v>
      </c>
      <c r="I500" s="194">
        <v>440083</v>
      </c>
      <c r="J500" s="194">
        <f>+Elementos_[[#This Row],[Valor de referencia]]*Elementos_[[#This Row],[Cantidad]]</f>
        <v>4840913</v>
      </c>
      <c r="K500" s="196">
        <v>11</v>
      </c>
      <c r="L500" s="159">
        <f>+Elementos_[[#This Row],[Cantidad LANIP]]*Elementos_[[#This Row],[Valor de referencia]]</f>
        <v>4840913</v>
      </c>
      <c r="M500" s="270">
        <v>0</v>
      </c>
      <c r="N500" s="195">
        <f>+Elementos_[[#This Row],[Cantidad 
LDV]]*Elementos_[[#This Row],[Valor de referencia]]</f>
        <v>0</v>
      </c>
      <c r="O500" s="166"/>
      <c r="P500" s="159">
        <f>+Elementos_[[#This Row],[Cantidad LNDV]]*Elementos_[[#This Row],[Valor de referencia]]</f>
        <v>0</v>
      </c>
      <c r="Q500" s="196"/>
      <c r="R500" s="159">
        <f>+Elementos_[[#This Row],[GGCA]]*Elementos_[[#This Row],[Valor de referencia]]</f>
        <v>0</v>
      </c>
      <c r="S500" s="166"/>
      <c r="T500" s="159">
        <f>+Elementos_[[#This Row],[Cantidad LDF]]*Elementos_[[#This Row],[Valor de referencia]]</f>
        <v>0</v>
      </c>
      <c r="U500" s="197"/>
      <c r="V500" s="159">
        <f>+Elementos_[[#This Row],[Cantidad LDF&amp;MR]]*Elementos_[[#This Row],[Valor de referencia]]</f>
        <v>0</v>
      </c>
      <c r="W500" s="166"/>
      <c r="X500" s="159">
        <f>+Elementos_[[#This Row],[Cantidad RED LASE]]*Elementos_[[#This Row],[Valor de referencia]]</f>
        <v>0</v>
      </c>
      <c r="Y500" s="196"/>
      <c r="Z500" s="159">
        <f>+Elementos_[[#This Row],[Cantidad LANIA]]*Elementos_[[#This Row],[Valor de referencia]]</f>
        <v>0</v>
      </c>
      <c r="AA500" s="196"/>
      <c r="AB500" s="159">
        <f>+Elementos_[[#This Row],[Cantidad SPA]]*Elementos_[[#This Row],[Valor de referencia]]</f>
        <v>0</v>
      </c>
      <c r="AC500" s="166" t="s">
        <v>2049</v>
      </c>
    </row>
    <row r="501" spans="1:29" ht="36" x14ac:dyDescent="0.2">
      <c r="A501" s="294" t="str">
        <f>IF(B501=Elementos_[[#This Row],[Cantidad LANIP]],"LANIP",IF(B501=Elementos_[[#This Row],[Cantidad 
LDV]],"LDV",IF(B501=Elementos_[[#This Row],[Cantidad LNDV]],"LNDV",IF(B501=Elementos_[[#This Row],[GGCA]],"GGCA",IF(B501=Elementos_[[#This Row],[Cantidad LDF]],"LDF",IF(B501=Elementos_[[#This Row],[Cantidad LDF&amp;MR]],"LDF&amp;MR",IF(B501=Elementos_[[#This Row],[Cantidad RED LASE]],"LASE",IF(B501=Elementos_[[#This Row],[Cantidad LANIA]],"LANIA",IF(B501=Elementos_[[#This Row],[Cantidad SPA]],"SPA"," ")))))))))</f>
        <v>LANIA</v>
      </c>
      <c r="B50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501" s="298">
        <v>499</v>
      </c>
      <c r="D501" s="190">
        <v>779</v>
      </c>
      <c r="E501" s="415" t="s">
        <v>2929</v>
      </c>
      <c r="F501" s="204" t="s">
        <v>2930</v>
      </c>
      <c r="G501" s="413" t="s">
        <v>2931</v>
      </c>
      <c r="H50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501" s="194">
        <v>896700</v>
      </c>
      <c r="J501" s="194">
        <f>+Elementos_[[#This Row],[Valor de referencia]]*Elementos_[[#This Row],[Cantidad]]</f>
        <v>896700</v>
      </c>
      <c r="K501" s="196"/>
      <c r="L501" s="159">
        <f>+Elementos_[[#This Row],[Cantidad LANIP]]*Elementos_[[#This Row],[Valor de referencia]]</f>
        <v>0</v>
      </c>
      <c r="M501" s="270">
        <v>0</v>
      </c>
      <c r="N501" s="195">
        <f>+Elementos_[[#This Row],[Cantidad 
LDV]]*Elementos_[[#This Row],[Valor de referencia]]</f>
        <v>0</v>
      </c>
      <c r="O501" s="166"/>
      <c r="P501" s="159">
        <f>+Elementos_[[#This Row],[Cantidad LNDV]]*Elementos_[[#This Row],[Valor de referencia]]</f>
        <v>0</v>
      </c>
      <c r="Q501" s="196"/>
      <c r="R501" s="159">
        <f>+Elementos_[[#This Row],[GGCA]]*Elementos_[[#This Row],[Valor de referencia]]</f>
        <v>0</v>
      </c>
      <c r="S501" s="166"/>
      <c r="T501" s="159">
        <f>+Elementos_[[#This Row],[Cantidad LDF]]*Elementos_[[#This Row],[Valor de referencia]]</f>
        <v>0</v>
      </c>
      <c r="U501" s="197"/>
      <c r="V501" s="159">
        <f>+Elementos_[[#This Row],[Cantidad LDF&amp;MR]]*Elementos_[[#This Row],[Valor de referencia]]</f>
        <v>0</v>
      </c>
      <c r="W501" s="166"/>
      <c r="X501" s="159">
        <f>+Elementos_[[#This Row],[Cantidad RED LASE]]*Elementos_[[#This Row],[Valor de referencia]]</f>
        <v>0</v>
      </c>
      <c r="Y501" s="196">
        <v>1</v>
      </c>
      <c r="Z501" s="159">
        <f>+Elementos_[[#This Row],[Cantidad LANIA]]*Elementos_[[#This Row],[Valor de referencia]]</f>
        <v>896700</v>
      </c>
      <c r="AA501" s="196"/>
      <c r="AB501" s="159">
        <f>+Elementos_[[#This Row],[Cantidad SPA]]*Elementos_[[#This Row],[Valor de referencia]]</f>
        <v>0</v>
      </c>
      <c r="AC501" s="166" t="s">
        <v>2041</v>
      </c>
    </row>
    <row r="502" spans="1:29" ht="12.75" x14ac:dyDescent="0.2">
      <c r="A502" s="294" t="str">
        <f>IF(B502=Elementos_[[#This Row],[Cantidad LANIP]],"LANIP",IF(B502=Elementos_[[#This Row],[Cantidad 
LDV]],"LDV",IF(B502=Elementos_[[#This Row],[Cantidad LNDV]],"LNDV",IF(B502=Elementos_[[#This Row],[GGCA]],"GGCA",IF(B502=Elementos_[[#This Row],[Cantidad LDF]],"LDF",IF(B502=Elementos_[[#This Row],[Cantidad LDF&amp;MR]],"LDF&amp;MR",IF(B502=Elementos_[[#This Row],[Cantidad RED LASE]],"LASE",IF(B502=Elementos_[[#This Row],[Cantidad LANIA]],"LANIA",IF(B502=Elementos_[[#This Row],[Cantidad SPA]],"SPA"," ")))))))))</f>
        <v>LANIA</v>
      </c>
      <c r="B50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C502" s="298">
        <v>500</v>
      </c>
      <c r="D502" s="190">
        <v>780</v>
      </c>
      <c r="E502" s="235" t="s">
        <v>2932</v>
      </c>
      <c r="F502" s="201" t="s">
        <v>183</v>
      </c>
      <c r="G502" s="192" t="s">
        <v>2933</v>
      </c>
      <c r="H50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v>
      </c>
      <c r="I502" s="194">
        <v>631446</v>
      </c>
      <c r="J502" s="194">
        <f>+Elementos_[[#This Row],[Valor de referencia]]*Elementos_[[#This Row],[Cantidad]]</f>
        <v>631446</v>
      </c>
      <c r="K502" s="196"/>
      <c r="L502" s="159">
        <f>+Elementos_[[#This Row],[Cantidad LANIP]]*Elementos_[[#This Row],[Valor de referencia]]</f>
        <v>0</v>
      </c>
      <c r="M502" s="270">
        <v>0</v>
      </c>
      <c r="N502" s="195">
        <f>+Elementos_[[#This Row],[Cantidad 
LDV]]*Elementos_[[#This Row],[Valor de referencia]]</f>
        <v>0</v>
      </c>
      <c r="O502" s="166"/>
      <c r="P502" s="159">
        <f>+Elementos_[[#This Row],[Cantidad LNDV]]*Elementos_[[#This Row],[Valor de referencia]]</f>
        <v>0</v>
      </c>
      <c r="Q502" s="196"/>
      <c r="R502" s="159">
        <f>+Elementos_[[#This Row],[GGCA]]*Elementos_[[#This Row],[Valor de referencia]]</f>
        <v>0</v>
      </c>
      <c r="S502" s="166"/>
      <c r="T502" s="159">
        <f>+Elementos_[[#This Row],[Cantidad LDF]]*Elementos_[[#This Row],[Valor de referencia]]</f>
        <v>0</v>
      </c>
      <c r="U502" s="197"/>
      <c r="V502" s="159">
        <f>+Elementos_[[#This Row],[Cantidad LDF&amp;MR]]*Elementos_[[#This Row],[Valor de referencia]]</f>
        <v>0</v>
      </c>
      <c r="W502" s="166"/>
      <c r="X502" s="159">
        <f>+Elementos_[[#This Row],[Cantidad RED LASE]]*Elementos_[[#This Row],[Valor de referencia]]</f>
        <v>0</v>
      </c>
      <c r="Y502" s="196">
        <v>1</v>
      </c>
      <c r="Z502" s="159">
        <f>+Elementos_[[#This Row],[Cantidad LANIA]]*Elementos_[[#This Row],[Valor de referencia]]</f>
        <v>631446</v>
      </c>
      <c r="AA502" s="196"/>
      <c r="AB502" s="159">
        <f>+Elementos_[[#This Row],[Cantidad SPA]]*Elementos_[[#This Row],[Valor de referencia]]</f>
        <v>0</v>
      </c>
      <c r="AC502" s="166" t="s">
        <v>2049</v>
      </c>
    </row>
    <row r="503" spans="1:29" ht="24" x14ac:dyDescent="0.2">
      <c r="A503" s="294" t="str">
        <f>IF(B503=Elementos_[[#This Row],[Cantidad LANIP]],"LANIP",IF(B503=Elementos_[[#This Row],[Cantidad 
LDV]],"LDV",IF(B503=Elementos_[[#This Row],[Cantidad LNDV]],"LNDV",IF(B503=Elementos_[[#This Row],[GGCA]],"GGCA",IF(B503=Elementos_[[#This Row],[Cantidad LDF]],"LDF",IF(B503=Elementos_[[#This Row],[Cantidad LDF&amp;MR]],"LDF&amp;MR",IF(B503=Elementos_[[#This Row],[Cantidad RED LASE]],"LASE",IF(B503=Elementos_[[#This Row],[Cantidad LANIA]],"LANIA",IF(B503=Elementos_[[#This Row],[Cantidad SPA]],"SPA"," ")))))))))</f>
        <v>LANIA</v>
      </c>
      <c r="B50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C503" s="298">
        <v>501</v>
      </c>
      <c r="D503" s="190">
        <v>781</v>
      </c>
      <c r="E503" s="303" t="s">
        <v>2934</v>
      </c>
      <c r="F503" s="204" t="s">
        <v>183</v>
      </c>
      <c r="G503" s="192" t="s">
        <v>2935</v>
      </c>
      <c r="H50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v>
      </c>
      <c r="I503" s="194">
        <v>3813491</v>
      </c>
      <c r="J503" s="194">
        <f>+Elementos_[[#This Row],[Valor de referencia]]*Elementos_[[#This Row],[Cantidad]]</f>
        <v>7626982</v>
      </c>
      <c r="K503" s="196"/>
      <c r="L503" s="159">
        <f>+Elementos_[[#This Row],[Cantidad LANIP]]*Elementos_[[#This Row],[Valor de referencia]]</f>
        <v>0</v>
      </c>
      <c r="M503" s="270">
        <v>0</v>
      </c>
      <c r="N503" s="195">
        <f>+Elementos_[[#This Row],[Cantidad 
LDV]]*Elementos_[[#This Row],[Valor de referencia]]</f>
        <v>0</v>
      </c>
      <c r="O503" s="166"/>
      <c r="P503" s="159">
        <f>+Elementos_[[#This Row],[Cantidad LNDV]]*Elementos_[[#This Row],[Valor de referencia]]</f>
        <v>0</v>
      </c>
      <c r="Q503" s="196"/>
      <c r="R503" s="159">
        <f>+Elementos_[[#This Row],[GGCA]]*Elementos_[[#This Row],[Valor de referencia]]</f>
        <v>0</v>
      </c>
      <c r="S503" s="166"/>
      <c r="T503" s="159">
        <f>+Elementos_[[#This Row],[Cantidad LDF]]*Elementos_[[#This Row],[Valor de referencia]]</f>
        <v>0</v>
      </c>
      <c r="U503" s="197"/>
      <c r="V503" s="159">
        <f>+Elementos_[[#This Row],[Cantidad LDF&amp;MR]]*Elementos_[[#This Row],[Valor de referencia]]</f>
        <v>0</v>
      </c>
      <c r="W503" s="166"/>
      <c r="X503" s="159">
        <f>+Elementos_[[#This Row],[Cantidad RED LASE]]*Elementos_[[#This Row],[Valor de referencia]]</f>
        <v>0</v>
      </c>
      <c r="Y503" s="196">
        <v>2</v>
      </c>
      <c r="Z503" s="159">
        <f>+Elementos_[[#This Row],[Cantidad LANIA]]*Elementos_[[#This Row],[Valor de referencia]]</f>
        <v>7626982</v>
      </c>
      <c r="AA503" s="196"/>
      <c r="AB503" s="159">
        <f>+Elementos_[[#This Row],[Cantidad SPA]]*Elementos_[[#This Row],[Valor de referencia]]</f>
        <v>0</v>
      </c>
      <c r="AC503" s="166" t="s">
        <v>2049</v>
      </c>
    </row>
    <row r="504" spans="1:29" ht="24" x14ac:dyDescent="0.2">
      <c r="A504" s="294" t="str">
        <f>IF(B504=Elementos_[[#This Row],[Cantidad LANIP]],"LANIP",IF(B504=Elementos_[[#This Row],[Cantidad 
LDV]],"LDV",IF(B504=Elementos_[[#This Row],[Cantidad LNDV]],"LNDV",IF(B504=Elementos_[[#This Row],[GGCA]],"GGCA",IF(B504=Elementos_[[#This Row],[Cantidad LDF]],"LDF",IF(B504=Elementos_[[#This Row],[Cantidad LDF&amp;MR]],"LDF&amp;MR",IF(B504=Elementos_[[#This Row],[Cantidad RED LASE]],"LASE",IF(B504=Elementos_[[#This Row],[Cantidad LANIA]],"LANIA",IF(B504=Elementos_[[#This Row],[Cantidad SPA]],"SPA"," ")))))))))</f>
        <v>LANIA</v>
      </c>
      <c r="B50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70</v>
      </c>
      <c r="C504" s="298">
        <v>502</v>
      </c>
      <c r="D504" s="190">
        <v>783</v>
      </c>
      <c r="E504" s="235" t="s">
        <v>2936</v>
      </c>
      <c r="F504" s="201" t="s">
        <v>183</v>
      </c>
      <c r="G504" s="306" t="s">
        <v>2937</v>
      </c>
      <c r="H50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77</v>
      </c>
      <c r="I504" s="194">
        <v>454875</v>
      </c>
      <c r="J504" s="194">
        <f>+Elementos_[[#This Row],[Valor de referencia]]*Elementos_[[#This Row],[Cantidad]]</f>
        <v>35025375</v>
      </c>
      <c r="K504" s="196">
        <v>7</v>
      </c>
      <c r="L504" s="159">
        <f>+Elementos_[[#This Row],[Cantidad LANIP]]*Elementos_[[#This Row],[Valor de referencia]]</f>
        <v>3184125</v>
      </c>
      <c r="M504" s="270">
        <v>0</v>
      </c>
      <c r="N504" s="195">
        <f>+Elementos_[[#This Row],[Cantidad 
LDV]]*Elementos_[[#This Row],[Valor de referencia]]</f>
        <v>0</v>
      </c>
      <c r="O504" s="166"/>
      <c r="P504" s="159">
        <f>+Elementos_[[#This Row],[Cantidad LNDV]]*Elementos_[[#This Row],[Valor de referencia]]</f>
        <v>0</v>
      </c>
      <c r="Q504" s="196"/>
      <c r="R504" s="159">
        <f>+Elementos_[[#This Row],[GGCA]]*Elementos_[[#This Row],[Valor de referencia]]</f>
        <v>0</v>
      </c>
      <c r="S504" s="166"/>
      <c r="T504" s="159">
        <f>+Elementos_[[#This Row],[Cantidad LDF]]*Elementos_[[#This Row],[Valor de referencia]]</f>
        <v>0</v>
      </c>
      <c r="U504" s="197"/>
      <c r="V504" s="159">
        <f>+Elementos_[[#This Row],[Cantidad LDF&amp;MR]]*Elementos_[[#This Row],[Valor de referencia]]</f>
        <v>0</v>
      </c>
      <c r="W504" s="166"/>
      <c r="X504" s="159">
        <f>+Elementos_[[#This Row],[Cantidad RED LASE]]*Elementos_[[#This Row],[Valor de referencia]]</f>
        <v>0</v>
      </c>
      <c r="Y504" s="196">
        <v>70</v>
      </c>
      <c r="Z504" s="159">
        <f>+Elementos_[[#This Row],[Cantidad LANIA]]*Elementos_[[#This Row],[Valor de referencia]]</f>
        <v>31841250</v>
      </c>
      <c r="AA504" s="196"/>
      <c r="AB504" s="159">
        <f>+Elementos_[[#This Row],[Cantidad SPA]]*Elementos_[[#This Row],[Valor de referencia]]</f>
        <v>0</v>
      </c>
      <c r="AC504" s="166" t="s">
        <v>2049</v>
      </c>
    </row>
    <row r="505" spans="1:29" ht="24" x14ac:dyDescent="0.2">
      <c r="A505" s="294" t="str">
        <f>IF(B505=Elementos_[[#This Row],[Cantidad LANIP]],"LANIP",IF(B505=Elementos_[[#This Row],[Cantidad 
LDV]],"LDV",IF(B505=Elementos_[[#This Row],[Cantidad LNDV]],"LNDV",IF(B505=Elementos_[[#This Row],[GGCA]],"GGCA",IF(B505=Elementos_[[#This Row],[Cantidad LDF]],"LDF",IF(B505=Elementos_[[#This Row],[Cantidad LDF&amp;MR]],"LDF&amp;MR",IF(B505=Elementos_[[#This Row],[Cantidad RED LASE]],"LASE",IF(B505=Elementos_[[#This Row],[Cantidad LANIA]],"LANIA",IF(B505=Elementos_[[#This Row],[Cantidad SPA]],"SPA"," ")))))))))</f>
        <v>LANIP</v>
      </c>
      <c r="B505"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C505" s="298">
        <v>503</v>
      </c>
      <c r="D505" s="190">
        <v>784</v>
      </c>
      <c r="E505" s="276" t="s">
        <v>2938</v>
      </c>
      <c r="F505" s="204" t="s">
        <v>624</v>
      </c>
      <c r="G505" s="192" t="s">
        <v>2939</v>
      </c>
      <c r="H505"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5</v>
      </c>
      <c r="I505" s="194">
        <v>325287</v>
      </c>
      <c r="J505" s="194">
        <f>+Elementos_[[#This Row],[Valor de referencia]]*Elementos_[[#This Row],[Cantidad]]</f>
        <v>1626435</v>
      </c>
      <c r="K505" s="196">
        <v>5</v>
      </c>
      <c r="L505" s="159">
        <f>+Elementos_[[#This Row],[Cantidad LANIP]]*Elementos_[[#This Row],[Valor de referencia]]</f>
        <v>1626435</v>
      </c>
      <c r="M505" s="270">
        <v>0</v>
      </c>
      <c r="N505" s="195">
        <f>+Elementos_[[#This Row],[Cantidad 
LDV]]*Elementos_[[#This Row],[Valor de referencia]]</f>
        <v>0</v>
      </c>
      <c r="O505" s="166"/>
      <c r="P505" s="159">
        <f>+Elementos_[[#This Row],[Cantidad LNDV]]*Elementos_[[#This Row],[Valor de referencia]]</f>
        <v>0</v>
      </c>
      <c r="Q505" s="196"/>
      <c r="R505" s="159">
        <f>+Elementos_[[#This Row],[GGCA]]*Elementos_[[#This Row],[Valor de referencia]]</f>
        <v>0</v>
      </c>
      <c r="S505" s="166"/>
      <c r="T505" s="159">
        <f>+Elementos_[[#This Row],[Cantidad LDF]]*Elementos_[[#This Row],[Valor de referencia]]</f>
        <v>0</v>
      </c>
      <c r="U505" s="197"/>
      <c r="V505" s="159">
        <f>+Elementos_[[#This Row],[Cantidad LDF&amp;MR]]*Elementos_[[#This Row],[Valor de referencia]]</f>
        <v>0</v>
      </c>
      <c r="W505" s="166"/>
      <c r="X505" s="159">
        <f>+Elementos_[[#This Row],[Cantidad RED LASE]]*Elementos_[[#This Row],[Valor de referencia]]</f>
        <v>0</v>
      </c>
      <c r="Y505" s="196"/>
      <c r="Z505" s="159">
        <f>+Elementos_[[#This Row],[Cantidad LANIA]]*Elementos_[[#This Row],[Valor de referencia]]</f>
        <v>0</v>
      </c>
      <c r="AA505" s="196"/>
      <c r="AB505" s="159">
        <f>+Elementos_[[#This Row],[Cantidad SPA]]*Elementos_[[#This Row],[Valor de referencia]]</f>
        <v>0</v>
      </c>
      <c r="AC505" s="166" t="s">
        <v>2049</v>
      </c>
    </row>
    <row r="506" spans="1:29" ht="36" x14ac:dyDescent="0.2">
      <c r="A506" s="294" t="str">
        <f>IF(B506=Elementos_[[#This Row],[Cantidad LANIP]],"LANIP",IF(B506=Elementos_[[#This Row],[Cantidad 
LDV]],"LDV",IF(B506=Elementos_[[#This Row],[Cantidad LNDV]],"LNDV",IF(B506=Elementos_[[#This Row],[GGCA]],"GGCA",IF(B506=Elementos_[[#This Row],[Cantidad LDF]],"LDF",IF(B506=Elementos_[[#This Row],[Cantidad LDF&amp;MR]],"LDF&amp;MR",IF(B506=Elementos_[[#This Row],[Cantidad RED LASE]],"LASE",IF(B506=Elementos_[[#This Row],[Cantidad LANIA]],"LANIA",IF(B506=Elementos_[[#This Row],[Cantidad SPA]],"SPA"," ")))))))))</f>
        <v>LANIP</v>
      </c>
      <c r="B506"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506" s="298">
        <v>504</v>
      </c>
      <c r="D506" s="190">
        <v>785</v>
      </c>
      <c r="E506" s="235" t="s">
        <v>2940</v>
      </c>
      <c r="F506" s="201" t="s">
        <v>2941</v>
      </c>
      <c r="G506" s="192" t="s">
        <v>2942</v>
      </c>
      <c r="H506"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506" s="194">
        <v>489566</v>
      </c>
      <c r="J506" s="194">
        <f>+Elementos_[[#This Row],[Valor de referencia]]*Elementos_[[#This Row],[Cantidad]]</f>
        <v>3916528</v>
      </c>
      <c r="K506" s="196">
        <v>8</v>
      </c>
      <c r="L506" s="159">
        <f>+Elementos_[[#This Row],[Cantidad LANIP]]*Elementos_[[#This Row],[Valor de referencia]]</f>
        <v>3916528</v>
      </c>
      <c r="M506" s="270">
        <v>0</v>
      </c>
      <c r="N506" s="195">
        <f>+Elementos_[[#This Row],[Cantidad 
LDV]]*Elementos_[[#This Row],[Valor de referencia]]</f>
        <v>0</v>
      </c>
      <c r="O506" s="166"/>
      <c r="P506" s="159">
        <f>+Elementos_[[#This Row],[Cantidad LNDV]]*Elementos_[[#This Row],[Valor de referencia]]</f>
        <v>0</v>
      </c>
      <c r="Q506" s="196"/>
      <c r="R506" s="159">
        <f>+Elementos_[[#This Row],[GGCA]]*Elementos_[[#This Row],[Valor de referencia]]</f>
        <v>0</v>
      </c>
      <c r="S506" s="166"/>
      <c r="T506" s="159">
        <f>+Elementos_[[#This Row],[Cantidad LDF]]*Elementos_[[#This Row],[Valor de referencia]]</f>
        <v>0</v>
      </c>
      <c r="U506" s="197"/>
      <c r="V506" s="159">
        <f>+Elementos_[[#This Row],[Cantidad LDF&amp;MR]]*Elementos_[[#This Row],[Valor de referencia]]</f>
        <v>0</v>
      </c>
      <c r="W506" s="166"/>
      <c r="X506" s="159">
        <f>+Elementos_[[#This Row],[Cantidad RED LASE]]*Elementos_[[#This Row],[Valor de referencia]]</f>
        <v>0</v>
      </c>
      <c r="Y506" s="196"/>
      <c r="Z506" s="159">
        <f>+Elementos_[[#This Row],[Cantidad LANIA]]*Elementos_[[#This Row],[Valor de referencia]]</f>
        <v>0</v>
      </c>
      <c r="AA506" s="196"/>
      <c r="AB506" s="159">
        <f>+Elementos_[[#This Row],[Cantidad SPA]]*Elementos_[[#This Row],[Valor de referencia]]</f>
        <v>0</v>
      </c>
      <c r="AC506" s="166" t="s">
        <v>2041</v>
      </c>
    </row>
    <row r="507" spans="1:29" ht="48" x14ac:dyDescent="0.2">
      <c r="A507" s="294" t="str">
        <f>IF(B507=Elementos_[[#This Row],[Cantidad LANIP]],"LANIP",IF(B507=Elementos_[[#This Row],[Cantidad 
LDV]],"LDV",IF(B507=Elementos_[[#This Row],[Cantidad LNDV]],"LNDV",IF(B507=Elementos_[[#This Row],[GGCA]],"GGCA",IF(B507=Elementos_[[#This Row],[Cantidad LDF]],"LDF",IF(B507=Elementos_[[#This Row],[Cantidad LDF&amp;MR]],"LDF&amp;MR",IF(B507=Elementos_[[#This Row],[Cantidad RED LASE]],"LASE",IF(B507=Elementos_[[#This Row],[Cantidad LANIA]],"LANIA",IF(B507=Elementos_[[#This Row],[Cantidad SPA]],"SPA"," ")))))))))</f>
        <v>LANIP</v>
      </c>
      <c r="B507"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C507" s="298">
        <v>505</v>
      </c>
      <c r="D507" s="190">
        <v>786</v>
      </c>
      <c r="E507" s="235" t="s">
        <v>2943</v>
      </c>
      <c r="F507" s="201" t="s">
        <v>2944</v>
      </c>
      <c r="G507" s="192" t="s">
        <v>2942</v>
      </c>
      <c r="H507"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8</v>
      </c>
      <c r="I507" s="194">
        <v>573104</v>
      </c>
      <c r="J507" s="194">
        <f>+Elementos_[[#This Row],[Valor de referencia]]*Elementos_[[#This Row],[Cantidad]]</f>
        <v>4584832</v>
      </c>
      <c r="K507" s="196">
        <v>8</v>
      </c>
      <c r="L507" s="159">
        <f>+Elementos_[[#This Row],[Cantidad LANIP]]*Elementos_[[#This Row],[Valor de referencia]]</f>
        <v>4584832</v>
      </c>
      <c r="M507" s="270">
        <v>0</v>
      </c>
      <c r="N507" s="195">
        <f>+Elementos_[[#This Row],[Cantidad 
LDV]]*Elementos_[[#This Row],[Valor de referencia]]</f>
        <v>0</v>
      </c>
      <c r="O507" s="166"/>
      <c r="P507" s="159">
        <f>+Elementos_[[#This Row],[Cantidad LNDV]]*Elementos_[[#This Row],[Valor de referencia]]</f>
        <v>0</v>
      </c>
      <c r="Q507" s="196"/>
      <c r="R507" s="159">
        <f>+Elementos_[[#This Row],[GGCA]]*Elementos_[[#This Row],[Valor de referencia]]</f>
        <v>0</v>
      </c>
      <c r="S507" s="166"/>
      <c r="T507" s="159">
        <f>+Elementos_[[#This Row],[Cantidad LDF]]*Elementos_[[#This Row],[Valor de referencia]]</f>
        <v>0</v>
      </c>
      <c r="U507" s="197"/>
      <c r="V507" s="159">
        <f>+Elementos_[[#This Row],[Cantidad LDF&amp;MR]]*Elementos_[[#This Row],[Valor de referencia]]</f>
        <v>0</v>
      </c>
      <c r="W507" s="166"/>
      <c r="X507" s="159">
        <f>+Elementos_[[#This Row],[Cantidad RED LASE]]*Elementos_[[#This Row],[Valor de referencia]]</f>
        <v>0</v>
      </c>
      <c r="Y507" s="196"/>
      <c r="Z507" s="159">
        <f>+Elementos_[[#This Row],[Cantidad LANIA]]*Elementos_[[#This Row],[Valor de referencia]]</f>
        <v>0</v>
      </c>
      <c r="AA507" s="196"/>
      <c r="AB507" s="159">
        <f>+Elementos_[[#This Row],[Cantidad SPA]]*Elementos_[[#This Row],[Valor de referencia]]</f>
        <v>0</v>
      </c>
      <c r="AC507" s="166" t="s">
        <v>2041</v>
      </c>
    </row>
    <row r="508" spans="1:29" ht="36" x14ac:dyDescent="0.2">
      <c r="A508" s="294" t="str">
        <f>IF(B508=Elementos_[[#This Row],[Cantidad LANIP]],"LANIP",IF(B508=Elementos_[[#This Row],[Cantidad 
LDV]],"LDV",IF(B508=Elementos_[[#This Row],[Cantidad LNDV]],"LNDV",IF(B508=Elementos_[[#This Row],[GGCA]],"GGCA",IF(B508=Elementos_[[#This Row],[Cantidad LDF]],"LDF",IF(B508=Elementos_[[#This Row],[Cantidad LDF&amp;MR]],"LDF&amp;MR",IF(B508=Elementos_[[#This Row],[Cantidad RED LASE]],"LASE",IF(B508=Elementos_[[#This Row],[Cantidad LANIA]],"LANIA",IF(B508=Elementos_[[#This Row],[Cantidad SPA]],"SPA"," ")))))))))</f>
        <v>LANIP</v>
      </c>
      <c r="B508"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C508" s="298">
        <v>506</v>
      </c>
      <c r="D508" s="190">
        <v>789</v>
      </c>
      <c r="E508" s="206" t="s">
        <v>2945</v>
      </c>
      <c r="F508" s="223" t="s">
        <v>2946</v>
      </c>
      <c r="G508" s="192" t="s">
        <v>2947</v>
      </c>
      <c r="H508"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v>
      </c>
      <c r="I508" s="194">
        <v>600534</v>
      </c>
      <c r="J508" s="194">
        <f>+Elementos_[[#This Row],[Valor de referencia]]*Elementos_[[#This Row],[Cantidad]]</f>
        <v>6005340</v>
      </c>
      <c r="K508" s="196">
        <v>10</v>
      </c>
      <c r="L508" s="159">
        <f>+Elementos_[[#This Row],[Cantidad LANIP]]*Elementos_[[#This Row],[Valor de referencia]]</f>
        <v>6005340</v>
      </c>
      <c r="M508" s="270">
        <v>0</v>
      </c>
      <c r="N508" s="195">
        <f>+Elementos_[[#This Row],[Cantidad 
LDV]]*Elementos_[[#This Row],[Valor de referencia]]</f>
        <v>0</v>
      </c>
      <c r="O508" s="166"/>
      <c r="P508" s="159">
        <f>+Elementos_[[#This Row],[Cantidad LNDV]]*Elementos_[[#This Row],[Valor de referencia]]</f>
        <v>0</v>
      </c>
      <c r="Q508" s="196"/>
      <c r="R508" s="159">
        <f>+Elementos_[[#This Row],[GGCA]]*Elementos_[[#This Row],[Valor de referencia]]</f>
        <v>0</v>
      </c>
      <c r="S508" s="166"/>
      <c r="T508" s="159">
        <f>+Elementos_[[#This Row],[Cantidad LDF]]*Elementos_[[#This Row],[Valor de referencia]]</f>
        <v>0</v>
      </c>
      <c r="U508" s="197"/>
      <c r="V508" s="159">
        <f>+Elementos_[[#This Row],[Cantidad LDF&amp;MR]]*Elementos_[[#This Row],[Valor de referencia]]</f>
        <v>0</v>
      </c>
      <c r="W508" s="166"/>
      <c r="X508" s="159">
        <f>+Elementos_[[#This Row],[Cantidad RED LASE]]*Elementos_[[#This Row],[Valor de referencia]]</f>
        <v>0</v>
      </c>
      <c r="Y508" s="196"/>
      <c r="Z508" s="159">
        <f>+Elementos_[[#This Row],[Cantidad LANIA]]*Elementos_[[#This Row],[Valor de referencia]]</f>
        <v>0</v>
      </c>
      <c r="AA508" s="196"/>
      <c r="AB508" s="159">
        <f>+Elementos_[[#This Row],[Cantidad SPA]]*Elementos_[[#This Row],[Valor de referencia]]</f>
        <v>0</v>
      </c>
      <c r="AC508" s="166" t="s">
        <v>2041</v>
      </c>
    </row>
    <row r="509" spans="1:29" ht="24" x14ac:dyDescent="0.2">
      <c r="A509" s="294" t="str">
        <f>IF(B509=Elementos_[[#This Row],[Cantidad LANIP]],"LANIP",IF(B509=Elementos_[[#This Row],[Cantidad 
LDV]],"LDV",IF(B509=Elementos_[[#This Row],[Cantidad LNDV]],"LNDV",IF(B509=Elementos_[[#This Row],[GGCA]],"GGCA",IF(B509=Elementos_[[#This Row],[Cantidad LDF]],"LDF",IF(B509=Elementos_[[#This Row],[Cantidad LDF&amp;MR]],"LDF&amp;MR",IF(B509=Elementos_[[#This Row],[Cantidad RED LASE]],"LASE",IF(B509=Elementos_[[#This Row],[Cantidad LANIA]],"LANIA",IF(B509=Elementos_[[#This Row],[Cantidad SPA]],"SPA"," ")))))))))</f>
        <v>LANIP</v>
      </c>
      <c r="B509"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C509" s="298">
        <v>507</v>
      </c>
      <c r="D509" s="190">
        <v>791</v>
      </c>
      <c r="E509" s="235" t="s">
        <v>2948</v>
      </c>
      <c r="F509" s="209" t="s">
        <v>183</v>
      </c>
      <c r="G509" s="192" t="s">
        <v>1391</v>
      </c>
      <c r="H509"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100</v>
      </c>
      <c r="I509" s="194">
        <v>363664</v>
      </c>
      <c r="J509" s="194">
        <f>+Elementos_[[#This Row],[Valor de referencia]]*Elementos_[[#This Row],[Cantidad]]</f>
        <v>36366400</v>
      </c>
      <c r="K509" s="196">
        <v>100</v>
      </c>
      <c r="L509" s="159">
        <f>+Elementos_[[#This Row],[Cantidad LANIP]]*Elementos_[[#This Row],[Valor de referencia]]</f>
        <v>36366400</v>
      </c>
      <c r="M509" s="270"/>
      <c r="N509" s="195">
        <f>+Elementos_[[#This Row],[Cantidad 
LDV]]*Elementos_[[#This Row],[Valor de referencia]]</f>
        <v>0</v>
      </c>
      <c r="O509" s="166"/>
      <c r="P509" s="159">
        <f>+Elementos_[[#This Row],[Cantidad LNDV]]*Elementos_[[#This Row],[Valor de referencia]]</f>
        <v>0</v>
      </c>
      <c r="Q509" s="196"/>
      <c r="R509" s="159">
        <f>+Elementos_[[#This Row],[GGCA]]*Elementos_[[#This Row],[Valor de referencia]]</f>
        <v>0</v>
      </c>
      <c r="S509" s="166"/>
      <c r="T509" s="159">
        <f>+Elementos_[[#This Row],[Cantidad LDF]]*Elementos_[[#This Row],[Valor de referencia]]</f>
        <v>0</v>
      </c>
      <c r="U509" s="197"/>
      <c r="V509" s="159">
        <f>+Elementos_[[#This Row],[Cantidad LDF&amp;MR]]*Elementos_[[#This Row],[Valor de referencia]]</f>
        <v>0</v>
      </c>
      <c r="W509" s="166"/>
      <c r="X509" s="159">
        <f>+Elementos_[[#This Row],[Cantidad RED LASE]]*Elementos_[[#This Row],[Valor de referencia]]</f>
        <v>0</v>
      </c>
      <c r="Y509" s="196"/>
      <c r="Z509" s="159">
        <f>+Elementos_[[#This Row],[Cantidad LANIA]]*Elementos_[[#This Row],[Valor de referencia]]</f>
        <v>0</v>
      </c>
      <c r="AA509" s="196"/>
      <c r="AB509" s="159">
        <f>+Elementos_[[#This Row],[Cantidad SPA]]*Elementos_[[#This Row],[Valor de referencia]]</f>
        <v>0</v>
      </c>
      <c r="AC509" s="166" t="s">
        <v>2049</v>
      </c>
    </row>
    <row r="510" spans="1:29" ht="36" x14ac:dyDescent="0.2">
      <c r="A510" s="294" t="str">
        <f>IF(B510=Elementos_[[#This Row],[Cantidad LANIP]],"LANIP",IF(B510=Elementos_[[#This Row],[Cantidad 
LDV]],"LDV",IF(B510=Elementos_[[#This Row],[Cantidad LNDV]],"LNDV",IF(B510=Elementos_[[#This Row],[GGCA]],"GGCA",IF(B510=Elementos_[[#This Row],[Cantidad LDF]],"LDF",IF(B510=Elementos_[[#This Row],[Cantidad LDF&amp;MR]],"LDF&amp;MR",IF(B510=Elementos_[[#This Row],[Cantidad RED LASE]],"LASE",IF(B510=Elementos_[[#This Row],[Cantidad LANIA]],"LANIA",IF(B510=Elementos_[[#This Row],[Cantidad SPA]],"SPA"," ")))))))))</f>
        <v>LANIP</v>
      </c>
      <c r="B510"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C510" s="298">
        <v>508</v>
      </c>
      <c r="D510" s="190">
        <v>794</v>
      </c>
      <c r="E510" s="235" t="s">
        <v>2949</v>
      </c>
      <c r="F510" s="315" t="s">
        <v>2950</v>
      </c>
      <c r="G510" s="198" t="s">
        <v>2951</v>
      </c>
      <c r="H510"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4</v>
      </c>
      <c r="I510" s="194">
        <v>377349</v>
      </c>
      <c r="J510" s="194">
        <f>+Elementos_[[#This Row],[Valor de referencia]]*Elementos_[[#This Row],[Cantidad]]</f>
        <v>1509396</v>
      </c>
      <c r="K510" s="196">
        <v>4</v>
      </c>
      <c r="L510" s="159">
        <f>+Elementos_[[#This Row],[Cantidad LANIP]]*Elementos_[[#This Row],[Valor de referencia]]</f>
        <v>1509396</v>
      </c>
      <c r="M510" s="270">
        <v>0</v>
      </c>
      <c r="N510" s="195">
        <f>+Elementos_[[#This Row],[Cantidad 
LDV]]*Elementos_[[#This Row],[Valor de referencia]]</f>
        <v>0</v>
      </c>
      <c r="O510" s="166"/>
      <c r="P510" s="159">
        <f>+Elementos_[[#This Row],[Cantidad LNDV]]*Elementos_[[#This Row],[Valor de referencia]]</f>
        <v>0</v>
      </c>
      <c r="Q510" s="196"/>
      <c r="R510" s="159">
        <f>+Elementos_[[#This Row],[GGCA]]*Elementos_[[#This Row],[Valor de referencia]]</f>
        <v>0</v>
      </c>
      <c r="S510" s="166"/>
      <c r="T510" s="159">
        <f>+Elementos_[[#This Row],[Cantidad LDF]]*Elementos_[[#This Row],[Valor de referencia]]</f>
        <v>0</v>
      </c>
      <c r="U510" s="197"/>
      <c r="V510" s="159">
        <f>+Elementos_[[#This Row],[Cantidad LDF&amp;MR]]*Elementos_[[#This Row],[Valor de referencia]]</f>
        <v>0</v>
      </c>
      <c r="W510" s="166"/>
      <c r="X510" s="159">
        <f>+Elementos_[[#This Row],[Cantidad RED LASE]]*Elementos_[[#This Row],[Valor de referencia]]</f>
        <v>0</v>
      </c>
      <c r="Y510" s="196"/>
      <c r="Z510" s="159">
        <f>+Elementos_[[#This Row],[Cantidad LANIA]]*Elementos_[[#This Row],[Valor de referencia]]</f>
        <v>0</v>
      </c>
      <c r="AA510" s="196"/>
      <c r="AB510" s="159">
        <f>+Elementos_[[#This Row],[Cantidad SPA]]*Elementos_[[#This Row],[Valor de referencia]]</f>
        <v>0</v>
      </c>
      <c r="AC510" s="166" t="s">
        <v>2041</v>
      </c>
    </row>
    <row r="511" spans="1:29" ht="12.75" x14ac:dyDescent="0.2">
      <c r="A511" s="294" t="str">
        <f>IF(B511=Elementos_[[#This Row],[Cantidad LANIP]],"LANIP",IF(B511=Elementos_[[#This Row],[Cantidad 
LDV]],"LDV",IF(B511=Elementos_[[#This Row],[Cantidad LNDV]],"LNDV",IF(B511=Elementos_[[#This Row],[GGCA]],"GGCA",IF(B511=Elementos_[[#This Row],[Cantidad LDF]],"LDF",IF(B511=Elementos_[[#This Row],[Cantidad LDF&amp;MR]],"LDF&amp;MR",IF(B511=Elementos_[[#This Row],[Cantidad RED LASE]],"LASE",IF(B511=Elementos_[[#This Row],[Cantidad LANIA]],"LANIA",IF(B511=Elementos_[[#This Row],[Cantidad SPA]],"SPA"," ")))))))))</f>
        <v>LDF</v>
      </c>
      <c r="B511"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24</v>
      </c>
      <c r="C511" s="298">
        <v>509</v>
      </c>
      <c r="D511" s="190">
        <v>795</v>
      </c>
      <c r="E511" s="303" t="s">
        <v>2952</v>
      </c>
      <c r="F511" s="201" t="s">
        <v>183</v>
      </c>
      <c r="G511" s="192" t="s">
        <v>525</v>
      </c>
      <c r="H511"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24</v>
      </c>
      <c r="I511" s="194">
        <v>13406</v>
      </c>
      <c r="J511" s="194">
        <f>+Elementos_[[#This Row],[Valor de referencia]]*Elementos_[[#This Row],[Cantidad]]</f>
        <v>321744</v>
      </c>
      <c r="K511" s="196"/>
      <c r="L511" s="159">
        <f>+Elementos_[[#This Row],[Cantidad LANIP]]*Elementos_[[#This Row],[Valor de referencia]]</f>
        <v>0</v>
      </c>
      <c r="M511" s="270">
        <v>0</v>
      </c>
      <c r="N511" s="195">
        <f>+Elementos_[[#This Row],[Cantidad 
LDV]]*Elementos_[[#This Row],[Valor de referencia]]</f>
        <v>0</v>
      </c>
      <c r="O511" s="166"/>
      <c r="P511" s="159">
        <f>+Elementos_[[#This Row],[Cantidad LNDV]]*Elementos_[[#This Row],[Valor de referencia]]</f>
        <v>0</v>
      </c>
      <c r="Q511" s="196"/>
      <c r="R511" s="159">
        <f>+Elementos_[[#This Row],[GGCA]]*Elementos_[[#This Row],[Valor de referencia]]</f>
        <v>0</v>
      </c>
      <c r="S511" s="166">
        <v>24</v>
      </c>
      <c r="T511" s="159">
        <f>+Elementos_[[#This Row],[Cantidad LDF]]*Elementos_[[#This Row],[Valor de referencia]]</f>
        <v>321744</v>
      </c>
      <c r="U511" s="197"/>
      <c r="V511" s="159">
        <f>+Elementos_[[#This Row],[Cantidad LDF&amp;MR]]*Elementos_[[#This Row],[Valor de referencia]]</f>
        <v>0</v>
      </c>
      <c r="W511" s="166"/>
      <c r="X511" s="159">
        <f>+Elementos_[[#This Row],[Cantidad RED LASE]]*Elementos_[[#This Row],[Valor de referencia]]</f>
        <v>0</v>
      </c>
      <c r="Y511" s="196"/>
      <c r="Z511" s="159">
        <f>+Elementos_[[#This Row],[Cantidad LANIA]]*Elementos_[[#This Row],[Valor de referencia]]</f>
        <v>0</v>
      </c>
      <c r="AA511" s="196"/>
      <c r="AB511" s="159">
        <f>+Elementos_[[#This Row],[Cantidad SPA]]*Elementos_[[#This Row],[Valor de referencia]]</f>
        <v>0</v>
      </c>
      <c r="AC511" s="166" t="s">
        <v>2049</v>
      </c>
    </row>
    <row r="512" spans="1:29" ht="12.75" x14ac:dyDescent="0.2">
      <c r="A512" s="294" t="str">
        <f>IF(B512=Elementos_[[#This Row],[Cantidad LANIP]],"LANIP",IF(B512=Elementos_[[#This Row],[Cantidad 
LDV]],"LDV",IF(B512=Elementos_[[#This Row],[Cantidad LNDV]],"LNDV",IF(B512=Elementos_[[#This Row],[GGCA]],"GGCA",IF(B512=Elementos_[[#This Row],[Cantidad LDF]],"LDF",IF(B512=Elementos_[[#This Row],[Cantidad LDF&amp;MR]],"LDF&amp;MR",IF(B512=Elementos_[[#This Row],[Cantidad RED LASE]],"LASE",IF(B512=Elementos_[[#This Row],[Cantidad LANIA]],"LANIA",IF(B512=Elementos_[[#This Row],[Cantidad SPA]],"SPA"," ")))))))))</f>
        <v>SPA</v>
      </c>
      <c r="B512"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149</v>
      </c>
      <c r="C512" s="298">
        <v>510</v>
      </c>
      <c r="D512" s="190">
        <v>796</v>
      </c>
      <c r="E512" s="235" t="s">
        <v>2953</v>
      </c>
      <c r="F512" s="204" t="s">
        <v>454</v>
      </c>
      <c r="G512" s="192" t="s">
        <v>2954</v>
      </c>
      <c r="H512"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212</v>
      </c>
      <c r="I512" s="194">
        <v>107779</v>
      </c>
      <c r="J512" s="194">
        <f>+Elementos_[[#This Row],[Valor de referencia]]*Elementos_[[#This Row],[Cantidad]]</f>
        <v>22849148</v>
      </c>
      <c r="K512" s="196">
        <v>18</v>
      </c>
      <c r="L512" s="159">
        <f>+Elementos_[[#This Row],[Cantidad LANIP]]*Elementos_[[#This Row],[Valor de referencia]]</f>
        <v>1940022</v>
      </c>
      <c r="M512" s="270">
        <v>20</v>
      </c>
      <c r="N512" s="195">
        <f>+Elementos_[[#This Row],[Cantidad 
LDV]]*Elementos_[[#This Row],[Valor de referencia]]</f>
        <v>2155580</v>
      </c>
      <c r="O512" s="166">
        <v>3</v>
      </c>
      <c r="P512" s="159">
        <f>+Elementos_[[#This Row],[Cantidad LNDV]]*Elementos_[[#This Row],[Valor de referencia]]</f>
        <v>323337</v>
      </c>
      <c r="Q512" s="196"/>
      <c r="R512" s="159">
        <f>+Elementos_[[#This Row],[GGCA]]*Elementos_[[#This Row],[Valor de referencia]]</f>
        <v>0</v>
      </c>
      <c r="S512" s="166">
        <v>12</v>
      </c>
      <c r="T512" s="194">
        <f>+Elementos_[[#This Row],[Cantidad LDF]]*Elementos_[[#This Row],[Valor de referencia]]</f>
        <v>1293348</v>
      </c>
      <c r="U512" s="197">
        <v>10</v>
      </c>
      <c r="V512" s="194">
        <f>+Elementos_[[#This Row],[Cantidad LDF&amp;MR]]*Elementos_[[#This Row],[Valor de referencia]]</f>
        <v>1077790</v>
      </c>
      <c r="W512" s="166">
        <v>0</v>
      </c>
      <c r="X512" s="194">
        <f>+Elementos_[[#This Row],[Cantidad RED LASE]]*Elementos_[[#This Row],[Valor de referencia]]</f>
        <v>0</v>
      </c>
      <c r="Y512" s="196"/>
      <c r="Z512" s="194">
        <f>+Elementos_[[#This Row],[Cantidad LANIA]]*Elementos_[[#This Row],[Valor de referencia]]</f>
        <v>0</v>
      </c>
      <c r="AA512" s="196">
        <v>149</v>
      </c>
      <c r="AB512" s="194">
        <f>+Elementos_[[#This Row],[Cantidad SPA]]*Elementos_[[#This Row],[Valor de referencia]]</f>
        <v>16059071</v>
      </c>
      <c r="AC512" s="166" t="s">
        <v>2049</v>
      </c>
    </row>
    <row r="513" spans="1:29" ht="36" x14ac:dyDescent="0.2">
      <c r="A513" s="294" t="str">
        <f>IF(B513=Elementos_[[#This Row],[Cantidad LANIP]],"LANIP",IF(B513=Elementos_[[#This Row],[Cantidad 
LDV]],"LDV",IF(B513=Elementos_[[#This Row],[Cantidad LNDV]],"LNDV",IF(B513=Elementos_[[#This Row],[GGCA]],"GGCA",IF(B513=Elementos_[[#This Row],[Cantidad LDF]],"LDF",IF(B513=Elementos_[[#This Row],[Cantidad LDF&amp;MR]],"LDF&amp;MR",IF(B513=Elementos_[[#This Row],[Cantidad RED LASE]],"LASE",IF(B513=Elementos_[[#This Row],[Cantidad LANIA]],"LANIA",IF(B513=Elementos_[[#This Row],[Cantidad SPA]],"SPA"," ")))))))))</f>
        <v>SPA</v>
      </c>
      <c r="B513"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600</v>
      </c>
      <c r="C513" s="298">
        <v>511</v>
      </c>
      <c r="D513" s="190">
        <v>799</v>
      </c>
      <c r="E513" s="235" t="s">
        <v>2955</v>
      </c>
      <c r="F513" s="204"/>
      <c r="G513" s="192" t="s">
        <v>1726</v>
      </c>
      <c r="H513"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600</v>
      </c>
      <c r="I513" s="194">
        <v>417</v>
      </c>
      <c r="J513" s="194">
        <f>+Elementos_[[#This Row],[Valor de referencia]]*Elementos_[[#This Row],[Cantidad]]</f>
        <v>250200</v>
      </c>
      <c r="K513" s="196"/>
      <c r="L513" s="159">
        <f>+Elementos_[[#This Row],[Cantidad LANIP]]*Elementos_[[#This Row],[Valor de referencia]]</f>
        <v>0</v>
      </c>
      <c r="M513" s="270">
        <v>0</v>
      </c>
      <c r="N513" s="195">
        <f>+Elementos_[[#This Row],[Cantidad 
LDV]]*Elementos_[[#This Row],[Valor de referencia]]</f>
        <v>0</v>
      </c>
      <c r="O513" s="166"/>
      <c r="P513" s="159">
        <f>+Elementos_[[#This Row],[Cantidad LNDV]]*Elementos_[[#This Row],[Valor de referencia]]</f>
        <v>0</v>
      </c>
      <c r="Q513" s="196"/>
      <c r="R513" s="159">
        <f>+Elementos_[[#This Row],[GGCA]]*Elementos_[[#This Row],[Valor de referencia]]</f>
        <v>0</v>
      </c>
      <c r="S513" s="166"/>
      <c r="T513" s="159">
        <f>+Elementos_[[#This Row],[Cantidad LDF]]*Elementos_[[#This Row],[Valor de referencia]]</f>
        <v>0</v>
      </c>
      <c r="U513" s="197"/>
      <c r="V513" s="159">
        <f>+Elementos_[[#This Row],[Cantidad LDF&amp;MR]]*Elementos_[[#This Row],[Valor de referencia]]</f>
        <v>0</v>
      </c>
      <c r="W513" s="166"/>
      <c r="X513" s="159">
        <f>+Elementos_[[#This Row],[Cantidad RED LASE]]*Elementos_[[#This Row],[Valor de referencia]]</f>
        <v>0</v>
      </c>
      <c r="Y513" s="196"/>
      <c r="Z513" s="159">
        <f>+Elementos_[[#This Row],[Cantidad LANIA]]*Elementos_[[#This Row],[Valor de referencia]]</f>
        <v>0</v>
      </c>
      <c r="AA513" s="196">
        <v>600</v>
      </c>
      <c r="AB513" s="159">
        <f>+Elementos_[[#This Row],[Cantidad SPA]]*Elementos_[[#This Row],[Valor de referencia]]</f>
        <v>250200</v>
      </c>
      <c r="AC513" s="166" t="s">
        <v>2049</v>
      </c>
    </row>
    <row r="514" spans="1:29" ht="24" x14ac:dyDescent="0.2">
      <c r="A514" s="294" t="str">
        <f>IF(B514=Elementos_[[#This Row],[Cantidad LANIP]],"LANIP",IF(B514=Elementos_[[#This Row],[Cantidad 
LDV]],"LDV",IF(B514=Elementos_[[#This Row],[Cantidad LNDV]],"LNDV",IF(B514=Elementos_[[#This Row],[GGCA]],"GGCA",IF(B514=Elementos_[[#This Row],[Cantidad LDF]],"LDF",IF(B514=Elementos_[[#This Row],[Cantidad LDF&amp;MR]],"LDF&amp;MR",IF(B514=Elementos_[[#This Row],[Cantidad RED LASE]],"LASE",IF(B514=Elementos_[[#This Row],[Cantidad LANIA]],"LANIA",IF(B514=Elementos_[[#This Row],[Cantidad SPA]],"SPA"," ")))))))))</f>
        <v>SPA</v>
      </c>
      <c r="B514" s="45">
        <f>MAX(Elementos_[[#This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200</v>
      </c>
      <c r="C514" s="298">
        <v>512</v>
      </c>
      <c r="D514" s="190">
        <v>800</v>
      </c>
      <c r="E514" s="235" t="s">
        <v>2956</v>
      </c>
      <c r="F514" s="204"/>
      <c r="G514" s="192" t="s">
        <v>1726</v>
      </c>
      <c r="H514" s="193">
        <f>SUM(Elementos_[[#This Row],[Cantidad LANIP]],Elementos_[[#This Row],[Cantidad 
LDV]],Elementos_[[#This Row],[Cantidad LNDV]],Elementos_[[#This Row],[GGCA]],Elementos_[[#This Row],[Cantidad LDF]],Elementos_[[#This Row],[Cantidad LDF&amp;MR]],Elementos_[[#This Row],[Cantidad RED LASE]],Elementos_[[#This Row],[Cantidad LANIA]],Elementos_[[#This Row],[Cantidad SPA]])</f>
        <v>200</v>
      </c>
      <c r="I514" s="194">
        <v>5415</v>
      </c>
      <c r="J514" s="236">
        <f>+Elementos_[[#This Row],[Valor de referencia]]*Elementos_[[#This Row],[Cantidad]]</f>
        <v>1083000</v>
      </c>
      <c r="K514" s="196"/>
      <c r="L514" s="237">
        <f>+Elementos_[[#This Row],[Cantidad LANIP]]*Elementos_[[#This Row],[Valor de referencia]]</f>
        <v>0</v>
      </c>
      <c r="M514" s="270">
        <v>0</v>
      </c>
      <c r="N514" s="238">
        <f>+Elementos_[[#This Row],[Cantidad 
LDV]]*Elementos_[[#This Row],[Valor de referencia]]</f>
        <v>0</v>
      </c>
      <c r="O514" s="166"/>
      <c r="P514" s="237">
        <f>+Elementos_[[#This Row],[Cantidad LNDV]]*Elementos_[[#This Row],[Valor de referencia]]</f>
        <v>0</v>
      </c>
      <c r="Q514" s="196"/>
      <c r="R514" s="237">
        <f>+Elementos_[[#This Row],[GGCA]]*Elementos_[[#This Row],[Valor de referencia]]</f>
        <v>0</v>
      </c>
      <c r="S514" s="166"/>
      <c r="T514" s="237">
        <f>+Elementos_[[#This Row],[Cantidad LDF]]*Elementos_[[#This Row],[Valor de referencia]]</f>
        <v>0</v>
      </c>
      <c r="U514" s="197"/>
      <c r="V514" s="237">
        <f>+Elementos_[[#This Row],[Cantidad LDF&amp;MR]]*Elementos_[[#This Row],[Valor de referencia]]</f>
        <v>0</v>
      </c>
      <c r="W514" s="166"/>
      <c r="X514" s="237">
        <f>+Elementos_[[#This Row],[Cantidad RED LASE]]*Elementos_[[#This Row],[Valor de referencia]]</f>
        <v>0</v>
      </c>
      <c r="Y514" s="196"/>
      <c r="Z514" s="237">
        <f>+Elementos_[[#This Row],[Cantidad LANIA]]*Elementos_[[#This Row],[Valor de referencia]]</f>
        <v>0</v>
      </c>
      <c r="AA514" s="196">
        <v>200</v>
      </c>
      <c r="AB514" s="237">
        <f>+Elementos_[[#This Row],[Cantidad SPA]]*Elementos_[[#This Row],[Valor de referencia]]</f>
        <v>1083000</v>
      </c>
      <c r="AC514" s="166" t="s">
        <v>2049</v>
      </c>
    </row>
    <row r="515" spans="1:29" x14ac:dyDescent="0.2">
      <c r="D515" s="176" t="s">
        <v>2032</v>
      </c>
      <c r="E515" s="177">
        <f>SUBTOTAL(103,Elementos_[Descripción técnica])</f>
        <v>512</v>
      </c>
      <c r="F515" s="121"/>
      <c r="G515" s="178"/>
      <c r="H515" s="314">
        <f>SUBTOTAL(109,Elementos_[Cantidad])</f>
        <v>39868</v>
      </c>
      <c r="I515" s="179">
        <f>SUBTOTAL(109,Elementos_[Valor de referencia])</f>
        <v>354751538</v>
      </c>
      <c r="J515" s="180">
        <f>SUBTOTAL(109,J3:J514)</f>
        <v>4463159616</v>
      </c>
      <c r="K515" s="181">
        <f>SUBTOTAL(109,Elementos_[Cantidad LANIP])</f>
        <v>2228</v>
      </c>
      <c r="L515" s="180">
        <f>SUBTOTAL(109,Elementos_[Valor total LANIP])</f>
        <v>599981525</v>
      </c>
      <c r="M515" s="181">
        <f>SUBTOTAL(109,Elementos_[Cantidad 
LDV])</f>
        <v>2677</v>
      </c>
      <c r="N515" s="182">
        <f>SUBTOTAL(109,Elementos_[Valor total LDV])</f>
        <v>799402290</v>
      </c>
      <c r="O515" s="183">
        <f>SUBTOTAL(109,Elementos_[Cantidad LNDV])</f>
        <v>12496</v>
      </c>
      <c r="P515" s="184">
        <f>SUBTOTAL(109,Elementos_[Valor Total LNDV])</f>
        <v>699737267</v>
      </c>
      <c r="Q515" s="183">
        <f>SUBTOTAL(109,Elementos_[GGCA])</f>
        <v>20</v>
      </c>
      <c r="R515" s="185">
        <f>SUBTOTAL(109,Elementos_[Valor GGCA])</f>
        <v>15315987</v>
      </c>
      <c r="S515" s="181">
        <f>SUBTOTAL(109,Elementos_[Cantidad LDF])</f>
        <v>2387</v>
      </c>
      <c r="T515" s="186">
        <f>SUBTOTAL(109,Elementos_[Valor Total LDF])</f>
        <v>409932605</v>
      </c>
      <c r="U515" s="187">
        <f>SUBTOTAL(109,Elementos_[Cantidad LDF&amp;MR])</f>
        <v>923</v>
      </c>
      <c r="V515" s="186">
        <f>SUBTOTAL(109,Elementos_[Valor Total LDF&amp;MR])</f>
        <v>270001931</v>
      </c>
      <c r="W515" s="181">
        <f>SUBTOTAL(109,Elementos_[Cantidad RED LASE])</f>
        <v>698</v>
      </c>
      <c r="X515" s="186">
        <f>SUBTOTAL(109,Elementos_[Valor Total RED LASE])</f>
        <v>279981153</v>
      </c>
      <c r="Y515" s="181">
        <f>SUBTOTAL(109,Elementos_[Cantidad LANIA])</f>
        <v>1537</v>
      </c>
      <c r="Z515" s="186">
        <f>SUBTOTAL(109,Elementos_[Valor Total LANIA])</f>
        <v>449520621</v>
      </c>
      <c r="AA515" s="188">
        <f>SUBTOTAL(109,Elementos_[Cantidad SPA])</f>
        <v>16902</v>
      </c>
      <c r="AB515" s="186">
        <f>SUBTOTAL(109,Elementos_[Valor Total SPA])+Reactivos_[[#Totals],[Valor Total SPA]]</f>
        <v>949929618</v>
      </c>
      <c r="AC515" s="189"/>
    </row>
    <row r="516" spans="1:29" x14ac:dyDescent="0.2">
      <c r="E516" s="434"/>
      <c r="F516" s="434"/>
      <c r="G516" s="123"/>
      <c r="H516" s="124"/>
      <c r="I516" s="162" t="s">
        <v>2957</v>
      </c>
      <c r="J516" s="167">
        <f>+L516+N516+P516+R516+T516+V516+X516+Z516+AB516</f>
        <v>4494801734</v>
      </c>
      <c r="K516" s="168"/>
      <c r="L516" s="169">
        <v>600000000</v>
      </c>
      <c r="M516" s="168"/>
      <c r="N516" s="170">
        <v>800000000</v>
      </c>
      <c r="O516" s="171"/>
      <c r="P516" s="172">
        <v>700000000</v>
      </c>
      <c r="Q516" s="171"/>
      <c r="R516" s="152">
        <v>34801734</v>
      </c>
      <c r="S516" s="168"/>
      <c r="T516" s="173">
        <f>380000000+30000000</f>
        <v>410000000</v>
      </c>
      <c r="U516" s="174"/>
      <c r="V516" s="173">
        <v>270000000</v>
      </c>
      <c r="W516" s="168"/>
      <c r="X516" s="173">
        <v>280000000</v>
      </c>
      <c r="Y516" s="175"/>
      <c r="Z516" s="173">
        <v>450000000</v>
      </c>
      <c r="AA516" s="168"/>
      <c r="AB516" s="173">
        <v>950000000</v>
      </c>
    </row>
    <row r="517" spans="1:29" x14ac:dyDescent="0.2">
      <c r="E517" s="434"/>
      <c r="F517" s="434"/>
      <c r="G517" s="123"/>
      <c r="H517" s="124"/>
      <c r="J517" s="163">
        <f>+J516-Elementos_[[#Totals],[Valor Total]]</f>
        <v>31642118</v>
      </c>
      <c r="L517" s="151">
        <f>+L516-Elementos_[[#Totals],[Valor total LANIP]]</f>
        <v>18475</v>
      </c>
      <c r="N517" s="158">
        <f>+N516-Elementos_[[#Totals],[Valor total LDV]]</f>
        <v>597710</v>
      </c>
      <c r="P517" s="151">
        <f>+P516-Elementos_[[#Totals],[Valor Total LNDV]]</f>
        <v>262733</v>
      </c>
      <c r="R517" s="153">
        <f>+R516-Elementos_[[#Totals],[Valor GGCA]]</f>
        <v>19485747</v>
      </c>
      <c r="T517" s="164">
        <f>+T516-Elementos_[[#Totals],[Valor Total LDF]]</f>
        <v>67395</v>
      </c>
      <c r="V517" s="164">
        <f>+V516-Elementos_[[#Totals],[Valor Total LDF&amp;MR]]</f>
        <v>-1931</v>
      </c>
      <c r="X517" s="164">
        <f>+X516-Elementos_[[#Totals],[Valor Total RED LASE]]</f>
        <v>18847</v>
      </c>
      <c r="Y517" s="106"/>
      <c r="Z517" s="164">
        <f>+Z516-Elementos_[[#Totals],[Valor Total LANIA]]</f>
        <v>479379</v>
      </c>
      <c r="AB517" s="164">
        <f>+AB516-Elementos_[[#Totals],[Valor Total SPA]]</f>
        <v>70382</v>
      </c>
    </row>
    <row r="518" spans="1:29" x14ac:dyDescent="0.2">
      <c r="E518" s="434"/>
      <c r="F518" s="434"/>
      <c r="G518" s="123"/>
      <c r="H518" s="124"/>
    </row>
    <row r="519" spans="1:29" x14ac:dyDescent="0.2">
      <c r="E519" s="124"/>
      <c r="F519" s="123"/>
      <c r="G519" s="123"/>
      <c r="H519" s="124"/>
    </row>
    <row r="520" spans="1:29" x14ac:dyDescent="0.2">
      <c r="E520" s="124"/>
      <c r="F520" s="123"/>
      <c r="G520" s="123"/>
      <c r="H520" s="124"/>
      <c r="L520" s="106">
        <f>+Elementos_[[#Totals],[Valor total LANIP]]+Reactivos_[[#Totals],[Valor total LANIP]]</f>
        <v>1549930910</v>
      </c>
      <c r="N520" s="106">
        <f>+Elementos_[[#Totals],[Valor total LDV]]+Reactivos_[[#Totals],[Valor total LDV]]</f>
        <v>3653213820</v>
      </c>
      <c r="P520" s="106">
        <f>+Elementos_[[#Totals],[Valor Total LNDV]]+Reactivos_[[#Totals],[Valor Total LNDV]]</f>
        <v>3743210668</v>
      </c>
      <c r="R520" s="106">
        <f>+Elementos_[[#Totals],[Valor GGCA]]+Reactivos_[[#Totals],[Valor GGCA]]</f>
        <v>15315987</v>
      </c>
      <c r="T520" s="106">
        <f>+Elementos_[[#Totals],[Valor Total LDF]]+Reactivos_[[#Totals],[Valor Total LDF]]</f>
        <v>1079927905</v>
      </c>
      <c r="V520" s="106">
        <f>+Elementos_[[#Totals],[Valor Total LDF&amp;MR]]+Reactivos_[[#Totals],[Valor Total LDF&amp;MR]]</f>
        <v>614027043</v>
      </c>
      <c r="X520" s="106">
        <f>+Elementos_[[#Totals],[Valor Total RED LASE]]+Reactivos_[[#Totals],[Valor Total RED LASE]]</f>
        <v>306972367</v>
      </c>
      <c r="Z520" s="106">
        <f>+Elementos_[[#Totals],[Valor Total LANIA]]+Reactivos_[[#Totals],[Valor Total LANIA]]</f>
        <v>1009193537</v>
      </c>
      <c r="AB520" s="106"/>
    </row>
    <row r="521" spans="1:29" x14ac:dyDescent="0.2">
      <c r="L521" s="106">
        <f>+L516+Distri_Reactivos!N733</f>
        <v>1550000000</v>
      </c>
      <c r="N521" s="106">
        <f>+N516+Distri_Reactivos!P733</f>
        <v>3653807476</v>
      </c>
      <c r="P521" s="106">
        <f>+P516+Distri_Reactivos!R733</f>
        <v>3750000000</v>
      </c>
      <c r="R521" s="106">
        <f>+R516+Distri_Reactivos!T733</f>
        <v>34801734</v>
      </c>
      <c r="T521" s="106">
        <f>+T516+Distri_Reactivos!V733</f>
        <v>1080000000</v>
      </c>
      <c r="V521" s="106">
        <f>+V516+Distri_Reactivos!X733</f>
        <v>614000000</v>
      </c>
      <c r="X521" s="106">
        <f>+X516+Distri_Reactivos!Z733</f>
        <v>307000000</v>
      </c>
      <c r="Z521" s="106">
        <f>+Z516+Distri_Reactivos!AB733</f>
        <v>1010000000</v>
      </c>
      <c r="AB521" s="106">
        <f>+AB516+Distri_Reactivos!AD733</f>
        <v>950000000</v>
      </c>
    </row>
    <row r="523" spans="1:29" x14ac:dyDescent="0.2">
      <c r="L523" s="106">
        <f>+L521+N521+P521</f>
        <v>8953807476</v>
      </c>
      <c r="R523" s="106">
        <f>+R521+T521+V521+X521+Z521</f>
        <v>3045801734</v>
      </c>
      <c r="T523" s="161">
        <f>+L523+R523+AB516</f>
        <v>12949609210</v>
      </c>
    </row>
    <row r="524" spans="1:29" x14ac:dyDescent="0.2">
      <c r="L524" s="106">
        <f>+L520+N520+P520</f>
        <v>8946355398</v>
      </c>
      <c r="R524" s="106">
        <f>+R520+T520+V520+X520+Z520</f>
        <v>3025436839</v>
      </c>
      <c r="T524" s="161">
        <f>+L524+R524+Elementos_[[#Totals],[Valor Total SPA]]</f>
        <v>12921721855</v>
      </c>
    </row>
  </sheetData>
  <sheetProtection formatCells="0" formatColumns="0" formatRows="0" insertRows="0" autoFilter="0" pivotTables="0"/>
  <autoFilter ref="A2:B514" xr:uid="{00000000-0001-0000-0300-000000000000}"/>
  <mergeCells count="4">
    <mergeCell ref="E516:F516"/>
    <mergeCell ref="E517:F517"/>
    <mergeCell ref="E518:F518"/>
    <mergeCell ref="D1:H1"/>
  </mergeCells>
  <phoneticPr fontId="31" type="noConversion"/>
  <conditionalFormatting sqref="J517:AB517">
    <cfRule type="cellIs" dxfId="30" priority="1" operator="lessThan">
      <formula>0</formula>
    </cfRule>
    <cfRule type="cellIs" dxfId="29" priority="2" operator="greaterThan">
      <formula>0</formula>
    </cfRule>
  </conditionalFormatting>
  <pageMargins left="0.7" right="0.7" top="0.75" bottom="0.75" header="0.3" footer="0.3"/>
  <pageSetup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3:K13"/>
  <sheetViews>
    <sheetView workbookViewId="0">
      <selection activeCell="D7" sqref="D7"/>
    </sheetView>
  </sheetViews>
  <sheetFormatPr baseColWidth="10" defaultColWidth="11.42578125" defaultRowHeight="15" x14ac:dyDescent="0.25"/>
  <cols>
    <col min="1" max="1" width="21.42578125" bestFit="1" customWidth="1"/>
    <col min="2" max="2" width="42.5703125" customWidth="1"/>
    <col min="3" max="3" width="19.28515625" bestFit="1" customWidth="1"/>
    <col min="4" max="5" width="18.28515625" bestFit="1" customWidth="1"/>
    <col min="6" max="10" width="16.7109375" bestFit="1" customWidth="1"/>
    <col min="11" max="11" width="10.5703125" bestFit="1" customWidth="1"/>
    <col min="12" max="12" width="11" customWidth="1"/>
  </cols>
  <sheetData>
    <row r="3" spans="1:11" ht="45" x14ac:dyDescent="0.25">
      <c r="A3" s="2" t="s">
        <v>0</v>
      </c>
      <c r="B3" s="2" t="s">
        <v>1</v>
      </c>
      <c r="C3" s="9" t="s">
        <v>2958</v>
      </c>
      <c r="D3" s="9" t="s">
        <v>2959</v>
      </c>
      <c r="E3" s="9" t="s">
        <v>7</v>
      </c>
      <c r="F3" s="9" t="s">
        <v>9</v>
      </c>
      <c r="G3" s="9" t="s">
        <v>10</v>
      </c>
      <c r="H3" s="9" t="s">
        <v>2960</v>
      </c>
      <c r="I3" s="9" t="s">
        <v>3</v>
      </c>
      <c r="J3" s="9" t="s">
        <v>2961</v>
      </c>
      <c r="K3" s="9" t="s">
        <v>8</v>
      </c>
    </row>
    <row r="4" spans="1:11" x14ac:dyDescent="0.25">
      <c r="A4" t="s">
        <v>11</v>
      </c>
      <c r="C4" s="4">
        <v>11634656029.5616</v>
      </c>
      <c r="D4" s="4">
        <v>2737933575.0671997</v>
      </c>
      <c r="E4" s="4">
        <v>1854268003.4976001</v>
      </c>
      <c r="F4" s="4">
        <v>338648152.62400007</v>
      </c>
      <c r="G4" s="4">
        <v>178374465.59999999</v>
      </c>
      <c r="H4" s="4">
        <v>379947217.44000006</v>
      </c>
      <c r="I4" s="4">
        <v>300145287.62239999</v>
      </c>
      <c r="J4" s="4">
        <v>712727165.20000005</v>
      </c>
      <c r="K4" s="4">
        <v>0</v>
      </c>
    </row>
    <row r="5" spans="1:11" x14ac:dyDescent="0.25">
      <c r="B5" t="s">
        <v>2962</v>
      </c>
      <c r="C5" s="4">
        <v>137845792</v>
      </c>
      <c r="D5" s="4">
        <v>0</v>
      </c>
      <c r="E5" s="4">
        <v>137845792</v>
      </c>
      <c r="F5" s="4">
        <v>0</v>
      </c>
      <c r="G5" s="4">
        <v>0</v>
      </c>
      <c r="H5" s="4">
        <v>0</v>
      </c>
      <c r="I5" s="4">
        <v>0</v>
      </c>
      <c r="J5" s="4">
        <v>0</v>
      </c>
      <c r="K5" s="4">
        <v>0</v>
      </c>
    </row>
    <row r="6" spans="1:11" x14ac:dyDescent="0.25">
      <c r="B6" t="s">
        <v>2963</v>
      </c>
      <c r="C6" s="4">
        <v>0</v>
      </c>
      <c r="D6" s="4">
        <v>0</v>
      </c>
      <c r="E6" s="4">
        <v>0</v>
      </c>
      <c r="F6" s="4">
        <v>0</v>
      </c>
      <c r="G6" s="4">
        <v>0</v>
      </c>
      <c r="H6" s="4">
        <v>0</v>
      </c>
      <c r="I6" s="4">
        <v>0</v>
      </c>
      <c r="J6" s="4">
        <v>0</v>
      </c>
      <c r="K6" s="4">
        <v>0</v>
      </c>
    </row>
    <row r="7" spans="1:11" x14ac:dyDescent="0.25">
      <c r="B7" t="s">
        <v>2964</v>
      </c>
      <c r="C7" s="4">
        <v>184661344</v>
      </c>
      <c r="D7" s="4">
        <v>170421613.59999999</v>
      </c>
      <c r="E7" s="4">
        <v>14239730.4</v>
      </c>
      <c r="F7" s="4">
        <v>0</v>
      </c>
      <c r="G7" s="4">
        <v>0</v>
      </c>
      <c r="H7" s="4">
        <v>0</v>
      </c>
      <c r="I7" s="4">
        <v>0</v>
      </c>
      <c r="J7" s="4">
        <v>0</v>
      </c>
      <c r="K7" s="4">
        <v>0</v>
      </c>
    </row>
    <row r="8" spans="1:11" x14ac:dyDescent="0.25">
      <c r="B8" t="s">
        <v>2965</v>
      </c>
      <c r="C8" s="4">
        <v>2262543610.8800001</v>
      </c>
      <c r="D8" s="4">
        <v>914671851.51999998</v>
      </c>
      <c r="E8" s="4">
        <v>155466645.60000002</v>
      </c>
      <c r="F8" s="4">
        <v>330972948.32000005</v>
      </c>
      <c r="G8" s="4">
        <v>17295745.600000001</v>
      </c>
      <c r="H8" s="4">
        <v>379947217.44000006</v>
      </c>
      <c r="I8" s="4">
        <v>0</v>
      </c>
      <c r="J8" s="4">
        <v>464189202.40000004</v>
      </c>
      <c r="K8" s="4">
        <v>0</v>
      </c>
    </row>
    <row r="9" spans="1:11" x14ac:dyDescent="0.25">
      <c r="B9" t="s">
        <v>2966</v>
      </c>
      <c r="C9" s="4">
        <v>0</v>
      </c>
      <c r="D9" s="4">
        <v>0</v>
      </c>
      <c r="E9" s="4">
        <v>0</v>
      </c>
      <c r="F9" s="4">
        <v>0</v>
      </c>
      <c r="G9" s="4">
        <v>0</v>
      </c>
      <c r="H9" s="4">
        <v>0</v>
      </c>
      <c r="I9" s="4">
        <v>0</v>
      </c>
      <c r="J9" s="4">
        <v>0</v>
      </c>
      <c r="K9" s="4">
        <v>0</v>
      </c>
    </row>
    <row r="10" spans="1:11" x14ac:dyDescent="0.25">
      <c r="B10" t="s">
        <v>2967</v>
      </c>
      <c r="C10" s="4">
        <v>672206851.51999998</v>
      </c>
      <c r="D10" s="4">
        <v>375776436.95999998</v>
      </c>
      <c r="E10" s="4">
        <v>296430414.56</v>
      </c>
      <c r="F10" s="4">
        <v>0</v>
      </c>
      <c r="G10" s="4">
        <v>0</v>
      </c>
      <c r="H10" s="4">
        <v>0</v>
      </c>
      <c r="I10" s="4">
        <v>0</v>
      </c>
      <c r="J10" s="4">
        <v>0</v>
      </c>
      <c r="K10" s="4">
        <v>0</v>
      </c>
    </row>
    <row r="11" spans="1:11" x14ac:dyDescent="0.25">
      <c r="B11" t="s">
        <v>2968</v>
      </c>
      <c r="C11" s="4">
        <v>1863090287.1776001</v>
      </c>
      <c r="D11" s="4">
        <v>1140295990.4768</v>
      </c>
      <c r="E11" s="4">
        <v>350080014.29120004</v>
      </c>
      <c r="F11" s="4">
        <v>7675204.3039999995</v>
      </c>
      <c r="G11" s="4">
        <v>0</v>
      </c>
      <c r="H11" s="4">
        <v>0</v>
      </c>
      <c r="I11" s="4">
        <v>116501115.30559999</v>
      </c>
      <c r="J11" s="4">
        <v>248537962.79999998</v>
      </c>
      <c r="K11" s="4">
        <v>0</v>
      </c>
    </row>
    <row r="12" spans="1:11" x14ac:dyDescent="0.25">
      <c r="B12" t="s">
        <v>24</v>
      </c>
      <c r="C12" s="4">
        <v>6514308143.9840002</v>
      </c>
      <c r="D12" s="4">
        <v>136767682.5104</v>
      </c>
      <c r="E12" s="4">
        <v>900205406.64639997</v>
      </c>
      <c r="F12" s="4"/>
      <c r="G12" s="4">
        <v>161078720</v>
      </c>
      <c r="H12" s="4">
        <v>0</v>
      </c>
      <c r="I12" s="4">
        <v>183644172.3168</v>
      </c>
      <c r="J12" s="4"/>
      <c r="K12" s="4">
        <v>0</v>
      </c>
    </row>
    <row r="13" spans="1:11" x14ac:dyDescent="0.25">
      <c r="A13" t="s">
        <v>26</v>
      </c>
      <c r="C13" s="4">
        <v>11634656029.5616</v>
      </c>
      <c r="D13" s="4">
        <v>2737933575.0671997</v>
      </c>
      <c r="E13" s="4">
        <v>1854268003.4976001</v>
      </c>
      <c r="F13" s="4">
        <v>338648152.62400007</v>
      </c>
      <c r="G13" s="4">
        <v>178374465.59999999</v>
      </c>
      <c r="H13" s="4">
        <v>379947217.44000006</v>
      </c>
      <c r="I13" s="4">
        <v>300145287.62239999</v>
      </c>
      <c r="J13" s="4">
        <v>712727165.20000005</v>
      </c>
      <c r="K13" s="4">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tabColor theme="7" tint="-0.249977111117893"/>
  </sheetPr>
  <dimension ref="A1:CI128"/>
  <sheetViews>
    <sheetView topLeftCell="A2" zoomScale="90" zoomScaleNormal="90" workbookViewId="0">
      <pane xSplit="7" ySplit="1" topLeftCell="H81" activePane="bottomRight" state="frozen"/>
      <selection pane="topRight" activeCell="H2" sqref="H2"/>
      <selection pane="bottomLeft" activeCell="A3" sqref="A3"/>
      <selection pane="bottomRight" activeCell="H2" sqref="H2"/>
    </sheetView>
  </sheetViews>
  <sheetFormatPr baseColWidth="10" defaultColWidth="4.7109375" defaultRowHeight="12" outlineLevelCol="1" x14ac:dyDescent="0.2"/>
  <cols>
    <col min="1" max="1" width="6.7109375" style="10" customWidth="1"/>
    <col min="2" max="2" width="29.7109375" style="10" customWidth="1"/>
    <col min="3" max="3" width="15.85546875" style="11" customWidth="1"/>
    <col min="4" max="4" width="19.140625" style="11" customWidth="1"/>
    <col min="5" max="5" width="13.7109375" style="10" customWidth="1"/>
    <col min="6" max="6" width="21.5703125" style="10" customWidth="1"/>
    <col min="7" max="7" width="20.7109375" style="10" customWidth="1"/>
    <col min="8" max="8" width="20" style="12" customWidth="1"/>
    <col min="9" max="9" width="15.5703125" style="12" customWidth="1"/>
    <col min="10" max="10" width="9.140625" style="12" customWidth="1"/>
    <col min="11" max="11" width="19" style="10" customWidth="1"/>
    <col min="12" max="12" width="8.5703125" style="10" customWidth="1"/>
    <col min="13" max="13" width="18.85546875" style="10" customWidth="1"/>
    <col min="14" max="14" width="8.5703125" style="10" customWidth="1"/>
    <col min="15" max="15" width="18.140625" style="13" customWidth="1"/>
    <col min="16" max="16" width="9.85546875" style="10" customWidth="1"/>
    <col min="17" max="17" width="20" style="10" customWidth="1"/>
    <col min="18" max="18" width="8" style="10" customWidth="1"/>
    <col min="19" max="19" width="18.7109375" style="10" customWidth="1"/>
    <col min="20" max="20" width="8.85546875" style="10" customWidth="1"/>
    <col min="21" max="21" width="17.7109375" style="10" customWidth="1"/>
    <col min="22" max="22" width="13.140625" style="10" customWidth="1"/>
    <col min="23" max="23" width="20" style="13" customWidth="1"/>
    <col min="24" max="24" width="9.85546875" style="10" customWidth="1"/>
    <col min="25" max="25" width="16.28515625" style="10" customWidth="1"/>
    <col min="26" max="26" width="12.85546875" style="10" customWidth="1"/>
    <col min="27" max="27" width="16.85546875" style="10" customWidth="1"/>
    <col min="28" max="29" width="4.7109375" style="10"/>
    <col min="30" max="43" width="5.5703125" style="10" customWidth="1" outlineLevel="1"/>
    <col min="44" max="55" width="5.5703125" style="10" customWidth="1"/>
    <col min="56" max="81" width="5.5703125" style="10" customWidth="1" outlineLevel="1"/>
    <col min="82" max="87" width="5.5703125" style="10" customWidth="1"/>
    <col min="88" max="16384" width="4.7109375" style="10"/>
  </cols>
  <sheetData>
    <row r="1" spans="1:87" ht="60" customHeight="1" thickBot="1" x14ac:dyDescent="0.35">
      <c r="AC1" s="14"/>
      <c r="CG1" s="15"/>
      <c r="CH1" s="15"/>
      <c r="CI1" s="15"/>
    </row>
    <row r="2" spans="1:87" ht="81.75" customHeight="1" x14ac:dyDescent="0.2">
      <c r="A2" s="16" t="s">
        <v>2969</v>
      </c>
      <c r="B2" s="17" t="s">
        <v>2970</v>
      </c>
      <c r="C2" s="18" t="s">
        <v>2971</v>
      </c>
      <c r="D2" s="18" t="s">
        <v>2972</v>
      </c>
      <c r="E2" s="18" t="s">
        <v>2973</v>
      </c>
      <c r="F2" s="19" t="s">
        <v>0</v>
      </c>
      <c r="G2" s="19" t="s">
        <v>1</v>
      </c>
      <c r="H2" s="20" t="s">
        <v>2974</v>
      </c>
      <c r="I2" s="20" t="s">
        <v>2975</v>
      </c>
      <c r="J2" s="20" t="s">
        <v>2976</v>
      </c>
      <c r="K2" s="20" t="s">
        <v>2977</v>
      </c>
      <c r="L2" s="20" t="s">
        <v>2978</v>
      </c>
      <c r="M2" s="20" t="s">
        <v>63</v>
      </c>
      <c r="N2" s="20" t="s">
        <v>2979</v>
      </c>
      <c r="O2" s="21" t="s">
        <v>67</v>
      </c>
      <c r="P2" s="20" t="s">
        <v>2980</v>
      </c>
      <c r="Q2" s="20" t="s">
        <v>65</v>
      </c>
      <c r="R2" s="20" t="s">
        <v>2981</v>
      </c>
      <c r="S2" s="20" t="s">
        <v>2982</v>
      </c>
      <c r="T2" s="20" t="s">
        <v>2983</v>
      </c>
      <c r="U2" s="20" t="s">
        <v>57</v>
      </c>
      <c r="V2" s="20" t="s">
        <v>2984</v>
      </c>
      <c r="W2" s="21" t="s">
        <v>2985</v>
      </c>
      <c r="X2" s="20" t="s">
        <v>2986</v>
      </c>
      <c r="Y2" s="20" t="s">
        <v>2987</v>
      </c>
      <c r="Z2" s="20" t="s">
        <v>2988</v>
      </c>
      <c r="AA2" s="22" t="s">
        <v>69</v>
      </c>
      <c r="AD2" s="23" t="s">
        <v>2989</v>
      </c>
      <c r="AE2" s="24" t="s">
        <v>2990</v>
      </c>
      <c r="AF2" s="24" t="s">
        <v>2991</v>
      </c>
      <c r="AG2" s="24" t="s">
        <v>2992</v>
      </c>
      <c r="AH2" s="24" t="s">
        <v>2993</v>
      </c>
      <c r="AI2" s="24" t="s">
        <v>2994</v>
      </c>
      <c r="AJ2" s="24" t="s">
        <v>2995</v>
      </c>
      <c r="AK2" s="24" t="s">
        <v>2996</v>
      </c>
      <c r="AL2" s="24" t="s">
        <v>2997</v>
      </c>
      <c r="AM2" s="24" t="s">
        <v>2998</v>
      </c>
      <c r="AN2" s="24" t="s">
        <v>2999</v>
      </c>
      <c r="AO2" s="24" t="s">
        <v>3000</v>
      </c>
      <c r="AP2" s="24" t="s">
        <v>3001</v>
      </c>
      <c r="AQ2" s="24" t="s">
        <v>3002</v>
      </c>
      <c r="AR2" s="25" t="s">
        <v>3003</v>
      </c>
      <c r="AS2" s="26" t="s">
        <v>3004</v>
      </c>
      <c r="AT2" s="26" t="s">
        <v>3005</v>
      </c>
      <c r="AU2" s="26" t="s">
        <v>3006</v>
      </c>
      <c r="AV2" s="26" t="s">
        <v>3007</v>
      </c>
      <c r="AW2" s="26" t="s">
        <v>3008</v>
      </c>
      <c r="AX2" s="25" t="s">
        <v>3009</v>
      </c>
      <c r="AY2" s="25" t="s">
        <v>3010</v>
      </c>
      <c r="AZ2" s="25" t="s">
        <v>3011</v>
      </c>
      <c r="BA2" s="25" t="s">
        <v>3012</v>
      </c>
      <c r="BB2" s="25" t="s">
        <v>3013</v>
      </c>
      <c r="BC2" s="25" t="s">
        <v>3014</v>
      </c>
      <c r="BD2" s="27" t="s">
        <v>3015</v>
      </c>
      <c r="BE2" s="27" t="s">
        <v>3016</v>
      </c>
      <c r="BF2" s="27" t="s">
        <v>3017</v>
      </c>
      <c r="BG2" s="27" t="s">
        <v>3018</v>
      </c>
      <c r="BH2" s="27" t="s">
        <v>3019</v>
      </c>
      <c r="BI2" s="27" t="s">
        <v>3020</v>
      </c>
      <c r="BJ2" s="27" t="s">
        <v>3021</v>
      </c>
      <c r="BK2" s="27" t="s">
        <v>3022</v>
      </c>
      <c r="BL2" s="27" t="s">
        <v>3023</v>
      </c>
      <c r="BM2" s="27" t="s">
        <v>3024</v>
      </c>
      <c r="BN2" s="27" t="s">
        <v>3025</v>
      </c>
      <c r="BO2" s="27" t="s">
        <v>3026</v>
      </c>
      <c r="BP2" s="27" t="s">
        <v>3027</v>
      </c>
      <c r="BQ2" s="27" t="s">
        <v>3028</v>
      </c>
      <c r="BR2" s="27" t="s">
        <v>3029</v>
      </c>
      <c r="BS2" s="27" t="s">
        <v>3030</v>
      </c>
      <c r="BT2" s="27" t="s">
        <v>3031</v>
      </c>
      <c r="BU2" s="27" t="s">
        <v>3032</v>
      </c>
      <c r="BV2" s="27" t="s">
        <v>3033</v>
      </c>
      <c r="BW2" s="27" t="s">
        <v>3034</v>
      </c>
      <c r="BX2" s="27" t="s">
        <v>3035</v>
      </c>
      <c r="BY2" s="27" t="s">
        <v>3036</v>
      </c>
      <c r="BZ2" s="27" t="s">
        <v>3037</v>
      </c>
      <c r="CA2" s="27" t="s">
        <v>3038</v>
      </c>
      <c r="CB2" s="27" t="s">
        <v>3039</v>
      </c>
      <c r="CC2" s="27" t="s">
        <v>3040</v>
      </c>
      <c r="CD2" s="25" t="s">
        <v>3041</v>
      </c>
      <c r="CE2" s="110" t="s">
        <v>3042</v>
      </c>
      <c r="CF2" s="28" t="s">
        <v>3043</v>
      </c>
      <c r="CG2" s="29" t="s">
        <v>3044</v>
      </c>
      <c r="CH2" s="29" t="s">
        <v>3045</v>
      </c>
      <c r="CI2" s="30" t="s">
        <v>3046</v>
      </c>
    </row>
    <row r="3" spans="1:87" ht="14.25" x14ac:dyDescent="0.2">
      <c r="A3" s="31">
        <v>1</v>
      </c>
      <c r="B3" s="32" t="s">
        <v>3047</v>
      </c>
      <c r="C3" s="33"/>
      <c r="D3" s="33"/>
      <c r="E3" s="34">
        <f t="shared" ref="E3:E34" si="0">SUM(J3+L3+N3+P3+R3+T3+V3+X3+Z3)</f>
        <v>2</v>
      </c>
      <c r="F3" s="35" t="s">
        <v>11</v>
      </c>
      <c r="G3" s="36"/>
      <c r="H3" s="37">
        <v>16829120</v>
      </c>
      <c r="I3" s="38">
        <f t="shared" ref="I3:I34" si="1">IFERROR(E3*H3," ")</f>
        <v>33658240</v>
      </c>
      <c r="J3" s="39">
        <f t="shared" ref="J3:J34" si="2">+SUM(AD3:AQ3)</f>
        <v>0</v>
      </c>
      <c r="K3" s="40">
        <f t="shared" ref="K3:K34" si="3">+H3*J3</f>
        <v>0</v>
      </c>
      <c r="L3" s="39">
        <f t="shared" ref="L3:L34" si="4">SUM(AS3:AW3)</f>
        <v>2</v>
      </c>
      <c r="M3" s="40">
        <f t="shared" ref="M3:M34" si="5">IFERROR(L3*H3," ")</f>
        <v>33658240</v>
      </c>
      <c r="N3" s="41">
        <f t="shared" ref="N3:N34" si="6">AR3</f>
        <v>0</v>
      </c>
      <c r="O3" s="42"/>
      <c r="P3" s="41">
        <f t="shared" ref="P3:P34" si="7">SUM(AX3:BC3)</f>
        <v>0</v>
      </c>
      <c r="Q3" s="42">
        <f t="shared" ref="Q3:Q34" si="8">IFERROR(P3*H3," ")</f>
        <v>0</v>
      </c>
      <c r="R3" s="43">
        <f t="shared" ref="R3:R34" si="9">SUM(BD3:CC3)</f>
        <v>0</v>
      </c>
      <c r="S3" s="42">
        <f t="shared" ref="S3:S34" si="10">IFERROR(R3*H3," ")</f>
        <v>0</v>
      </c>
      <c r="T3" s="41">
        <f>SUM(Tabla2[[#This Row],[LNDV ]:[LNDV UND REF]])</f>
        <v>0</v>
      </c>
      <c r="U3" s="42">
        <f t="shared" ref="U3:U34" si="11">IFERROR(T3*H3," ")</f>
        <v>0</v>
      </c>
      <c r="V3" s="41">
        <f t="shared" ref="V3:V34" si="12">CF3</f>
        <v>0</v>
      </c>
      <c r="W3" s="42"/>
      <c r="X3" s="41">
        <f t="shared" ref="X3:X34" si="13">SUM(CG3:CH3)</f>
        <v>0</v>
      </c>
      <c r="Y3" s="40"/>
      <c r="Z3" s="44">
        <f t="shared" ref="Z3:Z34" si="14">CI3</f>
        <v>0</v>
      </c>
      <c r="AA3" s="35">
        <f t="shared" ref="AA3:AA34" si="15">+Z3*H3</f>
        <v>0</v>
      </c>
      <c r="AD3" s="31"/>
      <c r="AE3" s="45"/>
      <c r="AF3" s="45"/>
      <c r="AG3" s="45"/>
      <c r="AH3" s="45"/>
      <c r="AI3" s="45"/>
      <c r="AJ3" s="45"/>
      <c r="AK3" s="45"/>
      <c r="AL3" s="45"/>
      <c r="AM3" s="45"/>
      <c r="AN3" s="45"/>
      <c r="AO3" s="45"/>
      <c r="AP3" s="45"/>
      <c r="AQ3" s="45"/>
      <c r="AR3" s="45"/>
      <c r="AS3" s="45">
        <v>1</v>
      </c>
      <c r="AT3" s="45">
        <v>1</v>
      </c>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6"/>
      <c r="CF3" s="46"/>
      <c r="CG3" s="45"/>
      <c r="CH3" s="15"/>
      <c r="CI3" s="47"/>
    </row>
    <row r="4" spans="1:87" ht="28.5" x14ac:dyDescent="0.2">
      <c r="A4" s="31">
        <v>2</v>
      </c>
      <c r="B4" s="32" t="s">
        <v>3048</v>
      </c>
      <c r="C4" s="48"/>
      <c r="D4" s="48"/>
      <c r="E4" s="34">
        <f t="shared" si="0"/>
        <v>1</v>
      </c>
      <c r="F4" s="35" t="s">
        <v>11</v>
      </c>
      <c r="G4" s="36"/>
      <c r="H4" s="37">
        <v>24041600</v>
      </c>
      <c r="I4" s="38">
        <f t="shared" si="1"/>
        <v>24041600</v>
      </c>
      <c r="J4" s="39">
        <f t="shared" si="2"/>
        <v>0</v>
      </c>
      <c r="K4" s="40">
        <f t="shared" si="3"/>
        <v>0</v>
      </c>
      <c r="L4" s="39">
        <f t="shared" si="4"/>
        <v>0</v>
      </c>
      <c r="M4" s="40">
        <f t="shared" si="5"/>
        <v>0</v>
      </c>
      <c r="N4" s="41">
        <f t="shared" si="6"/>
        <v>0</v>
      </c>
      <c r="O4" s="42"/>
      <c r="P4" s="41">
        <f t="shared" si="7"/>
        <v>0</v>
      </c>
      <c r="Q4" s="42">
        <f t="shared" si="8"/>
        <v>0</v>
      </c>
      <c r="R4" s="43">
        <f t="shared" si="9"/>
        <v>0</v>
      </c>
      <c r="S4" s="42">
        <f t="shared" si="10"/>
        <v>0</v>
      </c>
      <c r="T4" s="41">
        <f>SUM(Tabla2[[#This Row],[LNDV ]:[LNDV UND REF]])</f>
        <v>0</v>
      </c>
      <c r="U4" s="42">
        <f t="shared" si="11"/>
        <v>0</v>
      </c>
      <c r="V4" s="41">
        <f t="shared" si="12"/>
        <v>1</v>
      </c>
      <c r="W4" s="42"/>
      <c r="X4" s="41">
        <f t="shared" si="13"/>
        <v>0</v>
      </c>
      <c r="Y4" s="40"/>
      <c r="Z4" s="44">
        <f t="shared" si="14"/>
        <v>0</v>
      </c>
      <c r="AA4" s="35">
        <f t="shared" si="15"/>
        <v>0</v>
      </c>
      <c r="AD4" s="31"/>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6"/>
      <c r="CF4" s="46">
        <v>1</v>
      </c>
      <c r="CG4" s="45"/>
      <c r="CH4" s="15"/>
      <c r="CI4" s="47"/>
    </row>
    <row r="5" spans="1:87" ht="24" x14ac:dyDescent="0.2">
      <c r="A5" s="31">
        <v>3</v>
      </c>
      <c r="B5" s="32" t="s">
        <v>3049</v>
      </c>
      <c r="C5" s="49" t="s">
        <v>3050</v>
      </c>
      <c r="D5" s="49" t="s">
        <v>3051</v>
      </c>
      <c r="E5" s="34">
        <f t="shared" si="0"/>
        <v>3</v>
      </c>
      <c r="F5" s="35" t="s">
        <v>11</v>
      </c>
      <c r="G5" s="36" t="s">
        <v>2965</v>
      </c>
      <c r="H5" s="37">
        <v>3641209.6</v>
      </c>
      <c r="I5" s="38">
        <f t="shared" si="1"/>
        <v>10923628.800000001</v>
      </c>
      <c r="J5" s="39">
        <f t="shared" si="2"/>
        <v>2</v>
      </c>
      <c r="K5" s="40">
        <f t="shared" si="3"/>
        <v>7282419.2000000002</v>
      </c>
      <c r="L5" s="39">
        <f t="shared" si="4"/>
        <v>0</v>
      </c>
      <c r="M5" s="40">
        <f t="shared" si="5"/>
        <v>0</v>
      </c>
      <c r="N5" s="41">
        <f t="shared" si="6"/>
        <v>0</v>
      </c>
      <c r="O5" s="42">
        <f>IFERROR(N5*H5," ")</f>
        <v>0</v>
      </c>
      <c r="P5" s="41">
        <f t="shared" si="7"/>
        <v>0</v>
      </c>
      <c r="Q5" s="42">
        <f t="shared" si="8"/>
        <v>0</v>
      </c>
      <c r="R5" s="43">
        <f t="shared" si="9"/>
        <v>1</v>
      </c>
      <c r="S5" s="42">
        <f t="shared" si="10"/>
        <v>3641209.6</v>
      </c>
      <c r="T5" s="41">
        <f>SUM(Tabla2[[#This Row],[LNDV ]:[LNDV UND REF]])</f>
        <v>0</v>
      </c>
      <c r="U5" s="42">
        <f t="shared" si="11"/>
        <v>0</v>
      </c>
      <c r="V5" s="50">
        <f t="shared" si="12"/>
        <v>0</v>
      </c>
      <c r="W5" s="42">
        <f>IFERROR(V5*H5," ")</f>
        <v>0</v>
      </c>
      <c r="X5" s="41">
        <f t="shared" si="13"/>
        <v>0</v>
      </c>
      <c r="Y5" s="40">
        <f>IFERROR(X5*H5," ")</f>
        <v>0</v>
      </c>
      <c r="Z5" s="44">
        <f t="shared" si="14"/>
        <v>0</v>
      </c>
      <c r="AA5" s="35">
        <f t="shared" si="15"/>
        <v>0</v>
      </c>
      <c r="AD5" s="31"/>
      <c r="AE5" s="45"/>
      <c r="AF5" s="45"/>
      <c r="AG5" s="45"/>
      <c r="AH5" s="45"/>
      <c r="AI5" s="45"/>
      <c r="AJ5" s="45">
        <v>1</v>
      </c>
      <c r="AK5" s="45">
        <v>1</v>
      </c>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v>1</v>
      </c>
      <c r="BU5" s="45"/>
      <c r="BV5" s="45"/>
      <c r="BW5" s="45"/>
      <c r="BX5" s="45"/>
      <c r="BY5" s="45"/>
      <c r="BZ5" s="45"/>
      <c r="CA5" s="45"/>
      <c r="CB5" s="45"/>
      <c r="CC5" s="45"/>
      <c r="CD5" s="45"/>
      <c r="CE5" s="46"/>
      <c r="CF5" s="46"/>
      <c r="CG5" s="45"/>
      <c r="CH5" s="15"/>
      <c r="CI5" s="47"/>
    </row>
    <row r="6" spans="1:87" ht="28.5" x14ac:dyDescent="0.2">
      <c r="A6" s="31">
        <v>4</v>
      </c>
      <c r="B6" s="51" t="s">
        <v>3052</v>
      </c>
      <c r="C6" s="49" t="s">
        <v>3053</v>
      </c>
      <c r="D6" s="49" t="s">
        <v>3054</v>
      </c>
      <c r="E6" s="34">
        <f t="shared" si="0"/>
        <v>4</v>
      </c>
      <c r="F6" s="35" t="s">
        <v>11</v>
      </c>
      <c r="G6" s="36" t="s">
        <v>2965</v>
      </c>
      <c r="H6" s="37">
        <v>154361278.40000001</v>
      </c>
      <c r="I6" s="38">
        <f t="shared" si="1"/>
        <v>617445113.60000002</v>
      </c>
      <c r="J6" s="39">
        <f t="shared" si="2"/>
        <v>2</v>
      </c>
      <c r="K6" s="40">
        <f t="shared" si="3"/>
        <v>308722556.80000001</v>
      </c>
      <c r="L6" s="39">
        <f t="shared" si="4"/>
        <v>0</v>
      </c>
      <c r="M6" s="40">
        <f t="shared" si="5"/>
        <v>0</v>
      </c>
      <c r="N6" s="41">
        <f t="shared" si="6"/>
        <v>0</v>
      </c>
      <c r="O6" s="42">
        <f>IFERROR(N6*H6," ")</f>
        <v>0</v>
      </c>
      <c r="P6" s="41">
        <f t="shared" si="7"/>
        <v>0</v>
      </c>
      <c r="Q6" s="42">
        <f t="shared" si="8"/>
        <v>0</v>
      </c>
      <c r="R6" s="43">
        <f t="shared" si="9"/>
        <v>0</v>
      </c>
      <c r="S6" s="42">
        <f t="shared" si="10"/>
        <v>0</v>
      </c>
      <c r="T6" s="41">
        <f>SUM(Tabla2[[#This Row],[LNDV ]:[LNDV UND REF]])</f>
        <v>0</v>
      </c>
      <c r="U6" s="42">
        <f t="shared" si="11"/>
        <v>0</v>
      </c>
      <c r="V6" s="41">
        <f t="shared" si="12"/>
        <v>2</v>
      </c>
      <c r="W6" s="42">
        <f>IFERROR(V6*H6," ")</f>
        <v>308722556.80000001</v>
      </c>
      <c r="X6" s="41">
        <f t="shared" si="13"/>
        <v>0</v>
      </c>
      <c r="Y6" s="40">
        <f>IFERROR(X6*H6," ")</f>
        <v>0</v>
      </c>
      <c r="Z6" s="44">
        <f t="shared" si="14"/>
        <v>0</v>
      </c>
      <c r="AA6" s="35">
        <f t="shared" si="15"/>
        <v>0</v>
      </c>
      <c r="AD6" s="31"/>
      <c r="AE6" s="45"/>
      <c r="AF6" s="45">
        <v>1</v>
      </c>
      <c r="AG6" s="45"/>
      <c r="AH6" s="45"/>
      <c r="AI6" s="45"/>
      <c r="AJ6" s="45"/>
      <c r="AK6" s="45"/>
      <c r="AL6" s="45"/>
      <c r="AM6" s="45">
        <v>1</v>
      </c>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6"/>
      <c r="CF6" s="46">
        <v>2</v>
      </c>
      <c r="CG6" s="45"/>
      <c r="CH6" s="15"/>
      <c r="CI6" s="47"/>
    </row>
    <row r="7" spans="1:87" ht="28.5" x14ac:dyDescent="0.2">
      <c r="A7" s="31">
        <v>5</v>
      </c>
      <c r="B7" s="32" t="s">
        <v>3055</v>
      </c>
      <c r="C7" s="48"/>
      <c r="D7" s="48"/>
      <c r="E7" s="34">
        <f t="shared" si="0"/>
        <v>0</v>
      </c>
      <c r="F7" s="35" t="s">
        <v>11</v>
      </c>
      <c r="G7" s="36"/>
      <c r="H7" s="37">
        <v>74528960</v>
      </c>
      <c r="I7" s="38">
        <f t="shared" si="1"/>
        <v>0</v>
      </c>
      <c r="J7" s="39">
        <f t="shared" si="2"/>
        <v>0</v>
      </c>
      <c r="K7" s="40">
        <f t="shared" si="3"/>
        <v>0</v>
      </c>
      <c r="L7" s="39">
        <f t="shared" si="4"/>
        <v>0</v>
      </c>
      <c r="M7" s="40">
        <f t="shared" si="5"/>
        <v>0</v>
      </c>
      <c r="N7" s="41">
        <f t="shared" si="6"/>
        <v>0</v>
      </c>
      <c r="O7" s="42"/>
      <c r="P7" s="41">
        <f t="shared" si="7"/>
        <v>0</v>
      </c>
      <c r="Q7" s="42">
        <f t="shared" si="8"/>
        <v>0</v>
      </c>
      <c r="R7" s="43">
        <f t="shared" si="9"/>
        <v>0</v>
      </c>
      <c r="S7" s="42">
        <f t="shared" si="10"/>
        <v>0</v>
      </c>
      <c r="T7" s="41">
        <f>SUM(Tabla2[[#This Row],[LNDV ]:[LNDV UND REF]])</f>
        <v>0</v>
      </c>
      <c r="U7" s="42">
        <f t="shared" si="11"/>
        <v>0</v>
      </c>
      <c r="V7" s="41">
        <f t="shared" si="12"/>
        <v>0</v>
      </c>
      <c r="W7" s="42"/>
      <c r="X7" s="41">
        <f t="shared" si="13"/>
        <v>0</v>
      </c>
      <c r="Y7" s="40"/>
      <c r="Z7" s="44">
        <f t="shared" si="14"/>
        <v>0</v>
      </c>
      <c r="AA7" s="35">
        <f t="shared" si="15"/>
        <v>0</v>
      </c>
      <c r="AD7" s="31"/>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c r="BU7" s="45"/>
      <c r="BV7" s="45"/>
      <c r="BW7" s="45"/>
      <c r="BX7" s="45"/>
      <c r="BY7" s="45"/>
      <c r="BZ7" s="45"/>
      <c r="CA7" s="45"/>
      <c r="CB7" s="45"/>
      <c r="CC7" s="45"/>
      <c r="CD7" s="45"/>
      <c r="CE7" s="46"/>
      <c r="CF7" s="46"/>
      <c r="CG7" s="45"/>
      <c r="CH7" s="15"/>
      <c r="CI7" s="47"/>
    </row>
    <row r="8" spans="1:87" ht="14.25" x14ac:dyDescent="0.2">
      <c r="A8" s="31">
        <v>6</v>
      </c>
      <c r="B8" s="32" t="s">
        <v>3056</v>
      </c>
      <c r="C8" s="48"/>
      <c r="D8" s="48"/>
      <c r="E8" s="34">
        <f t="shared" si="0"/>
        <v>0</v>
      </c>
      <c r="F8" s="35" t="s">
        <v>11</v>
      </c>
      <c r="G8" s="36"/>
      <c r="H8" s="37">
        <v>2404160</v>
      </c>
      <c r="I8" s="38">
        <f t="shared" si="1"/>
        <v>0</v>
      </c>
      <c r="J8" s="39">
        <f t="shared" si="2"/>
        <v>0</v>
      </c>
      <c r="K8" s="40">
        <f t="shared" si="3"/>
        <v>0</v>
      </c>
      <c r="L8" s="39">
        <f t="shared" si="4"/>
        <v>0</v>
      </c>
      <c r="M8" s="40">
        <f t="shared" si="5"/>
        <v>0</v>
      </c>
      <c r="N8" s="41">
        <f t="shared" si="6"/>
        <v>0</v>
      </c>
      <c r="O8" s="42"/>
      <c r="P8" s="41">
        <f t="shared" si="7"/>
        <v>0</v>
      </c>
      <c r="Q8" s="42">
        <f t="shared" si="8"/>
        <v>0</v>
      </c>
      <c r="R8" s="43">
        <f t="shared" si="9"/>
        <v>0</v>
      </c>
      <c r="S8" s="42">
        <f t="shared" si="10"/>
        <v>0</v>
      </c>
      <c r="T8" s="41">
        <f>SUM(Tabla2[[#This Row],[LNDV ]:[LNDV UND REF]])</f>
        <v>0</v>
      </c>
      <c r="U8" s="42">
        <f t="shared" si="11"/>
        <v>0</v>
      </c>
      <c r="V8" s="41">
        <f t="shared" si="12"/>
        <v>0</v>
      </c>
      <c r="W8" s="42"/>
      <c r="X8" s="41">
        <f t="shared" si="13"/>
        <v>0</v>
      </c>
      <c r="Y8" s="40"/>
      <c r="Z8" s="44">
        <f t="shared" si="14"/>
        <v>0</v>
      </c>
      <c r="AA8" s="35">
        <f t="shared" si="15"/>
        <v>0</v>
      </c>
      <c r="AD8" s="31"/>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6"/>
      <c r="CF8" s="46"/>
      <c r="CG8" s="45"/>
      <c r="CH8" s="15"/>
      <c r="CI8" s="47"/>
    </row>
    <row r="9" spans="1:87" ht="24" x14ac:dyDescent="0.2">
      <c r="A9" s="31">
        <v>7</v>
      </c>
      <c r="B9" s="52" t="s">
        <v>3057</v>
      </c>
      <c r="C9" s="49" t="s">
        <v>3058</v>
      </c>
      <c r="D9" s="49" t="s">
        <v>3059</v>
      </c>
      <c r="E9" s="34">
        <f t="shared" si="0"/>
        <v>1</v>
      </c>
      <c r="F9" s="35" t="s">
        <v>11</v>
      </c>
      <c r="G9" s="36" t="s">
        <v>2965</v>
      </c>
      <c r="H9" s="37">
        <v>18076004.800000001</v>
      </c>
      <c r="I9" s="38">
        <f t="shared" si="1"/>
        <v>18076004.800000001</v>
      </c>
      <c r="J9" s="39">
        <f t="shared" si="2"/>
        <v>1</v>
      </c>
      <c r="K9" s="40">
        <f t="shared" si="3"/>
        <v>18076004.800000001</v>
      </c>
      <c r="L9" s="39">
        <f t="shared" si="4"/>
        <v>0</v>
      </c>
      <c r="M9" s="40">
        <f t="shared" si="5"/>
        <v>0</v>
      </c>
      <c r="N9" s="41">
        <f t="shared" si="6"/>
        <v>0</v>
      </c>
      <c r="O9" s="42">
        <f>IFERROR(N9*H9," ")</f>
        <v>0</v>
      </c>
      <c r="P9" s="41">
        <f t="shared" si="7"/>
        <v>0</v>
      </c>
      <c r="Q9" s="42">
        <f t="shared" si="8"/>
        <v>0</v>
      </c>
      <c r="R9" s="43">
        <f t="shared" si="9"/>
        <v>0</v>
      </c>
      <c r="S9" s="42">
        <f t="shared" si="10"/>
        <v>0</v>
      </c>
      <c r="T9" s="41">
        <f>SUM(Tabla2[[#This Row],[LNDV ]:[LNDV UND REF]])</f>
        <v>0</v>
      </c>
      <c r="U9" s="42">
        <f t="shared" si="11"/>
        <v>0</v>
      </c>
      <c r="V9" s="41">
        <f t="shared" si="12"/>
        <v>0</v>
      </c>
      <c r="W9" s="42">
        <f>IFERROR(V9*H9," ")</f>
        <v>0</v>
      </c>
      <c r="X9" s="41">
        <f t="shared" si="13"/>
        <v>0</v>
      </c>
      <c r="Y9" s="40">
        <f>IFERROR(X9*H9," ")</f>
        <v>0</v>
      </c>
      <c r="Z9" s="44">
        <f t="shared" si="14"/>
        <v>0</v>
      </c>
      <c r="AA9" s="35">
        <f t="shared" si="15"/>
        <v>0</v>
      </c>
      <c r="AD9" s="31"/>
      <c r="AE9" s="45"/>
      <c r="AF9" s="45"/>
      <c r="AG9" s="45"/>
      <c r="AH9" s="45"/>
      <c r="AI9" s="45"/>
      <c r="AJ9" s="45">
        <v>1</v>
      </c>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c r="BU9" s="45"/>
      <c r="BV9" s="45"/>
      <c r="BW9" s="45"/>
      <c r="BX9" s="45"/>
      <c r="BY9" s="45"/>
      <c r="BZ9" s="45"/>
      <c r="CA9" s="45"/>
      <c r="CB9" s="45"/>
      <c r="CC9" s="45"/>
      <c r="CD9" s="45"/>
      <c r="CE9" s="46"/>
      <c r="CF9" s="46"/>
      <c r="CG9" s="45"/>
      <c r="CH9" s="15"/>
      <c r="CI9" s="47"/>
    </row>
    <row r="10" spans="1:87" ht="14.25" x14ac:dyDescent="0.2">
      <c r="A10" s="31">
        <v>8</v>
      </c>
      <c r="B10" s="32" t="s">
        <v>3060</v>
      </c>
      <c r="C10" s="48"/>
      <c r="D10" s="48"/>
      <c r="E10" s="34">
        <f t="shared" si="0"/>
        <v>1</v>
      </c>
      <c r="F10" s="35" t="s">
        <v>11</v>
      </c>
      <c r="G10" s="36"/>
      <c r="H10" s="37">
        <v>36062400</v>
      </c>
      <c r="I10" s="38">
        <f t="shared" si="1"/>
        <v>36062400</v>
      </c>
      <c r="J10" s="39">
        <f t="shared" si="2"/>
        <v>0</v>
      </c>
      <c r="K10" s="40">
        <f t="shared" si="3"/>
        <v>0</v>
      </c>
      <c r="L10" s="39">
        <f t="shared" si="4"/>
        <v>1</v>
      </c>
      <c r="M10" s="40">
        <f t="shared" si="5"/>
        <v>36062400</v>
      </c>
      <c r="N10" s="41">
        <f t="shared" si="6"/>
        <v>0</v>
      </c>
      <c r="O10" s="42"/>
      <c r="P10" s="41">
        <f t="shared" si="7"/>
        <v>0</v>
      </c>
      <c r="Q10" s="42">
        <f t="shared" si="8"/>
        <v>0</v>
      </c>
      <c r="R10" s="43">
        <f t="shared" si="9"/>
        <v>0</v>
      </c>
      <c r="S10" s="42">
        <f t="shared" si="10"/>
        <v>0</v>
      </c>
      <c r="T10" s="41">
        <f>SUM(Tabla2[[#This Row],[LNDV ]:[LNDV UND REF]])</f>
        <v>0</v>
      </c>
      <c r="U10" s="42">
        <f t="shared" si="11"/>
        <v>0</v>
      </c>
      <c r="V10" s="41">
        <f t="shared" si="12"/>
        <v>0</v>
      </c>
      <c r="W10" s="42"/>
      <c r="X10" s="41">
        <f t="shared" si="13"/>
        <v>0</v>
      </c>
      <c r="Y10" s="40"/>
      <c r="Z10" s="44">
        <f t="shared" si="14"/>
        <v>0</v>
      </c>
      <c r="AA10" s="35">
        <f t="shared" si="15"/>
        <v>0</v>
      </c>
      <c r="AD10" s="31"/>
      <c r="AE10" s="45"/>
      <c r="AF10" s="45"/>
      <c r="AG10" s="45"/>
      <c r="AH10" s="45"/>
      <c r="AI10" s="45"/>
      <c r="AJ10" s="45"/>
      <c r="AK10" s="45"/>
      <c r="AL10" s="45"/>
      <c r="AM10" s="45"/>
      <c r="AN10" s="45"/>
      <c r="AO10" s="45"/>
      <c r="AP10" s="45"/>
      <c r="AQ10" s="45"/>
      <c r="AR10" s="45"/>
      <c r="AS10" s="45"/>
      <c r="AT10" s="45">
        <v>1</v>
      </c>
      <c r="AU10" s="45"/>
      <c r="AV10" s="45"/>
      <c r="AW10" s="45"/>
      <c r="AX10" s="45"/>
      <c r="AY10" s="45"/>
      <c r="AZ10" s="45"/>
      <c r="BA10" s="45"/>
      <c r="BB10" s="45"/>
      <c r="BC10" s="45"/>
      <c r="BD10" s="45"/>
      <c r="BE10" s="45"/>
      <c r="BF10" s="45"/>
      <c r="BG10" s="45"/>
      <c r="BH10" s="45"/>
      <c r="BI10" s="45"/>
      <c r="BJ10" s="45"/>
      <c r="BK10" s="45"/>
      <c r="BL10" s="45"/>
      <c r="BM10" s="45"/>
      <c r="BN10" s="45"/>
      <c r="BO10" s="45"/>
      <c r="BP10" s="45"/>
      <c r="BQ10" s="45"/>
      <c r="BR10" s="45"/>
      <c r="BS10" s="45"/>
      <c r="BT10" s="45"/>
      <c r="BU10" s="45"/>
      <c r="BV10" s="45"/>
      <c r="BW10" s="45"/>
      <c r="BX10" s="45"/>
      <c r="BY10" s="45"/>
      <c r="BZ10" s="45"/>
      <c r="CA10" s="45"/>
      <c r="CB10" s="45"/>
      <c r="CC10" s="45"/>
      <c r="CD10" s="45"/>
      <c r="CE10" s="46"/>
      <c r="CF10" s="46"/>
      <c r="CG10" s="45"/>
      <c r="CH10" s="15"/>
      <c r="CI10" s="47"/>
    </row>
    <row r="11" spans="1:87" ht="14.25" x14ac:dyDescent="0.2">
      <c r="A11" s="31">
        <v>9</v>
      </c>
      <c r="B11" s="32" t="s">
        <v>3061</v>
      </c>
      <c r="C11" s="48"/>
      <c r="D11" s="48"/>
      <c r="E11" s="34">
        <f t="shared" si="0"/>
        <v>0</v>
      </c>
      <c r="F11" s="35" t="s">
        <v>11</v>
      </c>
      <c r="G11" s="36"/>
      <c r="H11" s="37">
        <v>27647840</v>
      </c>
      <c r="I11" s="38">
        <f t="shared" si="1"/>
        <v>0</v>
      </c>
      <c r="J11" s="39">
        <f t="shared" si="2"/>
        <v>0</v>
      </c>
      <c r="K11" s="40">
        <f t="shared" si="3"/>
        <v>0</v>
      </c>
      <c r="L11" s="39">
        <f t="shared" si="4"/>
        <v>0</v>
      </c>
      <c r="M11" s="40">
        <f t="shared" si="5"/>
        <v>0</v>
      </c>
      <c r="N11" s="41">
        <f t="shared" si="6"/>
        <v>0</v>
      </c>
      <c r="O11" s="42"/>
      <c r="P11" s="41">
        <f t="shared" si="7"/>
        <v>0</v>
      </c>
      <c r="Q11" s="42">
        <f t="shared" si="8"/>
        <v>0</v>
      </c>
      <c r="R11" s="43">
        <f t="shared" si="9"/>
        <v>0</v>
      </c>
      <c r="S11" s="42">
        <f t="shared" si="10"/>
        <v>0</v>
      </c>
      <c r="T11" s="41">
        <f>SUM(Tabla2[[#This Row],[LNDV ]:[LNDV UND REF]])</f>
        <v>0</v>
      </c>
      <c r="U11" s="42">
        <f t="shared" si="11"/>
        <v>0</v>
      </c>
      <c r="V11" s="41">
        <f t="shared" si="12"/>
        <v>0</v>
      </c>
      <c r="W11" s="42"/>
      <c r="X11" s="41">
        <f t="shared" si="13"/>
        <v>0</v>
      </c>
      <c r="Y11" s="40"/>
      <c r="Z11" s="44">
        <f t="shared" si="14"/>
        <v>0</v>
      </c>
      <c r="AA11" s="35">
        <f t="shared" si="15"/>
        <v>0</v>
      </c>
      <c r="AD11" s="31"/>
      <c r="AE11" s="45"/>
      <c r="AF11" s="45"/>
      <c r="AG11" s="45"/>
      <c r="AH11" s="45"/>
      <c r="AI11" s="45"/>
      <c r="AJ11" s="45"/>
      <c r="AK11" s="45"/>
      <c r="AL11" s="45"/>
      <c r="AM11" s="45"/>
      <c r="AN11" s="45"/>
      <c r="AO11" s="45"/>
      <c r="AP11" s="45"/>
      <c r="AQ11" s="45"/>
      <c r="AR11" s="45"/>
      <c r="AS11" s="45"/>
      <c r="AT11" s="45"/>
      <c r="AU11" s="45"/>
      <c r="AV11" s="45"/>
      <c r="AW11" s="45"/>
      <c r="AX11" s="45"/>
      <c r="AY11" s="45"/>
      <c r="AZ11" s="45"/>
      <c r="BA11" s="45"/>
      <c r="BB11" s="45"/>
      <c r="BC11" s="45"/>
      <c r="BD11" s="45"/>
      <c r="BE11" s="45"/>
      <c r="BF11" s="45"/>
      <c r="BG11" s="45"/>
      <c r="BH11" s="45"/>
      <c r="BI11" s="45"/>
      <c r="BJ11" s="45"/>
      <c r="BK11" s="45"/>
      <c r="BL11" s="45"/>
      <c r="BM11" s="45"/>
      <c r="BN11" s="45"/>
      <c r="BO11" s="45"/>
      <c r="BP11" s="45"/>
      <c r="BQ11" s="45"/>
      <c r="BR11" s="45"/>
      <c r="BS11" s="45"/>
      <c r="BT11" s="45"/>
      <c r="BU11" s="45"/>
      <c r="BV11" s="45"/>
      <c r="BW11" s="45"/>
      <c r="BX11" s="45"/>
      <c r="BY11" s="45"/>
      <c r="BZ11" s="45"/>
      <c r="CA11" s="45"/>
      <c r="CB11" s="45"/>
      <c r="CC11" s="45"/>
      <c r="CD11" s="45"/>
      <c r="CE11" s="46"/>
      <c r="CF11" s="46"/>
      <c r="CG11" s="45"/>
      <c r="CH11" s="15"/>
      <c r="CI11" s="47"/>
    </row>
    <row r="12" spans="1:87" ht="28.5" x14ac:dyDescent="0.2">
      <c r="A12" s="31">
        <v>10</v>
      </c>
      <c r="B12" s="32" t="s">
        <v>3062</v>
      </c>
      <c r="C12" s="53" t="s">
        <v>3058</v>
      </c>
      <c r="D12" s="53" t="s">
        <v>3063</v>
      </c>
      <c r="E12" s="34">
        <f t="shared" si="0"/>
        <v>0</v>
      </c>
      <c r="F12" s="35" t="s">
        <v>11</v>
      </c>
      <c r="G12" s="36" t="s">
        <v>2965</v>
      </c>
      <c r="H12" s="37">
        <v>14161704.48</v>
      </c>
      <c r="I12" s="38">
        <f t="shared" si="1"/>
        <v>0</v>
      </c>
      <c r="J12" s="39">
        <f t="shared" si="2"/>
        <v>0</v>
      </c>
      <c r="K12" s="40">
        <f t="shared" si="3"/>
        <v>0</v>
      </c>
      <c r="L12" s="39">
        <f t="shared" si="4"/>
        <v>0</v>
      </c>
      <c r="M12" s="40">
        <f t="shared" si="5"/>
        <v>0</v>
      </c>
      <c r="N12" s="41">
        <f t="shared" si="6"/>
        <v>0</v>
      </c>
      <c r="O12" s="42">
        <f>IFERROR(N12*H12," ")</f>
        <v>0</v>
      </c>
      <c r="P12" s="41">
        <f t="shared" si="7"/>
        <v>0</v>
      </c>
      <c r="Q12" s="42">
        <f t="shared" si="8"/>
        <v>0</v>
      </c>
      <c r="R12" s="43">
        <f t="shared" si="9"/>
        <v>0</v>
      </c>
      <c r="S12" s="42">
        <f t="shared" si="10"/>
        <v>0</v>
      </c>
      <c r="T12" s="41">
        <f>SUM(Tabla2[[#This Row],[LNDV ]:[LNDV UND REF]])</f>
        <v>0</v>
      </c>
      <c r="U12" s="42">
        <f t="shared" si="11"/>
        <v>0</v>
      </c>
      <c r="V12" s="41">
        <f t="shared" si="12"/>
        <v>0</v>
      </c>
      <c r="W12" s="42">
        <f>IFERROR(V12*H12," ")</f>
        <v>0</v>
      </c>
      <c r="X12" s="41">
        <f t="shared" si="13"/>
        <v>0</v>
      </c>
      <c r="Y12" s="40">
        <f>IFERROR(X12*H12," ")</f>
        <v>0</v>
      </c>
      <c r="Z12" s="44">
        <f t="shared" si="14"/>
        <v>0</v>
      </c>
      <c r="AA12" s="35">
        <f t="shared" si="15"/>
        <v>0</v>
      </c>
      <c r="AD12" s="31"/>
      <c r="AE12" s="45"/>
      <c r="AF12" s="45"/>
      <c r="AG12" s="45"/>
      <c r="AH12" s="45"/>
      <c r="AI12" s="45"/>
      <c r="AJ12" s="45"/>
      <c r="AK12" s="45"/>
      <c r="AL12" s="45"/>
      <c r="AM12" s="45"/>
      <c r="AN12" s="45"/>
      <c r="AO12" s="45"/>
      <c r="AP12" s="45"/>
      <c r="AQ12" s="45"/>
      <c r="AR12" s="45"/>
      <c r="AS12" s="45"/>
      <c r="AT12" s="45"/>
      <c r="AU12" s="45"/>
      <c r="AV12" s="45"/>
      <c r="AW12" s="45"/>
      <c r="AX12" s="45"/>
      <c r="AY12" s="45"/>
      <c r="AZ12" s="45"/>
      <c r="BA12" s="45"/>
      <c r="BB12" s="45"/>
      <c r="BC12" s="45"/>
      <c r="BD12" s="45"/>
      <c r="BE12" s="45"/>
      <c r="BF12" s="45"/>
      <c r="BG12" s="45"/>
      <c r="BH12" s="45"/>
      <c r="BI12" s="45"/>
      <c r="BJ12" s="45"/>
      <c r="BK12" s="45"/>
      <c r="BL12" s="45"/>
      <c r="BM12" s="45"/>
      <c r="BN12" s="45"/>
      <c r="BO12" s="45"/>
      <c r="BP12" s="45"/>
      <c r="BQ12" s="45"/>
      <c r="BR12" s="45"/>
      <c r="BS12" s="45"/>
      <c r="BT12" s="45"/>
      <c r="BU12" s="45"/>
      <c r="BV12" s="45"/>
      <c r="BW12" s="45"/>
      <c r="BX12" s="45"/>
      <c r="BY12" s="45"/>
      <c r="BZ12" s="45"/>
      <c r="CA12" s="45"/>
      <c r="CB12" s="45"/>
      <c r="CC12" s="45"/>
      <c r="CD12" s="45"/>
      <c r="CE12" s="46"/>
      <c r="CF12" s="46"/>
      <c r="CG12" s="45"/>
      <c r="CH12" s="15"/>
      <c r="CI12" s="47"/>
    </row>
    <row r="13" spans="1:87" ht="28.5" x14ac:dyDescent="0.2">
      <c r="A13" s="31">
        <v>11</v>
      </c>
      <c r="B13" s="32" t="s">
        <v>3064</v>
      </c>
      <c r="C13" s="48"/>
      <c r="D13" s="48"/>
      <c r="E13" s="34">
        <f t="shared" si="0"/>
        <v>1</v>
      </c>
      <c r="F13" s="35" t="s">
        <v>11</v>
      </c>
      <c r="G13" s="36"/>
      <c r="H13" s="37">
        <v>15627040</v>
      </c>
      <c r="I13" s="38">
        <f t="shared" si="1"/>
        <v>15627040</v>
      </c>
      <c r="J13" s="39">
        <f t="shared" si="2"/>
        <v>0</v>
      </c>
      <c r="K13" s="40">
        <f t="shared" si="3"/>
        <v>0</v>
      </c>
      <c r="L13" s="39">
        <f t="shared" si="4"/>
        <v>1</v>
      </c>
      <c r="M13" s="40">
        <f t="shared" si="5"/>
        <v>15627040</v>
      </c>
      <c r="N13" s="41">
        <f t="shared" si="6"/>
        <v>0</v>
      </c>
      <c r="O13" s="42"/>
      <c r="P13" s="41">
        <f t="shared" si="7"/>
        <v>0</v>
      </c>
      <c r="Q13" s="42">
        <f t="shared" si="8"/>
        <v>0</v>
      </c>
      <c r="R13" s="43">
        <f t="shared" si="9"/>
        <v>0</v>
      </c>
      <c r="S13" s="42">
        <f t="shared" si="10"/>
        <v>0</v>
      </c>
      <c r="T13" s="41">
        <f>SUM(Tabla2[[#This Row],[LNDV ]:[LNDV UND REF]])</f>
        <v>0</v>
      </c>
      <c r="U13" s="42">
        <f t="shared" si="11"/>
        <v>0</v>
      </c>
      <c r="V13" s="41">
        <f t="shared" si="12"/>
        <v>0</v>
      </c>
      <c r="W13" s="42"/>
      <c r="X13" s="41">
        <f t="shared" si="13"/>
        <v>0</v>
      </c>
      <c r="Y13" s="40"/>
      <c r="Z13" s="44">
        <f t="shared" si="14"/>
        <v>0</v>
      </c>
      <c r="AA13" s="35">
        <f t="shared" si="15"/>
        <v>0</v>
      </c>
      <c r="AD13" s="31"/>
      <c r="AE13" s="45"/>
      <c r="AF13" s="45"/>
      <c r="AG13" s="45"/>
      <c r="AH13" s="45"/>
      <c r="AI13" s="45"/>
      <c r="AJ13" s="45"/>
      <c r="AK13" s="45"/>
      <c r="AL13" s="45"/>
      <c r="AM13" s="45"/>
      <c r="AN13" s="45"/>
      <c r="AO13" s="45"/>
      <c r="AP13" s="45"/>
      <c r="AQ13" s="45"/>
      <c r="AR13" s="45"/>
      <c r="AS13" s="45"/>
      <c r="AT13" s="45">
        <v>1</v>
      </c>
      <c r="AU13" s="45"/>
      <c r="AV13" s="45"/>
      <c r="AW13" s="45"/>
      <c r="AX13" s="45"/>
      <c r="AY13" s="45"/>
      <c r="AZ13" s="45"/>
      <c r="BA13" s="45"/>
      <c r="BB13" s="45"/>
      <c r="BC13" s="45"/>
      <c r="BD13" s="45"/>
      <c r="BE13" s="45"/>
      <c r="BF13" s="45"/>
      <c r="BG13" s="45"/>
      <c r="BH13" s="45"/>
      <c r="BI13" s="45"/>
      <c r="BJ13" s="45"/>
      <c r="BK13" s="45"/>
      <c r="BL13" s="45"/>
      <c r="BM13" s="45"/>
      <c r="BN13" s="45"/>
      <c r="BO13" s="45"/>
      <c r="BP13" s="45"/>
      <c r="BQ13" s="45"/>
      <c r="BR13" s="45"/>
      <c r="BS13" s="45"/>
      <c r="BT13" s="45"/>
      <c r="BU13" s="45"/>
      <c r="BV13" s="45"/>
      <c r="BW13" s="45"/>
      <c r="BX13" s="45"/>
      <c r="BY13" s="45"/>
      <c r="BZ13" s="45"/>
      <c r="CA13" s="45"/>
      <c r="CB13" s="45"/>
      <c r="CC13" s="45"/>
      <c r="CD13" s="45"/>
      <c r="CE13" s="46"/>
      <c r="CF13" s="46"/>
      <c r="CG13" s="45"/>
      <c r="CH13" s="15"/>
      <c r="CI13" s="47"/>
    </row>
    <row r="14" spans="1:87" ht="12" customHeight="1" x14ac:dyDescent="0.2">
      <c r="A14" s="31">
        <v>12</v>
      </c>
      <c r="B14" s="32" t="s">
        <v>3065</v>
      </c>
      <c r="C14" s="48"/>
      <c r="D14" s="48"/>
      <c r="E14" s="34">
        <f t="shared" si="0"/>
        <v>0</v>
      </c>
      <c r="F14" s="35" t="s">
        <v>11</v>
      </c>
      <c r="G14" s="36"/>
      <c r="H14" s="37">
        <v>15627040</v>
      </c>
      <c r="I14" s="38">
        <f t="shared" si="1"/>
        <v>0</v>
      </c>
      <c r="J14" s="39">
        <f t="shared" si="2"/>
        <v>0</v>
      </c>
      <c r="K14" s="40">
        <f t="shared" si="3"/>
        <v>0</v>
      </c>
      <c r="L14" s="39">
        <f t="shared" si="4"/>
        <v>0</v>
      </c>
      <c r="M14" s="40">
        <f t="shared" si="5"/>
        <v>0</v>
      </c>
      <c r="N14" s="41">
        <f t="shared" si="6"/>
        <v>0</v>
      </c>
      <c r="O14" s="42"/>
      <c r="P14" s="41">
        <f t="shared" si="7"/>
        <v>0</v>
      </c>
      <c r="Q14" s="42">
        <f t="shared" si="8"/>
        <v>0</v>
      </c>
      <c r="R14" s="43">
        <f t="shared" si="9"/>
        <v>0</v>
      </c>
      <c r="S14" s="42">
        <f t="shared" si="10"/>
        <v>0</v>
      </c>
      <c r="T14" s="41">
        <f>SUM(Tabla2[[#This Row],[LNDV ]:[LNDV UND REF]])</f>
        <v>0</v>
      </c>
      <c r="U14" s="42">
        <f t="shared" si="11"/>
        <v>0</v>
      </c>
      <c r="V14" s="41">
        <f t="shared" si="12"/>
        <v>0</v>
      </c>
      <c r="W14" s="42"/>
      <c r="X14" s="41">
        <f t="shared" si="13"/>
        <v>0</v>
      </c>
      <c r="Y14" s="40"/>
      <c r="Z14" s="44">
        <f t="shared" si="14"/>
        <v>0</v>
      </c>
      <c r="AA14" s="35">
        <f t="shared" si="15"/>
        <v>0</v>
      </c>
      <c r="AD14" s="31"/>
      <c r="AE14" s="45"/>
      <c r="AF14" s="45"/>
      <c r="AG14" s="45"/>
      <c r="AH14" s="45"/>
      <c r="AI14" s="45"/>
      <c r="AJ14" s="45"/>
      <c r="AK14" s="45"/>
      <c r="AL14" s="45"/>
      <c r="AM14" s="45"/>
      <c r="AN14" s="45"/>
      <c r="AO14" s="45"/>
      <c r="AP14" s="45"/>
      <c r="AQ14" s="45"/>
      <c r="AR14" s="45"/>
      <c r="AS14" s="45"/>
      <c r="AT14" s="45"/>
      <c r="AU14" s="45"/>
      <c r="AV14" s="45"/>
      <c r="AW14" s="45"/>
      <c r="AX14" s="45"/>
      <c r="AY14" s="45"/>
      <c r="AZ14" s="45"/>
      <c r="BA14" s="45"/>
      <c r="BB14" s="45"/>
      <c r="BC14" s="45"/>
      <c r="BD14" s="45"/>
      <c r="BE14" s="45"/>
      <c r="BF14" s="45"/>
      <c r="BG14" s="45"/>
      <c r="BH14" s="45"/>
      <c r="BI14" s="45"/>
      <c r="BJ14" s="45"/>
      <c r="BK14" s="45"/>
      <c r="BL14" s="45"/>
      <c r="BM14" s="45"/>
      <c r="BN14" s="45"/>
      <c r="BO14" s="45"/>
      <c r="BP14" s="45"/>
      <c r="BQ14" s="45"/>
      <c r="BR14" s="45"/>
      <c r="BS14" s="45"/>
      <c r="BT14" s="45"/>
      <c r="BU14" s="45"/>
      <c r="BV14" s="45"/>
      <c r="BW14" s="45"/>
      <c r="BX14" s="45"/>
      <c r="BY14" s="45"/>
      <c r="BZ14" s="45"/>
      <c r="CA14" s="45"/>
      <c r="CB14" s="45"/>
      <c r="CC14" s="45"/>
      <c r="CD14" s="45"/>
      <c r="CE14" s="46"/>
      <c r="CF14" s="46"/>
      <c r="CG14" s="45"/>
      <c r="CH14" s="15"/>
      <c r="CI14" s="47"/>
    </row>
    <row r="15" spans="1:87" ht="68.25" customHeight="1" x14ac:dyDescent="0.2">
      <c r="A15" s="31">
        <v>13</v>
      </c>
      <c r="B15" s="51" t="s">
        <v>3066</v>
      </c>
      <c r="C15" s="54" t="s">
        <v>3067</v>
      </c>
      <c r="D15" s="49" t="s">
        <v>3068</v>
      </c>
      <c r="E15" s="34">
        <f t="shared" si="0"/>
        <v>0</v>
      </c>
      <c r="F15" s="35" t="s">
        <v>11</v>
      </c>
      <c r="G15" s="36" t="s">
        <v>2965</v>
      </c>
      <c r="H15" s="37">
        <v>136545360</v>
      </c>
      <c r="I15" s="38">
        <f t="shared" si="1"/>
        <v>0</v>
      </c>
      <c r="J15" s="39">
        <f t="shared" si="2"/>
        <v>0</v>
      </c>
      <c r="K15" s="40">
        <f t="shared" si="3"/>
        <v>0</v>
      </c>
      <c r="L15" s="39">
        <f t="shared" si="4"/>
        <v>0</v>
      </c>
      <c r="M15" s="40">
        <f t="shared" si="5"/>
        <v>0</v>
      </c>
      <c r="N15" s="41">
        <f t="shared" si="6"/>
        <v>0</v>
      </c>
      <c r="O15" s="42">
        <f>IFERROR(N15*H15," ")</f>
        <v>0</v>
      </c>
      <c r="P15" s="41">
        <f t="shared" si="7"/>
        <v>0</v>
      </c>
      <c r="Q15" s="42">
        <f t="shared" si="8"/>
        <v>0</v>
      </c>
      <c r="R15" s="43">
        <f t="shared" si="9"/>
        <v>0</v>
      </c>
      <c r="S15" s="42">
        <f t="shared" si="10"/>
        <v>0</v>
      </c>
      <c r="T15" s="41">
        <f>SUM(Tabla2[[#This Row],[LNDV ]:[LNDV UND REF]])</f>
        <v>0</v>
      </c>
      <c r="U15" s="42">
        <f t="shared" si="11"/>
        <v>0</v>
      </c>
      <c r="V15" s="41">
        <f t="shared" si="12"/>
        <v>0</v>
      </c>
      <c r="W15" s="42">
        <f>IFERROR(V15*H15," ")</f>
        <v>0</v>
      </c>
      <c r="X15" s="41">
        <f t="shared" si="13"/>
        <v>0</v>
      </c>
      <c r="Y15" s="40">
        <f>IFERROR(X15*H15," ")</f>
        <v>0</v>
      </c>
      <c r="Z15" s="44">
        <f t="shared" si="14"/>
        <v>0</v>
      </c>
      <c r="AA15" s="35">
        <f t="shared" si="15"/>
        <v>0</v>
      </c>
      <c r="AD15" s="31"/>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c r="BL15" s="45"/>
      <c r="BM15" s="45"/>
      <c r="BN15" s="45"/>
      <c r="BO15" s="45"/>
      <c r="BP15" s="45"/>
      <c r="BQ15" s="45"/>
      <c r="BR15" s="45"/>
      <c r="BS15" s="45"/>
      <c r="BT15" s="45"/>
      <c r="BU15" s="45"/>
      <c r="BV15" s="45"/>
      <c r="BW15" s="45"/>
      <c r="BX15" s="45"/>
      <c r="BY15" s="45"/>
      <c r="BZ15" s="45"/>
      <c r="CA15" s="45"/>
      <c r="CB15" s="45"/>
      <c r="CC15" s="45"/>
      <c r="CD15" s="45"/>
      <c r="CE15" s="46"/>
      <c r="CF15" s="46"/>
      <c r="CG15" s="45"/>
      <c r="CH15" s="15"/>
      <c r="CI15" s="47"/>
    </row>
    <row r="16" spans="1:87" ht="51.75" customHeight="1" x14ac:dyDescent="0.2">
      <c r="A16" s="31">
        <v>14</v>
      </c>
      <c r="B16" s="32" t="s">
        <v>3069</v>
      </c>
      <c r="C16" s="48"/>
      <c r="D16" s="48"/>
      <c r="E16" s="34">
        <f t="shared" si="0"/>
        <v>0</v>
      </c>
      <c r="F16" s="35" t="s">
        <v>11</v>
      </c>
      <c r="G16" s="36"/>
      <c r="H16" s="37">
        <v>204353600</v>
      </c>
      <c r="I16" s="38">
        <f t="shared" si="1"/>
        <v>0</v>
      </c>
      <c r="J16" s="39">
        <f t="shared" si="2"/>
        <v>0</v>
      </c>
      <c r="K16" s="40">
        <f t="shared" si="3"/>
        <v>0</v>
      </c>
      <c r="L16" s="39">
        <f t="shared" si="4"/>
        <v>0</v>
      </c>
      <c r="M16" s="40">
        <f t="shared" si="5"/>
        <v>0</v>
      </c>
      <c r="N16" s="41">
        <f t="shared" si="6"/>
        <v>0</v>
      </c>
      <c r="O16" s="42"/>
      <c r="P16" s="41">
        <f t="shared" si="7"/>
        <v>0</v>
      </c>
      <c r="Q16" s="42">
        <f t="shared" si="8"/>
        <v>0</v>
      </c>
      <c r="R16" s="43">
        <f t="shared" si="9"/>
        <v>0</v>
      </c>
      <c r="S16" s="42">
        <f t="shared" si="10"/>
        <v>0</v>
      </c>
      <c r="T16" s="41">
        <f>SUM(Tabla2[[#This Row],[LNDV ]:[LNDV UND REF]])</f>
        <v>0</v>
      </c>
      <c r="U16" s="42">
        <f t="shared" si="11"/>
        <v>0</v>
      </c>
      <c r="V16" s="41">
        <f t="shared" si="12"/>
        <v>0</v>
      </c>
      <c r="W16" s="42"/>
      <c r="X16" s="41">
        <f t="shared" si="13"/>
        <v>0</v>
      </c>
      <c r="Y16" s="40"/>
      <c r="Z16" s="44">
        <f t="shared" si="14"/>
        <v>0</v>
      </c>
      <c r="AA16" s="35">
        <f t="shared" si="15"/>
        <v>0</v>
      </c>
      <c r="AD16" s="31"/>
      <c r="AE16" s="45"/>
      <c r="AF16" s="5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BX16" s="45"/>
      <c r="BY16" s="45"/>
      <c r="BZ16" s="45"/>
      <c r="CA16" s="45"/>
      <c r="CB16" s="45"/>
      <c r="CC16" s="45"/>
      <c r="CD16" s="45"/>
      <c r="CE16" s="46"/>
      <c r="CF16" s="46"/>
      <c r="CG16" s="45"/>
      <c r="CH16" s="15"/>
      <c r="CI16" s="47"/>
    </row>
    <row r="17" spans="1:87" ht="15" customHeight="1" x14ac:dyDescent="0.2">
      <c r="A17" s="31">
        <v>15</v>
      </c>
      <c r="B17" s="32" t="s">
        <v>3070</v>
      </c>
      <c r="C17" s="56" t="s">
        <v>3071</v>
      </c>
      <c r="D17" s="56" t="s">
        <v>3072</v>
      </c>
      <c r="E17" s="34">
        <f t="shared" si="0"/>
        <v>3</v>
      </c>
      <c r="F17" s="35" t="s">
        <v>11</v>
      </c>
      <c r="G17" s="36" t="s">
        <v>2967</v>
      </c>
      <c r="H17" s="37">
        <v>12464367.52</v>
      </c>
      <c r="I17" s="38">
        <f t="shared" si="1"/>
        <v>37393102.560000002</v>
      </c>
      <c r="J17" s="39">
        <f t="shared" si="2"/>
        <v>2</v>
      </c>
      <c r="K17" s="40">
        <f t="shared" si="3"/>
        <v>24928735.039999999</v>
      </c>
      <c r="L17" s="39">
        <f t="shared" si="4"/>
        <v>1</v>
      </c>
      <c r="M17" s="40">
        <f t="shared" si="5"/>
        <v>12464367.52</v>
      </c>
      <c r="N17" s="41">
        <f t="shared" si="6"/>
        <v>0</v>
      </c>
      <c r="O17" s="42">
        <f>IFERROR(N17*H17," ")</f>
        <v>0</v>
      </c>
      <c r="P17" s="41">
        <f t="shared" si="7"/>
        <v>0</v>
      </c>
      <c r="Q17" s="42">
        <f t="shared" si="8"/>
        <v>0</v>
      </c>
      <c r="R17" s="43">
        <f t="shared" si="9"/>
        <v>0</v>
      </c>
      <c r="S17" s="42">
        <f t="shared" si="10"/>
        <v>0</v>
      </c>
      <c r="T17" s="41">
        <f>SUM(Tabla2[[#This Row],[LNDV ]:[LNDV UND REF]])</f>
        <v>0</v>
      </c>
      <c r="U17" s="42">
        <f t="shared" si="11"/>
        <v>0</v>
      </c>
      <c r="V17" s="41">
        <f t="shared" si="12"/>
        <v>0</v>
      </c>
      <c r="W17" s="42">
        <f>IFERROR(V17*H17," ")</f>
        <v>0</v>
      </c>
      <c r="X17" s="41">
        <f t="shared" si="13"/>
        <v>0</v>
      </c>
      <c r="Y17" s="40">
        <f>IFERROR(X17*H17," ")</f>
        <v>0</v>
      </c>
      <c r="Z17" s="44">
        <f t="shared" si="14"/>
        <v>0</v>
      </c>
      <c r="AA17" s="35">
        <f t="shared" si="15"/>
        <v>0</v>
      </c>
      <c r="AD17" s="31"/>
      <c r="AE17" s="45"/>
      <c r="AF17" s="45"/>
      <c r="AG17" s="45"/>
      <c r="AH17" s="45"/>
      <c r="AI17" s="45"/>
      <c r="AJ17" s="45">
        <v>1</v>
      </c>
      <c r="AK17" s="45"/>
      <c r="AL17" s="45"/>
      <c r="AM17" s="45"/>
      <c r="AN17" s="45"/>
      <c r="AO17" s="45">
        <v>1</v>
      </c>
      <c r="AP17" s="45"/>
      <c r="AQ17" s="45"/>
      <c r="AR17" s="45"/>
      <c r="AS17" s="45"/>
      <c r="AT17" s="45"/>
      <c r="AU17" s="45"/>
      <c r="AV17" s="45">
        <v>1</v>
      </c>
      <c r="AW17" s="45"/>
      <c r="AX17" s="45"/>
      <c r="AY17" s="45"/>
      <c r="AZ17" s="45"/>
      <c r="BA17" s="45"/>
      <c r="BB17" s="45"/>
      <c r="BC17" s="45"/>
      <c r="BD17" s="45"/>
      <c r="BE17" s="45"/>
      <c r="BF17" s="45"/>
      <c r="BG17" s="45"/>
      <c r="BH17" s="45"/>
      <c r="BI17" s="45"/>
      <c r="BJ17" s="45"/>
      <c r="BK17" s="45"/>
      <c r="BL17" s="45"/>
      <c r="BM17" s="45"/>
      <c r="BN17" s="45"/>
      <c r="BO17" s="45"/>
      <c r="BP17" s="45"/>
      <c r="BQ17" s="45"/>
      <c r="BR17" s="45"/>
      <c r="BS17" s="45"/>
      <c r="BT17" s="45"/>
      <c r="BU17" s="45"/>
      <c r="BV17" s="45"/>
      <c r="BW17" s="45"/>
      <c r="BX17" s="45"/>
      <c r="BY17" s="45"/>
      <c r="BZ17" s="45"/>
      <c r="CA17" s="45"/>
      <c r="CB17" s="45"/>
      <c r="CC17" s="45"/>
      <c r="CD17" s="45"/>
      <c r="CE17" s="46"/>
      <c r="CF17" s="46"/>
      <c r="CG17" s="45"/>
      <c r="CH17" s="15"/>
      <c r="CI17" s="47"/>
    </row>
    <row r="18" spans="1:87" ht="23.25" customHeight="1" x14ac:dyDescent="0.2">
      <c r="A18" s="31">
        <v>16</v>
      </c>
      <c r="B18" s="32" t="s">
        <v>3073</v>
      </c>
      <c r="C18" s="49" t="s">
        <v>3071</v>
      </c>
      <c r="D18" s="49">
        <v>88870002</v>
      </c>
      <c r="E18" s="34">
        <f t="shared" si="0"/>
        <v>0</v>
      </c>
      <c r="F18" s="35" t="s">
        <v>11</v>
      </c>
      <c r="G18" s="36" t="s">
        <v>2965</v>
      </c>
      <c r="H18" s="37">
        <v>7802592</v>
      </c>
      <c r="I18" s="38">
        <f t="shared" si="1"/>
        <v>0</v>
      </c>
      <c r="J18" s="39">
        <f t="shared" si="2"/>
        <v>0</v>
      </c>
      <c r="K18" s="40">
        <f t="shared" si="3"/>
        <v>0</v>
      </c>
      <c r="L18" s="39">
        <f t="shared" si="4"/>
        <v>0</v>
      </c>
      <c r="M18" s="40">
        <f t="shared" si="5"/>
        <v>0</v>
      </c>
      <c r="N18" s="41">
        <f t="shared" si="6"/>
        <v>0</v>
      </c>
      <c r="O18" s="42">
        <f>IFERROR(N18*H18," ")</f>
        <v>0</v>
      </c>
      <c r="P18" s="41">
        <f t="shared" si="7"/>
        <v>0</v>
      </c>
      <c r="Q18" s="42">
        <f t="shared" si="8"/>
        <v>0</v>
      </c>
      <c r="R18" s="43">
        <f t="shared" si="9"/>
        <v>0</v>
      </c>
      <c r="S18" s="42">
        <f t="shared" si="10"/>
        <v>0</v>
      </c>
      <c r="T18" s="41">
        <f>SUM(Tabla2[[#This Row],[LNDV ]:[LNDV UND REF]])</f>
        <v>0</v>
      </c>
      <c r="U18" s="42">
        <f t="shared" si="11"/>
        <v>0</v>
      </c>
      <c r="V18" s="41">
        <f t="shared" si="12"/>
        <v>0</v>
      </c>
      <c r="W18" s="42">
        <f>IFERROR(V18*H18," ")</f>
        <v>0</v>
      </c>
      <c r="X18" s="41">
        <f t="shared" si="13"/>
        <v>0</v>
      </c>
      <c r="Y18" s="40">
        <f>IFERROR(X18*H18," ")</f>
        <v>0</v>
      </c>
      <c r="Z18" s="44">
        <f t="shared" si="14"/>
        <v>0</v>
      </c>
      <c r="AA18" s="35">
        <f t="shared" si="15"/>
        <v>0</v>
      </c>
      <c r="AD18" s="31"/>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c r="BL18" s="45"/>
      <c r="BM18" s="45"/>
      <c r="BN18" s="45"/>
      <c r="BO18" s="45"/>
      <c r="BP18" s="45"/>
      <c r="BQ18" s="45"/>
      <c r="BR18" s="45"/>
      <c r="BS18" s="45"/>
      <c r="BT18" s="45"/>
      <c r="BU18" s="45"/>
      <c r="BV18" s="45"/>
      <c r="BW18" s="45"/>
      <c r="BX18" s="45"/>
      <c r="BY18" s="45"/>
      <c r="BZ18" s="45"/>
      <c r="CA18" s="45"/>
      <c r="CB18" s="45"/>
      <c r="CC18" s="45"/>
      <c r="CD18" s="45"/>
      <c r="CE18" s="46"/>
      <c r="CF18" s="46"/>
      <c r="CG18" s="45"/>
      <c r="CH18" s="15"/>
      <c r="CI18" s="47"/>
    </row>
    <row r="19" spans="1:87" ht="30.75" customHeight="1" x14ac:dyDescent="0.2">
      <c r="A19" s="31">
        <v>17</v>
      </c>
      <c r="B19" s="52" t="s">
        <v>3074</v>
      </c>
      <c r="C19" s="57"/>
      <c r="D19" s="57"/>
      <c r="E19" s="34">
        <f t="shared" si="0"/>
        <v>1</v>
      </c>
      <c r="F19" s="35" t="s">
        <v>11</v>
      </c>
      <c r="G19" s="36" t="s">
        <v>2968</v>
      </c>
      <c r="H19" s="37">
        <v>7675204.3039999995</v>
      </c>
      <c r="I19" s="38">
        <f t="shared" si="1"/>
        <v>7675204.3039999995</v>
      </c>
      <c r="J19" s="39">
        <f t="shared" si="2"/>
        <v>0</v>
      </c>
      <c r="K19" s="40">
        <f t="shared" si="3"/>
        <v>0</v>
      </c>
      <c r="L19" s="39">
        <f t="shared" si="4"/>
        <v>0</v>
      </c>
      <c r="M19" s="40">
        <f t="shared" si="5"/>
        <v>0</v>
      </c>
      <c r="N19" s="41">
        <f t="shared" si="6"/>
        <v>1</v>
      </c>
      <c r="O19" s="42">
        <f>IFERROR(N19*H19," ")</f>
        <v>7675204.3039999995</v>
      </c>
      <c r="P19" s="41">
        <f t="shared" si="7"/>
        <v>0</v>
      </c>
      <c r="Q19" s="42">
        <f t="shared" si="8"/>
        <v>0</v>
      </c>
      <c r="R19" s="43">
        <f t="shared" si="9"/>
        <v>0</v>
      </c>
      <c r="S19" s="42">
        <f t="shared" si="10"/>
        <v>0</v>
      </c>
      <c r="T19" s="41">
        <f>SUM(Tabla2[[#This Row],[LNDV ]:[LNDV UND REF]])</f>
        <v>0</v>
      </c>
      <c r="U19" s="42">
        <f t="shared" si="11"/>
        <v>0</v>
      </c>
      <c r="V19" s="41">
        <f t="shared" si="12"/>
        <v>0</v>
      </c>
      <c r="W19" s="42">
        <f>IFERROR(V19*H19," ")</f>
        <v>0</v>
      </c>
      <c r="X19" s="41">
        <f t="shared" si="13"/>
        <v>0</v>
      </c>
      <c r="Y19" s="40">
        <f>IFERROR(X19*H19," ")</f>
        <v>0</v>
      </c>
      <c r="Z19" s="44">
        <f t="shared" si="14"/>
        <v>0</v>
      </c>
      <c r="AA19" s="35">
        <f t="shared" si="15"/>
        <v>0</v>
      </c>
      <c r="AD19" s="31"/>
      <c r="AE19" s="45"/>
      <c r="AF19" s="45"/>
      <c r="AG19" s="45"/>
      <c r="AH19" s="45"/>
      <c r="AI19" s="45"/>
      <c r="AJ19" s="45"/>
      <c r="AK19" s="45"/>
      <c r="AL19" s="45"/>
      <c r="AM19" s="45"/>
      <c r="AN19" s="45"/>
      <c r="AO19" s="45"/>
      <c r="AP19" s="45"/>
      <c r="AQ19" s="45"/>
      <c r="AR19" s="45">
        <v>1</v>
      </c>
      <c r="AS19" s="45"/>
      <c r="AT19" s="45"/>
      <c r="AU19" s="45"/>
      <c r="AV19" s="45"/>
      <c r="AW19" s="45"/>
      <c r="AX19" s="45"/>
      <c r="AY19" s="45"/>
      <c r="AZ19" s="45"/>
      <c r="BA19" s="45"/>
      <c r="BB19" s="45"/>
      <c r="BC19" s="45"/>
      <c r="BD19" s="45"/>
      <c r="BE19" s="45"/>
      <c r="BF19" s="45"/>
      <c r="BG19" s="45"/>
      <c r="BH19" s="45"/>
      <c r="BI19" s="45"/>
      <c r="BJ19" s="45"/>
      <c r="BK19" s="45"/>
      <c r="BL19" s="45"/>
      <c r="BM19" s="45"/>
      <c r="BN19" s="45"/>
      <c r="BO19" s="45"/>
      <c r="BP19" s="45"/>
      <c r="BQ19" s="45"/>
      <c r="BR19" s="45"/>
      <c r="BS19" s="45"/>
      <c r="BT19" s="45"/>
      <c r="BU19" s="45"/>
      <c r="BV19" s="45"/>
      <c r="BW19" s="45"/>
      <c r="BX19" s="45"/>
      <c r="BY19" s="45"/>
      <c r="BZ19" s="45"/>
      <c r="CA19" s="45"/>
      <c r="CB19" s="45"/>
      <c r="CC19" s="45"/>
      <c r="CD19" s="45"/>
      <c r="CE19" s="46"/>
      <c r="CF19" s="46"/>
      <c r="CG19" s="45"/>
      <c r="CH19" s="15"/>
      <c r="CI19" s="47"/>
    </row>
    <row r="20" spans="1:87" ht="28.5" x14ac:dyDescent="0.2">
      <c r="A20" s="31">
        <v>18</v>
      </c>
      <c r="B20" s="32" t="s">
        <v>3075</v>
      </c>
      <c r="C20" s="48"/>
      <c r="D20" s="48"/>
      <c r="E20" s="34">
        <f t="shared" si="0"/>
        <v>1</v>
      </c>
      <c r="F20" s="35" t="s">
        <v>11</v>
      </c>
      <c r="G20" s="36"/>
      <c r="H20" s="37">
        <v>15299200</v>
      </c>
      <c r="I20" s="38">
        <f t="shared" si="1"/>
        <v>15299200</v>
      </c>
      <c r="J20" s="39">
        <f t="shared" si="2"/>
        <v>0</v>
      </c>
      <c r="K20" s="40">
        <f t="shared" si="3"/>
        <v>0</v>
      </c>
      <c r="L20" s="39">
        <f t="shared" si="4"/>
        <v>0</v>
      </c>
      <c r="M20" s="40">
        <f t="shared" si="5"/>
        <v>0</v>
      </c>
      <c r="N20" s="41">
        <f t="shared" si="6"/>
        <v>0</v>
      </c>
      <c r="O20" s="42"/>
      <c r="P20" s="41">
        <f t="shared" si="7"/>
        <v>0</v>
      </c>
      <c r="Q20" s="42">
        <f t="shared" si="8"/>
        <v>0</v>
      </c>
      <c r="R20" s="43">
        <f t="shared" si="9"/>
        <v>0</v>
      </c>
      <c r="S20" s="42">
        <f t="shared" si="10"/>
        <v>0</v>
      </c>
      <c r="T20" s="41">
        <f>SUM(Tabla2[[#This Row],[LNDV ]:[LNDV UND REF]])</f>
        <v>0</v>
      </c>
      <c r="U20" s="42">
        <f t="shared" si="11"/>
        <v>0</v>
      </c>
      <c r="V20" s="41">
        <f t="shared" si="12"/>
        <v>1</v>
      </c>
      <c r="W20" s="42"/>
      <c r="X20" s="41">
        <f t="shared" si="13"/>
        <v>0</v>
      </c>
      <c r="Y20" s="40"/>
      <c r="Z20" s="44">
        <f t="shared" si="14"/>
        <v>0</v>
      </c>
      <c r="AA20" s="35">
        <f t="shared" si="15"/>
        <v>0</v>
      </c>
      <c r="AD20" s="31"/>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c r="BC20" s="45"/>
      <c r="BD20" s="45"/>
      <c r="BE20" s="45"/>
      <c r="BF20" s="45"/>
      <c r="BG20" s="45"/>
      <c r="BH20" s="45"/>
      <c r="BI20" s="45"/>
      <c r="BJ20" s="45"/>
      <c r="BK20" s="45"/>
      <c r="BL20" s="45"/>
      <c r="BM20" s="45"/>
      <c r="BN20" s="45"/>
      <c r="BO20" s="45"/>
      <c r="BP20" s="45"/>
      <c r="BQ20" s="45"/>
      <c r="BR20" s="45"/>
      <c r="BS20" s="45"/>
      <c r="BT20" s="45"/>
      <c r="BU20" s="45"/>
      <c r="BV20" s="45"/>
      <c r="BW20" s="45"/>
      <c r="BX20" s="45"/>
      <c r="BY20" s="45"/>
      <c r="BZ20" s="45"/>
      <c r="CA20" s="45"/>
      <c r="CB20" s="45"/>
      <c r="CC20" s="45"/>
      <c r="CD20" s="45"/>
      <c r="CE20" s="46"/>
      <c r="CF20" s="46">
        <v>1</v>
      </c>
      <c r="CG20" s="45"/>
      <c r="CH20" s="15"/>
      <c r="CI20" s="47"/>
    </row>
    <row r="21" spans="1:87" s="60" customFormat="1" ht="24" x14ac:dyDescent="0.2">
      <c r="A21" s="31">
        <v>19</v>
      </c>
      <c r="B21" s="32" t="s">
        <v>3076</v>
      </c>
      <c r="C21" s="49" t="s">
        <v>3077</v>
      </c>
      <c r="D21" s="49" t="s">
        <v>3078</v>
      </c>
      <c r="E21" s="34">
        <f t="shared" si="0"/>
        <v>0</v>
      </c>
      <c r="F21" s="35" t="s">
        <v>11</v>
      </c>
      <c r="G21" s="36" t="s">
        <v>2965</v>
      </c>
      <c r="H21" s="37">
        <v>9090019.6799999997</v>
      </c>
      <c r="I21" s="38">
        <f t="shared" si="1"/>
        <v>0</v>
      </c>
      <c r="J21" s="39">
        <f t="shared" si="2"/>
        <v>0</v>
      </c>
      <c r="K21" s="40">
        <f t="shared" si="3"/>
        <v>0</v>
      </c>
      <c r="L21" s="39">
        <f t="shared" si="4"/>
        <v>0</v>
      </c>
      <c r="M21" s="40">
        <f t="shared" si="5"/>
        <v>0</v>
      </c>
      <c r="N21" s="41">
        <f t="shared" si="6"/>
        <v>0</v>
      </c>
      <c r="O21" s="42">
        <f>IFERROR(N21*H21," ")</f>
        <v>0</v>
      </c>
      <c r="P21" s="41">
        <f t="shared" si="7"/>
        <v>0</v>
      </c>
      <c r="Q21" s="42">
        <f t="shared" si="8"/>
        <v>0</v>
      </c>
      <c r="R21" s="43">
        <f t="shared" si="9"/>
        <v>0</v>
      </c>
      <c r="S21" s="42">
        <f t="shared" si="10"/>
        <v>0</v>
      </c>
      <c r="T21" s="41">
        <f>SUM(Tabla2[[#This Row],[LNDV ]:[LNDV UND REF]])</f>
        <v>0</v>
      </c>
      <c r="U21" s="42">
        <f t="shared" si="11"/>
        <v>0</v>
      </c>
      <c r="V21" s="41">
        <f t="shared" si="12"/>
        <v>0</v>
      </c>
      <c r="W21" s="42">
        <f>IFERROR(V21*H21," ")</f>
        <v>0</v>
      </c>
      <c r="X21" s="41">
        <f t="shared" si="13"/>
        <v>0</v>
      </c>
      <c r="Y21" s="40">
        <f>IFERROR(X21*H21," ")</f>
        <v>0</v>
      </c>
      <c r="Z21" s="44">
        <f t="shared" si="14"/>
        <v>0</v>
      </c>
      <c r="AA21" s="35">
        <f t="shared" si="15"/>
        <v>0</v>
      </c>
      <c r="AB21" s="10"/>
      <c r="AC21" s="10"/>
      <c r="AD21" s="31"/>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c r="BO21" s="45"/>
      <c r="BP21" s="45"/>
      <c r="BQ21" s="45"/>
      <c r="BR21" s="45"/>
      <c r="BS21" s="45"/>
      <c r="BT21" s="45"/>
      <c r="BU21" s="45"/>
      <c r="BV21" s="45"/>
      <c r="BW21" s="45"/>
      <c r="BX21" s="45"/>
      <c r="BY21" s="45"/>
      <c r="BZ21" s="45"/>
      <c r="CA21" s="45"/>
      <c r="CB21" s="45"/>
      <c r="CC21" s="45"/>
      <c r="CD21" s="45"/>
      <c r="CE21" s="46"/>
      <c r="CF21" s="46"/>
      <c r="CG21" s="45"/>
      <c r="CH21" s="58"/>
      <c r="CI21" s="59"/>
    </row>
    <row r="22" spans="1:87" ht="28.5" x14ac:dyDescent="0.2">
      <c r="A22" s="31">
        <v>20</v>
      </c>
      <c r="B22" s="51" t="s">
        <v>3079</v>
      </c>
      <c r="C22" s="61"/>
      <c r="D22" s="61"/>
      <c r="E22" s="34">
        <f t="shared" si="0"/>
        <v>5</v>
      </c>
      <c r="F22" s="35" t="s">
        <v>11</v>
      </c>
      <c r="G22" s="36" t="s">
        <v>2968</v>
      </c>
      <c r="H22" s="37">
        <v>82845987.599999994</v>
      </c>
      <c r="I22" s="38">
        <f t="shared" si="1"/>
        <v>414229938</v>
      </c>
      <c r="J22" s="39">
        <f t="shared" si="2"/>
        <v>1</v>
      </c>
      <c r="K22" s="40">
        <f t="shared" si="3"/>
        <v>82845987.599999994</v>
      </c>
      <c r="L22" s="39">
        <f t="shared" si="4"/>
        <v>0</v>
      </c>
      <c r="M22" s="40">
        <f t="shared" si="5"/>
        <v>0</v>
      </c>
      <c r="N22" s="41">
        <f t="shared" si="6"/>
        <v>0</v>
      </c>
      <c r="O22" s="42">
        <f>IFERROR(N22*H22," ")</f>
        <v>0</v>
      </c>
      <c r="P22" s="41">
        <f t="shared" si="7"/>
        <v>0</v>
      </c>
      <c r="Q22" s="42">
        <f t="shared" si="8"/>
        <v>0</v>
      </c>
      <c r="R22" s="43">
        <f t="shared" si="9"/>
        <v>0</v>
      </c>
      <c r="S22" s="42">
        <f t="shared" si="10"/>
        <v>0</v>
      </c>
      <c r="T22" s="41">
        <f>SUM(Tabla2[[#This Row],[LNDV ]:[LNDV UND REF]])</f>
        <v>1</v>
      </c>
      <c r="U22" s="42">
        <f t="shared" si="11"/>
        <v>82845987.599999994</v>
      </c>
      <c r="V22" s="41">
        <f t="shared" si="12"/>
        <v>3</v>
      </c>
      <c r="W22" s="42">
        <f>IFERROR(V22*H22," ")</f>
        <v>248537962.79999998</v>
      </c>
      <c r="X22" s="41">
        <f t="shared" si="13"/>
        <v>0</v>
      </c>
      <c r="Y22" s="40">
        <f>IFERROR(X22*H22," ")</f>
        <v>0</v>
      </c>
      <c r="Z22" s="44">
        <f t="shared" si="14"/>
        <v>0</v>
      </c>
      <c r="AA22" s="35">
        <f t="shared" si="15"/>
        <v>0</v>
      </c>
      <c r="AD22" s="31"/>
      <c r="AE22" s="45"/>
      <c r="AF22" s="45"/>
      <c r="AG22" s="45"/>
      <c r="AH22" s="45"/>
      <c r="AI22" s="45"/>
      <c r="AJ22" s="45">
        <v>1</v>
      </c>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v>1</v>
      </c>
      <c r="CE22" s="46"/>
      <c r="CF22" s="46">
        <v>3</v>
      </c>
      <c r="CG22" s="45"/>
      <c r="CH22" s="15"/>
      <c r="CI22" s="47"/>
    </row>
    <row r="23" spans="1:87" ht="24" x14ac:dyDescent="0.2">
      <c r="A23" s="31">
        <v>21</v>
      </c>
      <c r="B23" s="51" t="s">
        <v>3080</v>
      </c>
      <c r="C23" s="49" t="s">
        <v>3081</v>
      </c>
      <c r="D23" s="49" t="s">
        <v>3082</v>
      </c>
      <c r="E23" s="34">
        <f t="shared" si="0"/>
        <v>1</v>
      </c>
      <c r="F23" s="35" t="s">
        <v>11</v>
      </c>
      <c r="G23" s="36" t="s">
        <v>2965</v>
      </c>
      <c r="H23" s="37">
        <v>127312292.8</v>
      </c>
      <c r="I23" s="38">
        <f t="shared" si="1"/>
        <v>127312292.8</v>
      </c>
      <c r="J23" s="39">
        <f t="shared" si="2"/>
        <v>0</v>
      </c>
      <c r="K23" s="40">
        <f t="shared" si="3"/>
        <v>0</v>
      </c>
      <c r="L23" s="39">
        <f t="shared" si="4"/>
        <v>0</v>
      </c>
      <c r="M23" s="40">
        <f t="shared" si="5"/>
        <v>0</v>
      </c>
      <c r="N23" s="41">
        <f t="shared" si="6"/>
        <v>0</v>
      </c>
      <c r="O23" s="42">
        <f>IFERROR(N23*H23," ")</f>
        <v>0</v>
      </c>
      <c r="P23" s="41">
        <f t="shared" si="7"/>
        <v>0</v>
      </c>
      <c r="Q23" s="42">
        <f t="shared" si="8"/>
        <v>0</v>
      </c>
      <c r="R23" s="43">
        <f t="shared" si="9"/>
        <v>0</v>
      </c>
      <c r="S23" s="42">
        <f t="shared" si="10"/>
        <v>0</v>
      </c>
      <c r="T23" s="41">
        <f>SUM(Tabla2[[#This Row],[LNDV ]:[LNDV UND REF]])</f>
        <v>0</v>
      </c>
      <c r="U23" s="42">
        <f t="shared" si="11"/>
        <v>0</v>
      </c>
      <c r="V23" s="41">
        <f t="shared" si="12"/>
        <v>1</v>
      </c>
      <c r="W23" s="42">
        <f>IFERROR(V23*H23," ")</f>
        <v>127312292.8</v>
      </c>
      <c r="X23" s="41">
        <f t="shared" si="13"/>
        <v>0</v>
      </c>
      <c r="Y23" s="40">
        <f>IFERROR(X23*H23," ")</f>
        <v>0</v>
      </c>
      <c r="Z23" s="44">
        <f t="shared" si="14"/>
        <v>0</v>
      </c>
      <c r="AA23" s="35">
        <f t="shared" si="15"/>
        <v>0</v>
      </c>
      <c r="AD23" s="31"/>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c r="BO23" s="45"/>
      <c r="BP23" s="45"/>
      <c r="BQ23" s="45"/>
      <c r="BR23" s="45"/>
      <c r="BS23" s="45"/>
      <c r="BT23" s="45"/>
      <c r="BU23" s="45"/>
      <c r="BV23" s="45"/>
      <c r="BW23" s="45"/>
      <c r="BX23" s="45"/>
      <c r="BY23" s="45"/>
      <c r="BZ23" s="45"/>
      <c r="CA23" s="45"/>
      <c r="CB23" s="45"/>
      <c r="CC23" s="45"/>
      <c r="CD23" s="45"/>
      <c r="CE23" s="46"/>
      <c r="CF23" s="46">
        <v>1</v>
      </c>
      <c r="CG23" s="45"/>
      <c r="CH23" s="15"/>
      <c r="CI23" s="47"/>
    </row>
    <row r="24" spans="1:87" ht="24" x14ac:dyDescent="0.2">
      <c r="A24" s="31">
        <v>22</v>
      </c>
      <c r="B24" s="51" t="s">
        <v>3083</v>
      </c>
      <c r="C24" s="49" t="s">
        <v>3081</v>
      </c>
      <c r="D24" s="49">
        <v>3970302</v>
      </c>
      <c r="E24" s="34">
        <f t="shared" si="0"/>
        <v>1</v>
      </c>
      <c r="F24" s="35" t="s">
        <v>11</v>
      </c>
      <c r="G24" s="36" t="s">
        <v>2965</v>
      </c>
      <c r="H24" s="37">
        <v>64332371.039999999</v>
      </c>
      <c r="I24" s="38">
        <f t="shared" si="1"/>
        <v>64332371.039999999</v>
      </c>
      <c r="J24" s="39">
        <f t="shared" si="2"/>
        <v>1</v>
      </c>
      <c r="K24" s="40">
        <f t="shared" si="3"/>
        <v>64332371.039999999</v>
      </c>
      <c r="L24" s="39">
        <f t="shared" si="4"/>
        <v>0</v>
      </c>
      <c r="M24" s="40">
        <f t="shared" si="5"/>
        <v>0</v>
      </c>
      <c r="N24" s="41">
        <f t="shared" si="6"/>
        <v>0</v>
      </c>
      <c r="O24" s="42">
        <f>IFERROR(N24*H24," ")</f>
        <v>0</v>
      </c>
      <c r="P24" s="41">
        <f t="shared" si="7"/>
        <v>0</v>
      </c>
      <c r="Q24" s="42">
        <f t="shared" si="8"/>
        <v>0</v>
      </c>
      <c r="R24" s="43">
        <f t="shared" si="9"/>
        <v>0</v>
      </c>
      <c r="S24" s="42">
        <f t="shared" si="10"/>
        <v>0</v>
      </c>
      <c r="T24" s="41">
        <f>SUM(Tabla2[[#This Row],[LNDV ]:[LNDV UND REF]])</f>
        <v>0</v>
      </c>
      <c r="U24" s="42">
        <f t="shared" si="11"/>
        <v>0</v>
      </c>
      <c r="V24" s="41">
        <f t="shared" si="12"/>
        <v>0</v>
      </c>
      <c r="W24" s="42">
        <f>IFERROR(V24*H24," ")</f>
        <v>0</v>
      </c>
      <c r="X24" s="41">
        <f t="shared" si="13"/>
        <v>0</v>
      </c>
      <c r="Y24" s="40">
        <f>IFERROR(X24*H24," ")</f>
        <v>0</v>
      </c>
      <c r="Z24" s="44">
        <f t="shared" si="14"/>
        <v>0</v>
      </c>
      <c r="AA24" s="35">
        <f t="shared" si="15"/>
        <v>0</v>
      </c>
      <c r="AD24" s="31"/>
      <c r="AE24" s="45"/>
      <c r="AF24" s="45"/>
      <c r="AG24" s="45"/>
      <c r="AH24" s="45"/>
      <c r="AI24" s="45"/>
      <c r="AJ24" s="45">
        <v>1</v>
      </c>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c r="BO24" s="45"/>
      <c r="BP24" s="45"/>
      <c r="BQ24" s="45"/>
      <c r="BR24" s="45"/>
      <c r="BS24" s="45"/>
      <c r="BT24" s="45"/>
      <c r="BU24" s="45"/>
      <c r="BV24" s="45"/>
      <c r="BW24" s="45"/>
      <c r="BX24" s="45"/>
      <c r="BY24" s="45"/>
      <c r="BZ24" s="45"/>
      <c r="CA24" s="45"/>
      <c r="CB24" s="45"/>
      <c r="CC24" s="45"/>
      <c r="CD24" s="45"/>
      <c r="CE24" s="46"/>
      <c r="CF24" s="46"/>
      <c r="CG24" s="45"/>
      <c r="CH24" s="15"/>
      <c r="CI24" s="47"/>
    </row>
    <row r="25" spans="1:87" ht="28.5" x14ac:dyDescent="0.2">
      <c r="A25" s="31">
        <v>23</v>
      </c>
      <c r="B25" s="32" t="s">
        <v>3084</v>
      </c>
      <c r="C25" s="48"/>
      <c r="D25" s="48"/>
      <c r="E25" s="34">
        <f t="shared" si="0"/>
        <v>0</v>
      </c>
      <c r="F25" s="35" t="s">
        <v>11</v>
      </c>
      <c r="G25" s="36"/>
      <c r="H25" s="37">
        <v>150260000</v>
      </c>
      <c r="I25" s="38">
        <f t="shared" si="1"/>
        <v>0</v>
      </c>
      <c r="J25" s="39">
        <f t="shared" si="2"/>
        <v>0</v>
      </c>
      <c r="K25" s="40">
        <f t="shared" si="3"/>
        <v>0</v>
      </c>
      <c r="L25" s="39">
        <f t="shared" si="4"/>
        <v>0</v>
      </c>
      <c r="M25" s="40">
        <f t="shared" si="5"/>
        <v>0</v>
      </c>
      <c r="N25" s="41">
        <f t="shared" si="6"/>
        <v>0</v>
      </c>
      <c r="O25" s="42"/>
      <c r="P25" s="41">
        <f t="shared" si="7"/>
        <v>0</v>
      </c>
      <c r="Q25" s="42">
        <f t="shared" si="8"/>
        <v>0</v>
      </c>
      <c r="R25" s="43">
        <f t="shared" si="9"/>
        <v>0</v>
      </c>
      <c r="S25" s="42">
        <f t="shared" si="10"/>
        <v>0</v>
      </c>
      <c r="T25" s="41">
        <f>SUM(Tabla2[[#This Row],[LNDV ]:[LNDV UND REF]])</f>
        <v>0</v>
      </c>
      <c r="U25" s="42">
        <f t="shared" si="11"/>
        <v>0</v>
      </c>
      <c r="V25" s="41">
        <f t="shared" si="12"/>
        <v>0</v>
      </c>
      <c r="W25" s="42"/>
      <c r="X25" s="41">
        <f t="shared" si="13"/>
        <v>0</v>
      </c>
      <c r="Y25" s="40"/>
      <c r="Z25" s="44">
        <f t="shared" si="14"/>
        <v>0</v>
      </c>
      <c r="AA25" s="35">
        <f t="shared" si="15"/>
        <v>0</v>
      </c>
      <c r="AD25" s="31"/>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BT25" s="45"/>
      <c r="BU25" s="45"/>
      <c r="BV25" s="45"/>
      <c r="BW25" s="45"/>
      <c r="BX25" s="45"/>
      <c r="BY25" s="45"/>
      <c r="BZ25" s="45"/>
      <c r="CA25" s="45"/>
      <c r="CB25" s="45"/>
      <c r="CC25" s="45"/>
      <c r="CD25" s="45"/>
      <c r="CE25" s="46"/>
      <c r="CF25" s="46"/>
      <c r="CG25" s="45"/>
      <c r="CH25" s="15"/>
      <c r="CI25" s="47"/>
    </row>
    <row r="26" spans="1:87" ht="28.5" x14ac:dyDescent="0.2">
      <c r="A26" s="31">
        <v>24</v>
      </c>
      <c r="B26" s="32" t="s">
        <v>3085</v>
      </c>
      <c r="C26" s="48"/>
      <c r="D26" s="48"/>
      <c r="E26" s="34">
        <f t="shared" si="0"/>
        <v>0</v>
      </c>
      <c r="F26" s="35" t="s">
        <v>11</v>
      </c>
      <c r="G26" s="36"/>
      <c r="H26" s="37">
        <v>81741440</v>
      </c>
      <c r="I26" s="38">
        <f t="shared" si="1"/>
        <v>0</v>
      </c>
      <c r="J26" s="39">
        <f t="shared" si="2"/>
        <v>0</v>
      </c>
      <c r="K26" s="40">
        <f t="shared" si="3"/>
        <v>0</v>
      </c>
      <c r="L26" s="39">
        <f t="shared" si="4"/>
        <v>0</v>
      </c>
      <c r="M26" s="40">
        <f t="shared" si="5"/>
        <v>0</v>
      </c>
      <c r="N26" s="41">
        <f t="shared" si="6"/>
        <v>0</v>
      </c>
      <c r="O26" s="42"/>
      <c r="P26" s="41">
        <f t="shared" si="7"/>
        <v>0</v>
      </c>
      <c r="Q26" s="42">
        <f t="shared" si="8"/>
        <v>0</v>
      </c>
      <c r="R26" s="43">
        <f t="shared" si="9"/>
        <v>0</v>
      </c>
      <c r="S26" s="42">
        <f t="shared" si="10"/>
        <v>0</v>
      </c>
      <c r="T26" s="41">
        <f>SUM(Tabla2[[#This Row],[LNDV ]:[LNDV UND REF]])</f>
        <v>0</v>
      </c>
      <c r="U26" s="42">
        <f t="shared" si="11"/>
        <v>0</v>
      </c>
      <c r="V26" s="41">
        <f t="shared" si="12"/>
        <v>0</v>
      </c>
      <c r="W26" s="42"/>
      <c r="X26" s="41">
        <f t="shared" si="13"/>
        <v>0</v>
      </c>
      <c r="Y26" s="40"/>
      <c r="Z26" s="44">
        <f t="shared" si="14"/>
        <v>0</v>
      </c>
      <c r="AA26" s="35">
        <f t="shared" si="15"/>
        <v>0</v>
      </c>
      <c r="AD26" s="31"/>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c r="BE26" s="45"/>
      <c r="BF26" s="45"/>
      <c r="BG26" s="45"/>
      <c r="BH26" s="45"/>
      <c r="BI26" s="45"/>
      <c r="BJ26" s="45"/>
      <c r="BK26" s="45"/>
      <c r="BL26" s="45"/>
      <c r="BM26" s="45"/>
      <c r="BN26" s="45"/>
      <c r="BO26" s="45"/>
      <c r="BP26" s="45"/>
      <c r="BQ26" s="45"/>
      <c r="BR26" s="45"/>
      <c r="BS26" s="45"/>
      <c r="BT26" s="45"/>
      <c r="BU26" s="45"/>
      <c r="BV26" s="45"/>
      <c r="BW26" s="45"/>
      <c r="BX26" s="45"/>
      <c r="BY26" s="45"/>
      <c r="BZ26" s="45"/>
      <c r="CA26" s="45"/>
      <c r="CB26" s="45"/>
      <c r="CC26" s="45"/>
      <c r="CD26" s="45"/>
      <c r="CE26" s="46"/>
      <c r="CF26" s="46"/>
      <c r="CG26" s="45"/>
      <c r="CH26" s="15"/>
      <c r="CI26" s="47"/>
    </row>
    <row r="27" spans="1:87" ht="14.25" x14ac:dyDescent="0.2">
      <c r="A27" s="31">
        <v>25</v>
      </c>
      <c r="B27" s="32" t="s">
        <v>3086</v>
      </c>
      <c r="C27" s="48"/>
      <c r="D27" s="48"/>
      <c r="E27" s="34">
        <f t="shared" si="0"/>
        <v>1</v>
      </c>
      <c r="F27" s="35" t="s">
        <v>11</v>
      </c>
      <c r="G27" s="36"/>
      <c r="H27" s="37">
        <v>40870720</v>
      </c>
      <c r="I27" s="38">
        <f t="shared" si="1"/>
        <v>40870720</v>
      </c>
      <c r="J27" s="39">
        <f t="shared" si="2"/>
        <v>0</v>
      </c>
      <c r="K27" s="40">
        <f t="shared" si="3"/>
        <v>0</v>
      </c>
      <c r="L27" s="39">
        <f t="shared" si="4"/>
        <v>1</v>
      </c>
      <c r="M27" s="40">
        <f t="shared" si="5"/>
        <v>40870720</v>
      </c>
      <c r="N27" s="41">
        <f t="shared" si="6"/>
        <v>0</v>
      </c>
      <c r="O27" s="42"/>
      <c r="P27" s="41">
        <f t="shared" si="7"/>
        <v>0</v>
      </c>
      <c r="Q27" s="42">
        <f t="shared" si="8"/>
        <v>0</v>
      </c>
      <c r="R27" s="43">
        <f t="shared" si="9"/>
        <v>0</v>
      </c>
      <c r="S27" s="42">
        <f t="shared" si="10"/>
        <v>0</v>
      </c>
      <c r="T27" s="41">
        <f>SUM(Tabla2[[#This Row],[LNDV ]:[LNDV UND REF]])</f>
        <v>0</v>
      </c>
      <c r="U27" s="42">
        <f t="shared" si="11"/>
        <v>0</v>
      </c>
      <c r="V27" s="41">
        <f t="shared" si="12"/>
        <v>0</v>
      </c>
      <c r="W27" s="42"/>
      <c r="X27" s="41">
        <f t="shared" si="13"/>
        <v>0</v>
      </c>
      <c r="Y27" s="40"/>
      <c r="Z27" s="44">
        <f t="shared" si="14"/>
        <v>0</v>
      </c>
      <c r="AA27" s="35">
        <f t="shared" si="15"/>
        <v>0</v>
      </c>
      <c r="AD27" s="31"/>
      <c r="AE27" s="45"/>
      <c r="AF27" s="45"/>
      <c r="AG27" s="45"/>
      <c r="AH27" s="45"/>
      <c r="AI27" s="45"/>
      <c r="AJ27" s="45"/>
      <c r="AK27" s="45"/>
      <c r="AL27" s="45"/>
      <c r="AM27" s="45"/>
      <c r="AN27" s="45"/>
      <c r="AO27" s="45"/>
      <c r="AP27" s="45"/>
      <c r="AQ27" s="45"/>
      <c r="AR27" s="45"/>
      <c r="AS27" s="45"/>
      <c r="AT27" s="45"/>
      <c r="AU27" s="45">
        <v>1</v>
      </c>
      <c r="AV27" s="45"/>
      <c r="AW27" s="45"/>
      <c r="AX27" s="45"/>
      <c r="AY27" s="45"/>
      <c r="AZ27" s="45"/>
      <c r="BA27" s="45"/>
      <c r="BB27" s="45"/>
      <c r="BC27" s="45"/>
      <c r="BD27" s="45"/>
      <c r="BE27" s="45"/>
      <c r="BF27" s="45"/>
      <c r="BG27" s="45"/>
      <c r="BH27" s="45"/>
      <c r="BI27" s="45"/>
      <c r="BJ27" s="45"/>
      <c r="BK27" s="45"/>
      <c r="BL27" s="45"/>
      <c r="BM27" s="45"/>
      <c r="BN27" s="45"/>
      <c r="BO27" s="45"/>
      <c r="BP27" s="45"/>
      <c r="BQ27" s="45"/>
      <c r="BR27" s="45"/>
      <c r="BS27" s="45"/>
      <c r="BT27" s="45"/>
      <c r="BU27" s="45"/>
      <c r="BV27" s="45"/>
      <c r="BW27" s="45"/>
      <c r="BX27" s="45"/>
      <c r="BY27" s="45"/>
      <c r="BZ27" s="45"/>
      <c r="CA27" s="45"/>
      <c r="CB27" s="45"/>
      <c r="CC27" s="45"/>
      <c r="CD27" s="45"/>
      <c r="CE27" s="46"/>
      <c r="CF27" s="46"/>
      <c r="CG27" s="45"/>
      <c r="CH27" s="15"/>
      <c r="CI27" s="47"/>
    </row>
    <row r="28" spans="1:87" ht="14.25" x14ac:dyDescent="0.2">
      <c r="A28" s="31">
        <v>26</v>
      </c>
      <c r="B28" s="32" t="s">
        <v>3087</v>
      </c>
      <c r="C28" s="48"/>
      <c r="D28" s="48"/>
      <c r="E28" s="34">
        <f t="shared" si="0"/>
        <v>1</v>
      </c>
      <c r="F28" s="35" t="s">
        <v>11</v>
      </c>
      <c r="G28" s="36"/>
      <c r="H28" s="37">
        <v>360624000</v>
      </c>
      <c r="I28" s="38">
        <f t="shared" si="1"/>
        <v>360624000</v>
      </c>
      <c r="J28" s="39">
        <f t="shared" si="2"/>
        <v>0</v>
      </c>
      <c r="K28" s="40">
        <f t="shared" si="3"/>
        <v>0</v>
      </c>
      <c r="L28" s="39">
        <f t="shared" si="4"/>
        <v>1</v>
      </c>
      <c r="M28" s="40">
        <f t="shared" si="5"/>
        <v>360624000</v>
      </c>
      <c r="N28" s="41">
        <f t="shared" si="6"/>
        <v>0</v>
      </c>
      <c r="O28" s="42"/>
      <c r="P28" s="41">
        <f t="shared" si="7"/>
        <v>0</v>
      </c>
      <c r="Q28" s="42">
        <f t="shared" si="8"/>
        <v>0</v>
      </c>
      <c r="R28" s="43">
        <f t="shared" si="9"/>
        <v>0</v>
      </c>
      <c r="S28" s="42">
        <f t="shared" si="10"/>
        <v>0</v>
      </c>
      <c r="T28" s="41">
        <f>SUM(Tabla2[[#This Row],[LNDV ]:[LNDV UND REF]])</f>
        <v>0</v>
      </c>
      <c r="U28" s="42">
        <f t="shared" si="11"/>
        <v>0</v>
      </c>
      <c r="V28" s="41">
        <f t="shared" si="12"/>
        <v>0</v>
      </c>
      <c r="W28" s="42"/>
      <c r="X28" s="41">
        <f t="shared" si="13"/>
        <v>0</v>
      </c>
      <c r="Y28" s="40"/>
      <c r="Z28" s="44">
        <f t="shared" si="14"/>
        <v>0</v>
      </c>
      <c r="AA28" s="35">
        <f t="shared" si="15"/>
        <v>0</v>
      </c>
      <c r="AD28" s="31"/>
      <c r="AE28" s="45"/>
      <c r="AF28" s="45"/>
      <c r="AG28" s="45"/>
      <c r="AH28" s="45"/>
      <c r="AI28" s="45"/>
      <c r="AJ28" s="45"/>
      <c r="AK28" s="45"/>
      <c r="AL28" s="45"/>
      <c r="AM28" s="45"/>
      <c r="AN28" s="45"/>
      <c r="AO28" s="45"/>
      <c r="AP28" s="45"/>
      <c r="AQ28" s="45"/>
      <c r="AR28" s="45"/>
      <c r="AS28" s="45"/>
      <c r="AT28" s="45"/>
      <c r="AU28" s="45"/>
      <c r="AV28" s="45"/>
      <c r="AW28" s="45">
        <v>1</v>
      </c>
      <c r="AX28" s="45"/>
      <c r="AY28" s="45"/>
      <c r="AZ28" s="45"/>
      <c r="BA28" s="45"/>
      <c r="BB28" s="45"/>
      <c r="BC28" s="45"/>
      <c r="BD28" s="45"/>
      <c r="BE28" s="45"/>
      <c r="BF28" s="45"/>
      <c r="BG28" s="45"/>
      <c r="BH28" s="45"/>
      <c r="BI28" s="45"/>
      <c r="BJ28" s="45"/>
      <c r="BK28" s="45"/>
      <c r="BL28" s="45"/>
      <c r="BM28" s="45"/>
      <c r="BN28" s="45"/>
      <c r="BO28" s="45"/>
      <c r="BP28" s="45"/>
      <c r="BQ28" s="45"/>
      <c r="BR28" s="45"/>
      <c r="BS28" s="45"/>
      <c r="BT28" s="45"/>
      <c r="BU28" s="45"/>
      <c r="BV28" s="45"/>
      <c r="BW28" s="45"/>
      <c r="BX28" s="45"/>
      <c r="BY28" s="45"/>
      <c r="BZ28" s="45"/>
      <c r="CA28" s="45"/>
      <c r="CB28" s="45"/>
      <c r="CC28" s="45"/>
      <c r="CD28" s="45"/>
      <c r="CE28" s="46"/>
      <c r="CF28" s="46"/>
      <c r="CG28" s="45"/>
      <c r="CH28" s="15"/>
      <c r="CI28" s="47"/>
    </row>
    <row r="29" spans="1:87" ht="48" x14ac:dyDescent="0.2">
      <c r="A29" s="31">
        <v>27</v>
      </c>
      <c r="B29" s="32" t="s">
        <v>3088</v>
      </c>
      <c r="C29" s="49" t="s">
        <v>3089</v>
      </c>
      <c r="D29" s="61" t="s">
        <v>3090</v>
      </c>
      <c r="E29" s="34">
        <f t="shared" si="0"/>
        <v>0</v>
      </c>
      <c r="F29" s="35" t="s">
        <v>11</v>
      </c>
      <c r="G29" s="36" t="s">
        <v>2965</v>
      </c>
      <c r="H29" s="37">
        <v>64891556.799999997</v>
      </c>
      <c r="I29" s="38">
        <f t="shared" si="1"/>
        <v>0</v>
      </c>
      <c r="J29" s="39">
        <f t="shared" si="2"/>
        <v>0</v>
      </c>
      <c r="K29" s="40">
        <f t="shared" si="3"/>
        <v>0</v>
      </c>
      <c r="L29" s="39">
        <f t="shared" si="4"/>
        <v>0</v>
      </c>
      <c r="M29" s="40">
        <f t="shared" si="5"/>
        <v>0</v>
      </c>
      <c r="N29" s="41">
        <f t="shared" si="6"/>
        <v>0</v>
      </c>
      <c r="O29" s="42">
        <f>IFERROR(N29*H29," ")</f>
        <v>0</v>
      </c>
      <c r="P29" s="41">
        <f t="shared" si="7"/>
        <v>0</v>
      </c>
      <c r="Q29" s="42">
        <f t="shared" si="8"/>
        <v>0</v>
      </c>
      <c r="R29" s="43">
        <f t="shared" si="9"/>
        <v>0</v>
      </c>
      <c r="S29" s="42">
        <f t="shared" si="10"/>
        <v>0</v>
      </c>
      <c r="T29" s="41">
        <f>SUM(Tabla2[[#This Row],[LNDV ]:[LNDV UND REF]])</f>
        <v>0</v>
      </c>
      <c r="U29" s="42">
        <f t="shared" si="11"/>
        <v>0</v>
      </c>
      <c r="V29" s="41">
        <f t="shared" si="12"/>
        <v>0</v>
      </c>
      <c r="W29" s="42">
        <f>IFERROR(V29*H29," ")</f>
        <v>0</v>
      </c>
      <c r="X29" s="41">
        <f t="shared" si="13"/>
        <v>0</v>
      </c>
      <c r="Y29" s="40">
        <f>IFERROR(X29*H29," ")</f>
        <v>0</v>
      </c>
      <c r="Z29" s="44">
        <f t="shared" si="14"/>
        <v>0</v>
      </c>
      <c r="AA29" s="35">
        <f t="shared" si="15"/>
        <v>0</v>
      </c>
      <c r="AD29" s="31"/>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5"/>
      <c r="BM29" s="45"/>
      <c r="BN29" s="45"/>
      <c r="BO29" s="45"/>
      <c r="BP29" s="45"/>
      <c r="BQ29" s="45"/>
      <c r="BR29" s="45"/>
      <c r="BS29" s="45"/>
      <c r="BT29" s="45"/>
      <c r="BU29" s="45"/>
      <c r="BV29" s="45"/>
      <c r="BW29" s="45"/>
      <c r="BX29" s="45"/>
      <c r="BY29" s="45"/>
      <c r="BZ29" s="45"/>
      <c r="CA29" s="45"/>
      <c r="CB29" s="45"/>
      <c r="CC29" s="45"/>
      <c r="CD29" s="45"/>
      <c r="CE29" s="46"/>
      <c r="CF29" s="46"/>
      <c r="CG29" s="45"/>
      <c r="CH29" s="15"/>
      <c r="CI29" s="47"/>
    </row>
    <row r="30" spans="1:87" ht="28.5" x14ac:dyDescent="0.2">
      <c r="A30" s="31">
        <v>28</v>
      </c>
      <c r="B30" s="32" t="s">
        <v>3091</v>
      </c>
      <c r="C30" s="48"/>
      <c r="D30" s="48"/>
      <c r="E30" s="34">
        <f t="shared" si="0"/>
        <v>0</v>
      </c>
      <c r="F30" s="35" t="s">
        <v>11</v>
      </c>
      <c r="G30" s="36" t="s">
        <v>2968</v>
      </c>
      <c r="H30" s="37">
        <v>16365321.4736</v>
      </c>
      <c r="I30" s="38">
        <f t="shared" si="1"/>
        <v>0</v>
      </c>
      <c r="J30" s="39">
        <f t="shared" si="2"/>
        <v>0</v>
      </c>
      <c r="K30" s="40">
        <f t="shared" si="3"/>
        <v>0</v>
      </c>
      <c r="L30" s="39">
        <f t="shared" si="4"/>
        <v>0</v>
      </c>
      <c r="M30" s="40">
        <f t="shared" si="5"/>
        <v>0</v>
      </c>
      <c r="N30" s="41">
        <f t="shared" si="6"/>
        <v>0</v>
      </c>
      <c r="O30" s="42"/>
      <c r="P30" s="41">
        <f t="shared" si="7"/>
        <v>0</v>
      </c>
      <c r="Q30" s="42">
        <f t="shared" si="8"/>
        <v>0</v>
      </c>
      <c r="R30" s="43">
        <f t="shared" si="9"/>
        <v>0</v>
      </c>
      <c r="S30" s="42">
        <f t="shared" si="10"/>
        <v>0</v>
      </c>
      <c r="T30" s="41">
        <f>SUM(Tabla2[[#This Row],[LNDV ]:[LNDV UND REF]])</f>
        <v>0</v>
      </c>
      <c r="U30" s="42">
        <f t="shared" si="11"/>
        <v>0</v>
      </c>
      <c r="V30" s="41">
        <f t="shared" si="12"/>
        <v>0</v>
      </c>
      <c r="W30" s="42"/>
      <c r="X30" s="41">
        <f t="shared" si="13"/>
        <v>0</v>
      </c>
      <c r="Y30" s="40"/>
      <c r="Z30" s="44">
        <f t="shared" si="14"/>
        <v>0</v>
      </c>
      <c r="AA30" s="35">
        <f t="shared" si="15"/>
        <v>0</v>
      </c>
      <c r="AD30" s="31"/>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c r="BO30" s="45"/>
      <c r="BP30" s="45"/>
      <c r="BQ30" s="45"/>
      <c r="BR30" s="45"/>
      <c r="BS30" s="45"/>
      <c r="BT30" s="45"/>
      <c r="BU30" s="45"/>
      <c r="BV30" s="45"/>
      <c r="BW30" s="45"/>
      <c r="BX30" s="45"/>
      <c r="BY30" s="45"/>
      <c r="BZ30" s="45"/>
      <c r="CA30" s="45"/>
      <c r="CB30" s="45"/>
      <c r="CC30" s="45"/>
      <c r="CD30" s="45"/>
      <c r="CE30" s="46"/>
      <c r="CF30" s="46"/>
      <c r="CG30" s="45"/>
      <c r="CH30" s="15"/>
      <c r="CI30" s="47"/>
    </row>
    <row r="31" spans="1:87" ht="48" x14ac:dyDescent="0.2">
      <c r="A31" s="31">
        <v>29</v>
      </c>
      <c r="B31" s="51" t="s">
        <v>3092</v>
      </c>
      <c r="C31" s="49" t="s">
        <v>1624</v>
      </c>
      <c r="D31" s="61" t="s">
        <v>3093</v>
      </c>
      <c r="E31" s="34">
        <f t="shared" si="0"/>
        <v>0</v>
      </c>
      <c r="F31" s="35" t="s">
        <v>11</v>
      </c>
      <c r="G31" s="36" t="s">
        <v>2965</v>
      </c>
      <c r="H31" s="37">
        <v>111707108.8</v>
      </c>
      <c r="I31" s="38">
        <f t="shared" si="1"/>
        <v>0</v>
      </c>
      <c r="J31" s="39">
        <f t="shared" si="2"/>
        <v>0</v>
      </c>
      <c r="K31" s="40">
        <f t="shared" si="3"/>
        <v>0</v>
      </c>
      <c r="L31" s="39">
        <f t="shared" si="4"/>
        <v>0</v>
      </c>
      <c r="M31" s="40">
        <f t="shared" si="5"/>
        <v>0</v>
      </c>
      <c r="N31" s="41">
        <f t="shared" si="6"/>
        <v>0</v>
      </c>
      <c r="O31" s="42">
        <f>IFERROR(N31*H31," ")</f>
        <v>0</v>
      </c>
      <c r="P31" s="41">
        <f t="shared" si="7"/>
        <v>0</v>
      </c>
      <c r="Q31" s="42">
        <f t="shared" si="8"/>
        <v>0</v>
      </c>
      <c r="R31" s="43">
        <f t="shared" si="9"/>
        <v>0</v>
      </c>
      <c r="S31" s="42">
        <f t="shared" si="10"/>
        <v>0</v>
      </c>
      <c r="T31" s="41">
        <f>SUM(Tabla2[[#This Row],[LNDV ]:[LNDV UND REF]])</f>
        <v>0</v>
      </c>
      <c r="U31" s="42">
        <f t="shared" si="11"/>
        <v>0</v>
      </c>
      <c r="V31" s="41">
        <f t="shared" si="12"/>
        <v>0</v>
      </c>
      <c r="W31" s="42">
        <f>IFERROR(V31*H31," ")</f>
        <v>0</v>
      </c>
      <c r="X31" s="41">
        <f t="shared" si="13"/>
        <v>0</v>
      </c>
      <c r="Y31" s="40">
        <f>IFERROR(X31*H31," ")</f>
        <v>0</v>
      </c>
      <c r="Z31" s="44">
        <f t="shared" si="14"/>
        <v>0</v>
      </c>
      <c r="AA31" s="35">
        <f t="shared" si="15"/>
        <v>0</v>
      </c>
      <c r="AD31" s="31"/>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c r="BC31" s="45"/>
      <c r="BD31" s="45"/>
      <c r="BE31" s="45"/>
      <c r="BF31" s="45"/>
      <c r="BG31" s="45"/>
      <c r="BH31" s="45"/>
      <c r="BI31" s="45"/>
      <c r="BJ31" s="45"/>
      <c r="BK31" s="45"/>
      <c r="BL31" s="45"/>
      <c r="BM31" s="45"/>
      <c r="BN31" s="45"/>
      <c r="BO31" s="45"/>
      <c r="BP31" s="45"/>
      <c r="BQ31" s="45"/>
      <c r="BR31" s="45"/>
      <c r="BS31" s="45"/>
      <c r="BT31" s="45"/>
      <c r="BU31" s="45"/>
      <c r="BV31" s="45"/>
      <c r="BW31" s="45"/>
      <c r="BX31" s="45"/>
      <c r="BY31" s="45"/>
      <c r="BZ31" s="45"/>
      <c r="CA31" s="45"/>
      <c r="CB31" s="45"/>
      <c r="CC31" s="45"/>
      <c r="CD31" s="45"/>
      <c r="CE31" s="46"/>
      <c r="CF31" s="46"/>
      <c r="CG31" s="45"/>
      <c r="CH31" s="15"/>
      <c r="CI31" s="47"/>
    </row>
    <row r="32" spans="1:87" ht="57" x14ac:dyDescent="0.2">
      <c r="A32" s="31">
        <v>30</v>
      </c>
      <c r="B32" s="32" t="s">
        <v>3094</v>
      </c>
      <c r="C32" s="48"/>
      <c r="D32" s="48"/>
      <c r="E32" s="34">
        <f t="shared" si="0"/>
        <v>2</v>
      </c>
      <c r="F32" s="35" t="s">
        <v>11</v>
      </c>
      <c r="G32" s="36"/>
      <c r="H32" s="37">
        <v>96166400</v>
      </c>
      <c r="I32" s="38">
        <f t="shared" si="1"/>
        <v>192332800</v>
      </c>
      <c r="J32" s="39">
        <f t="shared" si="2"/>
        <v>0</v>
      </c>
      <c r="K32" s="40">
        <f t="shared" si="3"/>
        <v>0</v>
      </c>
      <c r="L32" s="39">
        <f t="shared" si="4"/>
        <v>0</v>
      </c>
      <c r="M32" s="40">
        <f t="shared" si="5"/>
        <v>0</v>
      </c>
      <c r="N32" s="41">
        <f t="shared" si="6"/>
        <v>1</v>
      </c>
      <c r="O32" s="42"/>
      <c r="P32" s="41">
        <f t="shared" si="7"/>
        <v>0</v>
      </c>
      <c r="Q32" s="42">
        <f t="shared" si="8"/>
        <v>0</v>
      </c>
      <c r="R32" s="43">
        <f t="shared" si="9"/>
        <v>0</v>
      </c>
      <c r="S32" s="42">
        <f t="shared" si="10"/>
        <v>0</v>
      </c>
      <c r="T32" s="41">
        <f>SUM(Tabla2[[#This Row],[LNDV ]:[LNDV UND REF]])</f>
        <v>0</v>
      </c>
      <c r="U32" s="42">
        <f t="shared" si="11"/>
        <v>0</v>
      </c>
      <c r="V32" s="41">
        <f t="shared" si="12"/>
        <v>1</v>
      </c>
      <c r="W32" s="42"/>
      <c r="X32" s="41">
        <f t="shared" si="13"/>
        <v>0</v>
      </c>
      <c r="Y32" s="40"/>
      <c r="Z32" s="44">
        <f t="shared" si="14"/>
        <v>0</v>
      </c>
      <c r="AA32" s="35">
        <f t="shared" si="15"/>
        <v>0</v>
      </c>
      <c r="AD32" s="31"/>
      <c r="AE32" s="45"/>
      <c r="AF32" s="45"/>
      <c r="AG32" s="45"/>
      <c r="AH32" s="45"/>
      <c r="AI32" s="45"/>
      <c r="AJ32" s="45"/>
      <c r="AK32" s="45"/>
      <c r="AL32" s="45"/>
      <c r="AM32" s="45"/>
      <c r="AN32" s="45"/>
      <c r="AO32" s="45"/>
      <c r="AP32" s="45"/>
      <c r="AQ32" s="45"/>
      <c r="AR32" s="45">
        <v>1</v>
      </c>
      <c r="AS32" s="45"/>
      <c r="AT32" s="45"/>
      <c r="AU32" s="45"/>
      <c r="AV32" s="45"/>
      <c r="AW32" s="45"/>
      <c r="AX32" s="45"/>
      <c r="AY32" s="45"/>
      <c r="AZ32" s="45"/>
      <c r="BA32" s="45"/>
      <c r="BB32" s="45"/>
      <c r="BC32" s="45"/>
      <c r="BD32" s="45"/>
      <c r="BE32" s="45"/>
      <c r="BF32" s="45"/>
      <c r="BG32" s="45"/>
      <c r="BH32" s="45"/>
      <c r="BI32" s="45"/>
      <c r="BJ32" s="45"/>
      <c r="BK32" s="45"/>
      <c r="BL32" s="45"/>
      <c r="BM32" s="45"/>
      <c r="BN32" s="45"/>
      <c r="BO32" s="45"/>
      <c r="BP32" s="45"/>
      <c r="BQ32" s="45"/>
      <c r="BR32" s="45"/>
      <c r="BS32" s="45"/>
      <c r="BT32" s="45"/>
      <c r="BU32" s="45"/>
      <c r="BV32" s="45"/>
      <c r="BW32" s="45"/>
      <c r="BX32" s="45"/>
      <c r="BY32" s="45"/>
      <c r="BZ32" s="45"/>
      <c r="CA32" s="45"/>
      <c r="CB32" s="45"/>
      <c r="CC32" s="45"/>
      <c r="CD32" s="45"/>
      <c r="CE32" s="46"/>
      <c r="CF32" s="46">
        <v>1</v>
      </c>
      <c r="CG32" s="45"/>
      <c r="CH32" s="15"/>
      <c r="CI32" s="47"/>
    </row>
    <row r="33" spans="1:87" ht="22.5" customHeight="1" x14ac:dyDescent="0.2">
      <c r="A33" s="31">
        <v>31</v>
      </c>
      <c r="B33" s="32" t="s">
        <v>3095</v>
      </c>
      <c r="C33" s="48"/>
      <c r="D33" s="48"/>
      <c r="E33" s="34">
        <f t="shared" si="0"/>
        <v>2</v>
      </c>
      <c r="F33" s="35" t="s">
        <v>11</v>
      </c>
      <c r="G33" s="36"/>
      <c r="H33" s="37">
        <v>136767682.5104</v>
      </c>
      <c r="I33" s="38">
        <f t="shared" si="1"/>
        <v>273535365.02079999</v>
      </c>
      <c r="J33" s="39">
        <f t="shared" si="2"/>
        <v>1</v>
      </c>
      <c r="K33" s="40">
        <f t="shared" si="3"/>
        <v>136767682.5104</v>
      </c>
      <c r="L33" s="39">
        <f t="shared" si="4"/>
        <v>0</v>
      </c>
      <c r="M33" s="40">
        <f t="shared" si="5"/>
        <v>0</v>
      </c>
      <c r="N33" s="41">
        <f t="shared" si="6"/>
        <v>0</v>
      </c>
      <c r="O33" s="42"/>
      <c r="P33" s="41">
        <f t="shared" si="7"/>
        <v>0</v>
      </c>
      <c r="Q33" s="42">
        <f t="shared" si="8"/>
        <v>0</v>
      </c>
      <c r="R33" s="43">
        <f t="shared" si="9"/>
        <v>0</v>
      </c>
      <c r="S33" s="42">
        <f t="shared" si="10"/>
        <v>0</v>
      </c>
      <c r="T33" s="41">
        <f>SUM(Tabla2[[#This Row],[LNDV ]:[LNDV UND REF]])</f>
        <v>0</v>
      </c>
      <c r="U33" s="42">
        <f t="shared" si="11"/>
        <v>0</v>
      </c>
      <c r="V33" s="41">
        <f t="shared" si="12"/>
        <v>1</v>
      </c>
      <c r="W33" s="42"/>
      <c r="X33" s="41">
        <f t="shared" si="13"/>
        <v>0</v>
      </c>
      <c r="Y33" s="40"/>
      <c r="Z33" s="44">
        <f t="shared" si="14"/>
        <v>0</v>
      </c>
      <c r="AA33" s="35">
        <f t="shared" si="15"/>
        <v>0</v>
      </c>
      <c r="AD33" s="31"/>
      <c r="AE33" s="45"/>
      <c r="AF33" s="45"/>
      <c r="AG33" s="45"/>
      <c r="AH33" s="45"/>
      <c r="AI33" s="45"/>
      <c r="AJ33" s="45">
        <v>1</v>
      </c>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c r="BM33" s="45"/>
      <c r="BN33" s="45"/>
      <c r="BO33" s="45"/>
      <c r="BP33" s="45"/>
      <c r="BQ33" s="45"/>
      <c r="BR33" s="45"/>
      <c r="BS33" s="45"/>
      <c r="BT33" s="45"/>
      <c r="BU33" s="45"/>
      <c r="BV33" s="45"/>
      <c r="BW33" s="45"/>
      <c r="BX33" s="45"/>
      <c r="BY33" s="45"/>
      <c r="BZ33" s="45"/>
      <c r="CA33" s="45"/>
      <c r="CB33" s="45"/>
      <c r="CC33" s="45"/>
      <c r="CD33" s="45"/>
      <c r="CE33" s="46"/>
      <c r="CF33" s="46">
        <v>1</v>
      </c>
      <c r="CG33" s="45"/>
      <c r="CH33" s="15"/>
      <c r="CI33" s="47"/>
    </row>
    <row r="34" spans="1:87" ht="28.5" x14ac:dyDescent="0.2">
      <c r="A34" s="31">
        <v>32</v>
      </c>
      <c r="B34" s="32" t="s">
        <v>3096</v>
      </c>
      <c r="C34" s="48"/>
      <c r="D34" s="48"/>
      <c r="E34" s="34">
        <f t="shared" si="0"/>
        <v>1</v>
      </c>
      <c r="F34" s="35" t="s">
        <v>11</v>
      </c>
      <c r="G34" s="36"/>
      <c r="H34" s="37">
        <v>39394572.316799998</v>
      </c>
      <c r="I34" s="38">
        <f t="shared" si="1"/>
        <v>39394572.316799998</v>
      </c>
      <c r="J34" s="39">
        <f t="shared" si="2"/>
        <v>0</v>
      </c>
      <c r="K34" s="40">
        <f t="shared" si="3"/>
        <v>0</v>
      </c>
      <c r="L34" s="39">
        <f t="shared" si="4"/>
        <v>0</v>
      </c>
      <c r="M34" s="40">
        <f t="shared" si="5"/>
        <v>0</v>
      </c>
      <c r="N34" s="41">
        <f t="shared" si="6"/>
        <v>0</v>
      </c>
      <c r="O34" s="42"/>
      <c r="P34" s="41">
        <f t="shared" si="7"/>
        <v>0</v>
      </c>
      <c r="Q34" s="42">
        <f t="shared" si="8"/>
        <v>0</v>
      </c>
      <c r="R34" s="43">
        <f t="shared" si="9"/>
        <v>0</v>
      </c>
      <c r="S34" s="42">
        <f t="shared" si="10"/>
        <v>0</v>
      </c>
      <c r="T34" s="41">
        <f>SUM(Tabla2[[#This Row],[LNDV ]:[LNDV UND REF]])</f>
        <v>1</v>
      </c>
      <c r="U34" s="42">
        <f t="shared" si="11"/>
        <v>39394572.316799998</v>
      </c>
      <c r="V34" s="41">
        <f t="shared" si="12"/>
        <v>0</v>
      </c>
      <c r="W34" s="42"/>
      <c r="X34" s="41">
        <f t="shared" si="13"/>
        <v>0</v>
      </c>
      <c r="Y34" s="40"/>
      <c r="Z34" s="44">
        <f t="shared" si="14"/>
        <v>0</v>
      </c>
      <c r="AA34" s="35">
        <f t="shared" si="15"/>
        <v>0</v>
      </c>
      <c r="AD34" s="31"/>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c r="BC34" s="45"/>
      <c r="BD34" s="45"/>
      <c r="BE34" s="45"/>
      <c r="BF34" s="45"/>
      <c r="BG34" s="45"/>
      <c r="BH34" s="45"/>
      <c r="BI34" s="45"/>
      <c r="BJ34" s="45"/>
      <c r="BK34" s="45"/>
      <c r="BL34" s="45"/>
      <c r="BM34" s="45"/>
      <c r="BN34" s="45"/>
      <c r="BO34" s="45"/>
      <c r="BP34" s="45"/>
      <c r="BQ34" s="45"/>
      <c r="BR34" s="45"/>
      <c r="BS34" s="45"/>
      <c r="BT34" s="45"/>
      <c r="BU34" s="45"/>
      <c r="BV34" s="45"/>
      <c r="BW34" s="45"/>
      <c r="BX34" s="45"/>
      <c r="BY34" s="45"/>
      <c r="BZ34" s="45"/>
      <c r="CA34" s="45"/>
      <c r="CB34" s="45"/>
      <c r="CC34" s="45"/>
      <c r="CD34" s="45">
        <v>1</v>
      </c>
      <c r="CE34" s="46"/>
      <c r="CF34" s="46"/>
      <c r="CG34" s="45"/>
      <c r="CH34" s="15"/>
      <c r="CI34" s="47"/>
    </row>
    <row r="35" spans="1:87" ht="14.25" x14ac:dyDescent="0.2">
      <c r="A35" s="31">
        <v>33</v>
      </c>
      <c r="B35" s="32" t="s">
        <v>3097</v>
      </c>
      <c r="C35" s="48"/>
      <c r="D35" s="48"/>
      <c r="E35" s="34">
        <f t="shared" ref="E35:E66" si="16">SUM(J35+L35+N35+P35+R35+T35+V35+X35+Z35)</f>
        <v>0</v>
      </c>
      <c r="F35" s="35" t="s">
        <v>11</v>
      </c>
      <c r="G35" s="36"/>
      <c r="H35" s="37">
        <v>264457600</v>
      </c>
      <c r="I35" s="38">
        <f t="shared" ref="I35:I66" si="17">IFERROR(E35*H35," ")</f>
        <v>0</v>
      </c>
      <c r="J35" s="39">
        <f t="shared" ref="J35:J66" si="18">+SUM(AD35:AQ35)</f>
        <v>0</v>
      </c>
      <c r="K35" s="40">
        <f t="shared" ref="K35:K66" si="19">+H35*J35</f>
        <v>0</v>
      </c>
      <c r="L35" s="39">
        <f t="shared" ref="L35:L66" si="20">SUM(AS35:AW35)</f>
        <v>0</v>
      </c>
      <c r="M35" s="40">
        <f t="shared" ref="M35:M66" si="21">IFERROR(L35*H35," ")</f>
        <v>0</v>
      </c>
      <c r="N35" s="41">
        <f t="shared" ref="N35:N66" si="22">AR35</f>
        <v>0</v>
      </c>
      <c r="O35" s="42"/>
      <c r="P35" s="41">
        <f t="shared" ref="P35:P66" si="23">SUM(AX35:BC35)</f>
        <v>0</v>
      </c>
      <c r="Q35" s="42">
        <f t="shared" ref="Q35:Q66" si="24">IFERROR(P35*H35," ")</f>
        <v>0</v>
      </c>
      <c r="R35" s="43">
        <f t="shared" ref="R35:R66" si="25">SUM(BD35:CC35)</f>
        <v>0</v>
      </c>
      <c r="S35" s="42">
        <f t="shared" ref="S35:S66" si="26">IFERROR(R35*H35," ")</f>
        <v>0</v>
      </c>
      <c r="T35" s="41">
        <f>SUM(Tabla2[[#This Row],[LNDV ]:[LNDV UND REF]])</f>
        <v>0</v>
      </c>
      <c r="U35" s="42">
        <f t="shared" ref="U35:U66" si="27">IFERROR(T35*H35," ")</f>
        <v>0</v>
      </c>
      <c r="V35" s="41">
        <f t="shared" ref="V35:V66" si="28">CF35</f>
        <v>0</v>
      </c>
      <c r="W35" s="42"/>
      <c r="X35" s="41">
        <f t="shared" ref="X35:X66" si="29">SUM(CG35:CH35)</f>
        <v>0</v>
      </c>
      <c r="Y35" s="40"/>
      <c r="Z35" s="44">
        <f t="shared" ref="Z35:Z66" si="30">CI35</f>
        <v>0</v>
      </c>
      <c r="AA35" s="35">
        <f t="shared" ref="AA35:AA66" si="31">+Z35*H35</f>
        <v>0</v>
      </c>
      <c r="AD35" s="31"/>
      <c r="AE35" s="62"/>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45"/>
      <c r="BH35" s="45"/>
      <c r="BI35" s="45"/>
      <c r="BJ35" s="45"/>
      <c r="BK35" s="45"/>
      <c r="BL35" s="45"/>
      <c r="BM35" s="45"/>
      <c r="BN35" s="45"/>
      <c r="BO35" s="45"/>
      <c r="BP35" s="45"/>
      <c r="BQ35" s="45"/>
      <c r="BR35" s="45"/>
      <c r="BS35" s="45"/>
      <c r="BT35" s="45"/>
      <c r="BU35" s="45"/>
      <c r="BV35" s="45"/>
      <c r="BW35" s="45"/>
      <c r="BX35" s="45"/>
      <c r="BY35" s="45"/>
      <c r="BZ35" s="45"/>
      <c r="CA35" s="45"/>
      <c r="CB35" s="45"/>
      <c r="CC35" s="45"/>
      <c r="CD35" s="45"/>
      <c r="CE35" s="46"/>
      <c r="CF35" s="46"/>
      <c r="CG35" s="45"/>
      <c r="CH35" s="15"/>
      <c r="CI35" s="47"/>
    </row>
    <row r="36" spans="1:87" ht="36" x14ac:dyDescent="0.2">
      <c r="A36" s="31">
        <v>34</v>
      </c>
      <c r="B36" s="32" t="s">
        <v>3098</v>
      </c>
      <c r="C36" s="49" t="s">
        <v>3099</v>
      </c>
      <c r="D36" s="61" t="s">
        <v>3100</v>
      </c>
      <c r="E36" s="34">
        <f t="shared" si="16"/>
        <v>0</v>
      </c>
      <c r="F36" s="35" t="s">
        <v>11</v>
      </c>
      <c r="G36" s="36" t="s">
        <v>2965</v>
      </c>
      <c r="H36" s="37">
        <v>32120670.399999999</v>
      </c>
      <c r="I36" s="38">
        <f t="shared" si="17"/>
        <v>0</v>
      </c>
      <c r="J36" s="39">
        <f t="shared" si="18"/>
        <v>0</v>
      </c>
      <c r="K36" s="40">
        <f t="shared" si="19"/>
        <v>0</v>
      </c>
      <c r="L36" s="39">
        <f t="shared" si="20"/>
        <v>0</v>
      </c>
      <c r="M36" s="40">
        <f t="shared" si="21"/>
        <v>0</v>
      </c>
      <c r="N36" s="41">
        <f t="shared" si="22"/>
        <v>0</v>
      </c>
      <c r="O36" s="42">
        <f>IFERROR(N36*H36," ")</f>
        <v>0</v>
      </c>
      <c r="P36" s="41">
        <f t="shared" si="23"/>
        <v>0</v>
      </c>
      <c r="Q36" s="42">
        <f t="shared" si="24"/>
        <v>0</v>
      </c>
      <c r="R36" s="43">
        <f t="shared" si="25"/>
        <v>0</v>
      </c>
      <c r="S36" s="42">
        <f t="shared" si="26"/>
        <v>0</v>
      </c>
      <c r="T36" s="41">
        <f>SUM(Tabla2[[#This Row],[LNDV ]:[LNDV UND REF]])</f>
        <v>0</v>
      </c>
      <c r="U36" s="42">
        <f t="shared" si="27"/>
        <v>0</v>
      </c>
      <c r="V36" s="41">
        <f t="shared" si="28"/>
        <v>0</v>
      </c>
      <c r="W36" s="42">
        <f>IFERROR(V36*H36," ")</f>
        <v>0</v>
      </c>
      <c r="X36" s="41">
        <f t="shared" si="29"/>
        <v>0</v>
      </c>
      <c r="Y36" s="40">
        <f>IFERROR(X36*H36," ")</f>
        <v>0</v>
      </c>
      <c r="Z36" s="44">
        <f t="shared" si="30"/>
        <v>0</v>
      </c>
      <c r="AA36" s="35">
        <f t="shared" si="31"/>
        <v>0</v>
      </c>
      <c r="AD36" s="31"/>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c r="BO36" s="45"/>
      <c r="BP36" s="45"/>
      <c r="BQ36" s="45"/>
      <c r="BR36" s="45"/>
      <c r="BS36" s="45"/>
      <c r="BT36" s="45"/>
      <c r="BU36" s="45"/>
      <c r="BV36" s="45"/>
      <c r="BW36" s="45"/>
      <c r="BX36" s="45"/>
      <c r="BY36" s="45"/>
      <c r="BZ36" s="45"/>
      <c r="CA36" s="45"/>
      <c r="CB36" s="45"/>
      <c r="CC36" s="45"/>
      <c r="CD36" s="45"/>
      <c r="CE36" s="46"/>
      <c r="CF36" s="46"/>
      <c r="CG36" s="45"/>
      <c r="CH36" s="15"/>
      <c r="CI36" s="47"/>
    </row>
    <row r="37" spans="1:87" ht="14.25" x14ac:dyDescent="0.2">
      <c r="A37" s="31">
        <v>35</v>
      </c>
      <c r="B37" s="32" t="s">
        <v>3101</v>
      </c>
      <c r="C37" s="48"/>
      <c r="D37" s="48"/>
      <c r="E37" s="34">
        <f t="shared" si="16"/>
        <v>0</v>
      </c>
      <c r="F37" s="35" t="s">
        <v>11</v>
      </c>
      <c r="G37" s="36"/>
      <c r="H37" s="37">
        <v>3606240</v>
      </c>
      <c r="I37" s="38">
        <f t="shared" si="17"/>
        <v>0</v>
      </c>
      <c r="J37" s="39">
        <f t="shared" si="18"/>
        <v>0</v>
      </c>
      <c r="K37" s="40">
        <f t="shared" si="19"/>
        <v>0</v>
      </c>
      <c r="L37" s="39">
        <f t="shared" si="20"/>
        <v>0</v>
      </c>
      <c r="M37" s="40">
        <f t="shared" si="21"/>
        <v>0</v>
      </c>
      <c r="N37" s="41">
        <f t="shared" si="22"/>
        <v>0</v>
      </c>
      <c r="O37" s="42"/>
      <c r="P37" s="41">
        <f t="shared" si="23"/>
        <v>0</v>
      </c>
      <c r="Q37" s="42">
        <f t="shared" si="24"/>
        <v>0</v>
      </c>
      <c r="R37" s="43">
        <f t="shared" si="25"/>
        <v>0</v>
      </c>
      <c r="S37" s="42">
        <f t="shared" si="26"/>
        <v>0</v>
      </c>
      <c r="T37" s="41">
        <f>SUM(Tabla2[[#This Row],[LNDV ]:[LNDV UND REF]])</f>
        <v>0</v>
      </c>
      <c r="U37" s="42">
        <f t="shared" si="27"/>
        <v>0</v>
      </c>
      <c r="V37" s="41">
        <f t="shared" si="28"/>
        <v>0</v>
      </c>
      <c r="W37" s="42"/>
      <c r="X37" s="41">
        <f t="shared" si="29"/>
        <v>0</v>
      </c>
      <c r="Y37" s="40"/>
      <c r="Z37" s="44">
        <f t="shared" si="30"/>
        <v>0</v>
      </c>
      <c r="AA37" s="35">
        <f t="shared" si="31"/>
        <v>0</v>
      </c>
      <c r="AD37" s="31"/>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6"/>
      <c r="CF37" s="46"/>
      <c r="CG37" s="45"/>
      <c r="CH37" s="15"/>
      <c r="CI37" s="47"/>
    </row>
    <row r="38" spans="1:87" ht="28.5" x14ac:dyDescent="0.2">
      <c r="A38" s="31">
        <v>36</v>
      </c>
      <c r="B38" s="32" t="s">
        <v>3102</v>
      </c>
      <c r="C38" s="49" t="s">
        <v>3103</v>
      </c>
      <c r="D38" s="49" t="s">
        <v>3104</v>
      </c>
      <c r="E38" s="34">
        <f t="shared" si="16"/>
        <v>5</v>
      </c>
      <c r="F38" s="35" t="s">
        <v>11</v>
      </c>
      <c r="G38" s="36" t="s">
        <v>2965</v>
      </c>
      <c r="H38" s="37">
        <v>71003587.200000003</v>
      </c>
      <c r="I38" s="38">
        <f t="shared" si="17"/>
        <v>355017936</v>
      </c>
      <c r="J38" s="39">
        <f t="shared" si="18"/>
        <v>1</v>
      </c>
      <c r="K38" s="40">
        <f t="shared" si="19"/>
        <v>71003587.200000003</v>
      </c>
      <c r="L38" s="39">
        <f t="shared" si="20"/>
        <v>0</v>
      </c>
      <c r="M38" s="40">
        <f t="shared" si="21"/>
        <v>0</v>
      </c>
      <c r="N38" s="41">
        <f t="shared" si="22"/>
        <v>1</v>
      </c>
      <c r="O38" s="42">
        <f>IFERROR(N38*H38," ")</f>
        <v>71003587.200000003</v>
      </c>
      <c r="P38" s="41">
        <f t="shared" si="23"/>
        <v>0</v>
      </c>
      <c r="Q38" s="42">
        <f t="shared" si="24"/>
        <v>0</v>
      </c>
      <c r="R38" s="43">
        <f t="shared" si="25"/>
        <v>3</v>
      </c>
      <c r="S38" s="63">
        <f t="shared" si="26"/>
        <v>213010761.60000002</v>
      </c>
      <c r="T38" s="41">
        <f>SUM(Tabla2[[#This Row],[LNDV ]:[LNDV UND REF]])</f>
        <v>0</v>
      </c>
      <c r="U38" s="42">
        <f t="shared" si="27"/>
        <v>0</v>
      </c>
      <c r="V38" s="41">
        <f t="shared" si="28"/>
        <v>0</v>
      </c>
      <c r="W38" s="42">
        <f>IFERROR(V38*H38," ")</f>
        <v>0</v>
      </c>
      <c r="X38" s="41">
        <f t="shared" si="29"/>
        <v>0</v>
      </c>
      <c r="Y38" s="40">
        <f>IFERROR(X38*H38," ")</f>
        <v>0</v>
      </c>
      <c r="Z38" s="44">
        <f t="shared" si="30"/>
        <v>0</v>
      </c>
      <c r="AA38" s="35">
        <f t="shared" si="31"/>
        <v>0</v>
      </c>
      <c r="AD38" s="31">
        <v>1</v>
      </c>
      <c r="AE38" s="45"/>
      <c r="AF38" s="45"/>
      <c r="AG38" s="45"/>
      <c r="AH38" s="45"/>
      <c r="AI38" s="45"/>
      <c r="AJ38" s="45"/>
      <c r="AK38" s="45"/>
      <c r="AL38" s="45"/>
      <c r="AM38" s="45"/>
      <c r="AN38" s="45"/>
      <c r="AO38" s="45"/>
      <c r="AP38" s="45"/>
      <c r="AQ38" s="45"/>
      <c r="AR38" s="45">
        <v>1</v>
      </c>
      <c r="AS38" s="45"/>
      <c r="AT38" s="45"/>
      <c r="AU38" s="45"/>
      <c r="AV38" s="45"/>
      <c r="AW38" s="45"/>
      <c r="AX38" s="45"/>
      <c r="AY38" s="45"/>
      <c r="AZ38" s="45"/>
      <c r="BA38" s="45"/>
      <c r="BB38" s="45"/>
      <c r="BC38" s="45"/>
      <c r="BD38" s="45"/>
      <c r="BE38" s="45">
        <v>1</v>
      </c>
      <c r="BF38" s="45"/>
      <c r="BG38" s="45"/>
      <c r="BH38" s="45">
        <v>1</v>
      </c>
      <c r="BI38" s="45"/>
      <c r="BJ38" s="45"/>
      <c r="BK38" s="45"/>
      <c r="BL38" s="45"/>
      <c r="BM38" s="45"/>
      <c r="BN38" s="45"/>
      <c r="BO38" s="45"/>
      <c r="BP38" s="45"/>
      <c r="BQ38" s="45"/>
      <c r="BR38" s="45"/>
      <c r="BS38" s="45">
        <v>1</v>
      </c>
      <c r="BT38" s="45"/>
      <c r="BU38" s="45"/>
      <c r="BV38" s="45"/>
      <c r="BW38" s="45"/>
      <c r="BX38" s="45"/>
      <c r="BY38" s="45"/>
      <c r="BZ38" s="45"/>
      <c r="CA38" s="45"/>
      <c r="CB38" s="45"/>
      <c r="CC38" s="45"/>
      <c r="CD38" s="45"/>
      <c r="CE38" s="46"/>
      <c r="CF38" s="46"/>
      <c r="CG38" s="45"/>
      <c r="CH38" s="15"/>
      <c r="CI38" s="47"/>
    </row>
    <row r="39" spans="1:87" ht="11.25" customHeight="1" x14ac:dyDescent="0.2">
      <c r="A39" s="31">
        <v>37</v>
      </c>
      <c r="B39" s="52" t="s">
        <v>3105</v>
      </c>
      <c r="C39" s="57"/>
      <c r="D39" s="57"/>
      <c r="E39" s="34">
        <f t="shared" si="16"/>
        <v>0</v>
      </c>
      <c r="F39" s="35" t="s">
        <v>11</v>
      </c>
      <c r="G39" s="36" t="s">
        <v>2968</v>
      </c>
      <c r="H39" s="37">
        <v>16648723.8544</v>
      </c>
      <c r="I39" s="38">
        <f t="shared" si="17"/>
        <v>0</v>
      </c>
      <c r="J39" s="39">
        <f t="shared" si="18"/>
        <v>0</v>
      </c>
      <c r="K39" s="40">
        <f t="shared" si="19"/>
        <v>0</v>
      </c>
      <c r="L39" s="39">
        <f t="shared" si="20"/>
        <v>0</v>
      </c>
      <c r="M39" s="40">
        <f t="shared" si="21"/>
        <v>0</v>
      </c>
      <c r="N39" s="41">
        <f t="shared" si="22"/>
        <v>0</v>
      </c>
      <c r="O39" s="42">
        <f>IFERROR(N39*H39," ")</f>
        <v>0</v>
      </c>
      <c r="P39" s="41">
        <f t="shared" si="23"/>
        <v>0</v>
      </c>
      <c r="Q39" s="42">
        <f t="shared" si="24"/>
        <v>0</v>
      </c>
      <c r="R39" s="43">
        <f t="shared" si="25"/>
        <v>0</v>
      </c>
      <c r="S39" s="42">
        <f t="shared" si="26"/>
        <v>0</v>
      </c>
      <c r="T39" s="41">
        <f>SUM(Tabla2[[#This Row],[LNDV ]:[LNDV UND REF]])</f>
        <v>0</v>
      </c>
      <c r="U39" s="42">
        <f t="shared" si="27"/>
        <v>0</v>
      </c>
      <c r="V39" s="41">
        <f t="shared" si="28"/>
        <v>0</v>
      </c>
      <c r="W39" s="42">
        <f>IFERROR(V39*H39," ")</f>
        <v>0</v>
      </c>
      <c r="X39" s="41">
        <f t="shared" si="29"/>
        <v>0</v>
      </c>
      <c r="Y39" s="40">
        <f>IFERROR(X39*H39," ")</f>
        <v>0</v>
      </c>
      <c r="Z39" s="44">
        <f t="shared" si="30"/>
        <v>0</v>
      </c>
      <c r="AA39" s="35">
        <f t="shared" si="31"/>
        <v>0</v>
      </c>
      <c r="AD39" s="31"/>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5"/>
      <c r="BM39" s="45"/>
      <c r="BN39" s="45"/>
      <c r="BO39" s="45"/>
      <c r="BP39" s="45"/>
      <c r="BQ39" s="45"/>
      <c r="BR39" s="45"/>
      <c r="BS39" s="45"/>
      <c r="BT39" s="45"/>
      <c r="BU39" s="45"/>
      <c r="BV39" s="45"/>
      <c r="BW39" s="45"/>
      <c r="BX39" s="45"/>
      <c r="BY39" s="45"/>
      <c r="BZ39" s="45"/>
      <c r="CA39" s="45"/>
      <c r="CB39" s="45"/>
      <c r="CC39" s="45"/>
      <c r="CD39" s="45"/>
      <c r="CE39" s="46"/>
      <c r="CF39" s="46"/>
      <c r="CG39" s="45"/>
      <c r="CH39" s="15"/>
      <c r="CI39" s="47"/>
    </row>
    <row r="40" spans="1:87" ht="33" customHeight="1" x14ac:dyDescent="0.2">
      <c r="A40" s="31">
        <v>38</v>
      </c>
      <c r="B40" s="32" t="s">
        <v>3106</v>
      </c>
      <c r="C40" s="48"/>
      <c r="D40" s="48"/>
      <c r="E40" s="34">
        <f t="shared" si="16"/>
        <v>0</v>
      </c>
      <c r="F40" s="35" t="s">
        <v>11</v>
      </c>
      <c r="G40" s="36"/>
      <c r="H40" s="37">
        <v>1803120000</v>
      </c>
      <c r="I40" s="38">
        <f t="shared" si="17"/>
        <v>0</v>
      </c>
      <c r="J40" s="39">
        <f t="shared" si="18"/>
        <v>0</v>
      </c>
      <c r="K40" s="40">
        <f t="shared" si="19"/>
        <v>0</v>
      </c>
      <c r="L40" s="39">
        <f t="shared" si="20"/>
        <v>0</v>
      </c>
      <c r="M40" s="40">
        <f t="shared" si="21"/>
        <v>0</v>
      </c>
      <c r="N40" s="41">
        <f t="shared" si="22"/>
        <v>0</v>
      </c>
      <c r="O40" s="42"/>
      <c r="P40" s="41">
        <f t="shared" si="23"/>
        <v>0</v>
      </c>
      <c r="Q40" s="42">
        <f t="shared" si="24"/>
        <v>0</v>
      </c>
      <c r="R40" s="43">
        <f t="shared" si="25"/>
        <v>0</v>
      </c>
      <c r="S40" s="42">
        <f t="shared" si="26"/>
        <v>0</v>
      </c>
      <c r="T40" s="41">
        <f>SUM(Tabla2[[#This Row],[LNDV ]:[LNDV UND REF]])</f>
        <v>0</v>
      </c>
      <c r="U40" s="42">
        <f t="shared" si="27"/>
        <v>0</v>
      </c>
      <c r="V40" s="41">
        <f t="shared" si="28"/>
        <v>0</v>
      </c>
      <c r="W40" s="42"/>
      <c r="X40" s="41">
        <f t="shared" si="29"/>
        <v>0</v>
      </c>
      <c r="Y40" s="40"/>
      <c r="Z40" s="44">
        <f t="shared" si="30"/>
        <v>0</v>
      </c>
      <c r="AA40" s="35">
        <f t="shared" si="31"/>
        <v>0</v>
      </c>
      <c r="AD40" s="31"/>
      <c r="AE40" s="45"/>
      <c r="AF40" s="45"/>
      <c r="AG40" s="45"/>
      <c r="AH40" s="45"/>
      <c r="AI40" s="45"/>
      <c r="AJ40" s="45"/>
      <c r="AK40" s="45"/>
      <c r="AL40" s="45"/>
      <c r="AM40" s="45"/>
      <c r="AN40" s="45"/>
      <c r="AO40" s="45"/>
      <c r="AP40" s="45"/>
      <c r="AQ40" s="45"/>
      <c r="AR40" s="45"/>
      <c r="AS40" s="45"/>
      <c r="AT40" s="45"/>
      <c r="AU40" s="45"/>
      <c r="AV40" s="45"/>
      <c r="AW40" s="45"/>
      <c r="AX40" s="45"/>
      <c r="AY40" s="45"/>
      <c r="AZ40" s="45"/>
      <c r="BA40" s="45"/>
      <c r="BB40" s="45"/>
      <c r="BC40" s="45"/>
      <c r="BD40" s="45"/>
      <c r="BE40" s="45"/>
      <c r="BF40" s="45"/>
      <c r="BG40" s="45"/>
      <c r="BH40" s="45"/>
      <c r="BI40" s="45"/>
      <c r="BJ40" s="45"/>
      <c r="BK40" s="45"/>
      <c r="BL40" s="45"/>
      <c r="BM40" s="45"/>
      <c r="BN40" s="45"/>
      <c r="BO40" s="45"/>
      <c r="BP40" s="45"/>
      <c r="BQ40" s="45"/>
      <c r="BR40" s="45"/>
      <c r="BS40" s="45"/>
      <c r="BT40" s="45"/>
      <c r="BU40" s="45"/>
      <c r="BV40" s="45"/>
      <c r="BW40" s="45"/>
      <c r="BX40" s="45"/>
      <c r="BY40" s="45"/>
      <c r="BZ40" s="45"/>
      <c r="CA40" s="45"/>
      <c r="CB40" s="45"/>
      <c r="CC40" s="45"/>
      <c r="CD40" s="45"/>
      <c r="CE40" s="46"/>
      <c r="CF40" s="46"/>
      <c r="CG40" s="45"/>
      <c r="CH40" s="15"/>
      <c r="CI40" s="47"/>
    </row>
    <row r="41" spans="1:87" ht="14.25" x14ac:dyDescent="0.2">
      <c r="A41" s="31">
        <v>39</v>
      </c>
      <c r="B41" s="32" t="s">
        <v>3107</v>
      </c>
      <c r="C41" s="48"/>
      <c r="D41" s="48"/>
      <c r="E41" s="34">
        <f t="shared" si="16"/>
        <v>1</v>
      </c>
      <c r="F41" s="35" t="s">
        <v>11</v>
      </c>
      <c r="G41" s="36"/>
      <c r="H41" s="37">
        <v>2404160000</v>
      </c>
      <c r="I41" s="38">
        <f t="shared" si="17"/>
        <v>2404160000</v>
      </c>
      <c r="J41" s="39">
        <f t="shared" si="18"/>
        <v>0</v>
      </c>
      <c r="K41" s="40">
        <f t="shared" si="19"/>
        <v>0</v>
      </c>
      <c r="L41" s="39">
        <f t="shared" si="20"/>
        <v>0</v>
      </c>
      <c r="M41" s="40">
        <f t="shared" si="21"/>
        <v>0</v>
      </c>
      <c r="N41" s="41">
        <f t="shared" si="22"/>
        <v>1</v>
      </c>
      <c r="O41" s="42"/>
      <c r="P41" s="41">
        <f t="shared" si="23"/>
        <v>0</v>
      </c>
      <c r="Q41" s="42">
        <f t="shared" si="24"/>
        <v>0</v>
      </c>
      <c r="R41" s="43">
        <f t="shared" si="25"/>
        <v>0</v>
      </c>
      <c r="S41" s="42">
        <f t="shared" si="26"/>
        <v>0</v>
      </c>
      <c r="T41" s="41">
        <f>SUM(Tabla2[[#This Row],[LNDV ]:[LNDV UND REF]])</f>
        <v>0</v>
      </c>
      <c r="U41" s="42">
        <f t="shared" si="27"/>
        <v>0</v>
      </c>
      <c r="V41" s="41">
        <f t="shared" si="28"/>
        <v>0</v>
      </c>
      <c r="W41" s="42"/>
      <c r="X41" s="41">
        <f t="shared" si="29"/>
        <v>0</v>
      </c>
      <c r="Y41" s="40"/>
      <c r="Z41" s="44">
        <f t="shared" si="30"/>
        <v>0</v>
      </c>
      <c r="AA41" s="35">
        <f t="shared" si="31"/>
        <v>0</v>
      </c>
      <c r="AD41" s="31"/>
      <c r="AE41" s="45"/>
      <c r="AF41" s="45"/>
      <c r="AG41" s="45"/>
      <c r="AH41" s="45"/>
      <c r="AI41" s="45"/>
      <c r="AJ41" s="45"/>
      <c r="AK41" s="45"/>
      <c r="AL41" s="45"/>
      <c r="AM41" s="45"/>
      <c r="AN41" s="45"/>
      <c r="AO41" s="45"/>
      <c r="AP41" s="45"/>
      <c r="AQ41" s="45"/>
      <c r="AR41" s="45">
        <v>1</v>
      </c>
      <c r="AS41" s="45"/>
      <c r="AT41" s="45"/>
      <c r="AU41" s="45"/>
      <c r="AV41" s="45"/>
      <c r="AW41" s="45"/>
      <c r="AX41" s="45"/>
      <c r="AY41" s="45"/>
      <c r="AZ41" s="45"/>
      <c r="BA41" s="45"/>
      <c r="BB41" s="45"/>
      <c r="BC41" s="45"/>
      <c r="BD41" s="45"/>
      <c r="BE41" s="45"/>
      <c r="BF41" s="45"/>
      <c r="BG41" s="45"/>
      <c r="BH41" s="45"/>
      <c r="BI41" s="45"/>
      <c r="BJ41" s="45"/>
      <c r="BK41" s="45"/>
      <c r="BL41" s="45"/>
      <c r="BM41" s="45"/>
      <c r="BN41" s="45"/>
      <c r="BO41" s="45"/>
      <c r="BP41" s="45"/>
      <c r="BQ41" s="45"/>
      <c r="BR41" s="45"/>
      <c r="BS41" s="45"/>
      <c r="BT41" s="45"/>
      <c r="BU41" s="45"/>
      <c r="BV41" s="45"/>
      <c r="BW41" s="45"/>
      <c r="BX41" s="45"/>
      <c r="BY41" s="45"/>
      <c r="BZ41" s="45"/>
      <c r="CA41" s="45"/>
      <c r="CB41" s="45"/>
      <c r="CC41" s="45"/>
      <c r="CD41" s="45"/>
      <c r="CE41" s="46"/>
      <c r="CF41" s="46"/>
      <c r="CG41" s="45"/>
      <c r="CH41" s="15"/>
      <c r="CI41" s="47"/>
    </row>
    <row r="42" spans="1:87" ht="42.75" x14ac:dyDescent="0.2">
      <c r="A42" s="31">
        <v>40</v>
      </c>
      <c r="B42" s="32" t="s">
        <v>3108</v>
      </c>
      <c r="C42" s="48"/>
      <c r="D42" s="48"/>
      <c r="E42" s="34">
        <f t="shared" si="16"/>
        <v>0</v>
      </c>
      <c r="F42" s="35" t="s">
        <v>11</v>
      </c>
      <c r="G42" s="36"/>
      <c r="H42" s="37">
        <v>737262555.62240005</v>
      </c>
      <c r="I42" s="38">
        <f t="shared" si="17"/>
        <v>0</v>
      </c>
      <c r="J42" s="39">
        <f t="shared" si="18"/>
        <v>0</v>
      </c>
      <c r="K42" s="40">
        <f t="shared" si="19"/>
        <v>0</v>
      </c>
      <c r="L42" s="39">
        <f t="shared" si="20"/>
        <v>0</v>
      </c>
      <c r="M42" s="40">
        <f t="shared" si="21"/>
        <v>0</v>
      </c>
      <c r="N42" s="41">
        <f t="shared" si="22"/>
        <v>0</v>
      </c>
      <c r="O42" s="42"/>
      <c r="P42" s="41">
        <f t="shared" si="23"/>
        <v>0</v>
      </c>
      <c r="Q42" s="42">
        <f t="shared" si="24"/>
        <v>0</v>
      </c>
      <c r="R42" s="43">
        <f t="shared" si="25"/>
        <v>0</v>
      </c>
      <c r="S42" s="42">
        <f t="shared" si="26"/>
        <v>0</v>
      </c>
      <c r="T42" s="41">
        <f>SUM(Tabla2[[#This Row],[LNDV ]:[LNDV UND REF]])</f>
        <v>0</v>
      </c>
      <c r="U42" s="42">
        <f t="shared" si="27"/>
        <v>0</v>
      </c>
      <c r="V42" s="41">
        <f t="shared" si="28"/>
        <v>0</v>
      </c>
      <c r="W42" s="42"/>
      <c r="X42" s="41">
        <f t="shared" si="29"/>
        <v>0</v>
      </c>
      <c r="Y42" s="40"/>
      <c r="Z42" s="44">
        <f t="shared" si="30"/>
        <v>0</v>
      </c>
      <c r="AA42" s="35">
        <f t="shared" si="31"/>
        <v>0</v>
      </c>
      <c r="AD42" s="31"/>
      <c r="AE42" s="45"/>
      <c r="AF42" s="45"/>
      <c r="AG42" s="45"/>
      <c r="AH42" s="45"/>
      <c r="AI42" s="45"/>
      <c r="AJ42" s="45"/>
      <c r="AK42" s="45"/>
      <c r="AL42" s="45"/>
      <c r="AM42" s="45"/>
      <c r="AN42" s="45"/>
      <c r="AO42" s="45"/>
      <c r="AP42" s="45"/>
      <c r="AQ42" s="45"/>
      <c r="AR42" s="45"/>
      <c r="AS42" s="45"/>
      <c r="AT42" s="45"/>
      <c r="AU42" s="45"/>
      <c r="AV42" s="45"/>
      <c r="AW42" s="45"/>
      <c r="AX42" s="45"/>
      <c r="AY42" s="45"/>
      <c r="AZ42" s="45"/>
      <c r="BA42" s="45"/>
      <c r="BB42" s="45"/>
      <c r="BC42" s="45"/>
      <c r="BD42" s="45"/>
      <c r="BE42" s="45"/>
      <c r="BF42" s="45"/>
      <c r="BG42" s="45"/>
      <c r="BH42" s="45"/>
      <c r="BI42" s="45"/>
      <c r="BJ42" s="45"/>
      <c r="BK42" s="45"/>
      <c r="BL42" s="45"/>
      <c r="BM42" s="45"/>
      <c r="BN42" s="45"/>
      <c r="BO42" s="45"/>
      <c r="BP42" s="45"/>
      <c r="BQ42" s="45"/>
      <c r="BR42" s="45"/>
      <c r="BS42" s="45"/>
      <c r="BT42" s="45"/>
      <c r="BU42" s="45"/>
      <c r="BV42" s="45"/>
      <c r="BW42" s="45"/>
      <c r="BX42" s="45"/>
      <c r="BY42" s="45"/>
      <c r="BZ42" s="45"/>
      <c r="CA42" s="45"/>
      <c r="CB42" s="45"/>
      <c r="CC42" s="45"/>
      <c r="CD42" s="45"/>
      <c r="CE42" s="46"/>
      <c r="CF42" s="46"/>
      <c r="CG42" s="45"/>
      <c r="CH42" s="15"/>
      <c r="CI42" s="47"/>
    </row>
    <row r="43" spans="1:87" ht="14.25" x14ac:dyDescent="0.2">
      <c r="A43" s="31">
        <v>41</v>
      </c>
      <c r="B43" s="32" t="s">
        <v>3109</v>
      </c>
      <c r="C43" s="48"/>
      <c r="D43" s="48"/>
      <c r="E43" s="34">
        <f t="shared" si="16"/>
        <v>0</v>
      </c>
      <c r="F43" s="35" t="s">
        <v>11</v>
      </c>
      <c r="G43" s="36"/>
      <c r="H43" s="37">
        <v>1202080000</v>
      </c>
      <c r="I43" s="38">
        <f t="shared" si="17"/>
        <v>0</v>
      </c>
      <c r="J43" s="39">
        <f t="shared" si="18"/>
        <v>0</v>
      </c>
      <c r="K43" s="40">
        <f t="shared" si="19"/>
        <v>0</v>
      </c>
      <c r="L43" s="39">
        <f t="shared" si="20"/>
        <v>0</v>
      </c>
      <c r="M43" s="40">
        <f t="shared" si="21"/>
        <v>0</v>
      </c>
      <c r="N43" s="41">
        <f t="shared" si="22"/>
        <v>0</v>
      </c>
      <c r="O43" s="42"/>
      <c r="P43" s="41">
        <f t="shared" si="23"/>
        <v>0</v>
      </c>
      <c r="Q43" s="42">
        <f t="shared" si="24"/>
        <v>0</v>
      </c>
      <c r="R43" s="43">
        <f t="shared" si="25"/>
        <v>0</v>
      </c>
      <c r="S43" s="42">
        <f t="shared" si="26"/>
        <v>0</v>
      </c>
      <c r="T43" s="41">
        <f>SUM(Tabla2[[#This Row],[LNDV ]:[LNDV UND REF]])</f>
        <v>0</v>
      </c>
      <c r="U43" s="42">
        <f t="shared" si="27"/>
        <v>0</v>
      </c>
      <c r="V43" s="41">
        <f t="shared" si="28"/>
        <v>0</v>
      </c>
      <c r="W43" s="42"/>
      <c r="X43" s="41">
        <f t="shared" si="29"/>
        <v>0</v>
      </c>
      <c r="Y43" s="40"/>
      <c r="Z43" s="44">
        <f t="shared" si="30"/>
        <v>0</v>
      </c>
      <c r="AA43" s="35">
        <f t="shared" si="31"/>
        <v>0</v>
      </c>
      <c r="AD43" s="31"/>
      <c r="AE43" s="45"/>
      <c r="AF43" s="45"/>
      <c r="AG43" s="45"/>
      <c r="AH43" s="45"/>
      <c r="AI43" s="45"/>
      <c r="AJ43" s="45"/>
      <c r="AK43" s="45"/>
      <c r="AL43" s="45"/>
      <c r="AM43" s="45"/>
      <c r="AN43" s="45"/>
      <c r="AO43" s="45"/>
      <c r="AP43" s="45"/>
      <c r="AQ43" s="45"/>
      <c r="AR43" s="45"/>
      <c r="AS43" s="45"/>
      <c r="AT43" s="45"/>
      <c r="AU43" s="45"/>
      <c r="AV43" s="45"/>
      <c r="AW43" s="45"/>
      <c r="AX43" s="45"/>
      <c r="AY43" s="45"/>
      <c r="AZ43" s="45"/>
      <c r="BA43" s="45"/>
      <c r="BB43" s="45"/>
      <c r="BC43" s="45"/>
      <c r="BD43" s="45"/>
      <c r="BE43" s="45"/>
      <c r="BF43" s="45"/>
      <c r="BG43" s="45"/>
      <c r="BH43" s="45"/>
      <c r="BI43" s="45"/>
      <c r="BJ43" s="45"/>
      <c r="BK43" s="45"/>
      <c r="BL43" s="45"/>
      <c r="BM43" s="45"/>
      <c r="BN43" s="45"/>
      <c r="BO43" s="45"/>
      <c r="BP43" s="45"/>
      <c r="BQ43" s="45"/>
      <c r="BR43" s="45"/>
      <c r="BS43" s="45"/>
      <c r="BT43" s="45"/>
      <c r="BU43" s="45"/>
      <c r="BV43" s="45"/>
      <c r="BW43" s="45"/>
      <c r="BX43" s="45"/>
      <c r="BY43" s="45"/>
      <c r="BZ43" s="45"/>
      <c r="CA43" s="45"/>
      <c r="CB43" s="45"/>
      <c r="CC43" s="45"/>
      <c r="CD43" s="45"/>
      <c r="CE43" s="46"/>
      <c r="CF43" s="46"/>
      <c r="CG43" s="45"/>
      <c r="CH43" s="15"/>
      <c r="CI43" s="47"/>
    </row>
    <row r="44" spans="1:87" ht="42.75" x14ac:dyDescent="0.2">
      <c r="A44" s="31">
        <v>42</v>
      </c>
      <c r="B44" s="32" t="s">
        <v>3110</v>
      </c>
      <c r="C44" s="64" t="s">
        <v>3111</v>
      </c>
      <c r="D44" s="64" t="s">
        <v>3112</v>
      </c>
      <c r="E44" s="34">
        <f t="shared" si="16"/>
        <v>3</v>
      </c>
      <c r="F44" s="35" t="s">
        <v>11</v>
      </c>
      <c r="G44" s="36" t="s">
        <v>2967</v>
      </c>
      <c r="H44" s="37">
        <v>112145212.31999999</v>
      </c>
      <c r="I44" s="38">
        <f t="shared" si="17"/>
        <v>336435636.95999998</v>
      </c>
      <c r="J44" s="39">
        <f t="shared" si="18"/>
        <v>1</v>
      </c>
      <c r="K44" s="40">
        <f t="shared" si="19"/>
        <v>112145212.31999999</v>
      </c>
      <c r="L44" s="39">
        <f t="shared" si="20"/>
        <v>2</v>
      </c>
      <c r="M44" s="40">
        <f t="shared" si="21"/>
        <v>224290424.63999999</v>
      </c>
      <c r="N44" s="41">
        <f t="shared" si="22"/>
        <v>0</v>
      </c>
      <c r="O44" s="42">
        <f>IFERROR(N44*H44," ")</f>
        <v>0</v>
      </c>
      <c r="P44" s="41">
        <f t="shared" si="23"/>
        <v>0</v>
      </c>
      <c r="Q44" s="42">
        <f t="shared" si="24"/>
        <v>0</v>
      </c>
      <c r="R44" s="43">
        <f t="shared" si="25"/>
        <v>0</v>
      </c>
      <c r="S44" s="42">
        <f t="shared" si="26"/>
        <v>0</v>
      </c>
      <c r="T44" s="41">
        <f>SUM(Tabla2[[#This Row],[LNDV ]:[LNDV UND REF]])</f>
        <v>0</v>
      </c>
      <c r="U44" s="42">
        <f t="shared" si="27"/>
        <v>0</v>
      </c>
      <c r="V44" s="41">
        <f t="shared" si="28"/>
        <v>0</v>
      </c>
      <c r="W44" s="42">
        <f>IFERROR(V44*H44," ")</f>
        <v>0</v>
      </c>
      <c r="X44" s="41">
        <f t="shared" si="29"/>
        <v>0</v>
      </c>
      <c r="Y44" s="40">
        <f>IFERROR(X44*H44," ")</f>
        <v>0</v>
      </c>
      <c r="Z44" s="44">
        <f t="shared" si="30"/>
        <v>0</v>
      </c>
      <c r="AA44" s="35">
        <f t="shared" si="31"/>
        <v>0</v>
      </c>
      <c r="AD44" s="31"/>
      <c r="AE44" s="45"/>
      <c r="AF44" s="45"/>
      <c r="AG44" s="45"/>
      <c r="AH44" s="45"/>
      <c r="AI44" s="45"/>
      <c r="AJ44" s="45">
        <v>1</v>
      </c>
      <c r="AK44" s="45"/>
      <c r="AL44" s="45"/>
      <c r="AM44" s="45"/>
      <c r="AN44" s="45"/>
      <c r="AO44" s="45"/>
      <c r="AP44" s="45"/>
      <c r="AQ44" s="45"/>
      <c r="AR44" s="45"/>
      <c r="AS44" s="45"/>
      <c r="AT44" s="45">
        <v>1</v>
      </c>
      <c r="AU44" s="45"/>
      <c r="AV44" s="45">
        <v>1</v>
      </c>
      <c r="AW44" s="45"/>
      <c r="AX44" s="45"/>
      <c r="AY44" s="45"/>
      <c r="AZ44" s="45"/>
      <c r="BA44" s="45"/>
      <c r="BB44" s="45"/>
      <c r="BC44" s="45"/>
      <c r="BD44" s="45"/>
      <c r="BE44" s="45"/>
      <c r="BF44" s="45"/>
      <c r="BG44" s="45"/>
      <c r="BH44" s="45"/>
      <c r="BI44" s="45"/>
      <c r="BJ44" s="45"/>
      <c r="BK44" s="45"/>
      <c r="BL44" s="45"/>
      <c r="BM44" s="45"/>
      <c r="BN44" s="45"/>
      <c r="BO44" s="45"/>
      <c r="BP44" s="45"/>
      <c r="BQ44" s="45"/>
      <c r="BR44" s="45"/>
      <c r="BS44" s="45"/>
      <c r="BT44" s="45"/>
      <c r="BU44" s="45"/>
      <c r="BV44" s="45"/>
      <c r="BW44" s="45"/>
      <c r="BX44" s="45"/>
      <c r="BY44" s="45"/>
      <c r="BZ44" s="45"/>
      <c r="CA44" s="45"/>
      <c r="CB44" s="45"/>
      <c r="CC44" s="45"/>
      <c r="CD44" s="45"/>
      <c r="CE44" s="46"/>
      <c r="CF44" s="46"/>
      <c r="CG44" s="45"/>
      <c r="CH44" s="15"/>
      <c r="CI44" s="47"/>
    </row>
    <row r="45" spans="1:87" ht="14.25" x14ac:dyDescent="0.2">
      <c r="A45" s="31">
        <v>43</v>
      </c>
      <c r="B45" s="32" t="s">
        <v>3113</v>
      </c>
      <c r="C45" s="48"/>
      <c r="D45" s="48"/>
      <c r="E45" s="34">
        <f t="shared" si="16"/>
        <v>1</v>
      </c>
      <c r="F45" s="35" t="s">
        <v>11</v>
      </c>
      <c r="G45" s="36"/>
      <c r="H45" s="37">
        <v>360624000</v>
      </c>
      <c r="I45" s="38">
        <f t="shared" si="17"/>
        <v>360624000</v>
      </c>
      <c r="J45" s="39">
        <f t="shared" si="18"/>
        <v>0</v>
      </c>
      <c r="K45" s="40">
        <f t="shared" si="19"/>
        <v>0</v>
      </c>
      <c r="L45" s="39">
        <f t="shared" si="20"/>
        <v>0</v>
      </c>
      <c r="M45" s="40">
        <f t="shared" si="21"/>
        <v>0</v>
      </c>
      <c r="N45" s="41">
        <f t="shared" si="22"/>
        <v>1</v>
      </c>
      <c r="O45" s="42"/>
      <c r="P45" s="41">
        <f t="shared" si="23"/>
        <v>0</v>
      </c>
      <c r="Q45" s="42">
        <f t="shared" si="24"/>
        <v>0</v>
      </c>
      <c r="R45" s="43">
        <f t="shared" si="25"/>
        <v>0</v>
      </c>
      <c r="S45" s="42">
        <f t="shared" si="26"/>
        <v>0</v>
      </c>
      <c r="T45" s="41">
        <f>SUM(Tabla2[[#This Row],[LNDV ]:[LNDV UND REF]])</f>
        <v>0</v>
      </c>
      <c r="U45" s="42">
        <f t="shared" si="27"/>
        <v>0</v>
      </c>
      <c r="V45" s="41">
        <f t="shared" si="28"/>
        <v>0</v>
      </c>
      <c r="W45" s="42"/>
      <c r="X45" s="41">
        <f t="shared" si="29"/>
        <v>0</v>
      </c>
      <c r="Y45" s="40"/>
      <c r="Z45" s="44">
        <f t="shared" si="30"/>
        <v>0</v>
      </c>
      <c r="AA45" s="35">
        <f t="shared" si="31"/>
        <v>0</v>
      </c>
      <c r="AD45" s="31"/>
      <c r="AE45" s="45"/>
      <c r="AF45" s="45"/>
      <c r="AG45" s="45"/>
      <c r="AH45" s="45"/>
      <c r="AI45" s="45"/>
      <c r="AJ45" s="45"/>
      <c r="AK45" s="45"/>
      <c r="AL45" s="45"/>
      <c r="AM45" s="45"/>
      <c r="AN45" s="45"/>
      <c r="AO45" s="45"/>
      <c r="AP45" s="45"/>
      <c r="AQ45" s="45"/>
      <c r="AR45" s="45">
        <v>1</v>
      </c>
      <c r="AS45" s="45"/>
      <c r="AT45" s="45"/>
      <c r="AU45" s="45"/>
      <c r="AV45" s="45"/>
      <c r="AW45" s="45"/>
      <c r="AX45" s="45"/>
      <c r="AY45" s="45"/>
      <c r="AZ45" s="45"/>
      <c r="BA45" s="45"/>
      <c r="BB45" s="45"/>
      <c r="BC45" s="45"/>
      <c r="BD45" s="45"/>
      <c r="BE45" s="45"/>
      <c r="BF45" s="45"/>
      <c r="BG45" s="45"/>
      <c r="BH45" s="45"/>
      <c r="BI45" s="45"/>
      <c r="BJ45" s="45"/>
      <c r="BK45" s="45"/>
      <c r="BL45" s="45"/>
      <c r="BM45" s="45"/>
      <c r="BN45" s="45"/>
      <c r="BO45" s="45"/>
      <c r="BP45" s="45"/>
      <c r="BQ45" s="45"/>
      <c r="BR45" s="45"/>
      <c r="BS45" s="45"/>
      <c r="BT45" s="45"/>
      <c r="BU45" s="45"/>
      <c r="BV45" s="45"/>
      <c r="BW45" s="45"/>
      <c r="BX45" s="45"/>
      <c r="BY45" s="45"/>
      <c r="BZ45" s="45"/>
      <c r="CA45" s="45"/>
      <c r="CB45" s="45"/>
      <c r="CC45" s="45"/>
      <c r="CD45" s="45"/>
      <c r="CE45" s="46"/>
      <c r="CF45" s="46"/>
      <c r="CG45" s="45"/>
      <c r="CH45" s="15"/>
      <c r="CI45" s="47"/>
    </row>
    <row r="46" spans="1:87" ht="14.25" x14ac:dyDescent="0.2">
      <c r="A46" s="31">
        <v>44</v>
      </c>
      <c r="B46" s="32" t="s">
        <v>3114</v>
      </c>
      <c r="C46" s="48"/>
      <c r="D46" s="48"/>
      <c r="E46" s="34">
        <f t="shared" si="16"/>
        <v>0</v>
      </c>
      <c r="F46" s="35" t="s">
        <v>11</v>
      </c>
      <c r="G46" s="36"/>
      <c r="H46" s="37">
        <v>721248000</v>
      </c>
      <c r="I46" s="38">
        <f t="shared" si="17"/>
        <v>0</v>
      </c>
      <c r="J46" s="39">
        <f t="shared" si="18"/>
        <v>0</v>
      </c>
      <c r="K46" s="40">
        <f t="shared" si="19"/>
        <v>0</v>
      </c>
      <c r="L46" s="39">
        <f t="shared" si="20"/>
        <v>0</v>
      </c>
      <c r="M46" s="40">
        <f t="shared" si="21"/>
        <v>0</v>
      </c>
      <c r="N46" s="41">
        <f t="shared" si="22"/>
        <v>0</v>
      </c>
      <c r="O46" s="42"/>
      <c r="P46" s="41">
        <f t="shared" si="23"/>
        <v>0</v>
      </c>
      <c r="Q46" s="42">
        <f t="shared" si="24"/>
        <v>0</v>
      </c>
      <c r="R46" s="43">
        <f t="shared" si="25"/>
        <v>0</v>
      </c>
      <c r="S46" s="42">
        <f t="shared" si="26"/>
        <v>0</v>
      </c>
      <c r="T46" s="41">
        <f>SUM(Tabla2[[#This Row],[LNDV ]:[LNDV UND REF]])</f>
        <v>0</v>
      </c>
      <c r="U46" s="42">
        <f t="shared" si="27"/>
        <v>0</v>
      </c>
      <c r="V46" s="41">
        <f t="shared" si="28"/>
        <v>0</v>
      </c>
      <c r="W46" s="42"/>
      <c r="X46" s="41">
        <f t="shared" si="29"/>
        <v>0</v>
      </c>
      <c r="Y46" s="40"/>
      <c r="Z46" s="44">
        <f t="shared" si="30"/>
        <v>0</v>
      </c>
      <c r="AA46" s="35">
        <f t="shared" si="31"/>
        <v>0</v>
      </c>
      <c r="AD46" s="31"/>
      <c r="AE46" s="45"/>
      <c r="AF46" s="45"/>
      <c r="AG46" s="45"/>
      <c r="AH46" s="45"/>
      <c r="AI46" s="45"/>
      <c r="AJ46" s="45"/>
      <c r="AK46" s="45"/>
      <c r="AL46" s="45"/>
      <c r="AM46" s="45"/>
      <c r="AN46" s="45"/>
      <c r="AO46" s="45"/>
      <c r="AP46" s="45"/>
      <c r="AQ46" s="45"/>
      <c r="AR46" s="45"/>
      <c r="AS46" s="45"/>
      <c r="AT46" s="45"/>
      <c r="AU46" s="45"/>
      <c r="AV46" s="45"/>
      <c r="AW46" s="45"/>
      <c r="AX46" s="45"/>
      <c r="AY46" s="45"/>
      <c r="AZ46" s="45"/>
      <c r="BA46" s="45"/>
      <c r="BB46" s="45"/>
      <c r="BC46" s="45"/>
      <c r="BD46" s="45"/>
      <c r="BE46" s="45"/>
      <c r="BF46" s="45"/>
      <c r="BG46" s="45"/>
      <c r="BH46" s="45"/>
      <c r="BI46" s="45"/>
      <c r="BJ46" s="45"/>
      <c r="BK46" s="45"/>
      <c r="BL46" s="45"/>
      <c r="BM46" s="45"/>
      <c r="BN46" s="45"/>
      <c r="BO46" s="45"/>
      <c r="BP46" s="45"/>
      <c r="BQ46" s="45"/>
      <c r="BR46" s="45"/>
      <c r="BS46" s="45"/>
      <c r="BT46" s="45"/>
      <c r="BU46" s="45"/>
      <c r="BV46" s="45"/>
      <c r="BW46" s="45"/>
      <c r="BX46" s="45"/>
      <c r="BY46" s="45"/>
      <c r="BZ46" s="45"/>
      <c r="CA46" s="45"/>
      <c r="CB46" s="45"/>
      <c r="CC46" s="45"/>
      <c r="CD46" s="45"/>
      <c r="CE46" s="46"/>
      <c r="CF46" s="46"/>
      <c r="CG46" s="45"/>
      <c r="CH46" s="15"/>
      <c r="CI46" s="47"/>
    </row>
    <row r="47" spans="1:87" ht="24" x14ac:dyDescent="0.2">
      <c r="A47" s="31">
        <v>45</v>
      </c>
      <c r="B47" s="51" t="s">
        <v>3115</v>
      </c>
      <c r="C47" s="49" t="s">
        <v>3116</v>
      </c>
      <c r="D47" s="49" t="s">
        <v>3117</v>
      </c>
      <c r="E47" s="34">
        <f t="shared" si="16"/>
        <v>0</v>
      </c>
      <c r="F47" s="35" t="s">
        <v>11</v>
      </c>
      <c r="G47" s="36" t="s">
        <v>2965</v>
      </c>
      <c r="H47" s="37">
        <v>191163504</v>
      </c>
      <c r="I47" s="38">
        <f t="shared" si="17"/>
        <v>0</v>
      </c>
      <c r="J47" s="39">
        <f t="shared" si="18"/>
        <v>0</v>
      </c>
      <c r="K47" s="40">
        <f t="shared" si="19"/>
        <v>0</v>
      </c>
      <c r="L47" s="39">
        <f t="shared" si="20"/>
        <v>0</v>
      </c>
      <c r="M47" s="40">
        <f t="shared" si="21"/>
        <v>0</v>
      </c>
      <c r="N47" s="41">
        <f t="shared" si="22"/>
        <v>0</v>
      </c>
      <c r="O47" s="42">
        <f>IFERROR(N47*H47," ")</f>
        <v>0</v>
      </c>
      <c r="P47" s="41">
        <f t="shared" si="23"/>
        <v>0</v>
      </c>
      <c r="Q47" s="42">
        <f t="shared" si="24"/>
        <v>0</v>
      </c>
      <c r="R47" s="43">
        <f t="shared" si="25"/>
        <v>0</v>
      </c>
      <c r="S47" s="42">
        <f t="shared" si="26"/>
        <v>0</v>
      </c>
      <c r="T47" s="41">
        <f>SUM(Tabla2[[#This Row],[LNDV ]:[LNDV UND REF]])</f>
        <v>0</v>
      </c>
      <c r="U47" s="42">
        <f t="shared" si="27"/>
        <v>0</v>
      </c>
      <c r="V47" s="41">
        <f t="shared" si="28"/>
        <v>0</v>
      </c>
      <c r="W47" s="42">
        <f>IFERROR(V47*H47," ")</f>
        <v>0</v>
      </c>
      <c r="X47" s="41">
        <f t="shared" si="29"/>
        <v>0</v>
      </c>
      <c r="Y47" s="40">
        <f>IFERROR(X47*H47," ")</f>
        <v>0</v>
      </c>
      <c r="Z47" s="44">
        <f t="shared" si="30"/>
        <v>0</v>
      </c>
      <c r="AA47" s="35">
        <f t="shared" si="31"/>
        <v>0</v>
      </c>
      <c r="AB47" s="60"/>
      <c r="AC47" s="60"/>
      <c r="AD47" s="31"/>
      <c r="AE47" s="45"/>
      <c r="AF47" s="45"/>
      <c r="AG47" s="45"/>
      <c r="AH47" s="45"/>
      <c r="AI47" s="45"/>
      <c r="AJ47" s="45"/>
      <c r="AK47" s="45"/>
      <c r="AL47" s="45"/>
      <c r="AM47" s="45"/>
      <c r="AN47" s="45"/>
      <c r="AO47" s="45"/>
      <c r="AP47" s="45"/>
      <c r="AQ47" s="45"/>
      <c r="AR47" s="45"/>
      <c r="AS47" s="45"/>
      <c r="AT47" s="45"/>
      <c r="AU47" s="45"/>
      <c r="AV47" s="45"/>
      <c r="AW47" s="45"/>
      <c r="AX47" s="45"/>
      <c r="AY47" s="45"/>
      <c r="AZ47" s="45"/>
      <c r="BA47" s="45"/>
      <c r="BB47" s="45"/>
      <c r="BC47" s="45"/>
      <c r="BD47" s="45"/>
      <c r="BE47" s="45"/>
      <c r="BF47" s="45"/>
      <c r="BG47" s="45"/>
      <c r="BH47" s="45"/>
      <c r="BI47" s="45"/>
      <c r="BJ47" s="45"/>
      <c r="BK47" s="45"/>
      <c r="BL47" s="45"/>
      <c r="BM47" s="45"/>
      <c r="BN47" s="45"/>
      <c r="BO47" s="45"/>
      <c r="BP47" s="45"/>
      <c r="BQ47" s="45"/>
      <c r="BR47" s="45"/>
      <c r="BS47" s="45"/>
      <c r="BT47" s="45"/>
      <c r="BU47" s="45"/>
      <c r="BV47" s="45"/>
      <c r="BW47" s="45"/>
      <c r="BX47" s="45"/>
      <c r="BY47" s="45"/>
      <c r="BZ47" s="45"/>
      <c r="CA47" s="45"/>
      <c r="CB47" s="45"/>
      <c r="CC47" s="45"/>
      <c r="CD47" s="45"/>
      <c r="CE47" s="46"/>
      <c r="CF47" s="46"/>
      <c r="CG47" s="45"/>
      <c r="CH47" s="15"/>
      <c r="CI47" s="47"/>
    </row>
    <row r="48" spans="1:87" ht="14.25" x14ac:dyDescent="0.2">
      <c r="A48" s="31">
        <v>46</v>
      </c>
      <c r="B48" s="32" t="s">
        <v>3118</v>
      </c>
      <c r="C48" s="48"/>
      <c r="D48" s="48"/>
      <c r="E48" s="34">
        <f t="shared" si="16"/>
        <v>3</v>
      </c>
      <c r="F48" s="35" t="s">
        <v>11</v>
      </c>
      <c r="G48" s="36"/>
      <c r="H48" s="37">
        <v>360624000</v>
      </c>
      <c r="I48" s="38">
        <f t="shared" si="17"/>
        <v>1081872000</v>
      </c>
      <c r="J48" s="39">
        <f t="shared" si="18"/>
        <v>0</v>
      </c>
      <c r="K48" s="40">
        <f t="shared" si="19"/>
        <v>0</v>
      </c>
      <c r="L48" s="39">
        <f t="shared" si="20"/>
        <v>0</v>
      </c>
      <c r="M48" s="40">
        <f t="shared" si="21"/>
        <v>0</v>
      </c>
      <c r="N48" s="41">
        <f t="shared" si="22"/>
        <v>0</v>
      </c>
      <c r="O48" s="42"/>
      <c r="P48" s="41">
        <f t="shared" si="23"/>
        <v>0</v>
      </c>
      <c r="Q48" s="42">
        <f t="shared" si="24"/>
        <v>0</v>
      </c>
      <c r="R48" s="43">
        <f t="shared" si="25"/>
        <v>0</v>
      </c>
      <c r="S48" s="42">
        <f t="shared" si="26"/>
        <v>0</v>
      </c>
      <c r="T48" s="41">
        <f>SUM(Tabla2[[#This Row],[LNDV ]:[LNDV UND REF]])</f>
        <v>0</v>
      </c>
      <c r="U48" s="42">
        <f t="shared" si="27"/>
        <v>0</v>
      </c>
      <c r="V48" s="41">
        <f t="shared" si="28"/>
        <v>3</v>
      </c>
      <c r="W48" s="42"/>
      <c r="X48" s="41">
        <f t="shared" si="29"/>
        <v>0</v>
      </c>
      <c r="Y48" s="40"/>
      <c r="Z48" s="44">
        <f t="shared" si="30"/>
        <v>0</v>
      </c>
      <c r="AA48" s="35">
        <f t="shared" si="31"/>
        <v>0</v>
      </c>
      <c r="AD48" s="31"/>
      <c r="AE48" s="45"/>
      <c r="AF48" s="45"/>
      <c r="AG48" s="45"/>
      <c r="AH48" s="45"/>
      <c r="AI48" s="45"/>
      <c r="AJ48" s="45"/>
      <c r="AK48" s="45"/>
      <c r="AL48" s="45"/>
      <c r="AM48" s="45"/>
      <c r="AN48" s="45"/>
      <c r="AO48" s="45"/>
      <c r="AP48" s="45"/>
      <c r="AQ48" s="45"/>
      <c r="AR48" s="45"/>
      <c r="AS48" s="45"/>
      <c r="AT48" s="45"/>
      <c r="AU48" s="45"/>
      <c r="AV48" s="45"/>
      <c r="AW48" s="45"/>
      <c r="AX48" s="45"/>
      <c r="AY48" s="45"/>
      <c r="AZ48" s="45"/>
      <c r="BA48" s="45"/>
      <c r="BB48" s="45"/>
      <c r="BC48" s="45"/>
      <c r="BD48" s="45"/>
      <c r="BE48" s="45"/>
      <c r="BF48" s="45"/>
      <c r="BG48" s="45"/>
      <c r="BH48" s="45"/>
      <c r="BI48" s="45"/>
      <c r="BJ48" s="45"/>
      <c r="BK48" s="45"/>
      <c r="BL48" s="45"/>
      <c r="BM48" s="45"/>
      <c r="BN48" s="45"/>
      <c r="BO48" s="45"/>
      <c r="BP48" s="45"/>
      <c r="BQ48" s="45"/>
      <c r="BR48" s="45"/>
      <c r="BS48" s="45"/>
      <c r="BT48" s="45"/>
      <c r="BU48" s="45"/>
      <c r="BV48" s="45"/>
      <c r="BW48" s="45"/>
      <c r="BX48" s="45"/>
      <c r="BY48" s="45"/>
      <c r="BZ48" s="45"/>
      <c r="CA48" s="45"/>
      <c r="CB48" s="45"/>
      <c r="CC48" s="45"/>
      <c r="CD48" s="45"/>
      <c r="CE48" s="46"/>
      <c r="CF48" s="46">
        <v>3</v>
      </c>
      <c r="CG48" s="45"/>
      <c r="CH48" s="15"/>
      <c r="CI48" s="47"/>
    </row>
    <row r="49" spans="1:87" ht="57" x14ac:dyDescent="0.2">
      <c r="A49" s="31">
        <v>47</v>
      </c>
      <c r="B49" s="51" t="s">
        <v>3119</v>
      </c>
      <c r="C49" s="49" t="s">
        <v>3120</v>
      </c>
      <c r="D49" s="49" t="s">
        <v>3121</v>
      </c>
      <c r="E49" s="34">
        <f t="shared" si="16"/>
        <v>0</v>
      </c>
      <c r="F49" s="35" t="s">
        <v>11</v>
      </c>
      <c r="G49" s="36" t="s">
        <v>2965</v>
      </c>
      <c r="H49" s="37">
        <v>86478728</v>
      </c>
      <c r="I49" s="38">
        <f t="shared" si="17"/>
        <v>0</v>
      </c>
      <c r="J49" s="39">
        <f t="shared" si="18"/>
        <v>0</v>
      </c>
      <c r="K49" s="40">
        <f t="shared" si="19"/>
        <v>0</v>
      </c>
      <c r="L49" s="39">
        <f t="shared" si="20"/>
        <v>0</v>
      </c>
      <c r="M49" s="40">
        <f t="shared" si="21"/>
        <v>0</v>
      </c>
      <c r="N49" s="41">
        <f t="shared" si="22"/>
        <v>0</v>
      </c>
      <c r="O49" s="42">
        <f>IFERROR(N49*H49," ")</f>
        <v>0</v>
      </c>
      <c r="P49" s="41">
        <f t="shared" si="23"/>
        <v>0</v>
      </c>
      <c r="Q49" s="42">
        <f t="shared" si="24"/>
        <v>0</v>
      </c>
      <c r="R49" s="43">
        <f t="shared" si="25"/>
        <v>0</v>
      </c>
      <c r="S49" s="42">
        <f t="shared" si="26"/>
        <v>0</v>
      </c>
      <c r="T49" s="41">
        <f>SUM(Tabla2[[#This Row],[LNDV ]:[LNDV UND REF]])</f>
        <v>0</v>
      </c>
      <c r="U49" s="42">
        <f t="shared" si="27"/>
        <v>0</v>
      </c>
      <c r="V49" s="41">
        <f t="shared" si="28"/>
        <v>0</v>
      </c>
      <c r="W49" s="42">
        <f>IFERROR(V49*H49," ")</f>
        <v>0</v>
      </c>
      <c r="X49" s="41">
        <f t="shared" si="29"/>
        <v>0</v>
      </c>
      <c r="Y49" s="65">
        <f>IFERROR(X49*H49," ")</f>
        <v>0</v>
      </c>
      <c r="Z49" s="44">
        <f t="shared" si="30"/>
        <v>0</v>
      </c>
      <c r="AA49" s="35">
        <f t="shared" si="31"/>
        <v>0</v>
      </c>
      <c r="AD49" s="66"/>
      <c r="AE49" s="45"/>
      <c r="AF49" s="45"/>
      <c r="AG49" s="45"/>
      <c r="AH49" s="45"/>
      <c r="AI49" s="45"/>
      <c r="AJ49" s="45"/>
      <c r="AK49" s="45"/>
      <c r="AL49" s="45"/>
      <c r="AM49" s="45"/>
      <c r="AN49" s="45"/>
      <c r="AO49" s="45"/>
      <c r="AP49" s="45"/>
      <c r="AQ49" s="45"/>
      <c r="AR49" s="45"/>
      <c r="AS49" s="45"/>
      <c r="AT49" s="45"/>
      <c r="AU49" s="45"/>
      <c r="AV49" s="45"/>
      <c r="AW49" s="45"/>
      <c r="AX49" s="45"/>
      <c r="AY49" s="45"/>
      <c r="AZ49" s="45"/>
      <c r="BA49" s="45"/>
      <c r="BB49" s="45"/>
      <c r="BC49" s="45"/>
      <c r="BD49" s="45"/>
      <c r="BE49" s="45"/>
      <c r="BF49" s="45"/>
      <c r="BG49" s="45"/>
      <c r="BH49" s="45"/>
      <c r="BI49" s="45"/>
      <c r="BJ49" s="45"/>
      <c r="BK49" s="45"/>
      <c r="BL49" s="45"/>
      <c r="BM49" s="45"/>
      <c r="BN49" s="45"/>
      <c r="BO49" s="45"/>
      <c r="BP49" s="45"/>
      <c r="BQ49" s="45"/>
      <c r="BR49" s="45"/>
      <c r="BS49" s="45"/>
      <c r="BT49" s="45"/>
      <c r="BU49" s="45"/>
      <c r="BV49" s="45"/>
      <c r="BW49" s="45"/>
      <c r="BX49" s="45"/>
      <c r="BY49" s="45"/>
      <c r="BZ49" s="45"/>
      <c r="CA49" s="45"/>
      <c r="CB49" s="45"/>
      <c r="CC49" s="45"/>
      <c r="CD49" s="45"/>
      <c r="CE49" s="46"/>
      <c r="CF49" s="46"/>
      <c r="CG49" s="45"/>
      <c r="CH49" s="15"/>
      <c r="CI49" s="47"/>
    </row>
    <row r="50" spans="1:87" ht="28.5" x14ac:dyDescent="0.2">
      <c r="A50" s="31">
        <v>48</v>
      </c>
      <c r="B50" s="32" t="s">
        <v>3122</v>
      </c>
      <c r="C50" s="48"/>
      <c r="D50" s="48"/>
      <c r="E50" s="34">
        <f t="shared" si="16"/>
        <v>1</v>
      </c>
      <c r="F50" s="35" t="s">
        <v>11</v>
      </c>
      <c r="G50" s="36"/>
      <c r="H50" s="37">
        <v>163482880</v>
      </c>
      <c r="I50" s="38">
        <f t="shared" si="17"/>
        <v>163482880</v>
      </c>
      <c r="J50" s="39">
        <f t="shared" si="18"/>
        <v>0</v>
      </c>
      <c r="K50" s="40">
        <f t="shared" si="19"/>
        <v>0</v>
      </c>
      <c r="L50" s="39">
        <f t="shared" si="20"/>
        <v>0</v>
      </c>
      <c r="M50" s="40">
        <f t="shared" si="21"/>
        <v>0</v>
      </c>
      <c r="N50" s="41">
        <f t="shared" si="22"/>
        <v>1</v>
      </c>
      <c r="O50" s="42"/>
      <c r="P50" s="41">
        <f t="shared" si="23"/>
        <v>0</v>
      </c>
      <c r="Q50" s="42">
        <f t="shared" si="24"/>
        <v>0</v>
      </c>
      <c r="R50" s="43">
        <f t="shared" si="25"/>
        <v>0</v>
      </c>
      <c r="S50" s="42">
        <f t="shared" si="26"/>
        <v>0</v>
      </c>
      <c r="T50" s="41">
        <f>SUM(Tabla2[[#This Row],[LNDV ]:[LNDV UND REF]])</f>
        <v>0</v>
      </c>
      <c r="U50" s="42">
        <f t="shared" si="27"/>
        <v>0</v>
      </c>
      <c r="V50" s="41">
        <f t="shared" si="28"/>
        <v>0</v>
      </c>
      <c r="W50" s="42"/>
      <c r="X50" s="41">
        <f t="shared" si="29"/>
        <v>0</v>
      </c>
      <c r="Y50" s="40"/>
      <c r="Z50" s="44">
        <f t="shared" si="30"/>
        <v>0</v>
      </c>
      <c r="AA50" s="35">
        <f t="shared" si="31"/>
        <v>0</v>
      </c>
      <c r="AD50" s="31"/>
      <c r="AE50" s="67"/>
      <c r="AF50" s="58"/>
      <c r="AG50" s="58"/>
      <c r="AH50" s="68"/>
      <c r="AI50" s="58"/>
      <c r="AJ50" s="58"/>
      <c r="AK50" s="58"/>
      <c r="AL50" s="69"/>
      <c r="AM50" s="68"/>
      <c r="AN50" s="68"/>
      <c r="AO50" s="68"/>
      <c r="AP50" s="58"/>
      <c r="AQ50" s="58"/>
      <c r="AR50" s="58">
        <v>1</v>
      </c>
      <c r="AS50" s="58"/>
      <c r="AT50" s="58"/>
      <c r="AU50" s="58"/>
      <c r="AV50" s="58"/>
      <c r="AW50" s="58"/>
      <c r="AX50" s="58"/>
      <c r="AY50" s="58"/>
      <c r="AZ50" s="58"/>
      <c r="BA50" s="58"/>
      <c r="BB50" s="58"/>
      <c r="BC50" s="58"/>
      <c r="BD50" s="58"/>
      <c r="BE50" s="58"/>
      <c r="BF50" s="68"/>
      <c r="BG50" s="68"/>
      <c r="BH50" s="68"/>
      <c r="BI50" s="58"/>
      <c r="BJ50" s="58"/>
      <c r="BK50" s="58"/>
      <c r="BL50" s="58"/>
      <c r="BM50" s="58"/>
      <c r="BN50" s="58"/>
      <c r="BO50" s="58"/>
      <c r="BP50" s="58"/>
      <c r="BQ50" s="58"/>
      <c r="BR50" s="58"/>
      <c r="BS50" s="58"/>
      <c r="BT50" s="58"/>
      <c r="BU50" s="58"/>
      <c r="BV50" s="58"/>
      <c r="BW50" s="58"/>
      <c r="BX50" s="58"/>
      <c r="BY50" s="58"/>
      <c r="BZ50" s="58"/>
      <c r="CA50" s="58"/>
      <c r="CB50" s="58"/>
      <c r="CC50" s="58"/>
      <c r="CD50" s="58"/>
      <c r="CE50" s="59"/>
      <c r="CF50" s="59"/>
      <c r="CG50" s="68"/>
      <c r="CH50" s="15"/>
      <c r="CI50" s="47"/>
    </row>
    <row r="51" spans="1:87" ht="14.25" x14ac:dyDescent="0.2">
      <c r="A51" s="31">
        <v>49</v>
      </c>
      <c r="B51" s="32" t="s">
        <v>3123</v>
      </c>
      <c r="C51" s="48"/>
      <c r="D51" s="70"/>
      <c r="E51" s="34">
        <f t="shared" si="16"/>
        <v>1</v>
      </c>
      <c r="F51" s="35" t="s">
        <v>11</v>
      </c>
      <c r="G51" s="36"/>
      <c r="H51" s="37">
        <v>24041600</v>
      </c>
      <c r="I51" s="38">
        <f t="shared" si="17"/>
        <v>24041600</v>
      </c>
      <c r="J51" s="39">
        <f t="shared" si="18"/>
        <v>0</v>
      </c>
      <c r="K51" s="40">
        <f t="shared" si="19"/>
        <v>0</v>
      </c>
      <c r="L51" s="39">
        <f t="shared" si="20"/>
        <v>0</v>
      </c>
      <c r="M51" s="40">
        <f t="shared" si="21"/>
        <v>0</v>
      </c>
      <c r="N51" s="41">
        <f t="shared" si="22"/>
        <v>0</v>
      </c>
      <c r="O51" s="42"/>
      <c r="P51" s="41">
        <f t="shared" si="23"/>
        <v>1</v>
      </c>
      <c r="Q51" s="42">
        <f t="shared" si="24"/>
        <v>24041600</v>
      </c>
      <c r="R51" s="43">
        <f t="shared" si="25"/>
        <v>0</v>
      </c>
      <c r="S51" s="42">
        <f t="shared" si="26"/>
        <v>0</v>
      </c>
      <c r="T51" s="41">
        <f>SUM(Tabla2[[#This Row],[LNDV ]:[LNDV UND REF]])</f>
        <v>0</v>
      </c>
      <c r="U51" s="42">
        <f t="shared" si="27"/>
        <v>0</v>
      </c>
      <c r="V51" s="41">
        <f t="shared" si="28"/>
        <v>0</v>
      </c>
      <c r="W51" s="42"/>
      <c r="X51" s="41">
        <f t="shared" si="29"/>
        <v>0</v>
      </c>
      <c r="Y51" s="40"/>
      <c r="Z51" s="44">
        <f t="shared" si="30"/>
        <v>0</v>
      </c>
      <c r="AA51" s="35">
        <f t="shared" si="31"/>
        <v>0</v>
      </c>
      <c r="AD51" s="31"/>
      <c r="AE51" s="45"/>
      <c r="AF51" s="45"/>
      <c r="AG51" s="45"/>
      <c r="AH51" s="45"/>
      <c r="AI51" s="45"/>
      <c r="AJ51" s="45"/>
      <c r="AK51" s="45"/>
      <c r="AL51" s="45"/>
      <c r="AM51" s="45"/>
      <c r="AN51" s="45"/>
      <c r="AO51" s="45"/>
      <c r="AP51" s="45"/>
      <c r="AQ51" s="45"/>
      <c r="AR51" s="45"/>
      <c r="AS51" s="45"/>
      <c r="AT51" s="45"/>
      <c r="AU51" s="45"/>
      <c r="AV51" s="45"/>
      <c r="AW51" s="45"/>
      <c r="AX51" s="45"/>
      <c r="AY51" s="45">
        <v>1</v>
      </c>
      <c r="AZ51" s="45"/>
      <c r="BA51" s="45"/>
      <c r="BB51" s="45"/>
      <c r="BC51" s="45"/>
      <c r="BD51" s="45"/>
      <c r="BE51" s="45"/>
      <c r="BF51" s="45"/>
      <c r="BG51" s="45"/>
      <c r="BH51" s="45"/>
      <c r="BI51" s="45"/>
      <c r="BJ51" s="45"/>
      <c r="BK51" s="45"/>
      <c r="BL51" s="45"/>
      <c r="BM51" s="45"/>
      <c r="BN51" s="45"/>
      <c r="BO51" s="45"/>
      <c r="BP51" s="45"/>
      <c r="BQ51" s="45"/>
      <c r="BR51" s="45"/>
      <c r="BS51" s="45"/>
      <c r="BT51" s="45"/>
      <c r="BU51" s="45"/>
      <c r="BV51" s="45"/>
      <c r="BW51" s="45"/>
      <c r="BX51" s="45"/>
      <c r="BY51" s="45"/>
      <c r="BZ51" s="45"/>
      <c r="CA51" s="45"/>
      <c r="CB51" s="45"/>
      <c r="CC51" s="45"/>
      <c r="CD51" s="45"/>
      <c r="CE51" s="46"/>
      <c r="CF51" s="46"/>
      <c r="CG51" s="45"/>
      <c r="CH51" s="15"/>
      <c r="CI51" s="47"/>
    </row>
    <row r="52" spans="1:87" ht="42.75" x14ac:dyDescent="0.2">
      <c r="A52" s="31">
        <v>50</v>
      </c>
      <c r="B52" s="32" t="s">
        <v>3124</v>
      </c>
      <c r="C52" s="48"/>
      <c r="D52" s="48"/>
      <c r="E52" s="34">
        <f t="shared" si="16"/>
        <v>0</v>
      </c>
      <c r="F52" s="35" t="s">
        <v>11</v>
      </c>
      <c r="G52" s="36"/>
      <c r="H52" s="37">
        <v>19233280</v>
      </c>
      <c r="I52" s="38">
        <f t="shared" si="17"/>
        <v>0</v>
      </c>
      <c r="J52" s="39">
        <f t="shared" si="18"/>
        <v>0</v>
      </c>
      <c r="K52" s="40">
        <f t="shared" si="19"/>
        <v>0</v>
      </c>
      <c r="L52" s="39">
        <f t="shared" si="20"/>
        <v>0</v>
      </c>
      <c r="M52" s="40">
        <f t="shared" si="21"/>
        <v>0</v>
      </c>
      <c r="N52" s="41">
        <f t="shared" si="22"/>
        <v>0</v>
      </c>
      <c r="O52" s="42"/>
      <c r="P52" s="41">
        <f t="shared" si="23"/>
        <v>0</v>
      </c>
      <c r="Q52" s="42">
        <f t="shared" si="24"/>
        <v>0</v>
      </c>
      <c r="R52" s="43">
        <f t="shared" si="25"/>
        <v>0</v>
      </c>
      <c r="S52" s="42">
        <f t="shared" si="26"/>
        <v>0</v>
      </c>
      <c r="T52" s="41">
        <f>SUM(Tabla2[[#This Row],[LNDV ]:[LNDV UND REF]])</f>
        <v>0</v>
      </c>
      <c r="U52" s="42">
        <f t="shared" si="27"/>
        <v>0</v>
      </c>
      <c r="V52" s="41">
        <f t="shared" si="28"/>
        <v>0</v>
      </c>
      <c r="W52" s="42"/>
      <c r="X52" s="41">
        <f t="shared" si="29"/>
        <v>0</v>
      </c>
      <c r="Y52" s="40"/>
      <c r="Z52" s="44">
        <f t="shared" si="30"/>
        <v>0</v>
      </c>
      <c r="AA52" s="35">
        <f t="shared" si="31"/>
        <v>0</v>
      </c>
      <c r="AD52" s="31"/>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45"/>
      <c r="BH52" s="45"/>
      <c r="BI52" s="45"/>
      <c r="BJ52" s="45"/>
      <c r="BK52" s="45"/>
      <c r="BL52" s="45"/>
      <c r="BM52" s="45"/>
      <c r="BN52" s="45"/>
      <c r="BO52" s="45"/>
      <c r="BP52" s="45"/>
      <c r="BQ52" s="45"/>
      <c r="BR52" s="45"/>
      <c r="BS52" s="45"/>
      <c r="BT52" s="45"/>
      <c r="BU52" s="45"/>
      <c r="BV52" s="45"/>
      <c r="BW52" s="45"/>
      <c r="BX52" s="45"/>
      <c r="BY52" s="45"/>
      <c r="BZ52" s="45"/>
      <c r="CA52" s="45"/>
      <c r="CB52" s="45"/>
      <c r="CC52" s="45"/>
      <c r="CD52" s="45"/>
      <c r="CE52" s="46"/>
      <c r="CF52" s="46"/>
      <c r="CG52" s="45"/>
      <c r="CH52" s="15"/>
      <c r="CI52" s="47"/>
    </row>
    <row r="53" spans="1:87" ht="28.5" x14ac:dyDescent="0.2">
      <c r="A53" s="31">
        <v>51</v>
      </c>
      <c r="B53" s="32" t="s">
        <v>3125</v>
      </c>
      <c r="C53" s="48"/>
      <c r="D53" s="48"/>
      <c r="E53" s="34">
        <f t="shared" si="16"/>
        <v>1</v>
      </c>
      <c r="F53" s="35" t="s">
        <v>11</v>
      </c>
      <c r="G53" s="36"/>
      <c r="H53" s="37">
        <v>81741440</v>
      </c>
      <c r="I53" s="38">
        <f t="shared" si="17"/>
        <v>81741440</v>
      </c>
      <c r="J53" s="39">
        <f t="shared" si="18"/>
        <v>0</v>
      </c>
      <c r="K53" s="40">
        <f t="shared" si="19"/>
        <v>0</v>
      </c>
      <c r="L53" s="39">
        <f t="shared" si="20"/>
        <v>0</v>
      </c>
      <c r="M53" s="40">
        <f t="shared" si="21"/>
        <v>0</v>
      </c>
      <c r="N53" s="41">
        <f t="shared" si="22"/>
        <v>0</v>
      </c>
      <c r="O53" s="42"/>
      <c r="P53" s="41">
        <f t="shared" si="23"/>
        <v>0</v>
      </c>
      <c r="Q53" s="42">
        <f t="shared" si="24"/>
        <v>0</v>
      </c>
      <c r="R53" s="43">
        <f t="shared" si="25"/>
        <v>0</v>
      </c>
      <c r="S53" s="42">
        <f t="shared" si="26"/>
        <v>0</v>
      </c>
      <c r="T53" s="41">
        <f>SUM(Tabla2[[#This Row],[LNDV ]:[LNDV UND REF]])</f>
        <v>0</v>
      </c>
      <c r="U53" s="42">
        <f t="shared" si="27"/>
        <v>0</v>
      </c>
      <c r="V53" s="41">
        <f t="shared" si="28"/>
        <v>1</v>
      </c>
      <c r="W53" s="42"/>
      <c r="X53" s="41">
        <f t="shared" si="29"/>
        <v>0</v>
      </c>
      <c r="Y53" s="40"/>
      <c r="Z53" s="44">
        <f t="shared" si="30"/>
        <v>0</v>
      </c>
      <c r="AA53" s="35">
        <f t="shared" si="31"/>
        <v>0</v>
      </c>
      <c r="AD53" s="31"/>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45"/>
      <c r="BH53" s="45"/>
      <c r="BI53" s="45"/>
      <c r="BJ53" s="45"/>
      <c r="BK53" s="45"/>
      <c r="BL53" s="45"/>
      <c r="BM53" s="45"/>
      <c r="BN53" s="45"/>
      <c r="BO53" s="45"/>
      <c r="BP53" s="45"/>
      <c r="BQ53" s="45"/>
      <c r="BR53" s="45"/>
      <c r="BS53" s="45"/>
      <c r="BT53" s="45"/>
      <c r="BU53" s="45"/>
      <c r="BV53" s="45"/>
      <c r="BW53" s="45"/>
      <c r="BX53" s="45"/>
      <c r="BY53" s="45"/>
      <c r="BZ53" s="45"/>
      <c r="CA53" s="45"/>
      <c r="CB53" s="45"/>
      <c r="CC53" s="45"/>
      <c r="CD53" s="45"/>
      <c r="CE53" s="46"/>
      <c r="CF53" s="46">
        <v>1</v>
      </c>
      <c r="CG53" s="45"/>
      <c r="CH53" s="15"/>
      <c r="CI53" s="47"/>
    </row>
    <row r="54" spans="1:87" ht="42.75" x14ac:dyDescent="0.2">
      <c r="A54" s="31">
        <v>52</v>
      </c>
      <c r="B54" s="32" t="s">
        <v>3126</v>
      </c>
      <c r="C54" s="48"/>
      <c r="D54" s="48"/>
      <c r="E54" s="34">
        <f t="shared" si="16"/>
        <v>1</v>
      </c>
      <c r="F54" s="35" t="s">
        <v>11</v>
      </c>
      <c r="G54" s="36"/>
      <c r="H54" s="37">
        <v>80867200</v>
      </c>
      <c r="I54" s="38">
        <f t="shared" si="17"/>
        <v>80867200</v>
      </c>
      <c r="J54" s="39">
        <f t="shared" si="18"/>
        <v>0</v>
      </c>
      <c r="K54" s="40">
        <f t="shared" si="19"/>
        <v>0</v>
      </c>
      <c r="L54" s="39">
        <f t="shared" si="20"/>
        <v>0</v>
      </c>
      <c r="M54" s="40">
        <f t="shared" si="21"/>
        <v>0</v>
      </c>
      <c r="N54" s="41">
        <f t="shared" si="22"/>
        <v>0</v>
      </c>
      <c r="O54" s="42"/>
      <c r="P54" s="41">
        <f t="shared" si="23"/>
        <v>0</v>
      </c>
      <c r="Q54" s="42">
        <f t="shared" si="24"/>
        <v>0</v>
      </c>
      <c r="R54" s="43">
        <f t="shared" si="25"/>
        <v>0</v>
      </c>
      <c r="S54" s="42">
        <f t="shared" si="26"/>
        <v>0</v>
      </c>
      <c r="T54" s="41">
        <f>SUM(Tabla2[[#This Row],[LNDV ]:[LNDV UND REF]])</f>
        <v>0</v>
      </c>
      <c r="U54" s="42">
        <f t="shared" si="27"/>
        <v>0</v>
      </c>
      <c r="V54" s="41">
        <f t="shared" si="28"/>
        <v>1</v>
      </c>
      <c r="W54" s="42"/>
      <c r="X54" s="41">
        <f t="shared" si="29"/>
        <v>0</v>
      </c>
      <c r="Y54" s="40"/>
      <c r="Z54" s="44">
        <f t="shared" si="30"/>
        <v>0</v>
      </c>
      <c r="AA54" s="35">
        <f t="shared" si="31"/>
        <v>0</v>
      </c>
      <c r="AD54" s="31"/>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6"/>
      <c r="CF54" s="46">
        <v>1</v>
      </c>
      <c r="CG54" s="45"/>
      <c r="CH54" s="15"/>
      <c r="CI54" s="47"/>
    </row>
    <row r="55" spans="1:87" ht="28.5" x14ac:dyDescent="0.2">
      <c r="A55" s="31">
        <v>53</v>
      </c>
      <c r="B55" s="32" t="s">
        <v>3127</v>
      </c>
      <c r="C55" s="48"/>
      <c r="D55" s="48"/>
      <c r="E55" s="34">
        <f t="shared" si="16"/>
        <v>1</v>
      </c>
      <c r="F55" s="35" t="s">
        <v>11</v>
      </c>
      <c r="G55" s="36"/>
      <c r="H55" s="37">
        <v>177033600</v>
      </c>
      <c r="I55" s="38">
        <f t="shared" si="17"/>
        <v>177033600</v>
      </c>
      <c r="J55" s="39">
        <f t="shared" si="18"/>
        <v>0</v>
      </c>
      <c r="K55" s="40">
        <f t="shared" si="19"/>
        <v>0</v>
      </c>
      <c r="L55" s="39">
        <f t="shared" si="20"/>
        <v>0</v>
      </c>
      <c r="M55" s="40">
        <f t="shared" si="21"/>
        <v>0</v>
      </c>
      <c r="N55" s="41">
        <f t="shared" si="22"/>
        <v>0</v>
      </c>
      <c r="O55" s="42"/>
      <c r="P55" s="41">
        <f t="shared" si="23"/>
        <v>0</v>
      </c>
      <c r="Q55" s="42">
        <f t="shared" si="24"/>
        <v>0</v>
      </c>
      <c r="R55" s="43">
        <f t="shared" si="25"/>
        <v>0</v>
      </c>
      <c r="S55" s="42">
        <f t="shared" si="26"/>
        <v>0</v>
      </c>
      <c r="T55" s="41">
        <f>SUM(Tabla2[[#This Row],[LNDV ]:[LNDV UND REF]])</f>
        <v>0</v>
      </c>
      <c r="U55" s="42">
        <f t="shared" si="27"/>
        <v>0</v>
      </c>
      <c r="V55" s="41">
        <f t="shared" si="28"/>
        <v>1</v>
      </c>
      <c r="W55" s="42"/>
      <c r="X55" s="41">
        <f t="shared" si="29"/>
        <v>0</v>
      </c>
      <c r="Y55" s="40"/>
      <c r="Z55" s="44">
        <f t="shared" si="30"/>
        <v>0</v>
      </c>
      <c r="AA55" s="35">
        <f t="shared" si="31"/>
        <v>0</v>
      </c>
      <c r="AD55" s="31"/>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c r="BE55" s="45"/>
      <c r="BF55" s="45"/>
      <c r="BG55" s="45"/>
      <c r="BH55" s="45"/>
      <c r="BI55" s="45"/>
      <c r="BJ55" s="45"/>
      <c r="BK55" s="45"/>
      <c r="BL55" s="45"/>
      <c r="BM55" s="45"/>
      <c r="BN55" s="45"/>
      <c r="BO55" s="45"/>
      <c r="BP55" s="45"/>
      <c r="BQ55" s="45"/>
      <c r="BR55" s="45"/>
      <c r="BS55" s="45"/>
      <c r="BT55" s="45"/>
      <c r="BU55" s="45"/>
      <c r="BV55" s="45"/>
      <c r="BW55" s="45"/>
      <c r="BX55" s="45"/>
      <c r="BY55" s="45"/>
      <c r="BZ55" s="45"/>
      <c r="CA55" s="45"/>
      <c r="CB55" s="45"/>
      <c r="CC55" s="45"/>
      <c r="CD55" s="45"/>
      <c r="CE55" s="46"/>
      <c r="CF55" s="46">
        <v>1</v>
      </c>
      <c r="CG55" s="45"/>
      <c r="CH55" s="15"/>
      <c r="CI55" s="47"/>
    </row>
    <row r="56" spans="1:87" ht="42.75" x14ac:dyDescent="0.2">
      <c r="A56" s="31">
        <v>54</v>
      </c>
      <c r="B56" s="32" t="s">
        <v>3128</v>
      </c>
      <c r="C56" s="48"/>
      <c r="D56" s="48"/>
      <c r="E56" s="34">
        <f t="shared" si="16"/>
        <v>1</v>
      </c>
      <c r="F56" s="35" t="s">
        <v>11</v>
      </c>
      <c r="G56" s="36"/>
      <c r="H56" s="37">
        <v>156270400</v>
      </c>
      <c r="I56" s="38">
        <f t="shared" si="17"/>
        <v>156270400</v>
      </c>
      <c r="J56" s="39">
        <f t="shared" si="18"/>
        <v>0</v>
      </c>
      <c r="K56" s="40">
        <f t="shared" si="19"/>
        <v>0</v>
      </c>
      <c r="L56" s="39">
        <f t="shared" si="20"/>
        <v>0</v>
      </c>
      <c r="M56" s="40">
        <f t="shared" si="21"/>
        <v>0</v>
      </c>
      <c r="N56" s="41">
        <f t="shared" si="22"/>
        <v>0</v>
      </c>
      <c r="O56" s="42"/>
      <c r="P56" s="41">
        <f t="shared" si="23"/>
        <v>0</v>
      </c>
      <c r="Q56" s="42">
        <f t="shared" si="24"/>
        <v>0</v>
      </c>
      <c r="R56" s="43">
        <f t="shared" si="25"/>
        <v>0</v>
      </c>
      <c r="S56" s="42">
        <f t="shared" si="26"/>
        <v>0</v>
      </c>
      <c r="T56" s="41">
        <f>SUM(Tabla2[[#This Row],[LNDV ]:[LNDV UND REF]])</f>
        <v>0</v>
      </c>
      <c r="U56" s="42">
        <f t="shared" si="27"/>
        <v>0</v>
      </c>
      <c r="V56" s="41">
        <f t="shared" si="28"/>
        <v>1</v>
      </c>
      <c r="W56" s="42"/>
      <c r="X56" s="41">
        <f t="shared" si="29"/>
        <v>0</v>
      </c>
      <c r="Y56" s="40"/>
      <c r="Z56" s="44">
        <f t="shared" si="30"/>
        <v>0</v>
      </c>
      <c r="AA56" s="35">
        <f t="shared" si="31"/>
        <v>0</v>
      </c>
      <c r="AD56" s="31"/>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c r="BM56" s="45"/>
      <c r="BN56" s="45"/>
      <c r="BO56" s="45"/>
      <c r="BP56" s="45"/>
      <c r="BQ56" s="45"/>
      <c r="BR56" s="45"/>
      <c r="BS56" s="45"/>
      <c r="BT56" s="45"/>
      <c r="BU56" s="45"/>
      <c r="BV56" s="45"/>
      <c r="BW56" s="45"/>
      <c r="BX56" s="45"/>
      <c r="BY56" s="45"/>
      <c r="BZ56" s="45"/>
      <c r="CA56" s="45"/>
      <c r="CB56" s="45"/>
      <c r="CC56" s="45"/>
      <c r="CD56" s="45"/>
      <c r="CE56" s="46"/>
      <c r="CF56" s="46">
        <v>1</v>
      </c>
      <c r="CG56" s="45"/>
      <c r="CH56" s="15"/>
      <c r="CI56" s="47"/>
    </row>
    <row r="57" spans="1:87" ht="28.5" x14ac:dyDescent="0.2">
      <c r="A57" s="31">
        <v>55</v>
      </c>
      <c r="B57" s="32" t="s">
        <v>3129</v>
      </c>
      <c r="C57" s="48"/>
      <c r="D57" s="48"/>
      <c r="E57" s="34">
        <f t="shared" si="16"/>
        <v>1</v>
      </c>
      <c r="F57" s="35" t="s">
        <v>11</v>
      </c>
      <c r="G57" s="36"/>
      <c r="H57" s="37">
        <v>27320000</v>
      </c>
      <c r="I57" s="38">
        <f t="shared" si="17"/>
        <v>27320000</v>
      </c>
      <c r="J57" s="39">
        <f t="shared" si="18"/>
        <v>0</v>
      </c>
      <c r="K57" s="40">
        <f t="shared" si="19"/>
        <v>0</v>
      </c>
      <c r="L57" s="39">
        <f t="shared" si="20"/>
        <v>0</v>
      </c>
      <c r="M57" s="40">
        <f t="shared" si="21"/>
        <v>0</v>
      </c>
      <c r="N57" s="41">
        <f t="shared" si="22"/>
        <v>0</v>
      </c>
      <c r="O57" s="42"/>
      <c r="P57" s="41">
        <f t="shared" si="23"/>
        <v>0</v>
      </c>
      <c r="Q57" s="42">
        <f t="shared" si="24"/>
        <v>0</v>
      </c>
      <c r="R57" s="43">
        <f t="shared" si="25"/>
        <v>0</v>
      </c>
      <c r="S57" s="42">
        <f t="shared" si="26"/>
        <v>0</v>
      </c>
      <c r="T57" s="41">
        <f>SUM(Tabla2[[#This Row],[LNDV ]:[LNDV UND REF]])</f>
        <v>0</v>
      </c>
      <c r="U57" s="42">
        <f t="shared" si="27"/>
        <v>0</v>
      </c>
      <c r="V57" s="41">
        <f t="shared" si="28"/>
        <v>1</v>
      </c>
      <c r="W57" s="42"/>
      <c r="X57" s="41">
        <f t="shared" si="29"/>
        <v>0</v>
      </c>
      <c r="Y57" s="40"/>
      <c r="Z57" s="44">
        <f t="shared" si="30"/>
        <v>0</v>
      </c>
      <c r="AA57" s="35">
        <f t="shared" si="31"/>
        <v>0</v>
      </c>
      <c r="AD57" s="31"/>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5"/>
      <c r="BS57" s="45"/>
      <c r="BT57" s="45"/>
      <c r="BU57" s="45"/>
      <c r="BV57" s="45"/>
      <c r="BW57" s="45"/>
      <c r="BX57" s="45"/>
      <c r="BY57" s="45"/>
      <c r="BZ57" s="45"/>
      <c r="CA57" s="45"/>
      <c r="CB57" s="45"/>
      <c r="CC57" s="45"/>
      <c r="CD57" s="45"/>
      <c r="CE57" s="46"/>
      <c r="CF57" s="46">
        <v>1</v>
      </c>
      <c r="CG57" s="45"/>
      <c r="CH57" s="15"/>
      <c r="CI57" s="47"/>
    </row>
    <row r="58" spans="1:87" ht="28.5" x14ac:dyDescent="0.2">
      <c r="A58" s="31">
        <v>56</v>
      </c>
      <c r="B58" s="32" t="s">
        <v>3130</v>
      </c>
      <c r="C58" s="48"/>
      <c r="D58" s="48"/>
      <c r="E58" s="34">
        <f t="shared" si="16"/>
        <v>1</v>
      </c>
      <c r="F58" s="35" t="s">
        <v>11</v>
      </c>
      <c r="G58" s="36"/>
      <c r="H58" s="37">
        <v>9616640</v>
      </c>
      <c r="I58" s="38">
        <f t="shared" si="17"/>
        <v>9616640</v>
      </c>
      <c r="J58" s="39">
        <f t="shared" si="18"/>
        <v>0</v>
      </c>
      <c r="K58" s="40">
        <f t="shared" si="19"/>
        <v>0</v>
      </c>
      <c r="L58" s="39">
        <f t="shared" si="20"/>
        <v>0</v>
      </c>
      <c r="M58" s="40">
        <f t="shared" si="21"/>
        <v>0</v>
      </c>
      <c r="N58" s="41">
        <f t="shared" si="22"/>
        <v>1</v>
      </c>
      <c r="O58" s="42"/>
      <c r="P58" s="41">
        <f t="shared" si="23"/>
        <v>0</v>
      </c>
      <c r="Q58" s="42">
        <f t="shared" si="24"/>
        <v>0</v>
      </c>
      <c r="R58" s="43">
        <f t="shared" si="25"/>
        <v>0</v>
      </c>
      <c r="S58" s="42">
        <f t="shared" si="26"/>
        <v>0</v>
      </c>
      <c r="T58" s="41">
        <f>SUM(Tabla2[[#This Row],[LNDV ]:[LNDV UND REF]])</f>
        <v>0</v>
      </c>
      <c r="U58" s="42">
        <f t="shared" si="27"/>
        <v>0</v>
      </c>
      <c r="V58" s="41">
        <f t="shared" si="28"/>
        <v>0</v>
      </c>
      <c r="W58" s="42"/>
      <c r="X58" s="41">
        <f t="shared" si="29"/>
        <v>0</v>
      </c>
      <c r="Y58" s="40"/>
      <c r="Z58" s="44">
        <f t="shared" si="30"/>
        <v>0</v>
      </c>
      <c r="AA58" s="35">
        <f t="shared" si="31"/>
        <v>0</v>
      </c>
      <c r="AD58" s="31"/>
      <c r="AE58" s="45"/>
      <c r="AF58" s="45"/>
      <c r="AG58" s="45"/>
      <c r="AH58" s="45"/>
      <c r="AI58" s="45"/>
      <c r="AJ58" s="45"/>
      <c r="AK58" s="45"/>
      <c r="AL58" s="45"/>
      <c r="AM58" s="45"/>
      <c r="AN58" s="45"/>
      <c r="AO58" s="45"/>
      <c r="AP58" s="45"/>
      <c r="AQ58" s="45"/>
      <c r="AR58" s="45">
        <v>1</v>
      </c>
      <c r="AS58" s="45"/>
      <c r="AT58" s="45"/>
      <c r="AU58" s="45"/>
      <c r="AV58" s="45"/>
      <c r="AW58" s="45"/>
      <c r="AX58" s="45"/>
      <c r="AY58" s="45"/>
      <c r="AZ58" s="45"/>
      <c r="BA58" s="45"/>
      <c r="BB58" s="45"/>
      <c r="BC58" s="45"/>
      <c r="BD58" s="45"/>
      <c r="BE58" s="45"/>
      <c r="BF58" s="45"/>
      <c r="BG58" s="45"/>
      <c r="BH58" s="45"/>
      <c r="BI58" s="45"/>
      <c r="BJ58" s="45"/>
      <c r="BK58" s="45"/>
      <c r="BL58" s="45"/>
      <c r="BM58" s="45"/>
      <c r="BN58" s="45"/>
      <c r="BO58" s="45"/>
      <c r="BP58" s="45"/>
      <c r="BQ58" s="45"/>
      <c r="BR58" s="45"/>
      <c r="BS58" s="45"/>
      <c r="BT58" s="45"/>
      <c r="BU58" s="45"/>
      <c r="BV58" s="45"/>
      <c r="BW58" s="45"/>
      <c r="BX58" s="45"/>
      <c r="BY58" s="45"/>
      <c r="BZ58" s="45"/>
      <c r="CA58" s="45"/>
      <c r="CB58" s="45"/>
      <c r="CC58" s="45"/>
      <c r="CD58" s="45"/>
      <c r="CE58" s="46"/>
      <c r="CF58" s="46"/>
      <c r="CG58" s="45"/>
      <c r="CH58" s="15"/>
      <c r="CI58" s="47"/>
    </row>
    <row r="59" spans="1:87" ht="28.5" x14ac:dyDescent="0.2">
      <c r="A59" s="31">
        <v>57</v>
      </c>
      <c r="B59" s="32" t="s">
        <v>3131</v>
      </c>
      <c r="C59" s="48"/>
      <c r="D59" s="48"/>
      <c r="E59" s="34">
        <f t="shared" si="16"/>
        <v>0</v>
      </c>
      <c r="F59" s="35" t="s">
        <v>11</v>
      </c>
      <c r="G59" s="36"/>
      <c r="H59" s="37">
        <v>60104000</v>
      </c>
      <c r="I59" s="38">
        <f t="shared" si="17"/>
        <v>0</v>
      </c>
      <c r="J59" s="39">
        <f t="shared" si="18"/>
        <v>0</v>
      </c>
      <c r="K59" s="40">
        <f t="shared" si="19"/>
        <v>0</v>
      </c>
      <c r="L59" s="39">
        <f t="shared" si="20"/>
        <v>0</v>
      </c>
      <c r="M59" s="40">
        <f t="shared" si="21"/>
        <v>0</v>
      </c>
      <c r="N59" s="41">
        <f t="shared" si="22"/>
        <v>0</v>
      </c>
      <c r="O59" s="42"/>
      <c r="P59" s="41">
        <f t="shared" si="23"/>
        <v>0</v>
      </c>
      <c r="Q59" s="42">
        <f t="shared" si="24"/>
        <v>0</v>
      </c>
      <c r="R59" s="43">
        <f t="shared" si="25"/>
        <v>0</v>
      </c>
      <c r="S59" s="42">
        <f t="shared" si="26"/>
        <v>0</v>
      </c>
      <c r="T59" s="41">
        <f>SUM(Tabla2[[#This Row],[LNDV ]:[LNDV UND REF]])</f>
        <v>0</v>
      </c>
      <c r="U59" s="42">
        <f t="shared" si="27"/>
        <v>0</v>
      </c>
      <c r="V59" s="41">
        <f t="shared" si="28"/>
        <v>0</v>
      </c>
      <c r="W59" s="42"/>
      <c r="X59" s="41">
        <f t="shared" si="29"/>
        <v>0</v>
      </c>
      <c r="Y59" s="40"/>
      <c r="Z59" s="44">
        <f t="shared" si="30"/>
        <v>0</v>
      </c>
      <c r="AA59" s="35">
        <f t="shared" si="31"/>
        <v>0</v>
      </c>
      <c r="AD59" s="31"/>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c r="BC59" s="45"/>
      <c r="BD59" s="45"/>
      <c r="BE59" s="45"/>
      <c r="BF59" s="45"/>
      <c r="BG59" s="45"/>
      <c r="BH59" s="45"/>
      <c r="BI59" s="45"/>
      <c r="BJ59" s="45"/>
      <c r="BK59" s="45"/>
      <c r="BL59" s="45"/>
      <c r="BM59" s="45"/>
      <c r="BN59" s="45"/>
      <c r="BO59" s="45"/>
      <c r="BP59" s="45"/>
      <c r="BQ59" s="45"/>
      <c r="BR59" s="45"/>
      <c r="BS59" s="45"/>
      <c r="BT59" s="45"/>
      <c r="BU59" s="45"/>
      <c r="BV59" s="45"/>
      <c r="BW59" s="45"/>
      <c r="BX59" s="45"/>
      <c r="BY59" s="45"/>
      <c r="BZ59" s="45"/>
      <c r="CA59" s="45"/>
      <c r="CB59" s="45"/>
      <c r="CC59" s="45"/>
      <c r="CD59" s="45"/>
      <c r="CE59" s="46"/>
      <c r="CF59" s="46"/>
      <c r="CG59" s="45"/>
      <c r="CH59" s="15"/>
      <c r="CI59" s="47"/>
    </row>
    <row r="60" spans="1:87" ht="28.5" x14ac:dyDescent="0.2">
      <c r="A60" s="31">
        <v>58</v>
      </c>
      <c r="B60" s="32" t="s">
        <v>3132</v>
      </c>
      <c r="C60" s="48"/>
      <c r="D60" s="48"/>
      <c r="E60" s="34">
        <f t="shared" si="16"/>
        <v>0</v>
      </c>
      <c r="F60" s="35" t="s">
        <v>11</v>
      </c>
      <c r="G60" s="36"/>
      <c r="H60" s="37">
        <v>240416000</v>
      </c>
      <c r="I60" s="38">
        <f t="shared" si="17"/>
        <v>0</v>
      </c>
      <c r="J60" s="39">
        <f t="shared" si="18"/>
        <v>0</v>
      </c>
      <c r="K60" s="40">
        <f t="shared" si="19"/>
        <v>0</v>
      </c>
      <c r="L60" s="39">
        <f t="shared" si="20"/>
        <v>0</v>
      </c>
      <c r="M60" s="40">
        <f t="shared" si="21"/>
        <v>0</v>
      </c>
      <c r="N60" s="41">
        <f t="shared" si="22"/>
        <v>0</v>
      </c>
      <c r="O60" s="42"/>
      <c r="P60" s="41">
        <f t="shared" si="23"/>
        <v>0</v>
      </c>
      <c r="Q60" s="42">
        <f t="shared" si="24"/>
        <v>0</v>
      </c>
      <c r="R60" s="43">
        <f t="shared" si="25"/>
        <v>0</v>
      </c>
      <c r="S60" s="42">
        <f t="shared" si="26"/>
        <v>0</v>
      </c>
      <c r="T60" s="41">
        <f>SUM(Tabla2[[#This Row],[LNDV ]:[LNDV UND REF]])</f>
        <v>0</v>
      </c>
      <c r="U60" s="42">
        <f t="shared" si="27"/>
        <v>0</v>
      </c>
      <c r="V60" s="41">
        <f t="shared" si="28"/>
        <v>0</v>
      </c>
      <c r="W60" s="42"/>
      <c r="X60" s="41">
        <f t="shared" si="29"/>
        <v>0</v>
      </c>
      <c r="Y60" s="40"/>
      <c r="Z60" s="44">
        <f t="shared" si="30"/>
        <v>0</v>
      </c>
      <c r="AA60" s="35">
        <f t="shared" si="31"/>
        <v>0</v>
      </c>
      <c r="AD60" s="31"/>
      <c r="AE60" s="45"/>
      <c r="AF60" s="45"/>
      <c r="AG60" s="45"/>
      <c r="AH60" s="45"/>
      <c r="AI60" s="45"/>
      <c r="AJ60" s="45"/>
      <c r="AK60" s="45"/>
      <c r="AL60" s="45"/>
      <c r="AM60" s="45"/>
      <c r="AN60" s="45"/>
      <c r="AO60" s="45"/>
      <c r="AP60" s="45"/>
      <c r="AQ60" s="45"/>
      <c r="AR60" s="45"/>
      <c r="AS60" s="45"/>
      <c r="AT60" s="45"/>
      <c r="AU60" s="45"/>
      <c r="AV60" s="45"/>
      <c r="AW60" s="45"/>
      <c r="AX60" s="45"/>
      <c r="AY60" s="45"/>
      <c r="AZ60" s="45"/>
      <c r="BA60" s="45"/>
      <c r="BB60" s="45"/>
      <c r="BC60" s="45"/>
      <c r="BD60" s="45"/>
      <c r="BE60" s="45"/>
      <c r="BF60" s="45"/>
      <c r="BG60" s="45"/>
      <c r="BH60" s="45"/>
      <c r="BI60" s="45"/>
      <c r="BJ60" s="45"/>
      <c r="BK60" s="45"/>
      <c r="BL60" s="45"/>
      <c r="BM60" s="45"/>
      <c r="BN60" s="45"/>
      <c r="BO60" s="45"/>
      <c r="BP60" s="45"/>
      <c r="BQ60" s="45"/>
      <c r="BR60" s="45"/>
      <c r="BS60" s="45"/>
      <c r="BT60" s="45"/>
      <c r="BU60" s="45"/>
      <c r="BV60" s="45"/>
      <c r="BW60" s="45"/>
      <c r="BX60" s="45"/>
      <c r="BY60" s="45"/>
      <c r="BZ60" s="45"/>
      <c r="CA60" s="45"/>
      <c r="CB60" s="45"/>
      <c r="CC60" s="45"/>
      <c r="CD60" s="45"/>
      <c r="CE60" s="46"/>
      <c r="CF60" s="46"/>
      <c r="CG60" s="45"/>
      <c r="CH60" s="15"/>
      <c r="CI60" s="47"/>
    </row>
    <row r="61" spans="1:87" ht="42.75" x14ac:dyDescent="0.2">
      <c r="A61" s="31">
        <v>59</v>
      </c>
      <c r="B61" s="51" t="s">
        <v>3133</v>
      </c>
      <c r="C61" s="64" t="s">
        <v>3134</v>
      </c>
      <c r="D61" s="64" t="s">
        <v>3135</v>
      </c>
      <c r="E61" s="34">
        <f t="shared" si="16"/>
        <v>0</v>
      </c>
      <c r="F61" s="35" t="s">
        <v>11</v>
      </c>
      <c r="G61" s="36" t="s">
        <v>2966</v>
      </c>
      <c r="H61" s="37">
        <v>1150882320</v>
      </c>
      <c r="I61" s="38">
        <f t="shared" si="17"/>
        <v>0</v>
      </c>
      <c r="J61" s="39">
        <f t="shared" si="18"/>
        <v>0</v>
      </c>
      <c r="K61" s="40">
        <f t="shared" si="19"/>
        <v>0</v>
      </c>
      <c r="L61" s="39">
        <f t="shared" si="20"/>
        <v>0</v>
      </c>
      <c r="M61" s="40">
        <f t="shared" si="21"/>
        <v>0</v>
      </c>
      <c r="N61" s="41">
        <f t="shared" si="22"/>
        <v>0</v>
      </c>
      <c r="O61" s="42">
        <f>IFERROR(N61*H61," ")</f>
        <v>0</v>
      </c>
      <c r="P61" s="41">
        <f t="shared" si="23"/>
        <v>0</v>
      </c>
      <c r="Q61" s="42">
        <f t="shared" si="24"/>
        <v>0</v>
      </c>
      <c r="R61" s="43">
        <f t="shared" si="25"/>
        <v>0</v>
      </c>
      <c r="S61" s="42">
        <f t="shared" si="26"/>
        <v>0</v>
      </c>
      <c r="T61" s="41">
        <f>SUM(Tabla2[[#This Row],[LNDV ]:[LNDV UND REF]])</f>
        <v>0</v>
      </c>
      <c r="U61" s="42">
        <f t="shared" si="27"/>
        <v>0</v>
      </c>
      <c r="V61" s="41">
        <f t="shared" si="28"/>
        <v>0</v>
      </c>
      <c r="W61" s="42">
        <f>IFERROR(V61*H61," ")</f>
        <v>0</v>
      </c>
      <c r="X61" s="41">
        <f t="shared" si="29"/>
        <v>0</v>
      </c>
      <c r="Y61" s="40">
        <f>IFERROR(X61*H61," ")</f>
        <v>0</v>
      </c>
      <c r="Z61" s="44">
        <f t="shared" si="30"/>
        <v>0</v>
      </c>
      <c r="AA61" s="35">
        <f t="shared" si="31"/>
        <v>0</v>
      </c>
      <c r="AD61" s="31"/>
      <c r="AE61" s="45"/>
      <c r="AF61" s="45"/>
      <c r="AG61" s="45"/>
      <c r="AH61" s="45"/>
      <c r="AI61" s="45"/>
      <c r="AJ61" s="45"/>
      <c r="AK61" s="45"/>
      <c r="AL61" s="45"/>
      <c r="AM61" s="45"/>
      <c r="AN61" s="45"/>
      <c r="AO61" s="45"/>
      <c r="AP61" s="45"/>
      <c r="AQ61" s="45"/>
      <c r="AR61" s="45"/>
      <c r="AS61" s="45"/>
      <c r="AT61" s="45"/>
      <c r="AU61" s="45"/>
      <c r="AV61" s="45"/>
      <c r="AW61" s="45"/>
      <c r="AX61" s="45"/>
      <c r="AY61" s="45"/>
      <c r="AZ61" s="45"/>
      <c r="BA61" s="45"/>
      <c r="BB61" s="45"/>
      <c r="BC61" s="45"/>
      <c r="BD61" s="45"/>
      <c r="BE61" s="45"/>
      <c r="BF61" s="45"/>
      <c r="BG61" s="45"/>
      <c r="BH61" s="45"/>
      <c r="BI61" s="45"/>
      <c r="BJ61" s="45"/>
      <c r="BK61" s="45"/>
      <c r="BL61" s="45"/>
      <c r="BM61" s="45"/>
      <c r="BN61" s="45"/>
      <c r="BO61" s="45"/>
      <c r="BP61" s="45"/>
      <c r="BQ61" s="45"/>
      <c r="BR61" s="45"/>
      <c r="BS61" s="45"/>
      <c r="BT61" s="45"/>
      <c r="BU61" s="45"/>
      <c r="BV61" s="45"/>
      <c r="BW61" s="45"/>
      <c r="BX61" s="45"/>
      <c r="BY61" s="45"/>
      <c r="BZ61" s="45"/>
      <c r="CA61" s="45"/>
      <c r="CB61" s="45"/>
      <c r="CC61" s="45"/>
      <c r="CD61" s="45"/>
      <c r="CE61" s="46"/>
      <c r="CF61" s="46"/>
      <c r="CG61" s="45"/>
      <c r="CH61" s="15"/>
      <c r="CI61" s="47"/>
    </row>
    <row r="62" spans="1:87" ht="14.25" x14ac:dyDescent="0.2">
      <c r="A62" s="31">
        <v>60</v>
      </c>
      <c r="B62" s="32" t="s">
        <v>3136</v>
      </c>
      <c r="C62" s="48"/>
      <c r="D62" s="48"/>
      <c r="E62" s="34">
        <f t="shared" si="16"/>
        <v>0</v>
      </c>
      <c r="F62" s="35" t="s">
        <v>11</v>
      </c>
      <c r="G62" s="36"/>
      <c r="H62" s="37">
        <v>163482880</v>
      </c>
      <c r="I62" s="38">
        <f t="shared" si="17"/>
        <v>0</v>
      </c>
      <c r="J62" s="39">
        <f t="shared" si="18"/>
        <v>0</v>
      </c>
      <c r="K62" s="40">
        <f t="shared" si="19"/>
        <v>0</v>
      </c>
      <c r="L62" s="39">
        <f t="shared" si="20"/>
        <v>0</v>
      </c>
      <c r="M62" s="40">
        <f t="shared" si="21"/>
        <v>0</v>
      </c>
      <c r="N62" s="41">
        <f t="shared" si="22"/>
        <v>0</v>
      </c>
      <c r="O62" s="42"/>
      <c r="P62" s="41">
        <f t="shared" si="23"/>
        <v>0</v>
      </c>
      <c r="Q62" s="42">
        <f t="shared" si="24"/>
        <v>0</v>
      </c>
      <c r="R62" s="43">
        <f t="shared" si="25"/>
        <v>0</v>
      </c>
      <c r="S62" s="42">
        <f t="shared" si="26"/>
        <v>0</v>
      </c>
      <c r="T62" s="41">
        <f>SUM(Tabla2[[#This Row],[LNDV ]:[LNDV UND REF]])</f>
        <v>0</v>
      </c>
      <c r="U62" s="42">
        <f t="shared" si="27"/>
        <v>0</v>
      </c>
      <c r="V62" s="41">
        <f t="shared" si="28"/>
        <v>0</v>
      </c>
      <c r="W62" s="42"/>
      <c r="X62" s="41">
        <f t="shared" si="29"/>
        <v>0</v>
      </c>
      <c r="Y62" s="40"/>
      <c r="Z62" s="44">
        <f t="shared" si="30"/>
        <v>0</v>
      </c>
      <c r="AA62" s="35">
        <f t="shared" si="31"/>
        <v>0</v>
      </c>
      <c r="AD62" s="31"/>
      <c r="AE62" s="45"/>
      <c r="AF62" s="45"/>
      <c r="AG62" s="45"/>
      <c r="AH62" s="45"/>
      <c r="AI62" s="45"/>
      <c r="AJ62" s="45"/>
      <c r="AK62" s="45"/>
      <c r="AL62" s="45"/>
      <c r="AM62" s="45"/>
      <c r="AN62" s="45"/>
      <c r="AO62" s="45"/>
      <c r="AP62" s="45"/>
      <c r="AQ62" s="45"/>
      <c r="AR62" s="45"/>
      <c r="AS62" s="45"/>
      <c r="AT62" s="45"/>
      <c r="AU62" s="45"/>
      <c r="AV62" s="45"/>
      <c r="AW62" s="45"/>
      <c r="AX62" s="45"/>
      <c r="AY62" s="45"/>
      <c r="AZ62" s="45"/>
      <c r="BA62" s="45"/>
      <c r="BB62" s="45"/>
      <c r="BC62" s="45"/>
      <c r="BD62" s="45"/>
      <c r="BE62" s="45"/>
      <c r="BF62" s="45"/>
      <c r="BG62" s="45"/>
      <c r="BH62" s="45"/>
      <c r="BI62" s="45"/>
      <c r="BJ62" s="45"/>
      <c r="BK62" s="45"/>
      <c r="BL62" s="45"/>
      <c r="BM62" s="45"/>
      <c r="BN62" s="45"/>
      <c r="BO62" s="45"/>
      <c r="BP62" s="45"/>
      <c r="BQ62" s="45"/>
      <c r="BR62" s="45"/>
      <c r="BS62" s="45"/>
      <c r="BT62" s="45"/>
      <c r="BU62" s="45"/>
      <c r="BV62" s="45"/>
      <c r="BW62" s="45"/>
      <c r="BX62" s="45"/>
      <c r="BY62" s="45"/>
      <c r="BZ62" s="45"/>
      <c r="CA62" s="45"/>
      <c r="CB62" s="45"/>
      <c r="CC62" s="45"/>
      <c r="CD62" s="45"/>
      <c r="CE62" s="46"/>
      <c r="CF62" s="46"/>
      <c r="CG62" s="45"/>
      <c r="CH62" s="15"/>
      <c r="CI62" s="47"/>
    </row>
    <row r="63" spans="1:87" ht="24" x14ac:dyDescent="0.2">
      <c r="A63" s="31">
        <v>61</v>
      </c>
      <c r="B63" s="51" t="s">
        <v>3137</v>
      </c>
      <c r="C63" s="49" t="s">
        <v>3081</v>
      </c>
      <c r="D63" s="49" t="s">
        <v>3138</v>
      </c>
      <c r="E63" s="34">
        <f t="shared" si="16"/>
        <v>1</v>
      </c>
      <c r="F63" s="35" t="s">
        <v>11</v>
      </c>
      <c r="G63" s="36" t="s">
        <v>2965</v>
      </c>
      <c r="H63" s="37">
        <v>94541406.400000006</v>
      </c>
      <c r="I63" s="38">
        <f t="shared" si="17"/>
        <v>94541406.400000006</v>
      </c>
      <c r="J63" s="39">
        <f t="shared" si="18"/>
        <v>1</v>
      </c>
      <c r="K63" s="40">
        <f t="shared" si="19"/>
        <v>94541406.400000006</v>
      </c>
      <c r="L63" s="39">
        <f t="shared" si="20"/>
        <v>0</v>
      </c>
      <c r="M63" s="40">
        <f t="shared" si="21"/>
        <v>0</v>
      </c>
      <c r="N63" s="41">
        <f t="shared" si="22"/>
        <v>0</v>
      </c>
      <c r="O63" s="42">
        <f>IFERROR(N63*H63," ")</f>
        <v>0</v>
      </c>
      <c r="P63" s="41">
        <f t="shared" si="23"/>
        <v>0</v>
      </c>
      <c r="Q63" s="42">
        <f t="shared" si="24"/>
        <v>0</v>
      </c>
      <c r="R63" s="43">
        <f t="shared" si="25"/>
        <v>0</v>
      </c>
      <c r="S63" s="42">
        <f t="shared" si="26"/>
        <v>0</v>
      </c>
      <c r="T63" s="41">
        <f>SUM(Tabla2[[#This Row],[LNDV ]:[LNDV UND REF]])</f>
        <v>0</v>
      </c>
      <c r="U63" s="42">
        <f t="shared" si="27"/>
        <v>0</v>
      </c>
      <c r="V63" s="41">
        <f t="shared" si="28"/>
        <v>0</v>
      </c>
      <c r="W63" s="42">
        <f>IFERROR(V63*H63," ")</f>
        <v>0</v>
      </c>
      <c r="X63" s="41">
        <f t="shared" si="29"/>
        <v>0</v>
      </c>
      <c r="Y63" s="40">
        <f>IFERROR(X63*H63," ")</f>
        <v>0</v>
      </c>
      <c r="Z63" s="44">
        <f t="shared" si="30"/>
        <v>0</v>
      </c>
      <c r="AA63" s="35">
        <f t="shared" si="31"/>
        <v>0</v>
      </c>
      <c r="AD63" s="31"/>
      <c r="AE63" s="45"/>
      <c r="AF63" s="45"/>
      <c r="AG63" s="45"/>
      <c r="AH63" s="45"/>
      <c r="AI63" s="45"/>
      <c r="AJ63" s="45">
        <v>1</v>
      </c>
      <c r="AK63" s="45"/>
      <c r="AL63" s="45"/>
      <c r="AM63" s="45"/>
      <c r="AN63" s="45"/>
      <c r="AO63" s="45"/>
      <c r="AP63" s="45"/>
      <c r="AQ63" s="45"/>
      <c r="AR63" s="45"/>
      <c r="AS63" s="45"/>
      <c r="AT63" s="45"/>
      <c r="AU63" s="45"/>
      <c r="AV63" s="45"/>
      <c r="AW63" s="45"/>
      <c r="AX63" s="45"/>
      <c r="AY63" s="45"/>
      <c r="AZ63" s="45"/>
      <c r="BA63" s="45"/>
      <c r="BB63" s="45"/>
      <c r="BC63" s="45"/>
      <c r="BD63" s="45"/>
      <c r="BE63" s="45"/>
      <c r="BF63" s="45"/>
      <c r="BG63" s="45"/>
      <c r="BH63" s="45"/>
      <c r="BI63" s="45"/>
      <c r="BJ63" s="45"/>
      <c r="BK63" s="45"/>
      <c r="BL63" s="45"/>
      <c r="BM63" s="45"/>
      <c r="BN63" s="45"/>
      <c r="BO63" s="45"/>
      <c r="BP63" s="45"/>
      <c r="BQ63" s="45"/>
      <c r="BR63" s="45"/>
      <c r="BS63" s="45"/>
      <c r="BT63" s="45"/>
      <c r="BU63" s="45"/>
      <c r="BV63" s="45"/>
      <c r="BW63" s="45"/>
      <c r="BX63" s="45"/>
      <c r="BY63" s="45"/>
      <c r="BZ63" s="45"/>
      <c r="CA63" s="45"/>
      <c r="CB63" s="45"/>
      <c r="CC63" s="45"/>
      <c r="CD63" s="45"/>
      <c r="CE63" s="46"/>
      <c r="CF63" s="46"/>
      <c r="CG63" s="45"/>
      <c r="CH63" s="15"/>
      <c r="CI63" s="47"/>
    </row>
    <row r="64" spans="1:87" ht="14.25" x14ac:dyDescent="0.2">
      <c r="A64" s="31">
        <v>62</v>
      </c>
      <c r="B64" s="51" t="s">
        <v>3139</v>
      </c>
      <c r="C64" s="61"/>
      <c r="D64" s="61"/>
      <c r="E64" s="34">
        <f t="shared" si="16"/>
        <v>6</v>
      </c>
      <c r="F64" s="35" t="s">
        <v>11</v>
      </c>
      <c r="G64" s="36" t="s">
        <v>2968</v>
      </c>
      <c r="H64" s="37">
        <v>158212443.29280001</v>
      </c>
      <c r="I64" s="38">
        <f t="shared" si="17"/>
        <v>949274659.75680006</v>
      </c>
      <c r="J64" s="39">
        <f t="shared" si="18"/>
        <v>4</v>
      </c>
      <c r="K64" s="40">
        <f t="shared" si="19"/>
        <v>632849773.17120004</v>
      </c>
      <c r="L64" s="39">
        <f t="shared" si="20"/>
        <v>2</v>
      </c>
      <c r="M64" s="40">
        <f t="shared" si="21"/>
        <v>316424886.58560002</v>
      </c>
      <c r="N64" s="41">
        <f t="shared" si="22"/>
        <v>0</v>
      </c>
      <c r="O64" s="42">
        <f>IFERROR(N64*H64," ")</f>
        <v>0</v>
      </c>
      <c r="P64" s="41">
        <f t="shared" si="23"/>
        <v>0</v>
      </c>
      <c r="Q64" s="42">
        <f t="shared" si="24"/>
        <v>0</v>
      </c>
      <c r="R64" s="43">
        <f t="shared" si="25"/>
        <v>0</v>
      </c>
      <c r="S64" s="42">
        <f t="shared" si="26"/>
        <v>0</v>
      </c>
      <c r="T64" s="41">
        <f>SUM(Tabla2[[#This Row],[LNDV ]:[LNDV UND REF]])</f>
        <v>0</v>
      </c>
      <c r="U64" s="42">
        <f t="shared" si="27"/>
        <v>0</v>
      </c>
      <c r="V64" s="41">
        <f t="shared" si="28"/>
        <v>0</v>
      </c>
      <c r="W64" s="42">
        <f>IFERROR(V64*H64," ")</f>
        <v>0</v>
      </c>
      <c r="X64" s="41">
        <f t="shared" si="29"/>
        <v>0</v>
      </c>
      <c r="Y64" s="40">
        <f>IFERROR(X64*H64," ")</f>
        <v>0</v>
      </c>
      <c r="Z64" s="44">
        <f t="shared" si="30"/>
        <v>0</v>
      </c>
      <c r="AA64" s="35">
        <f t="shared" si="31"/>
        <v>0</v>
      </c>
      <c r="AD64" s="31"/>
      <c r="AE64" s="45"/>
      <c r="AF64" s="45"/>
      <c r="AG64" s="45"/>
      <c r="AH64" s="45"/>
      <c r="AI64" s="45">
        <v>1</v>
      </c>
      <c r="AJ64" s="45">
        <v>1</v>
      </c>
      <c r="AK64" s="45"/>
      <c r="AL64" s="45"/>
      <c r="AM64" s="45"/>
      <c r="AN64" s="45">
        <v>1</v>
      </c>
      <c r="AO64" s="45">
        <v>1</v>
      </c>
      <c r="AP64" s="45"/>
      <c r="AQ64" s="45"/>
      <c r="AR64" s="45"/>
      <c r="AS64" s="45"/>
      <c r="AT64" s="45">
        <v>1</v>
      </c>
      <c r="AU64" s="45">
        <v>1</v>
      </c>
      <c r="AV64" s="45"/>
      <c r="AW64" s="45"/>
      <c r="AX64" s="45"/>
      <c r="AY64" s="45"/>
      <c r="AZ64" s="45"/>
      <c r="BA64" s="45"/>
      <c r="BB64" s="45"/>
      <c r="BC64" s="45"/>
      <c r="BD64" s="45"/>
      <c r="BE64" s="45"/>
      <c r="BF64" s="45"/>
      <c r="BG64" s="45"/>
      <c r="BH64" s="45"/>
      <c r="BI64" s="45"/>
      <c r="BJ64" s="45"/>
      <c r="BK64" s="45"/>
      <c r="BL64" s="45"/>
      <c r="BM64" s="45"/>
      <c r="BN64" s="45"/>
      <c r="BO64" s="45"/>
      <c r="BP64" s="45"/>
      <c r="BQ64" s="45"/>
      <c r="BR64" s="45"/>
      <c r="BS64" s="45"/>
      <c r="BT64" s="45"/>
      <c r="BU64" s="45"/>
      <c r="BV64" s="45"/>
      <c r="BW64" s="45"/>
      <c r="BX64" s="45"/>
      <c r="BY64" s="45"/>
      <c r="BZ64" s="45"/>
      <c r="CA64" s="45"/>
      <c r="CB64" s="45"/>
      <c r="CC64" s="45"/>
      <c r="CD64" s="45"/>
      <c r="CE64" s="46"/>
      <c r="CF64" s="46"/>
      <c r="CG64" s="45"/>
      <c r="CH64" s="15"/>
      <c r="CI64" s="47"/>
    </row>
    <row r="65" spans="1:87" ht="24" x14ac:dyDescent="0.2">
      <c r="A65" s="31">
        <v>63</v>
      </c>
      <c r="B65" s="51" t="s">
        <v>3140</v>
      </c>
      <c r="C65" s="71" t="s">
        <v>3141</v>
      </c>
      <c r="D65" s="71" t="s">
        <v>3142</v>
      </c>
      <c r="E65" s="34">
        <f t="shared" si="16"/>
        <v>1</v>
      </c>
      <c r="F65" s="35" t="s">
        <v>11</v>
      </c>
      <c r="G65" s="36" t="s">
        <v>2965</v>
      </c>
      <c r="H65" s="37">
        <v>46945595.200000003</v>
      </c>
      <c r="I65" s="38">
        <f t="shared" si="17"/>
        <v>46945595.200000003</v>
      </c>
      <c r="J65" s="39">
        <f t="shared" si="18"/>
        <v>0</v>
      </c>
      <c r="K65" s="40">
        <f t="shared" si="19"/>
        <v>0</v>
      </c>
      <c r="L65" s="39">
        <f t="shared" si="20"/>
        <v>0</v>
      </c>
      <c r="M65" s="40">
        <f t="shared" si="21"/>
        <v>0</v>
      </c>
      <c r="N65" s="41">
        <f t="shared" si="22"/>
        <v>1</v>
      </c>
      <c r="O65" s="42">
        <f>IFERROR(N65*H65," ")</f>
        <v>46945595.200000003</v>
      </c>
      <c r="P65" s="41">
        <f t="shared" si="23"/>
        <v>0</v>
      </c>
      <c r="Q65" s="42">
        <f t="shared" si="24"/>
        <v>0</v>
      </c>
      <c r="R65" s="43">
        <f t="shared" si="25"/>
        <v>0</v>
      </c>
      <c r="S65" s="42">
        <f t="shared" si="26"/>
        <v>0</v>
      </c>
      <c r="T65" s="41">
        <f>SUM(Tabla2[[#This Row],[LNDV ]:[LNDV UND REF]])</f>
        <v>0</v>
      </c>
      <c r="U65" s="42">
        <f t="shared" si="27"/>
        <v>0</v>
      </c>
      <c r="V65" s="41">
        <f t="shared" si="28"/>
        <v>0</v>
      </c>
      <c r="W65" s="42">
        <f>IFERROR(V65*H65," ")</f>
        <v>0</v>
      </c>
      <c r="X65" s="41">
        <f t="shared" si="29"/>
        <v>0</v>
      </c>
      <c r="Y65" s="40">
        <f>IFERROR(X65*H65," ")</f>
        <v>0</v>
      </c>
      <c r="Z65" s="44">
        <f t="shared" si="30"/>
        <v>0</v>
      </c>
      <c r="AA65" s="35">
        <f t="shared" si="31"/>
        <v>0</v>
      </c>
      <c r="AD65" s="31"/>
      <c r="AE65" s="45"/>
      <c r="AF65" s="45"/>
      <c r="AG65" s="45"/>
      <c r="AH65" s="45"/>
      <c r="AI65" s="45"/>
      <c r="AJ65" s="45"/>
      <c r="AK65" s="45"/>
      <c r="AL65" s="45"/>
      <c r="AM65" s="45"/>
      <c r="AN65" s="45"/>
      <c r="AO65" s="45"/>
      <c r="AP65" s="45"/>
      <c r="AQ65" s="45"/>
      <c r="AR65" s="45">
        <v>1</v>
      </c>
      <c r="AS65" s="45"/>
      <c r="AT65" s="45"/>
      <c r="AU65" s="45"/>
      <c r="AV65" s="45"/>
      <c r="AW65" s="45"/>
      <c r="AX65" s="45"/>
      <c r="AY65" s="45"/>
      <c r="AZ65" s="45"/>
      <c r="BA65" s="45"/>
      <c r="BB65" s="45"/>
      <c r="BC65" s="45"/>
      <c r="BD65" s="45"/>
      <c r="BE65" s="45"/>
      <c r="BF65" s="45"/>
      <c r="BG65" s="45"/>
      <c r="BH65" s="45"/>
      <c r="BI65" s="45"/>
      <c r="BJ65" s="45"/>
      <c r="BK65" s="45"/>
      <c r="BL65" s="45"/>
      <c r="BM65" s="45"/>
      <c r="BN65" s="45"/>
      <c r="BO65" s="45"/>
      <c r="BP65" s="45"/>
      <c r="BQ65" s="45"/>
      <c r="BR65" s="45"/>
      <c r="BS65" s="45"/>
      <c r="BT65" s="45"/>
      <c r="BU65" s="45"/>
      <c r="BV65" s="45"/>
      <c r="BW65" s="45"/>
      <c r="BX65" s="45"/>
      <c r="BY65" s="45"/>
      <c r="BZ65" s="45"/>
      <c r="CA65" s="45"/>
      <c r="CB65" s="45"/>
      <c r="CC65" s="45"/>
      <c r="CD65" s="45"/>
      <c r="CE65" s="46"/>
      <c r="CF65" s="46"/>
      <c r="CG65" s="45"/>
      <c r="CH65" s="15"/>
      <c r="CI65" s="47"/>
    </row>
    <row r="66" spans="1:87" ht="14.25" x14ac:dyDescent="0.2">
      <c r="A66" s="31">
        <v>64</v>
      </c>
      <c r="B66" s="32" t="s">
        <v>3143</v>
      </c>
      <c r="C66" s="48"/>
      <c r="D66" s="48"/>
      <c r="E66" s="34">
        <f t="shared" si="16"/>
        <v>0</v>
      </c>
      <c r="F66" s="35" t="s">
        <v>11</v>
      </c>
      <c r="G66" s="36"/>
      <c r="H66" s="37">
        <v>217576480</v>
      </c>
      <c r="I66" s="38">
        <f t="shared" si="17"/>
        <v>0</v>
      </c>
      <c r="J66" s="39">
        <f t="shared" si="18"/>
        <v>0</v>
      </c>
      <c r="K66" s="40">
        <f t="shared" si="19"/>
        <v>0</v>
      </c>
      <c r="L66" s="39">
        <f t="shared" si="20"/>
        <v>0</v>
      </c>
      <c r="M66" s="40">
        <f t="shared" si="21"/>
        <v>0</v>
      </c>
      <c r="N66" s="41">
        <f t="shared" si="22"/>
        <v>0</v>
      </c>
      <c r="O66" s="42"/>
      <c r="P66" s="41">
        <f t="shared" si="23"/>
        <v>0</v>
      </c>
      <c r="Q66" s="42">
        <f t="shared" si="24"/>
        <v>0</v>
      </c>
      <c r="R66" s="43">
        <f t="shared" si="25"/>
        <v>0</v>
      </c>
      <c r="S66" s="42">
        <f t="shared" si="26"/>
        <v>0</v>
      </c>
      <c r="T66" s="41">
        <f>SUM(Tabla2[[#This Row],[LNDV ]:[LNDV UND REF]])</f>
        <v>0</v>
      </c>
      <c r="U66" s="42">
        <f t="shared" si="27"/>
        <v>0</v>
      </c>
      <c r="V66" s="41">
        <f t="shared" si="28"/>
        <v>0</v>
      </c>
      <c r="W66" s="42"/>
      <c r="X66" s="41">
        <f t="shared" si="29"/>
        <v>0</v>
      </c>
      <c r="Y66" s="40"/>
      <c r="Z66" s="44">
        <f t="shared" si="30"/>
        <v>0</v>
      </c>
      <c r="AA66" s="35">
        <f t="shared" si="31"/>
        <v>0</v>
      </c>
      <c r="AD66" s="31"/>
      <c r="AE66" s="45"/>
      <c r="AF66" s="45"/>
      <c r="AG66" s="45"/>
      <c r="AH66" s="45"/>
      <c r="AI66" s="45"/>
      <c r="AJ66" s="45"/>
      <c r="AK66" s="45"/>
      <c r="AL66" s="45"/>
      <c r="AM66" s="45"/>
      <c r="AN66" s="45"/>
      <c r="AO66" s="45"/>
      <c r="AP66" s="45"/>
      <c r="AQ66" s="45"/>
      <c r="AR66" s="45"/>
      <c r="AS66" s="45"/>
      <c r="AT66" s="45"/>
      <c r="AU66" s="45"/>
      <c r="AV66" s="45"/>
      <c r="AW66" s="45"/>
      <c r="AX66" s="45"/>
      <c r="AY66" s="45"/>
      <c r="AZ66" s="45"/>
      <c r="BA66" s="45"/>
      <c r="BB66" s="45"/>
      <c r="BC66" s="45"/>
      <c r="BD66" s="45"/>
      <c r="BE66" s="45"/>
      <c r="BF66" s="45"/>
      <c r="BG66" s="45"/>
      <c r="BH66" s="45"/>
      <c r="BI66" s="45"/>
      <c r="BJ66" s="45"/>
      <c r="BK66" s="45"/>
      <c r="BL66" s="45"/>
      <c r="BM66" s="45"/>
      <c r="BN66" s="45"/>
      <c r="BO66" s="45"/>
      <c r="BP66" s="45"/>
      <c r="BQ66" s="45"/>
      <c r="BR66" s="45"/>
      <c r="BS66" s="45"/>
      <c r="BT66" s="45"/>
      <c r="BU66" s="45"/>
      <c r="BV66" s="45"/>
      <c r="BW66" s="45"/>
      <c r="BX66" s="45"/>
      <c r="BY66" s="45"/>
      <c r="BZ66" s="45"/>
      <c r="CA66" s="45"/>
      <c r="CB66" s="45"/>
      <c r="CC66" s="45"/>
      <c r="CD66" s="45"/>
      <c r="CE66" s="46"/>
      <c r="CF66" s="46"/>
      <c r="CG66" s="45"/>
      <c r="CH66" s="15"/>
      <c r="CI66" s="47"/>
    </row>
    <row r="67" spans="1:87" ht="14.25" x14ac:dyDescent="0.2">
      <c r="A67" s="31">
        <v>65</v>
      </c>
      <c r="B67" s="32" t="s">
        <v>3144</v>
      </c>
      <c r="C67" s="48"/>
      <c r="D67" s="48"/>
      <c r="E67" s="34">
        <f t="shared" ref="E67:E98" si="32">SUM(J67+L67+N67+P67+R67+T67+V67+X67+Z67)</f>
        <v>0</v>
      </c>
      <c r="F67" s="35" t="s">
        <v>11</v>
      </c>
      <c r="G67" s="36"/>
      <c r="H67" s="37">
        <v>120208000</v>
      </c>
      <c r="I67" s="38">
        <f t="shared" ref="I67:I98" si="33">IFERROR(E67*H67," ")</f>
        <v>0</v>
      </c>
      <c r="J67" s="39">
        <f t="shared" ref="J67:J98" si="34">+SUM(AD67:AQ67)</f>
        <v>0</v>
      </c>
      <c r="K67" s="40">
        <f t="shared" ref="K67:K98" si="35">+H67*J67</f>
        <v>0</v>
      </c>
      <c r="L67" s="39">
        <f t="shared" ref="L67:L98" si="36">SUM(AS67:AW67)</f>
        <v>0</v>
      </c>
      <c r="M67" s="40">
        <f t="shared" ref="M67:M98" si="37">IFERROR(L67*H67," ")</f>
        <v>0</v>
      </c>
      <c r="N67" s="41">
        <f t="shared" ref="N67:N98" si="38">AR67</f>
        <v>0</v>
      </c>
      <c r="O67" s="42"/>
      <c r="P67" s="41">
        <f t="shared" ref="P67:P98" si="39">SUM(AX67:BC67)</f>
        <v>0</v>
      </c>
      <c r="Q67" s="42">
        <f t="shared" ref="Q67:Q98" si="40">IFERROR(P67*H67," ")</f>
        <v>0</v>
      </c>
      <c r="R67" s="43">
        <f t="shared" ref="R67:R98" si="41">SUM(BD67:CC67)</f>
        <v>0</v>
      </c>
      <c r="S67" s="42">
        <f t="shared" ref="S67:S98" si="42">IFERROR(R67*H67," ")</f>
        <v>0</v>
      </c>
      <c r="T67" s="41">
        <f>SUM(Tabla2[[#This Row],[LNDV ]:[LNDV UND REF]])</f>
        <v>0</v>
      </c>
      <c r="U67" s="42">
        <f t="shared" ref="U67:U98" si="43">IFERROR(T67*H67," ")</f>
        <v>0</v>
      </c>
      <c r="V67" s="41">
        <f t="shared" ref="V67:V98" si="44">CF67</f>
        <v>0</v>
      </c>
      <c r="W67" s="42"/>
      <c r="X67" s="41">
        <f t="shared" ref="X67:X98" si="45">SUM(CG67:CH67)</f>
        <v>0</v>
      </c>
      <c r="Y67" s="40"/>
      <c r="Z67" s="44">
        <f t="shared" ref="Z67:Z98" si="46">CI67</f>
        <v>0</v>
      </c>
      <c r="AA67" s="35">
        <f t="shared" ref="AA67:AA98" si="47">+Z67*H67</f>
        <v>0</v>
      </c>
      <c r="AD67" s="31"/>
      <c r="AE67" s="45"/>
      <c r="AF67" s="45"/>
      <c r="AG67" s="45"/>
      <c r="AH67" s="45"/>
      <c r="AI67" s="45"/>
      <c r="AJ67" s="45"/>
      <c r="AK67" s="45"/>
      <c r="AL67" s="45"/>
      <c r="AM67" s="45"/>
      <c r="AN67" s="45"/>
      <c r="AO67" s="45"/>
      <c r="AP67" s="45"/>
      <c r="AQ67" s="45"/>
      <c r="AR67" s="45"/>
      <c r="AS67" s="45"/>
      <c r="AT67" s="45"/>
      <c r="AU67" s="45"/>
      <c r="AV67" s="45"/>
      <c r="AW67" s="45"/>
      <c r="AX67" s="45"/>
      <c r="AY67" s="45"/>
      <c r="AZ67" s="45"/>
      <c r="BA67" s="45"/>
      <c r="BB67" s="45"/>
      <c r="BC67" s="45"/>
      <c r="BD67" s="45"/>
      <c r="BE67" s="45"/>
      <c r="BF67" s="45"/>
      <c r="BG67" s="45"/>
      <c r="BH67" s="45"/>
      <c r="BI67" s="45"/>
      <c r="BJ67" s="45"/>
      <c r="BK67" s="45"/>
      <c r="BL67" s="45"/>
      <c r="BM67" s="45"/>
      <c r="BN67" s="45"/>
      <c r="BO67" s="45"/>
      <c r="BP67" s="45"/>
      <c r="BQ67" s="45"/>
      <c r="BR67" s="45"/>
      <c r="BS67" s="45"/>
      <c r="BT67" s="45"/>
      <c r="BU67" s="45"/>
      <c r="BV67" s="45"/>
      <c r="BW67" s="45"/>
      <c r="BX67" s="45"/>
      <c r="BY67" s="45"/>
      <c r="BZ67" s="45"/>
      <c r="CA67" s="45"/>
      <c r="CB67" s="45"/>
      <c r="CC67" s="45"/>
      <c r="CD67" s="45"/>
      <c r="CE67" s="46"/>
      <c r="CF67" s="46"/>
      <c r="CG67" s="45"/>
      <c r="CH67" s="15"/>
      <c r="CI67" s="47"/>
    </row>
    <row r="68" spans="1:87" ht="14.25" x14ac:dyDescent="0.2">
      <c r="A68" s="31">
        <v>66</v>
      </c>
      <c r="B68" s="32" t="s">
        <v>3145</v>
      </c>
      <c r="C68" s="48"/>
      <c r="D68" s="48"/>
      <c r="E68" s="34">
        <f t="shared" si="32"/>
        <v>2</v>
      </c>
      <c r="F68" s="35" t="s">
        <v>11</v>
      </c>
      <c r="G68" s="36"/>
      <c r="H68" s="37">
        <v>68518560</v>
      </c>
      <c r="I68" s="38">
        <f t="shared" si="33"/>
        <v>137037120</v>
      </c>
      <c r="J68" s="39">
        <f t="shared" si="34"/>
        <v>0</v>
      </c>
      <c r="K68" s="40">
        <f t="shared" si="35"/>
        <v>0</v>
      </c>
      <c r="L68" s="39">
        <f t="shared" si="36"/>
        <v>0</v>
      </c>
      <c r="M68" s="40">
        <f t="shared" si="37"/>
        <v>0</v>
      </c>
      <c r="N68" s="41">
        <f t="shared" si="38"/>
        <v>0</v>
      </c>
      <c r="O68" s="42"/>
      <c r="P68" s="41">
        <f t="shared" si="39"/>
        <v>2</v>
      </c>
      <c r="Q68" s="42">
        <f t="shared" si="40"/>
        <v>137037120</v>
      </c>
      <c r="R68" s="43">
        <f t="shared" si="41"/>
        <v>0</v>
      </c>
      <c r="S68" s="42">
        <f t="shared" si="42"/>
        <v>0</v>
      </c>
      <c r="T68" s="41">
        <f>SUM(Tabla2[[#This Row],[LNDV ]:[LNDV UND REF]])</f>
        <v>0</v>
      </c>
      <c r="U68" s="42">
        <f t="shared" si="43"/>
        <v>0</v>
      </c>
      <c r="V68" s="41">
        <f t="shared" si="44"/>
        <v>0</v>
      </c>
      <c r="W68" s="42"/>
      <c r="X68" s="41">
        <f t="shared" si="45"/>
        <v>0</v>
      </c>
      <c r="Y68" s="40"/>
      <c r="Z68" s="44">
        <f t="shared" si="46"/>
        <v>0</v>
      </c>
      <c r="AA68" s="35">
        <f t="shared" si="47"/>
        <v>0</v>
      </c>
      <c r="AD68" s="31"/>
      <c r="AE68" s="45"/>
      <c r="AF68" s="45"/>
      <c r="AG68" s="45"/>
      <c r="AH68" s="45"/>
      <c r="AI68" s="45"/>
      <c r="AJ68" s="45"/>
      <c r="AK68" s="45"/>
      <c r="AL68" s="45"/>
      <c r="AM68" s="45"/>
      <c r="AN68" s="45"/>
      <c r="AO68" s="45"/>
      <c r="AP68" s="45"/>
      <c r="AQ68" s="45"/>
      <c r="AR68" s="45"/>
      <c r="AS68" s="45"/>
      <c r="AT68" s="45"/>
      <c r="AU68" s="45"/>
      <c r="AV68" s="45"/>
      <c r="AW68" s="45"/>
      <c r="AX68" s="45"/>
      <c r="AY68" s="45">
        <v>1</v>
      </c>
      <c r="AZ68" s="45">
        <v>1</v>
      </c>
      <c r="BA68" s="45"/>
      <c r="BB68" s="45"/>
      <c r="BC68" s="45"/>
      <c r="BD68" s="45"/>
      <c r="BE68" s="45"/>
      <c r="BF68" s="45"/>
      <c r="BG68" s="45"/>
      <c r="BH68" s="45"/>
      <c r="BI68" s="45"/>
      <c r="BJ68" s="45"/>
      <c r="BK68" s="45"/>
      <c r="BL68" s="45"/>
      <c r="BM68" s="45"/>
      <c r="BN68" s="45"/>
      <c r="BO68" s="45"/>
      <c r="BP68" s="45"/>
      <c r="BQ68" s="45"/>
      <c r="BR68" s="45"/>
      <c r="BS68" s="45"/>
      <c r="BT68" s="45"/>
      <c r="BU68" s="45"/>
      <c r="BV68" s="45"/>
      <c r="BW68" s="45"/>
      <c r="BX68" s="45"/>
      <c r="BY68" s="45"/>
      <c r="BZ68" s="45"/>
      <c r="CA68" s="45"/>
      <c r="CB68" s="45"/>
      <c r="CC68" s="45"/>
      <c r="CD68" s="45"/>
      <c r="CE68" s="46"/>
      <c r="CF68" s="46"/>
      <c r="CG68" s="45"/>
      <c r="CH68" s="15"/>
      <c r="CI68" s="47"/>
    </row>
    <row r="69" spans="1:87" ht="24" x14ac:dyDescent="0.2">
      <c r="A69" s="31">
        <v>67</v>
      </c>
      <c r="B69" s="51" t="s">
        <v>3146</v>
      </c>
      <c r="C69" s="64" t="s">
        <v>3147</v>
      </c>
      <c r="D69" s="64" t="s">
        <v>3148</v>
      </c>
      <c r="E69" s="34">
        <f t="shared" si="32"/>
        <v>1</v>
      </c>
      <c r="F69" s="35" t="s">
        <v>11</v>
      </c>
      <c r="G69" s="36" t="s">
        <v>2962</v>
      </c>
      <c r="H69" s="37">
        <v>137845792</v>
      </c>
      <c r="I69" s="38">
        <f t="shared" si="33"/>
        <v>137845792</v>
      </c>
      <c r="J69" s="39">
        <f t="shared" si="34"/>
        <v>0</v>
      </c>
      <c r="K69" s="40">
        <f t="shared" si="35"/>
        <v>0</v>
      </c>
      <c r="L69" s="39">
        <f t="shared" si="36"/>
        <v>1</v>
      </c>
      <c r="M69" s="40">
        <f t="shared" si="37"/>
        <v>137845792</v>
      </c>
      <c r="N69" s="41">
        <f t="shared" si="38"/>
        <v>0</v>
      </c>
      <c r="O69" s="42">
        <f t="shared" ref="O69:O75" si="48">IFERROR(N69*H69," ")</f>
        <v>0</v>
      </c>
      <c r="P69" s="41">
        <f t="shared" si="39"/>
        <v>0</v>
      </c>
      <c r="Q69" s="42">
        <f t="shared" si="40"/>
        <v>0</v>
      </c>
      <c r="R69" s="43">
        <f t="shared" si="41"/>
        <v>0</v>
      </c>
      <c r="S69" s="42">
        <f t="shared" si="42"/>
        <v>0</v>
      </c>
      <c r="T69" s="41">
        <f>SUM(Tabla2[[#This Row],[LNDV ]:[LNDV UND REF]])</f>
        <v>0</v>
      </c>
      <c r="U69" s="42">
        <f t="shared" si="43"/>
        <v>0</v>
      </c>
      <c r="V69" s="41">
        <f t="shared" si="44"/>
        <v>0</v>
      </c>
      <c r="W69" s="42">
        <f t="shared" ref="W69:W75" si="49">IFERROR(V69*H69," ")</f>
        <v>0</v>
      </c>
      <c r="X69" s="41">
        <f t="shared" si="45"/>
        <v>0</v>
      </c>
      <c r="Y69" s="40">
        <f t="shared" ref="Y69:Y75" si="50">IFERROR(X69*H69," ")</f>
        <v>0</v>
      </c>
      <c r="Z69" s="44">
        <f t="shared" si="46"/>
        <v>0</v>
      </c>
      <c r="AA69" s="35">
        <f t="shared" si="47"/>
        <v>0</v>
      </c>
      <c r="AD69" s="31"/>
      <c r="AE69" s="45"/>
      <c r="AF69" s="45"/>
      <c r="AG69" s="45"/>
      <c r="AH69" s="45"/>
      <c r="AI69" s="45"/>
      <c r="AJ69" s="45"/>
      <c r="AK69" s="45"/>
      <c r="AL69" s="45"/>
      <c r="AM69" s="45"/>
      <c r="AN69" s="45"/>
      <c r="AO69" s="45"/>
      <c r="AP69" s="45"/>
      <c r="AQ69" s="45"/>
      <c r="AR69" s="45"/>
      <c r="AS69" s="45"/>
      <c r="AT69" s="45"/>
      <c r="AU69" s="45"/>
      <c r="AV69" s="45">
        <v>1</v>
      </c>
      <c r="AW69" s="45"/>
      <c r="AX69" s="45"/>
      <c r="AY69" s="45"/>
      <c r="AZ69" s="45"/>
      <c r="BA69" s="45"/>
      <c r="BB69" s="45"/>
      <c r="BC69" s="45"/>
      <c r="BD69" s="45"/>
      <c r="BE69" s="45"/>
      <c r="BF69" s="45"/>
      <c r="BG69" s="45"/>
      <c r="BH69" s="45"/>
      <c r="BI69" s="45"/>
      <c r="BJ69" s="45"/>
      <c r="BK69" s="45"/>
      <c r="BL69" s="45"/>
      <c r="BM69" s="45"/>
      <c r="BN69" s="45"/>
      <c r="BO69" s="45"/>
      <c r="BP69" s="45"/>
      <c r="BQ69" s="45"/>
      <c r="BR69" s="45"/>
      <c r="BS69" s="45"/>
      <c r="BT69" s="45"/>
      <c r="BU69" s="45"/>
      <c r="BV69" s="45"/>
      <c r="BW69" s="45"/>
      <c r="BX69" s="45"/>
      <c r="BY69" s="45"/>
      <c r="BZ69" s="45"/>
      <c r="CA69" s="45"/>
      <c r="CB69" s="45"/>
      <c r="CC69" s="45"/>
      <c r="CD69" s="45"/>
      <c r="CE69" s="46"/>
      <c r="CF69" s="46"/>
      <c r="CG69" s="45"/>
      <c r="CH69" s="15"/>
      <c r="CI69" s="47"/>
    </row>
    <row r="70" spans="1:87" ht="24" x14ac:dyDescent="0.2">
      <c r="A70" s="31">
        <v>68</v>
      </c>
      <c r="B70" s="51" t="s">
        <v>3149</v>
      </c>
      <c r="C70" s="49" t="s">
        <v>3150</v>
      </c>
      <c r="D70" s="49" t="s">
        <v>3151</v>
      </c>
      <c r="E70" s="34">
        <f t="shared" si="32"/>
        <v>4</v>
      </c>
      <c r="F70" s="35" t="s">
        <v>11</v>
      </c>
      <c r="G70" s="36" t="s">
        <v>2965</v>
      </c>
      <c r="H70" s="37">
        <v>28154352.800000001</v>
      </c>
      <c r="I70" s="38">
        <f t="shared" si="33"/>
        <v>112617411.2</v>
      </c>
      <c r="J70" s="39">
        <f t="shared" si="34"/>
        <v>0</v>
      </c>
      <c r="K70" s="40">
        <f t="shared" si="35"/>
        <v>0</v>
      </c>
      <c r="L70" s="39">
        <f t="shared" si="36"/>
        <v>1</v>
      </c>
      <c r="M70" s="40">
        <f t="shared" si="37"/>
        <v>28154352.800000001</v>
      </c>
      <c r="N70" s="41">
        <f t="shared" si="38"/>
        <v>1</v>
      </c>
      <c r="O70" s="42">
        <f t="shared" si="48"/>
        <v>28154352.800000001</v>
      </c>
      <c r="P70" s="41">
        <f t="shared" si="39"/>
        <v>0</v>
      </c>
      <c r="Q70" s="42">
        <f t="shared" si="40"/>
        <v>0</v>
      </c>
      <c r="R70" s="43">
        <f t="shared" si="41"/>
        <v>1</v>
      </c>
      <c r="S70" s="42">
        <f t="shared" si="42"/>
        <v>28154352.800000001</v>
      </c>
      <c r="T70" s="41">
        <f>SUM(Tabla2[[#This Row],[LNDV ]:[LNDV UND REF]])</f>
        <v>0</v>
      </c>
      <c r="U70" s="42">
        <f t="shared" si="43"/>
        <v>0</v>
      </c>
      <c r="V70" s="41">
        <f t="shared" si="44"/>
        <v>1</v>
      </c>
      <c r="W70" s="42">
        <f t="shared" si="49"/>
        <v>28154352.800000001</v>
      </c>
      <c r="X70" s="41">
        <f t="shared" si="45"/>
        <v>0</v>
      </c>
      <c r="Y70" s="40">
        <f t="shared" si="50"/>
        <v>0</v>
      </c>
      <c r="Z70" s="44">
        <f t="shared" si="46"/>
        <v>0</v>
      </c>
      <c r="AA70" s="35">
        <f t="shared" si="47"/>
        <v>0</v>
      </c>
      <c r="AD70" s="31"/>
      <c r="AE70" s="45"/>
      <c r="AF70" s="45"/>
      <c r="AG70" s="45"/>
      <c r="AH70" s="45"/>
      <c r="AI70" s="45"/>
      <c r="AJ70" s="45"/>
      <c r="AK70" s="45"/>
      <c r="AL70" s="45"/>
      <c r="AM70" s="45"/>
      <c r="AN70" s="45"/>
      <c r="AO70" s="45"/>
      <c r="AP70" s="45"/>
      <c r="AQ70" s="45"/>
      <c r="AR70" s="45">
        <v>1</v>
      </c>
      <c r="AS70" s="45">
        <v>1</v>
      </c>
      <c r="AT70" s="45"/>
      <c r="AU70" s="45"/>
      <c r="AV70" s="45"/>
      <c r="AW70" s="45"/>
      <c r="AX70" s="45"/>
      <c r="AY70" s="45"/>
      <c r="AZ70" s="45"/>
      <c r="BA70" s="45"/>
      <c r="BB70" s="45"/>
      <c r="BC70" s="45"/>
      <c r="BD70" s="45"/>
      <c r="BE70" s="45"/>
      <c r="BF70" s="45"/>
      <c r="BG70" s="45"/>
      <c r="BH70" s="45"/>
      <c r="BI70" s="45"/>
      <c r="BJ70" s="45"/>
      <c r="BK70" s="45"/>
      <c r="BL70" s="45"/>
      <c r="BM70" s="45"/>
      <c r="BN70" s="45"/>
      <c r="BO70" s="45"/>
      <c r="BP70" s="45"/>
      <c r="BQ70" s="45"/>
      <c r="BR70" s="45"/>
      <c r="BS70" s="45"/>
      <c r="BT70" s="45"/>
      <c r="BU70" s="45"/>
      <c r="BV70" s="45"/>
      <c r="BW70" s="45"/>
      <c r="BX70" s="45"/>
      <c r="BY70" s="45"/>
      <c r="BZ70" s="45"/>
      <c r="CA70" s="45">
        <v>1</v>
      </c>
      <c r="CB70" s="45"/>
      <c r="CC70" s="45"/>
      <c r="CD70" s="45"/>
      <c r="CE70" s="46"/>
      <c r="CF70" s="46">
        <v>1</v>
      </c>
      <c r="CG70" s="45"/>
      <c r="CH70" s="15"/>
      <c r="CI70" s="47"/>
    </row>
    <row r="71" spans="1:87" ht="28.5" x14ac:dyDescent="0.2">
      <c r="A71" s="31">
        <v>69</v>
      </c>
      <c r="B71" s="51" t="s">
        <v>3152</v>
      </c>
      <c r="C71" s="61"/>
      <c r="D71" s="61"/>
      <c r="E71" s="34">
        <f t="shared" si="32"/>
        <v>3</v>
      </c>
      <c r="F71" s="35" t="s">
        <v>11</v>
      </c>
      <c r="G71" s="36" t="s">
        <v>2968</v>
      </c>
      <c r="H71" s="37">
        <v>33655127.705600001</v>
      </c>
      <c r="I71" s="38">
        <f t="shared" si="33"/>
        <v>100965383.11680001</v>
      </c>
      <c r="J71" s="39">
        <f t="shared" si="34"/>
        <v>1</v>
      </c>
      <c r="K71" s="40">
        <f t="shared" si="35"/>
        <v>33655127.705600001</v>
      </c>
      <c r="L71" s="39">
        <f t="shared" si="36"/>
        <v>1</v>
      </c>
      <c r="M71" s="40">
        <f t="shared" si="37"/>
        <v>33655127.705600001</v>
      </c>
      <c r="N71" s="41">
        <f t="shared" si="38"/>
        <v>0</v>
      </c>
      <c r="O71" s="42">
        <f t="shared" si="48"/>
        <v>0</v>
      </c>
      <c r="P71" s="41">
        <f t="shared" si="39"/>
        <v>0</v>
      </c>
      <c r="Q71" s="42">
        <f t="shared" si="40"/>
        <v>0</v>
      </c>
      <c r="R71" s="43">
        <f t="shared" si="41"/>
        <v>0</v>
      </c>
      <c r="S71" s="42">
        <f t="shared" si="42"/>
        <v>0</v>
      </c>
      <c r="T71" s="41">
        <f>SUM(Tabla2[[#This Row],[LNDV ]:[LNDV UND REF]])</f>
        <v>1</v>
      </c>
      <c r="U71" s="42">
        <f t="shared" si="43"/>
        <v>33655127.705600001</v>
      </c>
      <c r="V71" s="41">
        <f t="shared" si="44"/>
        <v>0</v>
      </c>
      <c r="W71" s="42">
        <f t="shared" si="49"/>
        <v>0</v>
      </c>
      <c r="X71" s="41">
        <f t="shared" si="45"/>
        <v>0</v>
      </c>
      <c r="Y71" s="40">
        <f t="shared" si="50"/>
        <v>0</v>
      </c>
      <c r="Z71" s="44">
        <f t="shared" si="46"/>
        <v>0</v>
      </c>
      <c r="AA71" s="35">
        <f t="shared" si="47"/>
        <v>0</v>
      </c>
      <c r="AD71" s="31"/>
      <c r="AE71" s="45"/>
      <c r="AF71" s="45"/>
      <c r="AG71" s="45"/>
      <c r="AH71" s="45"/>
      <c r="AI71" s="45"/>
      <c r="AJ71" s="45"/>
      <c r="AK71" s="45"/>
      <c r="AL71" s="45"/>
      <c r="AM71" s="45"/>
      <c r="AN71" s="45">
        <v>1</v>
      </c>
      <c r="AO71" s="45"/>
      <c r="AP71" s="45"/>
      <c r="AQ71" s="45"/>
      <c r="AR71" s="45"/>
      <c r="AS71" s="45"/>
      <c r="AT71" s="45">
        <v>1</v>
      </c>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v>1</v>
      </c>
      <c r="CE71" s="46"/>
      <c r="CF71" s="46"/>
      <c r="CG71" s="45"/>
      <c r="CH71" s="15"/>
      <c r="CI71" s="47"/>
    </row>
    <row r="72" spans="1:87" ht="28.5" x14ac:dyDescent="0.2">
      <c r="A72" s="31">
        <v>70</v>
      </c>
      <c r="B72" s="51" t="s">
        <v>3153</v>
      </c>
      <c r="C72" s="49" t="s">
        <v>3154</v>
      </c>
      <c r="D72" s="49" t="s">
        <v>3155</v>
      </c>
      <c r="E72" s="34">
        <f t="shared" si="32"/>
        <v>1</v>
      </c>
      <c r="F72" s="35" t="s">
        <v>11</v>
      </c>
      <c r="G72" s="36" t="s">
        <v>2965</v>
      </c>
      <c r="H72" s="37">
        <v>27179028.800000001</v>
      </c>
      <c r="I72" s="38">
        <f t="shared" si="33"/>
        <v>27179028.800000001</v>
      </c>
      <c r="J72" s="39">
        <f t="shared" si="34"/>
        <v>0</v>
      </c>
      <c r="K72" s="40">
        <f t="shared" si="35"/>
        <v>0</v>
      </c>
      <c r="L72" s="39">
        <f t="shared" si="36"/>
        <v>1</v>
      </c>
      <c r="M72" s="40">
        <f t="shared" si="37"/>
        <v>27179028.800000001</v>
      </c>
      <c r="N72" s="41">
        <f t="shared" si="38"/>
        <v>0</v>
      </c>
      <c r="O72" s="42">
        <f t="shared" si="48"/>
        <v>0</v>
      </c>
      <c r="P72" s="41">
        <f t="shared" si="39"/>
        <v>0</v>
      </c>
      <c r="Q72" s="42">
        <f t="shared" si="40"/>
        <v>0</v>
      </c>
      <c r="R72" s="43">
        <f t="shared" si="41"/>
        <v>0</v>
      </c>
      <c r="S72" s="42">
        <f t="shared" si="42"/>
        <v>0</v>
      </c>
      <c r="T72" s="41">
        <f>SUM(Tabla2[[#This Row],[LNDV ]:[LNDV UND REF]])</f>
        <v>0</v>
      </c>
      <c r="U72" s="42">
        <f t="shared" si="43"/>
        <v>0</v>
      </c>
      <c r="V72" s="41">
        <f t="shared" si="44"/>
        <v>0</v>
      </c>
      <c r="W72" s="42">
        <f t="shared" si="49"/>
        <v>0</v>
      </c>
      <c r="X72" s="41">
        <f t="shared" si="45"/>
        <v>0</v>
      </c>
      <c r="Y72" s="40">
        <f t="shared" si="50"/>
        <v>0</v>
      </c>
      <c r="Z72" s="44">
        <f t="shared" si="46"/>
        <v>0</v>
      </c>
      <c r="AA72" s="35">
        <f t="shared" si="47"/>
        <v>0</v>
      </c>
      <c r="AD72" s="31"/>
      <c r="AE72" s="45"/>
      <c r="AF72" s="45"/>
      <c r="AG72" s="45"/>
      <c r="AH72" s="45"/>
      <c r="AI72" s="45"/>
      <c r="AJ72" s="45"/>
      <c r="AK72" s="45"/>
      <c r="AL72" s="45"/>
      <c r="AM72" s="45"/>
      <c r="AN72" s="45"/>
      <c r="AO72" s="45"/>
      <c r="AP72" s="45"/>
      <c r="AQ72" s="45"/>
      <c r="AR72" s="45"/>
      <c r="AS72" s="45">
        <v>1</v>
      </c>
      <c r="AT72" s="45"/>
      <c r="AU72" s="45"/>
      <c r="AV72" s="45"/>
      <c r="AW72" s="45"/>
      <c r="AX72" s="45"/>
      <c r="AY72" s="45"/>
      <c r="AZ72" s="45"/>
      <c r="BA72" s="45"/>
      <c r="BB72" s="45"/>
      <c r="BC72" s="45"/>
      <c r="BD72" s="45"/>
      <c r="BE72" s="45"/>
      <c r="BF72" s="45"/>
      <c r="BG72" s="45"/>
      <c r="BH72" s="45"/>
      <c r="BI72" s="45"/>
      <c r="BJ72" s="45"/>
      <c r="BK72" s="45"/>
      <c r="BL72" s="45"/>
      <c r="BM72" s="45"/>
      <c r="BN72" s="45"/>
      <c r="BO72" s="45"/>
      <c r="BP72" s="45"/>
      <c r="BQ72" s="45"/>
      <c r="BR72" s="45"/>
      <c r="BS72" s="45"/>
      <c r="BT72" s="45"/>
      <c r="BU72" s="45"/>
      <c r="BV72" s="45"/>
      <c r="BW72" s="45"/>
      <c r="BX72" s="45"/>
      <c r="BY72" s="45"/>
      <c r="BZ72" s="45"/>
      <c r="CA72" s="45"/>
      <c r="CB72" s="45"/>
      <c r="CC72" s="45"/>
      <c r="CD72" s="45"/>
      <c r="CE72" s="46"/>
      <c r="CF72" s="46"/>
      <c r="CG72" s="45"/>
      <c r="CH72" s="15"/>
      <c r="CI72" s="47"/>
    </row>
    <row r="73" spans="1:87" ht="28.5" x14ac:dyDescent="0.2">
      <c r="A73" s="31">
        <v>71</v>
      </c>
      <c r="B73" s="51" t="s">
        <v>3156</v>
      </c>
      <c r="C73" s="49" t="s">
        <v>3157</v>
      </c>
      <c r="D73" s="49" t="s">
        <v>3158</v>
      </c>
      <c r="E73" s="34">
        <f t="shared" si="32"/>
        <v>0</v>
      </c>
      <c r="F73" s="35" t="s">
        <v>11</v>
      </c>
      <c r="G73" s="36" t="s">
        <v>2965</v>
      </c>
      <c r="H73" s="37">
        <v>77245660.799999997</v>
      </c>
      <c r="I73" s="38">
        <f t="shared" si="33"/>
        <v>0</v>
      </c>
      <c r="J73" s="39">
        <f t="shared" si="34"/>
        <v>0</v>
      </c>
      <c r="K73" s="40">
        <f t="shared" si="35"/>
        <v>0</v>
      </c>
      <c r="L73" s="39">
        <f t="shared" si="36"/>
        <v>0</v>
      </c>
      <c r="M73" s="40">
        <f t="shared" si="37"/>
        <v>0</v>
      </c>
      <c r="N73" s="41">
        <f t="shared" si="38"/>
        <v>0</v>
      </c>
      <c r="O73" s="42">
        <f t="shared" si="48"/>
        <v>0</v>
      </c>
      <c r="P73" s="41">
        <f t="shared" si="39"/>
        <v>0</v>
      </c>
      <c r="Q73" s="42">
        <f t="shared" si="40"/>
        <v>0</v>
      </c>
      <c r="R73" s="43">
        <f t="shared" si="41"/>
        <v>0</v>
      </c>
      <c r="S73" s="42">
        <f t="shared" si="42"/>
        <v>0</v>
      </c>
      <c r="T73" s="41">
        <f>SUM(Tabla2[[#This Row],[LNDV ]:[LNDV UND REF]])</f>
        <v>0</v>
      </c>
      <c r="U73" s="42">
        <f t="shared" si="43"/>
        <v>0</v>
      </c>
      <c r="V73" s="41">
        <f t="shared" si="44"/>
        <v>0</v>
      </c>
      <c r="W73" s="42">
        <f t="shared" si="49"/>
        <v>0</v>
      </c>
      <c r="X73" s="41">
        <f t="shared" si="45"/>
        <v>0</v>
      </c>
      <c r="Y73" s="40">
        <f t="shared" si="50"/>
        <v>0</v>
      </c>
      <c r="Z73" s="44">
        <f t="shared" si="46"/>
        <v>0</v>
      </c>
      <c r="AA73" s="35">
        <f t="shared" si="47"/>
        <v>0</v>
      </c>
      <c r="AD73" s="31"/>
      <c r="AE73" s="45"/>
      <c r="AF73" s="45"/>
      <c r="AG73" s="45"/>
      <c r="AH73" s="45"/>
      <c r="AI73" s="45"/>
      <c r="AJ73" s="45"/>
      <c r="AK73" s="45"/>
      <c r="AL73" s="45"/>
      <c r="AM73" s="45"/>
      <c r="AN73" s="45"/>
      <c r="AO73" s="45"/>
      <c r="AP73" s="45"/>
      <c r="AQ73" s="45"/>
      <c r="AR73" s="45"/>
      <c r="AS73" s="45"/>
      <c r="AT73" s="45"/>
      <c r="AU73" s="45"/>
      <c r="AV73" s="45"/>
      <c r="AW73" s="45"/>
      <c r="AX73" s="45"/>
      <c r="AY73" s="45"/>
      <c r="AZ73" s="45"/>
      <c r="BA73" s="45"/>
      <c r="BB73" s="45"/>
      <c r="BC73" s="45"/>
      <c r="BD73" s="45"/>
      <c r="BE73" s="45"/>
      <c r="BF73" s="45"/>
      <c r="BG73" s="45"/>
      <c r="BH73" s="45"/>
      <c r="BI73" s="45"/>
      <c r="BJ73" s="45"/>
      <c r="BK73" s="45"/>
      <c r="BL73" s="45"/>
      <c r="BM73" s="45"/>
      <c r="BN73" s="45"/>
      <c r="BO73" s="45"/>
      <c r="BP73" s="45"/>
      <c r="BQ73" s="45"/>
      <c r="BR73" s="45"/>
      <c r="BS73" s="45"/>
      <c r="BT73" s="45"/>
      <c r="BU73" s="45"/>
      <c r="BV73" s="45"/>
      <c r="BW73" s="45"/>
      <c r="BX73" s="45"/>
      <c r="BY73" s="45"/>
      <c r="BZ73" s="45"/>
      <c r="CA73" s="45"/>
      <c r="CB73" s="45"/>
      <c r="CC73" s="45"/>
      <c r="CD73" s="45"/>
      <c r="CE73" s="46"/>
      <c r="CF73" s="46"/>
      <c r="CG73" s="45"/>
      <c r="CH73" s="15"/>
      <c r="CI73" s="47"/>
    </row>
    <row r="74" spans="1:87" ht="28.5" x14ac:dyDescent="0.2">
      <c r="A74" s="31">
        <v>72</v>
      </c>
      <c r="B74" s="51" t="s">
        <v>3159</v>
      </c>
      <c r="C74" s="49" t="s">
        <v>3160</v>
      </c>
      <c r="D74" s="49" t="s">
        <v>3161</v>
      </c>
      <c r="E74" s="34">
        <f t="shared" si="32"/>
        <v>0</v>
      </c>
      <c r="F74" s="35" t="s">
        <v>11</v>
      </c>
      <c r="G74" s="36" t="s">
        <v>2965</v>
      </c>
      <c r="H74" s="37">
        <v>71393716.799999997</v>
      </c>
      <c r="I74" s="38">
        <f t="shared" si="33"/>
        <v>0</v>
      </c>
      <c r="J74" s="39">
        <f t="shared" si="34"/>
        <v>0</v>
      </c>
      <c r="K74" s="40">
        <f t="shared" si="35"/>
        <v>0</v>
      </c>
      <c r="L74" s="39">
        <f t="shared" si="36"/>
        <v>0</v>
      </c>
      <c r="M74" s="40">
        <f t="shared" si="37"/>
        <v>0</v>
      </c>
      <c r="N74" s="41">
        <f t="shared" si="38"/>
        <v>0</v>
      </c>
      <c r="O74" s="42">
        <f t="shared" si="48"/>
        <v>0</v>
      </c>
      <c r="P74" s="41">
        <f t="shared" si="39"/>
        <v>0</v>
      </c>
      <c r="Q74" s="42">
        <f t="shared" si="40"/>
        <v>0</v>
      </c>
      <c r="R74" s="43">
        <f t="shared" si="41"/>
        <v>0</v>
      </c>
      <c r="S74" s="42">
        <f t="shared" si="42"/>
        <v>0</v>
      </c>
      <c r="T74" s="41">
        <f>SUM(Tabla2[[#This Row],[LNDV ]:[LNDV UND REF]])</f>
        <v>0</v>
      </c>
      <c r="U74" s="42">
        <f t="shared" si="43"/>
        <v>0</v>
      </c>
      <c r="V74" s="41">
        <f t="shared" si="44"/>
        <v>0</v>
      </c>
      <c r="W74" s="42">
        <f t="shared" si="49"/>
        <v>0</v>
      </c>
      <c r="X74" s="41">
        <f t="shared" si="45"/>
        <v>0</v>
      </c>
      <c r="Y74" s="40">
        <f t="shared" si="50"/>
        <v>0</v>
      </c>
      <c r="Z74" s="44">
        <f t="shared" si="46"/>
        <v>0</v>
      </c>
      <c r="AA74" s="35">
        <f t="shared" si="47"/>
        <v>0</v>
      </c>
      <c r="AD74" s="31"/>
      <c r="AE74" s="45"/>
      <c r="AF74" s="45"/>
      <c r="AG74" s="45"/>
      <c r="AH74" s="45"/>
      <c r="AI74" s="45"/>
      <c r="AJ74" s="45"/>
      <c r="AK74" s="45"/>
      <c r="AL74" s="45"/>
      <c r="AM74" s="45"/>
      <c r="AN74" s="45"/>
      <c r="AO74" s="45"/>
      <c r="AP74" s="45"/>
      <c r="AQ74" s="45"/>
      <c r="AR74" s="45"/>
      <c r="AS74" s="45"/>
      <c r="AT74" s="45"/>
      <c r="AU74" s="45"/>
      <c r="AV74" s="45"/>
      <c r="AW74" s="45"/>
      <c r="AX74" s="45"/>
      <c r="AY74" s="45"/>
      <c r="AZ74" s="45"/>
      <c r="BA74" s="45"/>
      <c r="BB74" s="45"/>
      <c r="BC74" s="45"/>
      <c r="BD74" s="45"/>
      <c r="BE74" s="45"/>
      <c r="BF74" s="45"/>
      <c r="BG74" s="45"/>
      <c r="BH74" s="45"/>
      <c r="BI74" s="45"/>
      <c r="BJ74" s="45"/>
      <c r="BK74" s="45"/>
      <c r="BL74" s="45"/>
      <c r="BM74" s="45"/>
      <c r="BN74" s="45"/>
      <c r="BO74" s="45"/>
      <c r="BP74" s="45"/>
      <c r="BQ74" s="45"/>
      <c r="BR74" s="45"/>
      <c r="BS74" s="45"/>
      <c r="BT74" s="45"/>
      <c r="BU74" s="45"/>
      <c r="BV74" s="45"/>
      <c r="BW74" s="45"/>
      <c r="BX74" s="45"/>
      <c r="BY74" s="45"/>
      <c r="BZ74" s="45"/>
      <c r="CA74" s="45"/>
      <c r="CB74" s="45"/>
      <c r="CC74" s="45"/>
      <c r="CD74" s="45"/>
      <c r="CE74" s="46"/>
      <c r="CF74" s="46"/>
      <c r="CG74" s="45"/>
      <c r="CH74" s="15"/>
      <c r="CI74" s="47"/>
    </row>
    <row r="75" spans="1:87" ht="28.5" x14ac:dyDescent="0.2">
      <c r="A75" s="31">
        <v>73</v>
      </c>
      <c r="B75" s="51" t="s">
        <v>3162</v>
      </c>
      <c r="C75" s="1" t="s">
        <v>3160</v>
      </c>
      <c r="D75" s="1" t="s">
        <v>3163</v>
      </c>
      <c r="E75" s="34">
        <f t="shared" si="32"/>
        <v>0</v>
      </c>
      <c r="F75" s="35" t="s">
        <v>11</v>
      </c>
      <c r="G75" s="36" t="s">
        <v>2965</v>
      </c>
      <c r="H75" s="37">
        <v>290906638.39999998</v>
      </c>
      <c r="I75" s="38">
        <f t="shared" si="33"/>
        <v>0</v>
      </c>
      <c r="J75" s="39">
        <f t="shared" si="34"/>
        <v>0</v>
      </c>
      <c r="K75" s="40">
        <f t="shared" si="35"/>
        <v>0</v>
      </c>
      <c r="L75" s="39">
        <f t="shared" si="36"/>
        <v>0</v>
      </c>
      <c r="M75" s="40">
        <f t="shared" si="37"/>
        <v>0</v>
      </c>
      <c r="N75" s="41">
        <f t="shared" si="38"/>
        <v>0</v>
      </c>
      <c r="O75" s="42">
        <f t="shared" si="48"/>
        <v>0</v>
      </c>
      <c r="P75" s="41">
        <f t="shared" si="39"/>
        <v>0</v>
      </c>
      <c r="Q75" s="42">
        <f t="shared" si="40"/>
        <v>0</v>
      </c>
      <c r="R75" s="43">
        <f t="shared" si="41"/>
        <v>0</v>
      </c>
      <c r="S75" s="42">
        <f t="shared" si="42"/>
        <v>0</v>
      </c>
      <c r="T75" s="41">
        <f>SUM(Tabla2[[#This Row],[LNDV ]:[LNDV UND REF]])</f>
        <v>0</v>
      </c>
      <c r="U75" s="42">
        <f t="shared" si="43"/>
        <v>0</v>
      </c>
      <c r="V75" s="41">
        <f t="shared" si="44"/>
        <v>0</v>
      </c>
      <c r="W75" s="42">
        <f t="shared" si="49"/>
        <v>0</v>
      </c>
      <c r="X75" s="41">
        <f t="shared" si="45"/>
        <v>0</v>
      </c>
      <c r="Y75" s="40">
        <f t="shared" si="50"/>
        <v>0</v>
      </c>
      <c r="Z75" s="44">
        <f t="shared" si="46"/>
        <v>0</v>
      </c>
      <c r="AA75" s="35">
        <f t="shared" si="47"/>
        <v>0</v>
      </c>
      <c r="AD75" s="31"/>
      <c r="AE75" s="45"/>
      <c r="AF75" s="45"/>
      <c r="AG75" s="45"/>
      <c r="AH75" s="45"/>
      <c r="AI75" s="45"/>
      <c r="AJ75" s="45"/>
      <c r="AK75" s="45"/>
      <c r="AL75" s="45"/>
      <c r="AM75" s="45"/>
      <c r="AN75" s="45"/>
      <c r="AO75" s="45"/>
      <c r="AP75" s="45"/>
      <c r="AQ75" s="45"/>
      <c r="AR75" s="45"/>
      <c r="AS75" s="45"/>
      <c r="AT75" s="45"/>
      <c r="AU75" s="45"/>
      <c r="AV75" s="45"/>
      <c r="AW75" s="45"/>
      <c r="AX75" s="45"/>
      <c r="AY75" s="45"/>
      <c r="AZ75" s="45"/>
      <c r="BA75" s="45"/>
      <c r="BB75" s="45"/>
      <c r="BC75" s="45"/>
      <c r="BD75" s="45"/>
      <c r="BE75" s="45"/>
      <c r="BF75" s="45"/>
      <c r="BG75" s="45"/>
      <c r="BH75" s="45"/>
      <c r="BI75" s="45"/>
      <c r="BJ75" s="45"/>
      <c r="BK75" s="45"/>
      <c r="BL75" s="45"/>
      <c r="BM75" s="45"/>
      <c r="BN75" s="45"/>
      <c r="BO75" s="45"/>
      <c r="BP75" s="45"/>
      <c r="BQ75" s="45"/>
      <c r="BR75" s="45"/>
      <c r="BS75" s="45"/>
      <c r="BT75" s="45"/>
      <c r="BU75" s="45"/>
      <c r="BV75" s="45"/>
      <c r="BW75" s="45"/>
      <c r="BX75" s="45"/>
      <c r="BY75" s="45"/>
      <c r="BZ75" s="45"/>
      <c r="CA75" s="45"/>
      <c r="CB75" s="45"/>
      <c r="CC75" s="45"/>
      <c r="CD75" s="45"/>
      <c r="CE75" s="46"/>
      <c r="CF75" s="46"/>
      <c r="CG75" s="45"/>
      <c r="CH75" s="15"/>
      <c r="CI75" s="47"/>
    </row>
    <row r="76" spans="1:87" ht="14.25" x14ac:dyDescent="0.2">
      <c r="A76" s="31">
        <v>74</v>
      </c>
      <c r="B76" s="32" t="s">
        <v>3164</v>
      </c>
      <c r="C76" s="48"/>
      <c r="D76" s="48"/>
      <c r="E76" s="34">
        <f t="shared" si="32"/>
        <v>2</v>
      </c>
      <c r="F76" s="35" t="s">
        <v>11</v>
      </c>
      <c r="G76" s="36"/>
      <c r="H76" s="37">
        <v>144249600</v>
      </c>
      <c r="I76" s="38">
        <f t="shared" si="33"/>
        <v>288499200</v>
      </c>
      <c r="J76" s="39">
        <f t="shared" si="34"/>
        <v>0</v>
      </c>
      <c r="K76" s="40">
        <f t="shared" si="35"/>
        <v>0</v>
      </c>
      <c r="L76" s="39">
        <f t="shared" si="36"/>
        <v>1</v>
      </c>
      <c r="M76" s="40">
        <f t="shared" si="37"/>
        <v>144249600</v>
      </c>
      <c r="N76" s="41">
        <f t="shared" si="38"/>
        <v>0</v>
      </c>
      <c r="O76" s="42"/>
      <c r="P76" s="41">
        <f t="shared" si="39"/>
        <v>0</v>
      </c>
      <c r="Q76" s="42">
        <f t="shared" si="40"/>
        <v>0</v>
      </c>
      <c r="R76" s="43">
        <f t="shared" si="41"/>
        <v>0</v>
      </c>
      <c r="S76" s="42">
        <f t="shared" si="42"/>
        <v>0</v>
      </c>
      <c r="T76" s="41">
        <f>SUM(Tabla2[[#This Row],[LNDV ]:[LNDV UND REF]])</f>
        <v>1</v>
      </c>
      <c r="U76" s="42">
        <f t="shared" si="43"/>
        <v>144249600</v>
      </c>
      <c r="V76" s="41">
        <f t="shared" si="44"/>
        <v>0</v>
      </c>
      <c r="W76" s="42"/>
      <c r="X76" s="41">
        <f t="shared" si="45"/>
        <v>0</v>
      </c>
      <c r="Y76" s="40"/>
      <c r="Z76" s="44">
        <f t="shared" si="46"/>
        <v>0</v>
      </c>
      <c r="AA76" s="35">
        <f t="shared" si="47"/>
        <v>0</v>
      </c>
      <c r="AD76" s="31"/>
      <c r="AE76" s="45"/>
      <c r="AF76" s="45"/>
      <c r="AG76" s="45"/>
      <c r="AH76" s="45"/>
      <c r="AI76" s="45"/>
      <c r="AJ76" s="45"/>
      <c r="AK76" s="45"/>
      <c r="AL76" s="45"/>
      <c r="AM76" s="45"/>
      <c r="AN76" s="45"/>
      <c r="AO76" s="45"/>
      <c r="AP76" s="45"/>
      <c r="AQ76" s="45"/>
      <c r="AR76" s="45"/>
      <c r="AS76" s="45"/>
      <c r="AT76" s="45">
        <v>1</v>
      </c>
      <c r="AU76" s="45"/>
      <c r="AV76" s="45"/>
      <c r="AW76" s="45"/>
      <c r="AX76" s="45"/>
      <c r="AY76" s="45"/>
      <c r="AZ76" s="45"/>
      <c r="BA76" s="45"/>
      <c r="BB76" s="45"/>
      <c r="BC76" s="45"/>
      <c r="BD76" s="45"/>
      <c r="BE76" s="45"/>
      <c r="BF76" s="45"/>
      <c r="BG76" s="45"/>
      <c r="BH76" s="45"/>
      <c r="BI76" s="45"/>
      <c r="BJ76" s="45"/>
      <c r="BK76" s="45"/>
      <c r="BL76" s="45"/>
      <c r="BM76" s="45"/>
      <c r="BN76" s="45"/>
      <c r="BO76" s="45"/>
      <c r="BP76" s="45"/>
      <c r="BQ76" s="45"/>
      <c r="BR76" s="45"/>
      <c r="BS76" s="45"/>
      <c r="BT76" s="45"/>
      <c r="BU76" s="45"/>
      <c r="BV76" s="45"/>
      <c r="BW76" s="45"/>
      <c r="BX76" s="45"/>
      <c r="BY76" s="45"/>
      <c r="BZ76" s="45"/>
      <c r="CA76" s="45"/>
      <c r="CB76" s="45"/>
      <c r="CC76" s="45"/>
      <c r="CD76" s="45"/>
      <c r="CE76" s="46">
        <v>1</v>
      </c>
      <c r="CF76" s="46"/>
      <c r="CG76" s="45"/>
      <c r="CH76" s="15"/>
      <c r="CI76" s="47"/>
    </row>
    <row r="77" spans="1:87" ht="14.25" x14ac:dyDescent="0.2">
      <c r="A77" s="31">
        <v>75</v>
      </c>
      <c r="B77" s="32" t="s">
        <v>3165</v>
      </c>
      <c r="C77" s="48"/>
      <c r="D77" s="48"/>
      <c r="E77" s="34">
        <f t="shared" si="32"/>
        <v>0</v>
      </c>
      <c r="F77" s="35" t="s">
        <v>11</v>
      </c>
      <c r="G77" s="36"/>
      <c r="H77" s="37">
        <v>9616640</v>
      </c>
      <c r="I77" s="38">
        <f t="shared" si="33"/>
        <v>0</v>
      </c>
      <c r="J77" s="39">
        <f t="shared" si="34"/>
        <v>0</v>
      </c>
      <c r="K77" s="40">
        <f t="shared" si="35"/>
        <v>0</v>
      </c>
      <c r="L77" s="39">
        <f t="shared" si="36"/>
        <v>0</v>
      </c>
      <c r="M77" s="40">
        <f t="shared" si="37"/>
        <v>0</v>
      </c>
      <c r="N77" s="41">
        <f t="shared" si="38"/>
        <v>0</v>
      </c>
      <c r="O77" s="42"/>
      <c r="P77" s="41">
        <f t="shared" si="39"/>
        <v>0</v>
      </c>
      <c r="Q77" s="42">
        <f t="shared" si="40"/>
        <v>0</v>
      </c>
      <c r="R77" s="43">
        <f t="shared" si="41"/>
        <v>0</v>
      </c>
      <c r="S77" s="42">
        <f t="shared" si="42"/>
        <v>0</v>
      </c>
      <c r="T77" s="41">
        <f>SUM(Tabla2[[#This Row],[LNDV ]:[LNDV UND REF]])</f>
        <v>0</v>
      </c>
      <c r="U77" s="42">
        <f t="shared" si="43"/>
        <v>0</v>
      </c>
      <c r="V77" s="41">
        <f t="shared" si="44"/>
        <v>0</v>
      </c>
      <c r="W77" s="42"/>
      <c r="X77" s="41">
        <f t="shared" si="45"/>
        <v>0</v>
      </c>
      <c r="Y77" s="40"/>
      <c r="Z77" s="44">
        <f t="shared" si="46"/>
        <v>0</v>
      </c>
      <c r="AA77" s="35">
        <f t="shared" si="47"/>
        <v>0</v>
      </c>
      <c r="AD77" s="31"/>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c r="BD77" s="45"/>
      <c r="BE77" s="45"/>
      <c r="BF77" s="45"/>
      <c r="BG77" s="45"/>
      <c r="BH77" s="45"/>
      <c r="BI77" s="45"/>
      <c r="BJ77" s="45"/>
      <c r="BK77" s="45"/>
      <c r="BL77" s="45"/>
      <c r="BM77" s="45"/>
      <c r="BN77" s="45"/>
      <c r="BO77" s="45"/>
      <c r="BP77" s="45"/>
      <c r="BQ77" s="45"/>
      <c r="BR77" s="45"/>
      <c r="BS77" s="45"/>
      <c r="BT77" s="45"/>
      <c r="BU77" s="45"/>
      <c r="BV77" s="45"/>
      <c r="BW77" s="45"/>
      <c r="BX77" s="45"/>
      <c r="BY77" s="45"/>
      <c r="BZ77" s="45"/>
      <c r="CA77" s="45"/>
      <c r="CB77" s="45"/>
      <c r="CC77" s="45"/>
      <c r="CD77" s="45"/>
      <c r="CE77" s="46"/>
      <c r="CF77" s="46"/>
      <c r="CG77" s="45"/>
      <c r="CH77" s="15"/>
      <c r="CI77" s="47"/>
    </row>
    <row r="78" spans="1:87" ht="14.25" x14ac:dyDescent="0.2">
      <c r="A78" s="31">
        <v>76</v>
      </c>
      <c r="B78" s="32" t="s">
        <v>3166</v>
      </c>
      <c r="C78" s="48"/>
      <c r="D78" s="48"/>
      <c r="E78" s="34">
        <f t="shared" si="32"/>
        <v>1</v>
      </c>
      <c r="F78" s="35" t="s">
        <v>11</v>
      </c>
      <c r="G78" s="36"/>
      <c r="H78" s="37">
        <v>14424960</v>
      </c>
      <c r="I78" s="38">
        <f t="shared" si="33"/>
        <v>14424960</v>
      </c>
      <c r="J78" s="39">
        <f t="shared" si="34"/>
        <v>0</v>
      </c>
      <c r="K78" s="40">
        <f t="shared" si="35"/>
        <v>0</v>
      </c>
      <c r="L78" s="39">
        <f t="shared" si="36"/>
        <v>1</v>
      </c>
      <c r="M78" s="40">
        <f t="shared" si="37"/>
        <v>14424960</v>
      </c>
      <c r="N78" s="41">
        <f t="shared" si="38"/>
        <v>0</v>
      </c>
      <c r="O78" s="42"/>
      <c r="P78" s="41">
        <f t="shared" si="39"/>
        <v>0</v>
      </c>
      <c r="Q78" s="42">
        <f t="shared" si="40"/>
        <v>0</v>
      </c>
      <c r="R78" s="43">
        <f t="shared" si="41"/>
        <v>0</v>
      </c>
      <c r="S78" s="42">
        <f t="shared" si="42"/>
        <v>0</v>
      </c>
      <c r="T78" s="41">
        <f>SUM(Tabla2[[#This Row],[LNDV ]:[LNDV UND REF]])</f>
        <v>0</v>
      </c>
      <c r="U78" s="42">
        <f t="shared" si="43"/>
        <v>0</v>
      </c>
      <c r="V78" s="41">
        <f t="shared" si="44"/>
        <v>0</v>
      </c>
      <c r="W78" s="42"/>
      <c r="X78" s="41">
        <f t="shared" si="45"/>
        <v>0</v>
      </c>
      <c r="Y78" s="40"/>
      <c r="Z78" s="44">
        <f t="shared" si="46"/>
        <v>0</v>
      </c>
      <c r="AA78" s="35">
        <f t="shared" si="47"/>
        <v>0</v>
      </c>
      <c r="AD78" s="31"/>
      <c r="AE78" s="45"/>
      <c r="AF78" s="45"/>
      <c r="AG78" s="45"/>
      <c r="AH78" s="45"/>
      <c r="AI78" s="45"/>
      <c r="AJ78" s="45"/>
      <c r="AK78" s="45"/>
      <c r="AL78" s="45"/>
      <c r="AM78" s="45"/>
      <c r="AN78" s="45"/>
      <c r="AO78" s="45"/>
      <c r="AP78" s="45"/>
      <c r="AQ78" s="45"/>
      <c r="AR78" s="45"/>
      <c r="AS78" s="45"/>
      <c r="AT78" s="45"/>
      <c r="AU78" s="45"/>
      <c r="AV78" s="45"/>
      <c r="AW78" s="45">
        <v>1</v>
      </c>
      <c r="AX78" s="45"/>
      <c r="AY78" s="45"/>
      <c r="AZ78" s="45"/>
      <c r="BA78" s="45"/>
      <c r="BB78" s="45"/>
      <c r="BC78" s="45"/>
      <c r="BD78" s="45"/>
      <c r="BE78" s="45"/>
      <c r="BF78" s="45"/>
      <c r="BG78" s="45"/>
      <c r="BH78" s="45"/>
      <c r="BI78" s="45"/>
      <c r="BJ78" s="45"/>
      <c r="BK78" s="45"/>
      <c r="BL78" s="45"/>
      <c r="BM78" s="45"/>
      <c r="BN78" s="45"/>
      <c r="BO78" s="45"/>
      <c r="BP78" s="45"/>
      <c r="BQ78" s="45"/>
      <c r="BR78" s="45"/>
      <c r="BS78" s="45"/>
      <c r="BT78" s="45"/>
      <c r="BU78" s="45"/>
      <c r="BV78" s="45"/>
      <c r="BW78" s="45"/>
      <c r="BX78" s="45"/>
      <c r="BY78" s="45"/>
      <c r="BZ78" s="45"/>
      <c r="CA78" s="45"/>
      <c r="CB78" s="45"/>
      <c r="CC78" s="45"/>
      <c r="CD78" s="45"/>
      <c r="CE78" s="46"/>
      <c r="CF78" s="46"/>
      <c r="CG78" s="45"/>
      <c r="CH78" s="15"/>
      <c r="CI78" s="47"/>
    </row>
    <row r="79" spans="1:87" ht="24" x14ac:dyDescent="0.2">
      <c r="A79" s="31">
        <v>77</v>
      </c>
      <c r="B79" s="51" t="s">
        <v>3167</v>
      </c>
      <c r="C79" s="49" t="s">
        <v>1624</v>
      </c>
      <c r="D79" s="49">
        <v>75004081</v>
      </c>
      <c r="E79" s="34">
        <f t="shared" si="32"/>
        <v>2</v>
      </c>
      <c r="F79" s="35" t="s">
        <v>11</v>
      </c>
      <c r="G79" s="36" t="s">
        <v>2965</v>
      </c>
      <c r="H79" s="37">
        <v>8855941.9199999999</v>
      </c>
      <c r="I79" s="38">
        <f t="shared" si="33"/>
        <v>17711883.84</v>
      </c>
      <c r="J79" s="39">
        <f t="shared" si="34"/>
        <v>0</v>
      </c>
      <c r="K79" s="40">
        <f t="shared" si="35"/>
        <v>0</v>
      </c>
      <c r="L79" s="39">
        <f t="shared" si="36"/>
        <v>0</v>
      </c>
      <c r="M79" s="40">
        <f t="shared" si="37"/>
        <v>0</v>
      </c>
      <c r="N79" s="41">
        <f t="shared" si="38"/>
        <v>0</v>
      </c>
      <c r="O79" s="42">
        <f>IFERROR(N79*H79," ")</f>
        <v>0</v>
      </c>
      <c r="P79" s="41">
        <f t="shared" si="39"/>
        <v>0</v>
      </c>
      <c r="Q79" s="42">
        <f t="shared" si="40"/>
        <v>0</v>
      </c>
      <c r="R79" s="43">
        <f t="shared" si="41"/>
        <v>2</v>
      </c>
      <c r="S79" s="42">
        <f t="shared" si="42"/>
        <v>17711883.84</v>
      </c>
      <c r="T79" s="41">
        <f>SUM(Tabla2[[#This Row],[LNDV ]:[LNDV UND REF]])</f>
        <v>0</v>
      </c>
      <c r="U79" s="42">
        <f t="shared" si="43"/>
        <v>0</v>
      </c>
      <c r="V79" s="41">
        <f t="shared" si="44"/>
        <v>0</v>
      </c>
      <c r="W79" s="42">
        <f>IFERROR(V79*H79," ")</f>
        <v>0</v>
      </c>
      <c r="X79" s="41">
        <f t="shared" si="45"/>
        <v>0</v>
      </c>
      <c r="Y79" s="40">
        <f>IFERROR(X79*H79," ")</f>
        <v>0</v>
      </c>
      <c r="Z79" s="44">
        <f t="shared" si="46"/>
        <v>0</v>
      </c>
      <c r="AA79" s="35">
        <f t="shared" si="47"/>
        <v>0</v>
      </c>
      <c r="AD79" s="31"/>
      <c r="AE79" s="45"/>
      <c r="AF79" s="45"/>
      <c r="AG79" s="45"/>
      <c r="AH79" s="45"/>
      <c r="AI79" s="45"/>
      <c r="AJ79" s="45"/>
      <c r="AK79" s="45"/>
      <c r="AL79" s="45"/>
      <c r="AM79" s="45"/>
      <c r="AN79" s="45"/>
      <c r="AO79" s="45"/>
      <c r="AP79" s="45"/>
      <c r="AQ79" s="45"/>
      <c r="AR79" s="45"/>
      <c r="AS79" s="45"/>
      <c r="AT79" s="45"/>
      <c r="AU79" s="45"/>
      <c r="AV79" s="45"/>
      <c r="AW79" s="45"/>
      <c r="AX79" s="45"/>
      <c r="AY79" s="45"/>
      <c r="AZ79" s="45"/>
      <c r="BA79" s="45"/>
      <c r="BB79" s="45"/>
      <c r="BC79" s="45"/>
      <c r="BD79" s="45"/>
      <c r="BE79" s="45"/>
      <c r="BF79" s="45"/>
      <c r="BG79" s="45"/>
      <c r="BH79" s="45"/>
      <c r="BI79" s="45"/>
      <c r="BJ79" s="45"/>
      <c r="BK79" s="45">
        <v>1</v>
      </c>
      <c r="BL79" s="45"/>
      <c r="BM79" s="45"/>
      <c r="BN79" s="45"/>
      <c r="BO79" s="45"/>
      <c r="BP79" s="45"/>
      <c r="BQ79" s="45"/>
      <c r="BR79" s="45"/>
      <c r="BS79" s="45"/>
      <c r="BT79" s="45">
        <v>1</v>
      </c>
      <c r="BU79" s="45"/>
      <c r="BV79" s="45"/>
      <c r="BW79" s="45"/>
      <c r="BX79" s="45"/>
      <c r="BY79" s="45"/>
      <c r="BZ79" s="45"/>
      <c r="CA79" s="45"/>
      <c r="CB79" s="45"/>
      <c r="CC79" s="45"/>
      <c r="CD79" s="45"/>
      <c r="CE79" s="46"/>
      <c r="CF79" s="46"/>
      <c r="CG79" s="45"/>
      <c r="CH79" s="15"/>
      <c r="CI79" s="47"/>
    </row>
    <row r="80" spans="1:87" ht="42.75" x14ac:dyDescent="0.2">
      <c r="A80" s="31">
        <v>78</v>
      </c>
      <c r="B80" s="51" t="s">
        <v>3168</v>
      </c>
      <c r="C80" s="61"/>
      <c r="D80" s="61"/>
      <c r="E80" s="34">
        <f t="shared" si="32"/>
        <v>2</v>
      </c>
      <c r="F80" s="35" t="s">
        <v>11</v>
      </c>
      <c r="G80" s="36" t="s">
        <v>2968</v>
      </c>
      <c r="H80" s="37">
        <v>195472551</v>
      </c>
      <c r="I80" s="38">
        <f t="shared" si="33"/>
        <v>390945102</v>
      </c>
      <c r="J80" s="39">
        <f t="shared" si="34"/>
        <v>2</v>
      </c>
      <c r="K80" s="40">
        <f t="shared" si="35"/>
        <v>390945102</v>
      </c>
      <c r="L80" s="39">
        <f t="shared" si="36"/>
        <v>0</v>
      </c>
      <c r="M80" s="40">
        <f t="shared" si="37"/>
        <v>0</v>
      </c>
      <c r="N80" s="41">
        <f t="shared" si="38"/>
        <v>0</v>
      </c>
      <c r="O80" s="42">
        <f>IFERROR(N80*H80," ")</f>
        <v>0</v>
      </c>
      <c r="P80" s="41">
        <f t="shared" si="39"/>
        <v>0</v>
      </c>
      <c r="Q80" s="42">
        <f t="shared" si="40"/>
        <v>0</v>
      </c>
      <c r="R80" s="43">
        <f t="shared" si="41"/>
        <v>0</v>
      </c>
      <c r="S80" s="42">
        <f t="shared" si="42"/>
        <v>0</v>
      </c>
      <c r="T80" s="41">
        <f>SUM(Tabla2[[#This Row],[LNDV ]:[LNDV UND REF]])</f>
        <v>0</v>
      </c>
      <c r="U80" s="42">
        <f t="shared" si="43"/>
        <v>0</v>
      </c>
      <c r="V80" s="41">
        <f t="shared" si="44"/>
        <v>0</v>
      </c>
      <c r="W80" s="42">
        <f>IFERROR(V80*H80," ")</f>
        <v>0</v>
      </c>
      <c r="X80" s="41">
        <f t="shared" si="45"/>
        <v>0</v>
      </c>
      <c r="Y80" s="40">
        <f>IFERROR(X80*H80," ")</f>
        <v>0</v>
      </c>
      <c r="Z80" s="44">
        <f t="shared" si="46"/>
        <v>0</v>
      </c>
      <c r="AA80" s="35">
        <f t="shared" si="47"/>
        <v>0</v>
      </c>
      <c r="AD80" s="72"/>
      <c r="AE80" s="45"/>
      <c r="AF80" s="45">
        <v>1</v>
      </c>
      <c r="AG80" s="45"/>
      <c r="AH80" s="45"/>
      <c r="AI80" s="45">
        <v>1</v>
      </c>
      <c r="AJ80" s="45"/>
      <c r="AK80" s="45"/>
      <c r="AL80" s="45"/>
      <c r="AM80" s="45"/>
      <c r="AN80" s="45"/>
      <c r="AO80" s="45"/>
      <c r="AP80" s="45"/>
      <c r="AQ80" s="45"/>
      <c r="AR80" s="45"/>
      <c r="AS80" s="45"/>
      <c r="AT80" s="45"/>
      <c r="AU80" s="45"/>
      <c r="AV80" s="45"/>
      <c r="AW80" s="45"/>
      <c r="AX80" s="45"/>
      <c r="AY80" s="45"/>
      <c r="AZ80" s="45"/>
      <c r="BA80" s="45"/>
      <c r="BB80" s="45"/>
      <c r="BC80" s="45"/>
      <c r="BD80" s="45"/>
      <c r="BE80" s="45"/>
      <c r="BF80" s="45"/>
      <c r="BG80" s="45"/>
      <c r="BH80" s="45"/>
      <c r="BI80" s="45"/>
      <c r="BJ80" s="45"/>
      <c r="BK80" s="45"/>
      <c r="BL80" s="45"/>
      <c r="BM80" s="45"/>
      <c r="BN80" s="45"/>
      <c r="BO80" s="45"/>
      <c r="BP80" s="45"/>
      <c r="BQ80" s="45"/>
      <c r="BR80" s="45"/>
      <c r="BS80" s="45"/>
      <c r="BT80" s="45"/>
      <c r="BU80" s="45"/>
      <c r="BV80" s="45"/>
      <c r="BW80" s="45"/>
      <c r="BX80" s="45"/>
      <c r="BY80" s="45"/>
      <c r="BZ80" s="45"/>
      <c r="CA80" s="45"/>
      <c r="CB80" s="45"/>
      <c r="CC80" s="45"/>
      <c r="CD80" s="45"/>
      <c r="CE80" s="46"/>
      <c r="CF80" s="46"/>
      <c r="CG80" s="45"/>
      <c r="CH80" s="15"/>
      <c r="CI80" s="47"/>
    </row>
    <row r="81" spans="1:87" ht="42.75" x14ac:dyDescent="0.2">
      <c r="A81" s="31">
        <v>79</v>
      </c>
      <c r="B81" s="32" t="s">
        <v>3169</v>
      </c>
      <c r="C81" s="48"/>
      <c r="D81" s="48"/>
      <c r="E81" s="34">
        <f t="shared" si="32"/>
        <v>1</v>
      </c>
      <c r="F81" s="35" t="s">
        <v>11</v>
      </c>
      <c r="G81" s="36"/>
      <c r="H81" s="37">
        <v>215019806.6464</v>
      </c>
      <c r="I81" s="38">
        <f t="shared" si="33"/>
        <v>215019806.6464</v>
      </c>
      <c r="J81" s="39">
        <f t="shared" si="34"/>
        <v>0</v>
      </c>
      <c r="K81" s="40">
        <f t="shared" si="35"/>
        <v>0</v>
      </c>
      <c r="L81" s="39">
        <f t="shared" si="36"/>
        <v>1</v>
      </c>
      <c r="M81" s="40">
        <f t="shared" si="37"/>
        <v>215019806.6464</v>
      </c>
      <c r="N81" s="41">
        <f t="shared" si="38"/>
        <v>0</v>
      </c>
      <c r="O81" s="42"/>
      <c r="P81" s="41">
        <f t="shared" si="39"/>
        <v>0</v>
      </c>
      <c r="Q81" s="42">
        <f t="shared" si="40"/>
        <v>0</v>
      </c>
      <c r="R81" s="43">
        <f t="shared" si="41"/>
        <v>0</v>
      </c>
      <c r="S81" s="42">
        <f t="shared" si="42"/>
        <v>0</v>
      </c>
      <c r="T81" s="41">
        <f>SUM(Tabla2[[#This Row],[LNDV ]:[LNDV UND REF]])</f>
        <v>0</v>
      </c>
      <c r="U81" s="42">
        <f t="shared" si="43"/>
        <v>0</v>
      </c>
      <c r="V81" s="41">
        <f t="shared" si="44"/>
        <v>0</v>
      </c>
      <c r="W81" s="42"/>
      <c r="X81" s="41">
        <f t="shared" si="45"/>
        <v>0</v>
      </c>
      <c r="Y81" s="40"/>
      <c r="Z81" s="44">
        <f t="shared" si="46"/>
        <v>0</v>
      </c>
      <c r="AA81" s="35">
        <f t="shared" si="47"/>
        <v>0</v>
      </c>
      <c r="AD81" s="31"/>
      <c r="AE81" s="45"/>
      <c r="AF81" s="45"/>
      <c r="AG81" s="45"/>
      <c r="AH81" s="45"/>
      <c r="AI81" s="45"/>
      <c r="AJ81" s="45"/>
      <c r="AK81" s="45"/>
      <c r="AL81" s="45"/>
      <c r="AM81" s="45"/>
      <c r="AN81" s="45"/>
      <c r="AO81" s="45"/>
      <c r="AP81" s="45"/>
      <c r="AQ81" s="45"/>
      <c r="AR81" s="45"/>
      <c r="AS81" s="45"/>
      <c r="AT81" s="45">
        <v>1</v>
      </c>
      <c r="AU81" s="45"/>
      <c r="AV81" s="45"/>
      <c r="AW81" s="45"/>
      <c r="AX81" s="45"/>
      <c r="AY81" s="45"/>
      <c r="AZ81" s="45"/>
      <c r="BA81" s="45"/>
      <c r="BB81" s="45"/>
      <c r="BC81" s="45"/>
      <c r="BD81" s="45"/>
      <c r="BE81" s="45"/>
      <c r="BF81" s="45"/>
      <c r="BG81" s="45"/>
      <c r="BH81" s="45"/>
      <c r="BI81" s="45"/>
      <c r="BJ81" s="45"/>
      <c r="BK81" s="45"/>
      <c r="BL81" s="45"/>
      <c r="BM81" s="45"/>
      <c r="BN81" s="45"/>
      <c r="BO81" s="45"/>
      <c r="BP81" s="45"/>
      <c r="BQ81" s="45"/>
      <c r="BR81" s="45"/>
      <c r="BS81" s="45"/>
      <c r="BT81" s="45"/>
      <c r="BU81" s="45"/>
      <c r="BV81" s="45"/>
      <c r="BW81" s="45"/>
      <c r="BX81" s="45"/>
      <c r="BY81" s="45"/>
      <c r="BZ81" s="45"/>
      <c r="CA81" s="45"/>
      <c r="CB81" s="45"/>
      <c r="CC81" s="45"/>
      <c r="CD81" s="45"/>
      <c r="CE81" s="46"/>
      <c r="CF81" s="46"/>
      <c r="CG81" s="45"/>
      <c r="CH81" s="15"/>
      <c r="CI81" s="47"/>
    </row>
    <row r="82" spans="1:87" ht="28.5" x14ac:dyDescent="0.2">
      <c r="A82" s="31">
        <v>80</v>
      </c>
      <c r="B82" s="32" t="s">
        <v>3170</v>
      </c>
      <c r="C82" s="48"/>
      <c r="D82" s="48"/>
      <c r="E82" s="34">
        <f t="shared" si="32"/>
        <v>1</v>
      </c>
      <c r="F82" s="35" t="s">
        <v>11</v>
      </c>
      <c r="G82" s="36"/>
      <c r="H82" s="37">
        <v>84145600</v>
      </c>
      <c r="I82" s="38">
        <f t="shared" si="33"/>
        <v>84145600</v>
      </c>
      <c r="J82" s="39">
        <f t="shared" si="34"/>
        <v>0</v>
      </c>
      <c r="K82" s="40">
        <f t="shared" si="35"/>
        <v>0</v>
      </c>
      <c r="L82" s="39">
        <f t="shared" si="36"/>
        <v>0</v>
      </c>
      <c r="M82" s="40">
        <f t="shared" si="37"/>
        <v>0</v>
      </c>
      <c r="N82" s="41">
        <f t="shared" si="38"/>
        <v>0</v>
      </c>
      <c r="O82" s="42"/>
      <c r="P82" s="41">
        <f t="shared" si="39"/>
        <v>0</v>
      </c>
      <c r="Q82" s="42">
        <f t="shared" si="40"/>
        <v>0</v>
      </c>
      <c r="R82" s="43">
        <f t="shared" si="41"/>
        <v>0</v>
      </c>
      <c r="S82" s="42">
        <f t="shared" si="42"/>
        <v>0</v>
      </c>
      <c r="T82" s="41">
        <f>SUM(Tabla2[[#This Row],[LNDV ]:[LNDV UND REF]])</f>
        <v>0</v>
      </c>
      <c r="U82" s="42">
        <f t="shared" si="43"/>
        <v>0</v>
      </c>
      <c r="V82" s="41">
        <f t="shared" si="44"/>
        <v>1</v>
      </c>
      <c r="W82" s="42"/>
      <c r="X82" s="41">
        <f t="shared" si="45"/>
        <v>0</v>
      </c>
      <c r="Y82" s="40"/>
      <c r="Z82" s="44">
        <f t="shared" si="46"/>
        <v>0</v>
      </c>
      <c r="AA82" s="35">
        <f t="shared" si="47"/>
        <v>0</v>
      </c>
      <c r="AD82" s="31"/>
      <c r="AE82" s="45"/>
      <c r="AF82" s="45"/>
      <c r="AG82" s="45"/>
      <c r="AH82" s="45"/>
      <c r="AI82" s="45"/>
      <c r="AJ82" s="45"/>
      <c r="AK82" s="45"/>
      <c r="AL82" s="45"/>
      <c r="AM82" s="45"/>
      <c r="AN82" s="45"/>
      <c r="AO82" s="45"/>
      <c r="AP82" s="45"/>
      <c r="AQ82" s="45"/>
      <c r="AR82" s="45"/>
      <c r="AS82" s="45"/>
      <c r="AT82" s="45"/>
      <c r="AU82" s="45"/>
      <c r="AV82" s="45"/>
      <c r="AW82" s="45"/>
      <c r="AX82" s="45"/>
      <c r="AY82" s="45"/>
      <c r="AZ82" s="45"/>
      <c r="BA82" s="45"/>
      <c r="BB82" s="45"/>
      <c r="BC82" s="45"/>
      <c r="BD82" s="45"/>
      <c r="BE82" s="45"/>
      <c r="BF82" s="45"/>
      <c r="BG82" s="45"/>
      <c r="BH82" s="45"/>
      <c r="BI82" s="45"/>
      <c r="BJ82" s="45"/>
      <c r="BK82" s="45"/>
      <c r="BL82" s="45"/>
      <c r="BM82" s="45"/>
      <c r="BN82" s="45"/>
      <c r="BO82" s="45"/>
      <c r="BP82" s="45"/>
      <c r="BQ82" s="45"/>
      <c r="BR82" s="45"/>
      <c r="BS82" s="45"/>
      <c r="BT82" s="45"/>
      <c r="BU82" s="45"/>
      <c r="BV82" s="45"/>
      <c r="BW82" s="45"/>
      <c r="BX82" s="45"/>
      <c r="BY82" s="45"/>
      <c r="BZ82" s="45"/>
      <c r="CA82" s="45"/>
      <c r="CB82" s="45"/>
      <c r="CC82" s="45"/>
      <c r="CD82" s="45"/>
      <c r="CE82" s="46"/>
      <c r="CF82" s="46">
        <v>1</v>
      </c>
      <c r="CG82" s="45"/>
      <c r="CH82" s="15"/>
      <c r="CI82" s="47"/>
    </row>
    <row r="83" spans="1:87" ht="28.5" x14ac:dyDescent="0.2">
      <c r="A83" s="31">
        <v>81</v>
      </c>
      <c r="B83" s="32" t="s">
        <v>3171</v>
      </c>
      <c r="C83" s="48"/>
      <c r="D83" s="48"/>
      <c r="E83" s="34">
        <f t="shared" si="32"/>
        <v>0</v>
      </c>
      <c r="F83" s="35" t="s">
        <v>11</v>
      </c>
      <c r="G83" s="36"/>
      <c r="H83" s="37">
        <v>168291200</v>
      </c>
      <c r="I83" s="38">
        <f t="shared" si="33"/>
        <v>0</v>
      </c>
      <c r="J83" s="39">
        <f t="shared" si="34"/>
        <v>0</v>
      </c>
      <c r="K83" s="40">
        <f t="shared" si="35"/>
        <v>0</v>
      </c>
      <c r="L83" s="39">
        <f t="shared" si="36"/>
        <v>0</v>
      </c>
      <c r="M83" s="40">
        <f t="shared" si="37"/>
        <v>0</v>
      </c>
      <c r="N83" s="41">
        <f t="shared" si="38"/>
        <v>0</v>
      </c>
      <c r="O83" s="42"/>
      <c r="P83" s="41">
        <f t="shared" si="39"/>
        <v>0</v>
      </c>
      <c r="Q83" s="42">
        <f t="shared" si="40"/>
        <v>0</v>
      </c>
      <c r="R83" s="43">
        <f t="shared" si="41"/>
        <v>0</v>
      </c>
      <c r="S83" s="42">
        <f t="shared" si="42"/>
        <v>0</v>
      </c>
      <c r="T83" s="41">
        <f>SUM(Tabla2[[#This Row],[LNDV ]:[LNDV UND REF]])</f>
        <v>0</v>
      </c>
      <c r="U83" s="42">
        <f t="shared" si="43"/>
        <v>0</v>
      </c>
      <c r="V83" s="41">
        <f t="shared" si="44"/>
        <v>0</v>
      </c>
      <c r="W83" s="42"/>
      <c r="X83" s="41">
        <f t="shared" si="45"/>
        <v>0</v>
      </c>
      <c r="Y83" s="40"/>
      <c r="Z83" s="44">
        <f t="shared" si="46"/>
        <v>0</v>
      </c>
      <c r="AA83" s="35">
        <f t="shared" si="47"/>
        <v>0</v>
      </c>
      <c r="AD83" s="31"/>
      <c r="AE83" s="45"/>
      <c r="AF83" s="45"/>
      <c r="AG83" s="45"/>
      <c r="AH83" s="45"/>
      <c r="AI83" s="45"/>
      <c r="AJ83" s="45"/>
      <c r="AK83" s="45"/>
      <c r="AL83" s="45"/>
      <c r="AM83" s="45"/>
      <c r="AN83" s="45"/>
      <c r="AO83" s="45"/>
      <c r="AP83" s="45"/>
      <c r="AQ83" s="45"/>
      <c r="AR83" s="45"/>
      <c r="AS83" s="45"/>
      <c r="AT83" s="45"/>
      <c r="AU83" s="45"/>
      <c r="AV83" s="45"/>
      <c r="AW83" s="45"/>
      <c r="AX83" s="45"/>
      <c r="AY83" s="45"/>
      <c r="AZ83" s="45"/>
      <c r="BA83" s="45"/>
      <c r="BB83" s="45"/>
      <c r="BC83" s="45"/>
      <c r="BD83" s="45"/>
      <c r="BE83" s="45"/>
      <c r="BF83" s="45"/>
      <c r="BG83" s="45"/>
      <c r="BH83" s="45"/>
      <c r="BI83" s="45"/>
      <c r="BJ83" s="45"/>
      <c r="BK83" s="45"/>
      <c r="BL83" s="45"/>
      <c r="BM83" s="45"/>
      <c r="BN83" s="45"/>
      <c r="BO83" s="45"/>
      <c r="BP83" s="45"/>
      <c r="BQ83" s="45"/>
      <c r="BR83" s="45"/>
      <c r="BS83" s="45"/>
      <c r="BT83" s="45"/>
      <c r="BU83" s="45"/>
      <c r="BV83" s="45"/>
      <c r="BW83" s="45"/>
      <c r="BX83" s="45"/>
      <c r="BY83" s="45"/>
      <c r="BZ83" s="45"/>
      <c r="CA83" s="45"/>
      <c r="CB83" s="45"/>
      <c r="CC83" s="45"/>
      <c r="CD83" s="45"/>
      <c r="CE83" s="46"/>
      <c r="CF83" s="46"/>
      <c r="CG83" s="45"/>
      <c r="CH83" s="15"/>
      <c r="CI83" s="47"/>
    </row>
    <row r="84" spans="1:87" ht="14.25" x14ac:dyDescent="0.2">
      <c r="A84" s="31">
        <v>82</v>
      </c>
      <c r="B84" s="32" t="s">
        <v>3172</v>
      </c>
      <c r="C84" s="48"/>
      <c r="D84" s="48"/>
      <c r="E84" s="34">
        <f t="shared" si="32"/>
        <v>1</v>
      </c>
      <c r="F84" s="35" t="s">
        <v>11</v>
      </c>
      <c r="G84" s="36"/>
      <c r="H84" s="37">
        <v>39668640</v>
      </c>
      <c r="I84" s="38">
        <f t="shared" si="33"/>
        <v>39668640</v>
      </c>
      <c r="J84" s="39">
        <f t="shared" si="34"/>
        <v>0</v>
      </c>
      <c r="K84" s="40">
        <f t="shared" si="35"/>
        <v>0</v>
      </c>
      <c r="L84" s="39">
        <f t="shared" si="36"/>
        <v>1</v>
      </c>
      <c r="M84" s="40">
        <f t="shared" si="37"/>
        <v>39668640</v>
      </c>
      <c r="N84" s="41">
        <f t="shared" si="38"/>
        <v>0</v>
      </c>
      <c r="O84" s="42"/>
      <c r="P84" s="41">
        <f t="shared" si="39"/>
        <v>0</v>
      </c>
      <c r="Q84" s="42">
        <f t="shared" si="40"/>
        <v>0</v>
      </c>
      <c r="R84" s="43">
        <f t="shared" si="41"/>
        <v>0</v>
      </c>
      <c r="S84" s="42">
        <f t="shared" si="42"/>
        <v>0</v>
      </c>
      <c r="T84" s="41">
        <f>SUM(Tabla2[[#This Row],[LNDV ]:[LNDV UND REF]])</f>
        <v>0</v>
      </c>
      <c r="U84" s="42">
        <f t="shared" si="43"/>
        <v>0</v>
      </c>
      <c r="V84" s="41">
        <f t="shared" si="44"/>
        <v>0</v>
      </c>
      <c r="W84" s="42"/>
      <c r="X84" s="41">
        <f t="shared" si="45"/>
        <v>0</v>
      </c>
      <c r="Y84" s="40"/>
      <c r="Z84" s="44">
        <f t="shared" si="46"/>
        <v>0</v>
      </c>
      <c r="AA84" s="35">
        <f t="shared" si="47"/>
        <v>0</v>
      </c>
      <c r="AD84" s="31"/>
      <c r="AE84" s="45"/>
      <c r="AF84" s="45"/>
      <c r="AG84" s="45"/>
      <c r="AH84" s="45"/>
      <c r="AI84" s="45"/>
      <c r="AJ84" s="45"/>
      <c r="AK84" s="45"/>
      <c r="AL84" s="45"/>
      <c r="AM84" s="45"/>
      <c r="AN84" s="45"/>
      <c r="AO84" s="45"/>
      <c r="AP84" s="45"/>
      <c r="AQ84" s="45"/>
      <c r="AR84" s="45"/>
      <c r="AS84" s="45"/>
      <c r="AT84" s="45">
        <v>1</v>
      </c>
      <c r="AU84" s="45"/>
      <c r="AV84" s="45"/>
      <c r="AW84" s="45"/>
      <c r="AX84" s="45"/>
      <c r="AY84" s="45"/>
      <c r="AZ84" s="45"/>
      <c r="BA84" s="45"/>
      <c r="BB84" s="45"/>
      <c r="BC84" s="45"/>
      <c r="BD84" s="45"/>
      <c r="BE84" s="45"/>
      <c r="BF84" s="45"/>
      <c r="BG84" s="45"/>
      <c r="BH84" s="45"/>
      <c r="BI84" s="45"/>
      <c r="BJ84" s="45"/>
      <c r="BK84" s="45"/>
      <c r="BL84" s="45"/>
      <c r="BM84" s="45"/>
      <c r="BN84" s="45"/>
      <c r="BO84" s="45"/>
      <c r="BP84" s="45"/>
      <c r="BQ84" s="45"/>
      <c r="BR84" s="45"/>
      <c r="BS84" s="45"/>
      <c r="BT84" s="45"/>
      <c r="BU84" s="45"/>
      <c r="BV84" s="45"/>
      <c r="BW84" s="45"/>
      <c r="BX84" s="45"/>
      <c r="BY84" s="45"/>
      <c r="BZ84" s="45"/>
      <c r="CA84" s="45"/>
      <c r="CB84" s="45"/>
      <c r="CC84" s="45"/>
      <c r="CD84" s="45"/>
      <c r="CE84" s="46"/>
      <c r="CF84" s="46"/>
      <c r="CG84" s="45"/>
      <c r="CH84" s="15"/>
      <c r="CI84" s="47"/>
    </row>
    <row r="85" spans="1:87" ht="14.25" x14ac:dyDescent="0.2">
      <c r="A85" s="31">
        <v>83</v>
      </c>
      <c r="B85" s="32" t="s">
        <v>3173</v>
      </c>
      <c r="C85" s="48"/>
      <c r="D85" s="48"/>
      <c r="E85" s="34">
        <f t="shared" si="32"/>
        <v>0</v>
      </c>
      <c r="F85" s="35" t="s">
        <v>11</v>
      </c>
      <c r="G85" s="36"/>
      <c r="H85" s="37">
        <v>24041600</v>
      </c>
      <c r="I85" s="38">
        <f t="shared" si="33"/>
        <v>0</v>
      </c>
      <c r="J85" s="39">
        <f t="shared" si="34"/>
        <v>0</v>
      </c>
      <c r="K85" s="40">
        <f t="shared" si="35"/>
        <v>0</v>
      </c>
      <c r="L85" s="39">
        <f t="shared" si="36"/>
        <v>0</v>
      </c>
      <c r="M85" s="40">
        <f t="shared" si="37"/>
        <v>0</v>
      </c>
      <c r="N85" s="41">
        <f t="shared" si="38"/>
        <v>0</v>
      </c>
      <c r="O85" s="42"/>
      <c r="P85" s="41">
        <f t="shared" si="39"/>
        <v>0</v>
      </c>
      <c r="Q85" s="42">
        <f t="shared" si="40"/>
        <v>0</v>
      </c>
      <c r="R85" s="43">
        <f t="shared" si="41"/>
        <v>0</v>
      </c>
      <c r="S85" s="42">
        <f t="shared" si="42"/>
        <v>0</v>
      </c>
      <c r="T85" s="41">
        <f>SUM(Tabla2[[#This Row],[LNDV ]:[LNDV UND REF]])</f>
        <v>0</v>
      </c>
      <c r="U85" s="42">
        <f t="shared" si="43"/>
        <v>0</v>
      </c>
      <c r="V85" s="41">
        <f t="shared" si="44"/>
        <v>0</v>
      </c>
      <c r="W85" s="42"/>
      <c r="X85" s="41">
        <f t="shared" si="45"/>
        <v>0</v>
      </c>
      <c r="Y85" s="40"/>
      <c r="Z85" s="44">
        <f t="shared" si="46"/>
        <v>0</v>
      </c>
      <c r="AA85" s="35">
        <f t="shared" si="47"/>
        <v>0</v>
      </c>
      <c r="AD85" s="31"/>
      <c r="AE85" s="45"/>
      <c r="AF85" s="45"/>
      <c r="AG85" s="45"/>
      <c r="AH85" s="45"/>
      <c r="AI85" s="45"/>
      <c r="AJ85" s="45"/>
      <c r="AK85" s="45"/>
      <c r="AL85" s="45"/>
      <c r="AM85" s="45"/>
      <c r="AN85" s="45"/>
      <c r="AO85" s="45"/>
      <c r="AP85" s="45"/>
      <c r="AQ85" s="45"/>
      <c r="AR85" s="45"/>
      <c r="AS85" s="45"/>
      <c r="AT85" s="45"/>
      <c r="AU85" s="45"/>
      <c r="AV85" s="45"/>
      <c r="AW85" s="45"/>
      <c r="AX85" s="45"/>
      <c r="AY85" s="45"/>
      <c r="AZ85" s="45"/>
      <c r="BA85" s="45"/>
      <c r="BB85" s="45"/>
      <c r="BC85" s="45"/>
      <c r="BD85" s="45"/>
      <c r="BE85" s="45"/>
      <c r="BF85" s="45"/>
      <c r="BG85" s="45"/>
      <c r="BH85" s="45"/>
      <c r="BI85" s="45"/>
      <c r="BJ85" s="45"/>
      <c r="BK85" s="45"/>
      <c r="BL85" s="45"/>
      <c r="BM85" s="45"/>
      <c r="BN85" s="45"/>
      <c r="BO85" s="45"/>
      <c r="BP85" s="45"/>
      <c r="BQ85" s="45"/>
      <c r="BR85" s="45"/>
      <c r="BS85" s="45"/>
      <c r="BT85" s="45"/>
      <c r="BU85" s="45"/>
      <c r="BV85" s="45"/>
      <c r="BW85" s="45"/>
      <c r="BX85" s="45"/>
      <c r="BY85" s="45"/>
      <c r="BZ85" s="45"/>
      <c r="CA85" s="45"/>
      <c r="CB85" s="45"/>
      <c r="CC85" s="45"/>
      <c r="CD85" s="45"/>
      <c r="CE85" s="46"/>
      <c r="CF85" s="46"/>
      <c r="CG85" s="45"/>
      <c r="CH85" s="15"/>
      <c r="CI85" s="47"/>
    </row>
    <row r="86" spans="1:87" ht="42.75" x14ac:dyDescent="0.2">
      <c r="A86" s="31">
        <v>84</v>
      </c>
      <c r="B86" s="51" t="s">
        <v>3174</v>
      </c>
      <c r="C86" s="64" t="s">
        <v>3175</v>
      </c>
      <c r="D86" s="64" t="s">
        <v>3176</v>
      </c>
      <c r="E86" s="34">
        <f t="shared" si="32"/>
        <v>0</v>
      </c>
      <c r="F86" s="35" t="s">
        <v>11</v>
      </c>
      <c r="G86" s="36" t="s">
        <v>2967</v>
      </c>
      <c r="H86" s="37">
        <v>3299381.76</v>
      </c>
      <c r="I86" s="38">
        <f t="shared" si="33"/>
        <v>0</v>
      </c>
      <c r="J86" s="39">
        <f t="shared" si="34"/>
        <v>0</v>
      </c>
      <c r="K86" s="40">
        <f t="shared" si="35"/>
        <v>0</v>
      </c>
      <c r="L86" s="39">
        <f t="shared" si="36"/>
        <v>0</v>
      </c>
      <c r="M86" s="40">
        <f t="shared" si="37"/>
        <v>0</v>
      </c>
      <c r="N86" s="41">
        <f t="shared" si="38"/>
        <v>0</v>
      </c>
      <c r="O86" s="42">
        <f>IFERROR(N86*H86," ")</f>
        <v>0</v>
      </c>
      <c r="P86" s="41">
        <f t="shared" si="39"/>
        <v>0</v>
      </c>
      <c r="Q86" s="42">
        <f t="shared" si="40"/>
        <v>0</v>
      </c>
      <c r="R86" s="43">
        <f t="shared" si="41"/>
        <v>0</v>
      </c>
      <c r="S86" s="42">
        <f t="shared" si="42"/>
        <v>0</v>
      </c>
      <c r="T86" s="41">
        <f>SUM(Tabla2[[#This Row],[LNDV ]:[LNDV UND REF]])</f>
        <v>0</v>
      </c>
      <c r="U86" s="42">
        <f t="shared" si="43"/>
        <v>0</v>
      </c>
      <c r="V86" s="41">
        <f t="shared" si="44"/>
        <v>0</v>
      </c>
      <c r="W86" s="42">
        <f>IFERROR(V86*H86," ")</f>
        <v>0</v>
      </c>
      <c r="X86" s="41">
        <f t="shared" si="45"/>
        <v>0</v>
      </c>
      <c r="Y86" s="40">
        <f>IFERROR(X86*H86," ")</f>
        <v>0</v>
      </c>
      <c r="Z86" s="44">
        <f t="shared" si="46"/>
        <v>0</v>
      </c>
      <c r="AA86" s="35">
        <f t="shared" si="47"/>
        <v>0</v>
      </c>
      <c r="AD86" s="31"/>
      <c r="AE86" s="45"/>
      <c r="AF86" s="45"/>
      <c r="AG86" s="45"/>
      <c r="AH86" s="45"/>
      <c r="AI86" s="45"/>
      <c r="AJ86" s="45"/>
      <c r="AK86" s="45"/>
      <c r="AL86" s="45"/>
      <c r="AM86" s="45"/>
      <c r="AN86" s="45"/>
      <c r="AO86" s="45"/>
      <c r="AP86" s="45"/>
      <c r="AQ86" s="45"/>
      <c r="AR86" s="45"/>
      <c r="AS86" s="45"/>
      <c r="AT86" s="45"/>
      <c r="AU86" s="45"/>
      <c r="AV86" s="45"/>
      <c r="AW86" s="45"/>
      <c r="AX86" s="45"/>
      <c r="AY86" s="45"/>
      <c r="AZ86" s="45"/>
      <c r="BA86" s="45"/>
      <c r="BB86" s="45"/>
      <c r="BC86" s="45"/>
      <c r="BD86" s="45"/>
      <c r="BE86" s="45"/>
      <c r="BF86" s="45"/>
      <c r="BG86" s="45"/>
      <c r="BH86" s="45"/>
      <c r="BI86" s="45"/>
      <c r="BJ86" s="45"/>
      <c r="BK86" s="45"/>
      <c r="BL86" s="45"/>
      <c r="BM86" s="45"/>
      <c r="BN86" s="45"/>
      <c r="BO86" s="45"/>
      <c r="BP86" s="45"/>
      <c r="BQ86" s="45"/>
      <c r="BR86" s="45"/>
      <c r="BS86" s="45"/>
      <c r="BT86" s="45"/>
      <c r="BU86" s="45"/>
      <c r="BV86" s="45"/>
      <c r="BW86" s="45"/>
      <c r="BX86" s="45"/>
      <c r="BY86" s="45"/>
      <c r="BZ86" s="45"/>
      <c r="CA86" s="45"/>
      <c r="CB86" s="45"/>
      <c r="CC86" s="45"/>
      <c r="CD86" s="45"/>
      <c r="CE86" s="46"/>
      <c r="CF86" s="46"/>
      <c r="CG86" s="45"/>
      <c r="CH86" s="15"/>
      <c r="CI86" s="47"/>
    </row>
    <row r="87" spans="1:87" ht="28.5" x14ac:dyDescent="0.2">
      <c r="A87" s="31">
        <v>85</v>
      </c>
      <c r="B87" s="51" t="s">
        <v>3177</v>
      </c>
      <c r="C87" s="49" t="s">
        <v>3050</v>
      </c>
      <c r="D87" s="49" t="s">
        <v>3178</v>
      </c>
      <c r="E87" s="34">
        <f t="shared" si="32"/>
        <v>5</v>
      </c>
      <c r="F87" s="35" t="s">
        <v>11</v>
      </c>
      <c r="G87" s="36" t="s">
        <v>2965</v>
      </c>
      <c r="H87" s="37">
        <v>5188723.68</v>
      </c>
      <c r="I87" s="38">
        <f t="shared" si="33"/>
        <v>25943618.399999999</v>
      </c>
      <c r="J87" s="39">
        <f t="shared" si="34"/>
        <v>1</v>
      </c>
      <c r="K87" s="40">
        <f t="shared" si="35"/>
        <v>5188723.68</v>
      </c>
      <c r="L87" s="39">
        <f t="shared" si="36"/>
        <v>0</v>
      </c>
      <c r="M87" s="40">
        <f t="shared" si="37"/>
        <v>0</v>
      </c>
      <c r="N87" s="41">
        <f t="shared" si="38"/>
        <v>4</v>
      </c>
      <c r="O87" s="42">
        <f>IFERROR(N87*H87," ")</f>
        <v>20754894.719999999</v>
      </c>
      <c r="P87" s="41">
        <f t="shared" si="39"/>
        <v>0</v>
      </c>
      <c r="Q87" s="42">
        <f t="shared" si="40"/>
        <v>0</v>
      </c>
      <c r="R87" s="43">
        <f t="shared" si="41"/>
        <v>0</v>
      </c>
      <c r="S87" s="42">
        <f t="shared" si="42"/>
        <v>0</v>
      </c>
      <c r="T87" s="41">
        <f>SUM(Tabla2[[#This Row],[LNDV ]:[LNDV UND REF]])</f>
        <v>0</v>
      </c>
      <c r="U87" s="42">
        <f t="shared" si="43"/>
        <v>0</v>
      </c>
      <c r="V87" s="41">
        <f t="shared" si="44"/>
        <v>0</v>
      </c>
      <c r="W87" s="42">
        <f>IFERROR(V87*H87," ")</f>
        <v>0</v>
      </c>
      <c r="X87" s="41">
        <f t="shared" si="45"/>
        <v>0</v>
      </c>
      <c r="Y87" s="40">
        <f>IFERROR(X87*H87," ")</f>
        <v>0</v>
      </c>
      <c r="Z87" s="44">
        <f t="shared" si="46"/>
        <v>0</v>
      </c>
      <c r="AA87" s="35">
        <f t="shared" si="47"/>
        <v>0</v>
      </c>
      <c r="AD87" s="31"/>
      <c r="AE87" s="45"/>
      <c r="AF87" s="45"/>
      <c r="AG87" s="45"/>
      <c r="AH87" s="45"/>
      <c r="AI87" s="45"/>
      <c r="AJ87" s="45"/>
      <c r="AK87" s="45">
        <v>1</v>
      </c>
      <c r="AL87" s="45"/>
      <c r="AM87" s="45"/>
      <c r="AN87" s="45"/>
      <c r="AO87" s="45"/>
      <c r="AP87" s="45"/>
      <c r="AQ87" s="45"/>
      <c r="AR87" s="45">
        <v>4</v>
      </c>
      <c r="AS87" s="45"/>
      <c r="AT87" s="45"/>
      <c r="AU87" s="45"/>
      <c r="AV87" s="45"/>
      <c r="AW87" s="45"/>
      <c r="AX87" s="45"/>
      <c r="AY87" s="45"/>
      <c r="AZ87" s="45"/>
      <c r="BA87" s="45"/>
      <c r="BB87" s="45"/>
      <c r="BC87" s="45"/>
      <c r="BD87" s="45"/>
      <c r="BE87" s="45"/>
      <c r="BF87" s="45"/>
      <c r="BG87" s="45"/>
      <c r="BH87" s="45"/>
      <c r="BI87" s="45"/>
      <c r="BJ87" s="45"/>
      <c r="BK87" s="45"/>
      <c r="BL87" s="45"/>
      <c r="BM87" s="45"/>
      <c r="BN87" s="45"/>
      <c r="BO87" s="45"/>
      <c r="BP87" s="45"/>
      <c r="BQ87" s="45"/>
      <c r="BR87" s="45"/>
      <c r="BS87" s="45"/>
      <c r="BT87" s="45"/>
      <c r="BU87" s="45"/>
      <c r="BV87" s="45"/>
      <c r="BW87" s="45"/>
      <c r="BX87" s="45"/>
      <c r="BY87" s="45"/>
      <c r="BZ87" s="45"/>
      <c r="CA87" s="45"/>
      <c r="CB87" s="45"/>
      <c r="CC87" s="45"/>
      <c r="CD87" s="45"/>
      <c r="CE87" s="46"/>
      <c r="CF87" s="46"/>
      <c r="CG87" s="45"/>
      <c r="CH87" s="15"/>
      <c r="CI87" s="47"/>
    </row>
    <row r="88" spans="1:87" ht="36" x14ac:dyDescent="0.2">
      <c r="A88" s="31">
        <v>86</v>
      </c>
      <c r="B88" s="51" t="s">
        <v>3179</v>
      </c>
      <c r="C88" s="64" t="s">
        <v>3180</v>
      </c>
      <c r="D88" s="64" t="s">
        <v>3181</v>
      </c>
      <c r="E88" s="34">
        <f t="shared" si="32"/>
        <v>0</v>
      </c>
      <c r="F88" s="35" t="s">
        <v>11</v>
      </c>
      <c r="G88" s="36" t="s">
        <v>2967</v>
      </c>
      <c r="H88" s="37">
        <v>23000478.511999998</v>
      </c>
      <c r="I88" s="38">
        <f t="shared" si="33"/>
        <v>0</v>
      </c>
      <c r="J88" s="39">
        <f t="shared" si="34"/>
        <v>0</v>
      </c>
      <c r="K88" s="40">
        <f t="shared" si="35"/>
        <v>0</v>
      </c>
      <c r="L88" s="39">
        <f t="shared" si="36"/>
        <v>0</v>
      </c>
      <c r="M88" s="40">
        <f t="shared" si="37"/>
        <v>0</v>
      </c>
      <c r="N88" s="41">
        <f t="shared" si="38"/>
        <v>0</v>
      </c>
      <c r="O88" s="42">
        <f>IFERROR(N88*H88," ")</f>
        <v>0</v>
      </c>
      <c r="P88" s="41">
        <f t="shared" si="39"/>
        <v>0</v>
      </c>
      <c r="Q88" s="42">
        <f t="shared" si="40"/>
        <v>0</v>
      </c>
      <c r="R88" s="43">
        <f t="shared" si="41"/>
        <v>0</v>
      </c>
      <c r="S88" s="42">
        <f t="shared" si="42"/>
        <v>0</v>
      </c>
      <c r="T88" s="41">
        <f>SUM(Tabla2[[#This Row],[LNDV ]:[LNDV UND REF]])</f>
        <v>0</v>
      </c>
      <c r="U88" s="42">
        <f t="shared" si="43"/>
        <v>0</v>
      </c>
      <c r="V88" s="41">
        <f t="shared" si="44"/>
        <v>0</v>
      </c>
      <c r="W88" s="42">
        <f>IFERROR(V88*H88," ")</f>
        <v>0</v>
      </c>
      <c r="X88" s="41">
        <f t="shared" si="45"/>
        <v>0</v>
      </c>
      <c r="Y88" s="40">
        <f>IFERROR(X88*H88," ")</f>
        <v>0</v>
      </c>
      <c r="Z88" s="44">
        <f t="shared" si="46"/>
        <v>0</v>
      </c>
      <c r="AA88" s="35">
        <f t="shared" si="47"/>
        <v>0</v>
      </c>
      <c r="AD88" s="31"/>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6"/>
      <c r="CF88" s="46"/>
      <c r="CG88" s="45"/>
      <c r="CH88" s="15"/>
      <c r="CI88" s="47"/>
    </row>
    <row r="89" spans="1:87" ht="24" x14ac:dyDescent="0.2">
      <c r="A89" s="31">
        <v>87</v>
      </c>
      <c r="B89" s="51" t="s">
        <v>3182</v>
      </c>
      <c r="C89" s="49" t="s">
        <v>1624</v>
      </c>
      <c r="D89" s="49" t="s">
        <v>3183</v>
      </c>
      <c r="E89" s="34">
        <f t="shared" si="32"/>
        <v>7</v>
      </c>
      <c r="F89" s="35" t="s">
        <v>11</v>
      </c>
      <c r="G89" s="36" t="s">
        <v>2965</v>
      </c>
      <c r="H89" s="37">
        <v>17295745.600000001</v>
      </c>
      <c r="I89" s="38">
        <f t="shared" si="33"/>
        <v>121070219.20000002</v>
      </c>
      <c r="J89" s="39">
        <f t="shared" si="34"/>
        <v>1</v>
      </c>
      <c r="K89" s="40">
        <f t="shared" si="35"/>
        <v>17295745.600000001</v>
      </c>
      <c r="L89" s="39">
        <f t="shared" si="36"/>
        <v>2</v>
      </c>
      <c r="M89" s="40">
        <f t="shared" si="37"/>
        <v>34591491.200000003</v>
      </c>
      <c r="N89" s="41">
        <f t="shared" si="38"/>
        <v>0</v>
      </c>
      <c r="O89" s="42">
        <f>IFERROR(N89*H89," ")</f>
        <v>0</v>
      </c>
      <c r="P89" s="41">
        <f t="shared" si="39"/>
        <v>1</v>
      </c>
      <c r="Q89" s="42">
        <f t="shared" si="40"/>
        <v>17295745.600000001</v>
      </c>
      <c r="R89" s="43">
        <f t="shared" si="41"/>
        <v>3</v>
      </c>
      <c r="S89" s="42">
        <f t="shared" si="42"/>
        <v>51887236.800000004</v>
      </c>
      <c r="T89" s="41">
        <f>SUM(Tabla2[[#This Row],[LNDV ]:[LNDV UND REF]])</f>
        <v>0</v>
      </c>
      <c r="U89" s="42">
        <f t="shared" si="43"/>
        <v>0</v>
      </c>
      <c r="V89" s="41">
        <f t="shared" si="44"/>
        <v>0</v>
      </c>
      <c r="W89" s="42">
        <f>IFERROR(V89*H89," ")</f>
        <v>0</v>
      </c>
      <c r="X89" s="41">
        <f t="shared" si="45"/>
        <v>0</v>
      </c>
      <c r="Y89" s="40">
        <f>IFERROR(X89*H89," ")</f>
        <v>0</v>
      </c>
      <c r="Z89" s="44">
        <f t="shared" si="46"/>
        <v>0</v>
      </c>
      <c r="AA89" s="35">
        <f t="shared" si="47"/>
        <v>0</v>
      </c>
      <c r="AD89" s="31">
        <v>1</v>
      </c>
      <c r="AE89" s="45"/>
      <c r="AF89" s="45"/>
      <c r="AG89" s="45"/>
      <c r="AH89" s="45"/>
      <c r="AI89" s="45"/>
      <c r="AJ89" s="45"/>
      <c r="AK89" s="45"/>
      <c r="AL89" s="45"/>
      <c r="AM89" s="45"/>
      <c r="AN89" s="45"/>
      <c r="AO89" s="45"/>
      <c r="AP89" s="45"/>
      <c r="AQ89" s="45"/>
      <c r="AR89" s="45"/>
      <c r="AS89" s="45"/>
      <c r="AT89" s="45"/>
      <c r="AU89" s="45"/>
      <c r="AV89" s="45">
        <v>1</v>
      </c>
      <c r="AW89" s="45">
        <v>1</v>
      </c>
      <c r="AX89" s="45"/>
      <c r="AY89" s="45"/>
      <c r="AZ89" s="45"/>
      <c r="BA89" s="45"/>
      <c r="BB89" s="45"/>
      <c r="BC89" s="45">
        <v>1</v>
      </c>
      <c r="BD89" s="45"/>
      <c r="BE89" s="45"/>
      <c r="BF89" s="45"/>
      <c r="BG89" s="45"/>
      <c r="BH89" s="45"/>
      <c r="BI89" s="45"/>
      <c r="BJ89" s="45"/>
      <c r="BK89" s="45"/>
      <c r="BL89" s="45"/>
      <c r="BM89" s="45"/>
      <c r="BN89" s="45">
        <v>1</v>
      </c>
      <c r="BO89" s="45"/>
      <c r="BP89" s="45"/>
      <c r="BQ89" s="45"/>
      <c r="BR89" s="45"/>
      <c r="BS89" s="45"/>
      <c r="BT89" s="45"/>
      <c r="BU89" s="45"/>
      <c r="BV89" s="45"/>
      <c r="BW89" s="45"/>
      <c r="BX89" s="45"/>
      <c r="BY89" s="45">
        <v>1</v>
      </c>
      <c r="BZ89" s="45">
        <v>1</v>
      </c>
      <c r="CA89" s="45"/>
      <c r="CB89" s="45"/>
      <c r="CC89" s="45"/>
      <c r="CD89" s="45"/>
      <c r="CE89" s="46"/>
      <c r="CF89" s="46"/>
      <c r="CG89" s="45"/>
      <c r="CH89" s="15"/>
      <c r="CI89" s="47"/>
    </row>
    <row r="90" spans="1:87" ht="28.5" x14ac:dyDescent="0.2">
      <c r="A90" s="31">
        <v>88</v>
      </c>
      <c r="B90" s="32" t="s">
        <v>3184</v>
      </c>
      <c r="C90" s="48"/>
      <c r="D90" s="48"/>
      <c r="E90" s="34">
        <f t="shared" si="32"/>
        <v>1</v>
      </c>
      <c r="F90" s="35" t="s">
        <v>11</v>
      </c>
      <c r="G90" s="36"/>
      <c r="H90" s="37">
        <v>137037120</v>
      </c>
      <c r="I90" s="38">
        <f t="shared" si="33"/>
        <v>137037120</v>
      </c>
      <c r="J90" s="39">
        <f t="shared" si="34"/>
        <v>0</v>
      </c>
      <c r="K90" s="40">
        <f t="shared" si="35"/>
        <v>0</v>
      </c>
      <c r="L90" s="39">
        <f t="shared" si="36"/>
        <v>0</v>
      </c>
      <c r="M90" s="40">
        <f t="shared" si="37"/>
        <v>0</v>
      </c>
      <c r="N90" s="41">
        <f t="shared" si="38"/>
        <v>1</v>
      </c>
      <c r="O90" s="42"/>
      <c r="P90" s="41">
        <f t="shared" si="39"/>
        <v>0</v>
      </c>
      <c r="Q90" s="42">
        <f t="shared" si="40"/>
        <v>0</v>
      </c>
      <c r="R90" s="43">
        <f t="shared" si="41"/>
        <v>0</v>
      </c>
      <c r="S90" s="42">
        <f t="shared" si="42"/>
        <v>0</v>
      </c>
      <c r="T90" s="41">
        <f>SUM(Tabla2[[#This Row],[LNDV ]:[LNDV UND REF]])</f>
        <v>0</v>
      </c>
      <c r="U90" s="42">
        <f t="shared" si="43"/>
        <v>0</v>
      </c>
      <c r="V90" s="41">
        <f t="shared" si="44"/>
        <v>0</v>
      </c>
      <c r="W90" s="42"/>
      <c r="X90" s="41">
        <f t="shared" si="45"/>
        <v>0</v>
      </c>
      <c r="Y90" s="40"/>
      <c r="Z90" s="44">
        <f t="shared" si="46"/>
        <v>0</v>
      </c>
      <c r="AA90" s="35">
        <f t="shared" si="47"/>
        <v>0</v>
      </c>
      <c r="AD90" s="31"/>
      <c r="AE90" s="45"/>
      <c r="AF90" s="45"/>
      <c r="AG90" s="45"/>
      <c r="AH90" s="45"/>
      <c r="AI90" s="45"/>
      <c r="AJ90" s="45"/>
      <c r="AK90" s="45"/>
      <c r="AL90" s="45"/>
      <c r="AM90" s="45"/>
      <c r="AN90" s="45"/>
      <c r="AO90" s="45"/>
      <c r="AP90" s="45"/>
      <c r="AQ90" s="45"/>
      <c r="AR90" s="45">
        <v>1</v>
      </c>
      <c r="AS90" s="45"/>
      <c r="AT90" s="45"/>
      <c r="AU90" s="45"/>
      <c r="AV90" s="45"/>
      <c r="AW90" s="45"/>
      <c r="AX90" s="45"/>
      <c r="AY90" s="45"/>
      <c r="AZ90" s="45"/>
      <c r="BA90" s="45"/>
      <c r="BB90" s="45"/>
      <c r="BC90" s="45"/>
      <c r="BD90" s="45"/>
      <c r="BE90" s="45"/>
      <c r="BF90" s="45"/>
      <c r="BG90" s="45"/>
      <c r="BH90" s="45"/>
      <c r="BI90" s="45"/>
      <c r="BJ90" s="45"/>
      <c r="BK90" s="45"/>
      <c r="BL90" s="45"/>
      <c r="BM90" s="45"/>
      <c r="BN90" s="45"/>
      <c r="BO90" s="45"/>
      <c r="BP90" s="45"/>
      <c r="BQ90" s="45"/>
      <c r="BR90" s="45"/>
      <c r="BS90" s="45"/>
      <c r="BT90" s="45"/>
      <c r="BU90" s="45"/>
      <c r="BV90" s="45"/>
      <c r="BW90" s="45"/>
      <c r="BX90" s="45"/>
      <c r="BY90" s="45"/>
      <c r="BZ90" s="45"/>
      <c r="CA90" s="45"/>
      <c r="CB90" s="45"/>
      <c r="CC90" s="45"/>
      <c r="CD90" s="45"/>
      <c r="CE90" s="46"/>
      <c r="CF90" s="46"/>
      <c r="CG90" s="45"/>
      <c r="CH90" s="15"/>
      <c r="CI90" s="47"/>
    </row>
    <row r="91" spans="1:87" ht="36" x14ac:dyDescent="0.2">
      <c r="A91" s="31">
        <v>89</v>
      </c>
      <c r="B91" s="51" t="s">
        <v>3185</v>
      </c>
      <c r="C91" s="64" t="s">
        <v>3071</v>
      </c>
      <c r="D91" s="64" t="s">
        <v>3186</v>
      </c>
      <c r="E91" s="34">
        <f t="shared" si="32"/>
        <v>5</v>
      </c>
      <c r="F91" s="35" t="s">
        <v>11</v>
      </c>
      <c r="G91" s="36" t="s">
        <v>2967</v>
      </c>
      <c r="H91" s="37">
        <v>59675622.399999999</v>
      </c>
      <c r="I91" s="38">
        <f t="shared" si="33"/>
        <v>298378112</v>
      </c>
      <c r="J91" s="39">
        <f t="shared" si="34"/>
        <v>4</v>
      </c>
      <c r="K91" s="40">
        <f t="shared" si="35"/>
        <v>238702489.59999999</v>
      </c>
      <c r="L91" s="39">
        <f t="shared" si="36"/>
        <v>1</v>
      </c>
      <c r="M91" s="40">
        <f t="shared" si="37"/>
        <v>59675622.399999999</v>
      </c>
      <c r="N91" s="41">
        <f t="shared" si="38"/>
        <v>0</v>
      </c>
      <c r="O91" s="42">
        <f>IFERROR(N91*H91," ")</f>
        <v>0</v>
      </c>
      <c r="P91" s="41">
        <f t="shared" si="39"/>
        <v>0</v>
      </c>
      <c r="Q91" s="42">
        <f t="shared" si="40"/>
        <v>0</v>
      </c>
      <c r="R91" s="43">
        <f t="shared" si="41"/>
        <v>0</v>
      </c>
      <c r="S91" s="42">
        <f t="shared" si="42"/>
        <v>0</v>
      </c>
      <c r="T91" s="41">
        <f>SUM(Tabla2[[#This Row],[LNDV ]:[LNDV UND REF]])</f>
        <v>0</v>
      </c>
      <c r="U91" s="42">
        <f t="shared" si="43"/>
        <v>0</v>
      </c>
      <c r="V91" s="41">
        <f t="shared" si="44"/>
        <v>0</v>
      </c>
      <c r="W91" s="42">
        <f>IFERROR(V91*H91," ")</f>
        <v>0</v>
      </c>
      <c r="X91" s="41">
        <f t="shared" si="45"/>
        <v>0</v>
      </c>
      <c r="Y91" s="40">
        <f>IFERROR(X91*H91," ")</f>
        <v>0</v>
      </c>
      <c r="Z91" s="44">
        <f t="shared" si="46"/>
        <v>0</v>
      </c>
      <c r="AA91" s="35">
        <f t="shared" si="47"/>
        <v>0</v>
      </c>
      <c r="AD91" s="31"/>
      <c r="AE91" s="45"/>
      <c r="AF91" s="45">
        <v>1</v>
      </c>
      <c r="AG91" s="45"/>
      <c r="AH91" s="45"/>
      <c r="AI91" s="45"/>
      <c r="AJ91" s="45">
        <v>1</v>
      </c>
      <c r="AK91" s="45"/>
      <c r="AL91" s="45"/>
      <c r="AM91" s="45"/>
      <c r="AN91" s="45">
        <v>1</v>
      </c>
      <c r="AO91" s="45">
        <v>1</v>
      </c>
      <c r="AP91" s="45"/>
      <c r="AQ91" s="45"/>
      <c r="AR91" s="45"/>
      <c r="AS91" s="45"/>
      <c r="AT91" s="45"/>
      <c r="AU91" s="45"/>
      <c r="AV91" s="45">
        <v>1</v>
      </c>
      <c r="AW91" s="45"/>
      <c r="AX91" s="45"/>
      <c r="AY91" s="45"/>
      <c r="AZ91" s="45"/>
      <c r="BA91" s="45"/>
      <c r="BB91" s="45"/>
      <c r="BC91" s="45"/>
      <c r="BD91" s="45"/>
      <c r="BE91" s="45"/>
      <c r="BF91" s="45"/>
      <c r="BG91" s="45"/>
      <c r="BH91" s="45"/>
      <c r="BI91" s="45"/>
      <c r="BJ91" s="45"/>
      <c r="BK91" s="45"/>
      <c r="BL91" s="45"/>
      <c r="BM91" s="45"/>
      <c r="BN91" s="45"/>
      <c r="BO91" s="45"/>
      <c r="BP91" s="45"/>
      <c r="BQ91" s="45"/>
      <c r="BR91" s="45"/>
      <c r="BS91" s="45"/>
      <c r="BT91" s="45"/>
      <c r="BU91" s="45"/>
      <c r="BV91" s="45"/>
      <c r="BW91" s="45"/>
      <c r="BX91" s="45"/>
      <c r="BY91" s="45"/>
      <c r="BZ91" s="45"/>
      <c r="CA91" s="45"/>
      <c r="CB91" s="45"/>
      <c r="CC91" s="45"/>
      <c r="CD91" s="45"/>
      <c r="CE91" s="46"/>
      <c r="CF91" s="46"/>
      <c r="CG91" s="45"/>
      <c r="CH91" s="15"/>
      <c r="CI91" s="47"/>
    </row>
    <row r="92" spans="1:87" ht="28.5" x14ac:dyDescent="0.2">
      <c r="A92" s="31">
        <v>90</v>
      </c>
      <c r="B92" s="32" t="s">
        <v>3187</v>
      </c>
      <c r="C92" s="48"/>
      <c r="D92" s="48"/>
      <c r="E92" s="34">
        <f t="shared" si="32"/>
        <v>0</v>
      </c>
      <c r="F92" s="35" t="s">
        <v>11</v>
      </c>
      <c r="G92" s="36"/>
      <c r="H92" s="37">
        <v>7212480</v>
      </c>
      <c r="I92" s="38">
        <f t="shared" si="33"/>
        <v>0</v>
      </c>
      <c r="J92" s="39">
        <f t="shared" si="34"/>
        <v>0</v>
      </c>
      <c r="K92" s="40">
        <f t="shared" si="35"/>
        <v>0</v>
      </c>
      <c r="L92" s="39">
        <f t="shared" si="36"/>
        <v>0</v>
      </c>
      <c r="M92" s="40">
        <f t="shared" si="37"/>
        <v>0</v>
      </c>
      <c r="N92" s="41">
        <f t="shared" si="38"/>
        <v>0</v>
      </c>
      <c r="O92" s="42"/>
      <c r="P92" s="41">
        <f t="shared" si="39"/>
        <v>0</v>
      </c>
      <c r="Q92" s="42">
        <f t="shared" si="40"/>
        <v>0</v>
      </c>
      <c r="R92" s="43">
        <f t="shared" si="41"/>
        <v>0</v>
      </c>
      <c r="S92" s="42">
        <f t="shared" si="42"/>
        <v>0</v>
      </c>
      <c r="T92" s="41">
        <f>SUM(Tabla2[[#This Row],[LNDV ]:[LNDV UND REF]])</f>
        <v>0</v>
      </c>
      <c r="U92" s="42">
        <f t="shared" si="43"/>
        <v>0</v>
      </c>
      <c r="V92" s="41">
        <f t="shared" si="44"/>
        <v>0</v>
      </c>
      <c r="W92" s="42"/>
      <c r="X92" s="41">
        <f t="shared" si="45"/>
        <v>0</v>
      </c>
      <c r="Y92" s="40"/>
      <c r="Z92" s="44">
        <f t="shared" si="46"/>
        <v>0</v>
      </c>
      <c r="AA92" s="35">
        <f t="shared" si="47"/>
        <v>0</v>
      </c>
      <c r="AD92" s="31"/>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c r="BC92" s="45"/>
      <c r="BD92" s="45"/>
      <c r="BE92" s="45"/>
      <c r="BF92" s="45"/>
      <c r="BG92" s="45"/>
      <c r="BH92" s="45"/>
      <c r="BI92" s="45"/>
      <c r="BJ92" s="45"/>
      <c r="BK92" s="45"/>
      <c r="BL92" s="45"/>
      <c r="BM92" s="45"/>
      <c r="BN92" s="45"/>
      <c r="BO92" s="45"/>
      <c r="BP92" s="45"/>
      <c r="BQ92" s="45"/>
      <c r="BR92" s="45"/>
      <c r="BS92" s="45"/>
      <c r="BT92" s="45"/>
      <c r="BU92" s="45"/>
      <c r="BV92" s="45"/>
      <c r="BW92" s="45"/>
      <c r="BX92" s="45"/>
      <c r="BY92" s="45"/>
      <c r="BZ92" s="45"/>
      <c r="CA92" s="45"/>
      <c r="CB92" s="45"/>
      <c r="CC92" s="45"/>
      <c r="CD92" s="45"/>
      <c r="CE92" s="46"/>
      <c r="CF92" s="46"/>
      <c r="CG92" s="45"/>
      <c r="CH92" s="15"/>
      <c r="CI92" s="47"/>
    </row>
    <row r="93" spans="1:87" ht="28.5" x14ac:dyDescent="0.2">
      <c r="A93" s="31">
        <v>91</v>
      </c>
      <c r="B93" s="32" t="s">
        <v>3188</v>
      </c>
      <c r="C93" s="48"/>
      <c r="D93" s="48"/>
      <c r="E93" s="34">
        <f t="shared" si="32"/>
        <v>0</v>
      </c>
      <c r="F93" s="35" t="s">
        <v>11</v>
      </c>
      <c r="G93" s="36"/>
      <c r="H93" s="37">
        <v>2404160</v>
      </c>
      <c r="I93" s="38">
        <f t="shared" si="33"/>
        <v>0</v>
      </c>
      <c r="J93" s="39">
        <f t="shared" si="34"/>
        <v>0</v>
      </c>
      <c r="K93" s="40">
        <f t="shared" si="35"/>
        <v>0</v>
      </c>
      <c r="L93" s="39">
        <f t="shared" si="36"/>
        <v>0</v>
      </c>
      <c r="M93" s="40">
        <f t="shared" si="37"/>
        <v>0</v>
      </c>
      <c r="N93" s="41">
        <f t="shared" si="38"/>
        <v>0</v>
      </c>
      <c r="O93" s="42"/>
      <c r="P93" s="41">
        <f t="shared" si="39"/>
        <v>0</v>
      </c>
      <c r="Q93" s="42">
        <f t="shared" si="40"/>
        <v>0</v>
      </c>
      <c r="R93" s="43">
        <f t="shared" si="41"/>
        <v>0</v>
      </c>
      <c r="S93" s="42">
        <f t="shared" si="42"/>
        <v>0</v>
      </c>
      <c r="T93" s="41">
        <f>SUM(Tabla2[[#This Row],[LNDV ]:[LNDV UND REF]])</f>
        <v>0</v>
      </c>
      <c r="U93" s="42">
        <f t="shared" si="43"/>
        <v>0</v>
      </c>
      <c r="V93" s="41">
        <f t="shared" si="44"/>
        <v>0</v>
      </c>
      <c r="W93" s="42"/>
      <c r="X93" s="41">
        <f t="shared" si="45"/>
        <v>0</v>
      </c>
      <c r="Y93" s="40"/>
      <c r="Z93" s="44">
        <f t="shared" si="46"/>
        <v>0</v>
      </c>
      <c r="AA93" s="35">
        <f t="shared" si="47"/>
        <v>0</v>
      </c>
      <c r="AD93" s="31"/>
      <c r="AE93" s="45"/>
      <c r="AF93" s="45"/>
      <c r="AG93" s="45"/>
      <c r="AH93" s="45"/>
      <c r="AI93" s="45"/>
      <c r="AJ93" s="45"/>
      <c r="AK93" s="45"/>
      <c r="AL93" s="45"/>
      <c r="AM93" s="45"/>
      <c r="AN93" s="45"/>
      <c r="AO93" s="45"/>
      <c r="AP93" s="45"/>
      <c r="AQ93" s="45"/>
      <c r="AR93" s="45"/>
      <c r="AS93" s="45"/>
      <c r="AT93" s="45"/>
      <c r="AU93" s="45"/>
      <c r="AV93" s="45"/>
      <c r="AW93" s="45"/>
      <c r="AX93" s="45"/>
      <c r="AY93" s="45"/>
      <c r="AZ93" s="45"/>
      <c r="BA93" s="45"/>
      <c r="BB93" s="45"/>
      <c r="BC93" s="45"/>
      <c r="BD93" s="45"/>
      <c r="BE93" s="45"/>
      <c r="BF93" s="45"/>
      <c r="BG93" s="45"/>
      <c r="BH93" s="45"/>
      <c r="BI93" s="45"/>
      <c r="BJ93" s="45"/>
      <c r="BK93" s="45"/>
      <c r="BL93" s="45"/>
      <c r="BM93" s="45"/>
      <c r="BN93" s="45"/>
      <c r="BO93" s="45"/>
      <c r="BP93" s="45"/>
      <c r="BQ93" s="45"/>
      <c r="BR93" s="45"/>
      <c r="BS93" s="45"/>
      <c r="BT93" s="45"/>
      <c r="BU93" s="45"/>
      <c r="BV93" s="45"/>
      <c r="BW93" s="45"/>
      <c r="BX93" s="45"/>
      <c r="BY93" s="45"/>
      <c r="BZ93" s="45"/>
      <c r="CA93" s="45"/>
      <c r="CB93" s="45"/>
      <c r="CC93" s="45"/>
      <c r="CD93" s="45"/>
      <c r="CE93" s="46"/>
      <c r="CF93" s="46"/>
      <c r="CG93" s="45"/>
      <c r="CH93" s="15"/>
      <c r="CI93" s="47"/>
    </row>
    <row r="94" spans="1:87" ht="42.75" x14ac:dyDescent="0.2">
      <c r="A94" s="31">
        <v>92</v>
      </c>
      <c r="B94" s="51" t="s">
        <v>3189</v>
      </c>
      <c r="C94" s="64" t="s">
        <v>1624</v>
      </c>
      <c r="D94" s="64" t="s">
        <v>3190</v>
      </c>
      <c r="E94" s="34">
        <f t="shared" si="32"/>
        <v>0</v>
      </c>
      <c r="F94" s="35" t="s">
        <v>11</v>
      </c>
      <c r="G94" s="36" t="s">
        <v>2963</v>
      </c>
      <c r="H94" s="37">
        <v>647803438.55359995</v>
      </c>
      <c r="I94" s="38">
        <f t="shared" si="33"/>
        <v>0</v>
      </c>
      <c r="J94" s="39">
        <f t="shared" si="34"/>
        <v>0</v>
      </c>
      <c r="K94" s="40">
        <f t="shared" si="35"/>
        <v>0</v>
      </c>
      <c r="L94" s="39">
        <f t="shared" si="36"/>
        <v>0</v>
      </c>
      <c r="M94" s="40">
        <f t="shared" si="37"/>
        <v>0</v>
      </c>
      <c r="N94" s="41">
        <f t="shared" si="38"/>
        <v>0</v>
      </c>
      <c r="O94" s="42">
        <f>IFERROR(N94*H94," ")</f>
        <v>0</v>
      </c>
      <c r="P94" s="41">
        <f t="shared" si="39"/>
        <v>0</v>
      </c>
      <c r="Q94" s="42">
        <f t="shared" si="40"/>
        <v>0</v>
      </c>
      <c r="R94" s="43">
        <f t="shared" si="41"/>
        <v>0</v>
      </c>
      <c r="S94" s="42">
        <f t="shared" si="42"/>
        <v>0</v>
      </c>
      <c r="T94" s="41">
        <f>SUM(Tabla2[[#This Row],[LNDV ]:[LNDV UND REF]])</f>
        <v>0</v>
      </c>
      <c r="U94" s="42">
        <f t="shared" si="43"/>
        <v>0</v>
      </c>
      <c r="V94" s="41">
        <f t="shared" si="44"/>
        <v>0</v>
      </c>
      <c r="W94" s="42">
        <f>IFERROR(V94*H94," ")</f>
        <v>0</v>
      </c>
      <c r="X94" s="41">
        <f t="shared" si="45"/>
        <v>0</v>
      </c>
      <c r="Y94" s="40">
        <f>IFERROR(X94*H94," ")</f>
        <v>0</v>
      </c>
      <c r="Z94" s="44">
        <f t="shared" si="46"/>
        <v>0</v>
      </c>
      <c r="AA94" s="35">
        <f t="shared" si="47"/>
        <v>0</v>
      </c>
      <c r="AD94" s="31"/>
      <c r="AE94" s="45"/>
      <c r="AF94" s="45"/>
      <c r="AG94" s="45"/>
      <c r="AH94" s="45"/>
      <c r="AI94" s="45"/>
      <c r="AJ94" s="45"/>
      <c r="AK94" s="45"/>
      <c r="AL94" s="45"/>
      <c r="AM94" s="45"/>
      <c r="AN94" s="45"/>
      <c r="AO94" s="45"/>
      <c r="AP94" s="45"/>
      <c r="AQ94" s="45"/>
      <c r="AR94" s="45"/>
      <c r="AS94" s="45"/>
      <c r="AT94" s="45"/>
      <c r="AU94" s="45"/>
      <c r="AV94" s="45"/>
      <c r="AW94" s="45"/>
      <c r="AX94" s="45"/>
      <c r="AY94" s="45"/>
      <c r="AZ94" s="45"/>
      <c r="BA94" s="45"/>
      <c r="BB94" s="45"/>
      <c r="BC94" s="45"/>
      <c r="BD94" s="45"/>
      <c r="BE94" s="45"/>
      <c r="BF94" s="45"/>
      <c r="BG94" s="45"/>
      <c r="BH94" s="45"/>
      <c r="BI94" s="45"/>
      <c r="BJ94" s="45"/>
      <c r="BK94" s="45"/>
      <c r="BL94" s="45"/>
      <c r="BM94" s="45"/>
      <c r="BN94" s="45"/>
      <c r="BO94" s="45"/>
      <c r="BP94" s="45"/>
      <c r="BQ94" s="45"/>
      <c r="BR94" s="45"/>
      <c r="BS94" s="45"/>
      <c r="BT94" s="45"/>
      <c r="BU94" s="45"/>
      <c r="BV94" s="45"/>
      <c r="BW94" s="45"/>
      <c r="BX94" s="45"/>
      <c r="BY94" s="45"/>
      <c r="BZ94" s="45"/>
      <c r="CA94" s="45"/>
      <c r="CB94" s="45"/>
      <c r="CC94" s="45"/>
      <c r="CD94" s="45"/>
      <c r="CE94" s="46"/>
      <c r="CF94" s="46"/>
      <c r="CG94" s="45"/>
      <c r="CH94" s="15"/>
      <c r="CI94" s="47"/>
    </row>
    <row r="95" spans="1:87" ht="28.5" x14ac:dyDescent="0.2">
      <c r="A95" s="31">
        <v>93</v>
      </c>
      <c r="B95" s="51" t="s">
        <v>3191</v>
      </c>
      <c r="C95" s="64" t="s">
        <v>3192</v>
      </c>
      <c r="D95" s="64">
        <v>12009077</v>
      </c>
      <c r="E95" s="34">
        <f t="shared" si="32"/>
        <v>1</v>
      </c>
      <c r="F95" s="35" t="s">
        <v>11</v>
      </c>
      <c r="G95" s="36" t="s">
        <v>2964</v>
      </c>
      <c r="H95" s="37">
        <v>113462692</v>
      </c>
      <c r="I95" s="38">
        <f t="shared" si="33"/>
        <v>113462692</v>
      </c>
      <c r="J95" s="39">
        <f t="shared" si="34"/>
        <v>1</v>
      </c>
      <c r="K95" s="40">
        <f t="shared" si="35"/>
        <v>113462692</v>
      </c>
      <c r="L95" s="39">
        <f t="shared" si="36"/>
        <v>0</v>
      </c>
      <c r="M95" s="40">
        <f t="shared" si="37"/>
        <v>0</v>
      </c>
      <c r="N95" s="41">
        <f t="shared" si="38"/>
        <v>0</v>
      </c>
      <c r="O95" s="42">
        <f>IFERROR(N95*H95," ")</f>
        <v>0</v>
      </c>
      <c r="P95" s="41">
        <f t="shared" si="39"/>
        <v>0</v>
      </c>
      <c r="Q95" s="42">
        <f t="shared" si="40"/>
        <v>0</v>
      </c>
      <c r="R95" s="43">
        <f t="shared" si="41"/>
        <v>0</v>
      </c>
      <c r="S95" s="42">
        <f t="shared" si="42"/>
        <v>0</v>
      </c>
      <c r="T95" s="41">
        <f>SUM(Tabla2[[#This Row],[LNDV ]:[LNDV UND REF]])</f>
        <v>0</v>
      </c>
      <c r="U95" s="42">
        <f t="shared" si="43"/>
        <v>0</v>
      </c>
      <c r="V95" s="41">
        <f t="shared" si="44"/>
        <v>0</v>
      </c>
      <c r="W95" s="42">
        <f>IFERROR(V95*H95," ")</f>
        <v>0</v>
      </c>
      <c r="X95" s="41">
        <f t="shared" si="45"/>
        <v>0</v>
      </c>
      <c r="Y95" s="40">
        <f>IFERROR(X95*H95," ")</f>
        <v>0</v>
      </c>
      <c r="Z95" s="44">
        <f t="shared" si="46"/>
        <v>0</v>
      </c>
      <c r="AA95" s="35">
        <f t="shared" si="47"/>
        <v>0</v>
      </c>
      <c r="AD95" s="31"/>
      <c r="AE95" s="45"/>
      <c r="AF95" s="45"/>
      <c r="AG95" s="45"/>
      <c r="AH95" s="45"/>
      <c r="AI95" s="45"/>
      <c r="AJ95" s="45">
        <v>1</v>
      </c>
      <c r="AK95" s="45"/>
      <c r="AL95" s="45"/>
      <c r="AM95" s="45"/>
      <c r="AN95" s="45"/>
      <c r="AO95" s="45"/>
      <c r="AP95" s="45"/>
      <c r="AQ95" s="45"/>
      <c r="AR95" s="45"/>
      <c r="AS95" s="45"/>
      <c r="AT95" s="45"/>
      <c r="AU95" s="45"/>
      <c r="AV95" s="45"/>
      <c r="AW95" s="45"/>
      <c r="AX95" s="45"/>
      <c r="AY95" s="45"/>
      <c r="AZ95" s="45"/>
      <c r="BA95" s="45"/>
      <c r="BB95" s="45"/>
      <c r="BC95" s="45"/>
      <c r="BD95" s="45"/>
      <c r="BE95" s="45"/>
      <c r="BF95" s="45"/>
      <c r="BG95" s="45"/>
      <c r="BH95" s="45"/>
      <c r="BI95" s="45"/>
      <c r="BJ95" s="45"/>
      <c r="BK95" s="45"/>
      <c r="BL95" s="45"/>
      <c r="BM95" s="45"/>
      <c r="BN95" s="45"/>
      <c r="BO95" s="45"/>
      <c r="BP95" s="45"/>
      <c r="BQ95" s="45"/>
      <c r="BR95" s="45"/>
      <c r="BS95" s="45"/>
      <c r="BT95" s="45"/>
      <c r="BU95" s="45"/>
      <c r="BV95" s="45"/>
      <c r="BW95" s="45"/>
      <c r="BX95" s="45"/>
      <c r="BY95" s="45"/>
      <c r="BZ95" s="45"/>
      <c r="CA95" s="45"/>
      <c r="CB95" s="45"/>
      <c r="CC95" s="45"/>
      <c r="CD95" s="45"/>
      <c r="CE95" s="46"/>
      <c r="CF95" s="46"/>
      <c r="CG95" s="45"/>
      <c r="CH95" s="15"/>
      <c r="CI95" s="47"/>
    </row>
    <row r="96" spans="1:87" ht="57" x14ac:dyDescent="0.2">
      <c r="A96" s="31">
        <v>94</v>
      </c>
      <c r="B96" s="51" t="s">
        <v>3193</v>
      </c>
      <c r="C96" s="64" t="s">
        <v>3192</v>
      </c>
      <c r="D96" s="64" t="s">
        <v>3194</v>
      </c>
      <c r="E96" s="34">
        <f t="shared" si="32"/>
        <v>5</v>
      </c>
      <c r="F96" s="35" t="s">
        <v>11</v>
      </c>
      <c r="G96" s="36" t="s">
        <v>2964</v>
      </c>
      <c r="H96" s="37">
        <v>14239730.4</v>
      </c>
      <c r="I96" s="38">
        <f t="shared" si="33"/>
        <v>71198652</v>
      </c>
      <c r="J96" s="39">
        <f t="shared" si="34"/>
        <v>4</v>
      </c>
      <c r="K96" s="40">
        <f t="shared" si="35"/>
        <v>56958921.600000001</v>
      </c>
      <c r="L96" s="39">
        <f t="shared" si="36"/>
        <v>1</v>
      </c>
      <c r="M96" s="40">
        <f t="shared" si="37"/>
        <v>14239730.4</v>
      </c>
      <c r="N96" s="41">
        <f t="shared" si="38"/>
        <v>0</v>
      </c>
      <c r="O96" s="42">
        <f>IFERROR(N96*H96," ")</f>
        <v>0</v>
      </c>
      <c r="P96" s="41">
        <f t="shared" si="39"/>
        <v>0</v>
      </c>
      <c r="Q96" s="42">
        <f t="shared" si="40"/>
        <v>0</v>
      </c>
      <c r="R96" s="43">
        <f t="shared" si="41"/>
        <v>0</v>
      </c>
      <c r="S96" s="42">
        <f t="shared" si="42"/>
        <v>0</v>
      </c>
      <c r="T96" s="41">
        <f>SUM(Tabla2[[#This Row],[LNDV ]:[LNDV UND REF]])</f>
        <v>0</v>
      </c>
      <c r="U96" s="42">
        <f t="shared" si="43"/>
        <v>0</v>
      </c>
      <c r="V96" s="41">
        <f t="shared" si="44"/>
        <v>0</v>
      </c>
      <c r="W96" s="42">
        <f>IFERROR(V96*H96," ")</f>
        <v>0</v>
      </c>
      <c r="X96" s="41">
        <f t="shared" si="45"/>
        <v>0</v>
      </c>
      <c r="Y96" s="40">
        <f>IFERROR(X96*H96," ")</f>
        <v>0</v>
      </c>
      <c r="Z96" s="44">
        <f t="shared" si="46"/>
        <v>0</v>
      </c>
      <c r="AA96" s="35">
        <f t="shared" si="47"/>
        <v>0</v>
      </c>
      <c r="AD96" s="31"/>
      <c r="AE96" s="45"/>
      <c r="AF96" s="45">
        <v>1</v>
      </c>
      <c r="AG96" s="45"/>
      <c r="AH96" s="45"/>
      <c r="AI96" s="45"/>
      <c r="AJ96" s="45">
        <v>1</v>
      </c>
      <c r="AK96" s="45">
        <v>1</v>
      </c>
      <c r="AL96" s="45"/>
      <c r="AM96" s="45"/>
      <c r="AN96" s="45"/>
      <c r="AO96" s="45"/>
      <c r="AP96" s="45">
        <v>1</v>
      </c>
      <c r="AQ96" s="45"/>
      <c r="AR96" s="45"/>
      <c r="AS96" s="45">
        <v>1</v>
      </c>
      <c r="AT96" s="45"/>
      <c r="AU96" s="45"/>
      <c r="AV96" s="45"/>
      <c r="AW96" s="45"/>
      <c r="AX96" s="45"/>
      <c r="AY96" s="45"/>
      <c r="AZ96" s="45"/>
      <c r="BA96" s="45"/>
      <c r="BB96" s="45"/>
      <c r="BC96" s="45"/>
      <c r="BD96" s="45"/>
      <c r="BE96" s="45"/>
      <c r="BF96" s="45"/>
      <c r="BG96" s="45"/>
      <c r="BH96" s="45"/>
      <c r="BI96" s="45"/>
      <c r="BJ96" s="45"/>
      <c r="BK96" s="45"/>
      <c r="BL96" s="45"/>
      <c r="BM96" s="45"/>
      <c r="BN96" s="45"/>
      <c r="BO96" s="45"/>
      <c r="BP96" s="45"/>
      <c r="BQ96" s="45"/>
      <c r="BR96" s="45"/>
      <c r="BS96" s="45"/>
      <c r="BT96" s="45"/>
      <c r="BU96" s="45"/>
      <c r="BV96" s="45"/>
      <c r="BW96" s="45"/>
      <c r="BX96" s="45"/>
      <c r="BY96" s="45"/>
      <c r="BZ96" s="45"/>
      <c r="CA96" s="45"/>
      <c r="CB96" s="45"/>
      <c r="CC96" s="45"/>
      <c r="CD96" s="45"/>
      <c r="CE96" s="46"/>
      <c r="CF96" s="46"/>
      <c r="CG96" s="45"/>
      <c r="CH96" s="15"/>
      <c r="CI96" s="47"/>
    </row>
    <row r="97" spans="1:87" ht="14.25" x14ac:dyDescent="0.2">
      <c r="A97" s="31">
        <v>95</v>
      </c>
      <c r="B97" s="32" t="s">
        <v>3195</v>
      </c>
      <c r="C97" s="48"/>
      <c r="D97" s="48"/>
      <c r="E97" s="34">
        <f t="shared" si="32"/>
        <v>0</v>
      </c>
      <c r="F97" s="35" t="s">
        <v>11</v>
      </c>
      <c r="G97" s="36"/>
      <c r="H97" s="37">
        <v>204353600</v>
      </c>
      <c r="I97" s="38">
        <f t="shared" si="33"/>
        <v>0</v>
      </c>
      <c r="J97" s="39">
        <f t="shared" si="34"/>
        <v>0</v>
      </c>
      <c r="K97" s="40">
        <f t="shared" si="35"/>
        <v>0</v>
      </c>
      <c r="L97" s="39">
        <f t="shared" si="36"/>
        <v>0</v>
      </c>
      <c r="M97" s="40">
        <f t="shared" si="37"/>
        <v>0</v>
      </c>
      <c r="N97" s="41">
        <f t="shared" si="38"/>
        <v>0</v>
      </c>
      <c r="O97" s="42"/>
      <c r="P97" s="41">
        <f t="shared" si="39"/>
        <v>0</v>
      </c>
      <c r="Q97" s="42">
        <f t="shared" si="40"/>
        <v>0</v>
      </c>
      <c r="R97" s="43">
        <f t="shared" si="41"/>
        <v>0</v>
      </c>
      <c r="S97" s="42">
        <f t="shared" si="42"/>
        <v>0</v>
      </c>
      <c r="T97" s="41">
        <f>SUM(Tabla2[[#This Row],[LNDV ]:[LNDV UND REF]])</f>
        <v>0</v>
      </c>
      <c r="U97" s="42">
        <f t="shared" si="43"/>
        <v>0</v>
      </c>
      <c r="V97" s="41">
        <f t="shared" si="44"/>
        <v>0</v>
      </c>
      <c r="W97" s="42"/>
      <c r="X97" s="41">
        <f t="shared" si="45"/>
        <v>0</v>
      </c>
      <c r="Y97" s="40"/>
      <c r="Z97" s="44">
        <f t="shared" si="46"/>
        <v>0</v>
      </c>
      <c r="AA97" s="35">
        <f t="shared" si="47"/>
        <v>0</v>
      </c>
      <c r="AD97" s="31"/>
      <c r="AE97" s="45"/>
      <c r="AF97" s="45"/>
      <c r="AG97" s="45"/>
      <c r="AH97" s="45"/>
      <c r="AI97" s="45"/>
      <c r="AJ97" s="45"/>
      <c r="AK97" s="45"/>
      <c r="AL97" s="45"/>
      <c r="AM97" s="45"/>
      <c r="AN97" s="45"/>
      <c r="AO97" s="45"/>
      <c r="AP97" s="45"/>
      <c r="AQ97" s="45"/>
      <c r="AR97" s="45"/>
      <c r="AS97" s="45"/>
      <c r="AT97" s="45"/>
      <c r="AU97" s="45"/>
      <c r="AV97" s="45"/>
      <c r="AW97" s="45"/>
      <c r="AX97" s="45"/>
      <c r="AY97" s="45"/>
      <c r="AZ97" s="45"/>
      <c r="BA97" s="45"/>
      <c r="BB97" s="45"/>
      <c r="BC97" s="45"/>
      <c r="BD97" s="45"/>
      <c r="BE97" s="45"/>
      <c r="BF97" s="45"/>
      <c r="BG97" s="45"/>
      <c r="BH97" s="45"/>
      <c r="BI97" s="45"/>
      <c r="BJ97" s="45"/>
      <c r="BK97" s="45"/>
      <c r="BL97" s="45"/>
      <c r="BM97" s="45"/>
      <c r="BN97" s="45"/>
      <c r="BO97" s="45"/>
      <c r="BP97" s="45"/>
      <c r="BQ97" s="45"/>
      <c r="BR97" s="45"/>
      <c r="BS97" s="45"/>
      <c r="BT97" s="45"/>
      <c r="BU97" s="45"/>
      <c r="BV97" s="45"/>
      <c r="BW97" s="45"/>
      <c r="BX97" s="45"/>
      <c r="BY97" s="45"/>
      <c r="BZ97" s="45"/>
      <c r="CA97" s="45"/>
      <c r="CB97" s="45"/>
      <c r="CC97" s="45"/>
      <c r="CD97" s="45"/>
      <c r="CE97" s="46"/>
      <c r="CF97" s="46"/>
      <c r="CG97" s="45"/>
      <c r="CH97" s="15"/>
      <c r="CI97" s="47"/>
    </row>
    <row r="98" spans="1:87" ht="96" x14ac:dyDescent="0.2">
      <c r="A98" s="31">
        <v>96</v>
      </c>
      <c r="B98" s="51" t="s">
        <v>3196</v>
      </c>
      <c r="C98" s="49" t="s">
        <v>682</v>
      </c>
      <c r="D98" s="49" t="s">
        <v>3197</v>
      </c>
      <c r="E98" s="34">
        <f t="shared" si="32"/>
        <v>2</v>
      </c>
      <c r="F98" s="35" t="s">
        <v>11</v>
      </c>
      <c r="G98" s="36" t="s">
        <v>2965</v>
      </c>
      <c r="H98" s="37">
        <v>65541772.799999997</v>
      </c>
      <c r="I98" s="38">
        <f t="shared" si="33"/>
        <v>131083545.59999999</v>
      </c>
      <c r="J98" s="39">
        <f t="shared" si="34"/>
        <v>0</v>
      </c>
      <c r="K98" s="40">
        <f t="shared" si="35"/>
        <v>0</v>
      </c>
      <c r="L98" s="39">
        <f t="shared" si="36"/>
        <v>1</v>
      </c>
      <c r="M98" s="40">
        <f t="shared" si="37"/>
        <v>65541772.799999997</v>
      </c>
      <c r="N98" s="41">
        <f t="shared" si="38"/>
        <v>0</v>
      </c>
      <c r="O98" s="42">
        <f>IFERROR(N98*H98," ")</f>
        <v>0</v>
      </c>
      <c r="P98" s="41">
        <f t="shared" si="39"/>
        <v>0</v>
      </c>
      <c r="Q98" s="42">
        <f t="shared" si="40"/>
        <v>0</v>
      </c>
      <c r="R98" s="43">
        <f t="shared" si="41"/>
        <v>1</v>
      </c>
      <c r="S98" s="42">
        <f t="shared" si="42"/>
        <v>65541772.799999997</v>
      </c>
      <c r="T98" s="41">
        <f>SUM(Tabla2[[#This Row],[LNDV ]:[LNDV UND REF]])</f>
        <v>0</v>
      </c>
      <c r="U98" s="42">
        <f t="shared" si="43"/>
        <v>0</v>
      </c>
      <c r="V98" s="41">
        <f t="shared" si="44"/>
        <v>0</v>
      </c>
      <c r="W98" s="42">
        <f>IFERROR(V98*H98," ")</f>
        <v>0</v>
      </c>
      <c r="X98" s="41">
        <f t="shared" si="45"/>
        <v>0</v>
      </c>
      <c r="Y98" s="40">
        <f>IFERROR(X98*H98," ")</f>
        <v>0</v>
      </c>
      <c r="Z98" s="44">
        <f t="shared" si="46"/>
        <v>0</v>
      </c>
      <c r="AA98" s="35">
        <f t="shared" si="47"/>
        <v>0</v>
      </c>
      <c r="AD98" s="31"/>
      <c r="AE98" s="45"/>
      <c r="AF98" s="45"/>
      <c r="AG98" s="45"/>
      <c r="AH98" s="45"/>
      <c r="AI98" s="45"/>
      <c r="AJ98" s="45"/>
      <c r="AK98" s="45"/>
      <c r="AL98" s="45"/>
      <c r="AM98" s="45"/>
      <c r="AN98" s="45"/>
      <c r="AO98" s="45"/>
      <c r="AP98" s="45"/>
      <c r="AQ98" s="45"/>
      <c r="AR98" s="45"/>
      <c r="AS98" s="45"/>
      <c r="AT98" s="45"/>
      <c r="AU98" s="45"/>
      <c r="AV98" s="45">
        <v>1</v>
      </c>
      <c r="AW98" s="45"/>
      <c r="AX98" s="45"/>
      <c r="AY98" s="45"/>
      <c r="AZ98" s="45"/>
      <c r="BA98" s="45"/>
      <c r="BB98" s="45"/>
      <c r="BC98" s="45"/>
      <c r="BD98" s="45"/>
      <c r="BE98" s="45"/>
      <c r="BF98" s="45"/>
      <c r="BG98" s="45"/>
      <c r="BH98" s="45"/>
      <c r="BI98" s="45"/>
      <c r="BJ98" s="45"/>
      <c r="BK98" s="45"/>
      <c r="BL98" s="45"/>
      <c r="BM98" s="45"/>
      <c r="BN98" s="45"/>
      <c r="BO98" s="45"/>
      <c r="BP98" s="45"/>
      <c r="BQ98" s="45"/>
      <c r="BR98" s="45"/>
      <c r="BS98" s="45"/>
      <c r="BT98" s="45"/>
      <c r="BU98" s="45"/>
      <c r="BV98" s="45"/>
      <c r="BW98" s="45"/>
      <c r="BX98" s="45"/>
      <c r="BY98" s="45"/>
      <c r="BZ98" s="45"/>
      <c r="CA98" s="45"/>
      <c r="CB98" s="45">
        <v>1</v>
      </c>
      <c r="CC98" s="45"/>
      <c r="CD98" s="45"/>
      <c r="CE98" s="46"/>
      <c r="CF98" s="46"/>
      <c r="CG98" s="45"/>
      <c r="CH98" s="15"/>
      <c r="CI98" s="47"/>
    </row>
    <row r="99" spans="1:87" ht="42.75" x14ac:dyDescent="0.2">
      <c r="A99" s="31">
        <v>97</v>
      </c>
      <c r="B99" s="32" t="s">
        <v>3198</v>
      </c>
      <c r="C99" s="48"/>
      <c r="D99" s="48"/>
      <c r="E99" s="34">
        <f t="shared" ref="E99:E112" si="51">SUM(J99+L99+N99+P99+R99+T99+V99+X99+Z99)</f>
        <v>0</v>
      </c>
      <c r="F99" s="35" t="s">
        <v>11</v>
      </c>
      <c r="G99" s="36"/>
      <c r="H99" s="37">
        <v>144249600</v>
      </c>
      <c r="I99" s="38">
        <f t="shared" ref="I99:I119" si="52">IFERROR(E99*H99," ")</f>
        <v>0</v>
      </c>
      <c r="J99" s="39">
        <f t="shared" ref="J99:J119" si="53">+SUM(AD99:AQ99)</f>
        <v>0</v>
      </c>
      <c r="K99" s="40">
        <f t="shared" ref="K99:K119" si="54">+H99*J99</f>
        <v>0</v>
      </c>
      <c r="L99" s="39">
        <f t="shared" ref="L99:L119" si="55">SUM(AS99:AW99)</f>
        <v>0</v>
      </c>
      <c r="M99" s="40">
        <f t="shared" ref="M99:M119" si="56">IFERROR(L99*H99," ")</f>
        <v>0</v>
      </c>
      <c r="N99" s="41">
        <f t="shared" ref="N99:N119" si="57">AR99</f>
        <v>0</v>
      </c>
      <c r="O99" s="42"/>
      <c r="P99" s="41">
        <f t="shared" ref="P99:P119" si="58">SUM(AX99:BC99)</f>
        <v>0</v>
      </c>
      <c r="Q99" s="42">
        <f t="shared" ref="Q99:Q119" si="59">IFERROR(P99*H99," ")</f>
        <v>0</v>
      </c>
      <c r="R99" s="43">
        <f t="shared" ref="R99:R119" si="60">SUM(BD99:CC99)</f>
        <v>0</v>
      </c>
      <c r="S99" s="42">
        <f t="shared" ref="S99:S119" si="61">IFERROR(R99*H99," ")</f>
        <v>0</v>
      </c>
      <c r="T99" s="41">
        <f>SUM(Tabla2[[#This Row],[LNDV ]:[LNDV UND REF]])</f>
        <v>0</v>
      </c>
      <c r="U99" s="42">
        <f t="shared" ref="U99:U119" si="62">IFERROR(T99*H99," ")</f>
        <v>0</v>
      </c>
      <c r="V99" s="41">
        <f t="shared" ref="V99:V119" si="63">CF99</f>
        <v>0</v>
      </c>
      <c r="W99" s="42"/>
      <c r="X99" s="41">
        <f t="shared" ref="X99:X119" si="64">SUM(CG99:CH99)</f>
        <v>0</v>
      </c>
      <c r="Y99" s="40"/>
      <c r="Z99" s="44">
        <f t="shared" ref="Z99:Z119" si="65">CI99</f>
        <v>0</v>
      </c>
      <c r="AA99" s="35">
        <f t="shared" ref="AA99:AA119" si="66">+Z99*H99</f>
        <v>0</v>
      </c>
      <c r="AD99" s="31"/>
      <c r="AE99" s="45"/>
      <c r="AF99" s="45"/>
      <c r="AG99" s="45"/>
      <c r="AH99" s="45"/>
      <c r="AI99" s="45"/>
      <c r="AJ99" s="45"/>
      <c r="AK99" s="45"/>
      <c r="AL99" s="45"/>
      <c r="AM99" s="45"/>
      <c r="AN99" s="45"/>
      <c r="AO99" s="45"/>
      <c r="AP99" s="45"/>
      <c r="AQ99" s="45"/>
      <c r="AR99" s="45"/>
      <c r="AS99" s="45"/>
      <c r="AT99" s="45"/>
      <c r="AU99" s="45"/>
      <c r="AV99" s="45"/>
      <c r="AW99" s="45"/>
      <c r="AX99" s="45"/>
      <c r="AY99" s="45"/>
      <c r="AZ99" s="45"/>
      <c r="BA99" s="45"/>
      <c r="BB99" s="45"/>
      <c r="BC99" s="45"/>
      <c r="BD99" s="45"/>
      <c r="BE99" s="45"/>
      <c r="BF99" s="45"/>
      <c r="BG99" s="45"/>
      <c r="BH99" s="45"/>
      <c r="BI99" s="45"/>
      <c r="BJ99" s="45"/>
      <c r="BK99" s="45"/>
      <c r="BL99" s="45"/>
      <c r="BM99" s="45"/>
      <c r="BN99" s="45"/>
      <c r="BO99" s="45"/>
      <c r="BP99" s="45"/>
      <c r="BQ99" s="45"/>
      <c r="BR99" s="45"/>
      <c r="BS99" s="45"/>
      <c r="BT99" s="45"/>
      <c r="BU99" s="45"/>
      <c r="BV99" s="45"/>
      <c r="BW99" s="45"/>
      <c r="BX99" s="45"/>
      <c r="BY99" s="45"/>
      <c r="BZ99" s="45"/>
      <c r="CA99" s="45"/>
      <c r="CB99" s="45"/>
      <c r="CC99" s="45"/>
      <c r="CD99" s="45"/>
      <c r="CE99" s="46"/>
      <c r="CF99" s="46"/>
      <c r="CG99" s="45"/>
      <c r="CH99" s="15"/>
      <c r="CI99" s="47"/>
    </row>
    <row r="100" spans="1:87" ht="28.5" x14ac:dyDescent="0.2">
      <c r="A100" s="31">
        <v>98</v>
      </c>
      <c r="B100" s="32" t="s">
        <v>3199</v>
      </c>
      <c r="C100" s="48"/>
      <c r="D100" s="48"/>
      <c r="E100" s="34">
        <f t="shared" si="51"/>
        <v>0</v>
      </c>
      <c r="F100" s="35" t="s">
        <v>11</v>
      </c>
      <c r="G100" s="36"/>
      <c r="H100" s="37">
        <v>2732000000</v>
      </c>
      <c r="I100" s="38">
        <f t="shared" si="52"/>
        <v>0</v>
      </c>
      <c r="J100" s="39">
        <f t="shared" si="53"/>
        <v>0</v>
      </c>
      <c r="K100" s="40">
        <f t="shared" si="54"/>
        <v>0</v>
      </c>
      <c r="L100" s="39">
        <f t="shared" si="55"/>
        <v>0</v>
      </c>
      <c r="M100" s="40">
        <f t="shared" si="56"/>
        <v>0</v>
      </c>
      <c r="N100" s="41">
        <f t="shared" si="57"/>
        <v>0</v>
      </c>
      <c r="O100" s="42"/>
      <c r="P100" s="41">
        <f t="shared" si="58"/>
        <v>0</v>
      </c>
      <c r="Q100" s="42">
        <f t="shared" si="59"/>
        <v>0</v>
      </c>
      <c r="R100" s="43">
        <f t="shared" si="60"/>
        <v>0</v>
      </c>
      <c r="S100" s="42">
        <f t="shared" si="61"/>
        <v>0</v>
      </c>
      <c r="T100" s="41">
        <f>SUM(Tabla2[[#This Row],[LNDV ]:[LNDV UND REF]])</f>
        <v>0</v>
      </c>
      <c r="U100" s="42">
        <f t="shared" si="62"/>
        <v>0</v>
      </c>
      <c r="V100" s="41">
        <f t="shared" si="63"/>
        <v>0</v>
      </c>
      <c r="W100" s="42"/>
      <c r="X100" s="41">
        <f t="shared" si="64"/>
        <v>0</v>
      </c>
      <c r="Y100" s="40"/>
      <c r="Z100" s="44">
        <f t="shared" si="65"/>
        <v>0</v>
      </c>
      <c r="AA100" s="35">
        <f t="shared" si="66"/>
        <v>0</v>
      </c>
      <c r="AD100" s="31"/>
      <c r="AE100" s="45"/>
      <c r="AF100" s="45"/>
      <c r="AG100" s="45"/>
      <c r="AH100" s="45"/>
      <c r="AI100" s="45"/>
      <c r="AJ100" s="45"/>
      <c r="AK100" s="45"/>
      <c r="AL100" s="45"/>
      <c r="AM100" s="45"/>
      <c r="AN100" s="45"/>
      <c r="AO100" s="45"/>
      <c r="AP100" s="45"/>
      <c r="AQ100" s="45"/>
      <c r="AR100" s="45"/>
      <c r="AS100" s="45"/>
      <c r="AT100" s="45"/>
      <c r="AU100" s="45"/>
      <c r="AV100" s="45"/>
      <c r="AW100" s="45"/>
      <c r="AX100" s="45"/>
      <c r="AY100" s="45"/>
      <c r="AZ100" s="45"/>
      <c r="BA100" s="45"/>
      <c r="BB100" s="45"/>
      <c r="BC100" s="45"/>
      <c r="BD100" s="45"/>
      <c r="BE100" s="45"/>
      <c r="BF100" s="45"/>
      <c r="BG100" s="45"/>
      <c r="BH100" s="45"/>
      <c r="BI100" s="45"/>
      <c r="BJ100" s="45"/>
      <c r="BK100" s="45"/>
      <c r="BL100" s="45"/>
      <c r="BM100" s="45"/>
      <c r="BN100" s="45"/>
      <c r="BO100" s="45"/>
      <c r="BP100" s="45"/>
      <c r="BQ100" s="45"/>
      <c r="BR100" s="45"/>
      <c r="BS100" s="45"/>
      <c r="BT100" s="45"/>
      <c r="BU100" s="45"/>
      <c r="BV100" s="45"/>
      <c r="BW100" s="45"/>
      <c r="BX100" s="45"/>
      <c r="BY100" s="45"/>
      <c r="BZ100" s="45"/>
      <c r="CA100" s="45"/>
      <c r="CB100" s="45"/>
      <c r="CC100" s="45"/>
      <c r="CD100" s="45"/>
      <c r="CE100" s="46"/>
      <c r="CF100" s="46"/>
      <c r="CG100" s="45"/>
      <c r="CH100" s="15"/>
      <c r="CI100" s="47"/>
    </row>
    <row r="101" spans="1:87" ht="28.5" x14ac:dyDescent="0.2">
      <c r="A101" s="31">
        <v>99</v>
      </c>
      <c r="B101" s="51" t="s">
        <v>3200</v>
      </c>
      <c r="C101" s="64" t="s">
        <v>3201</v>
      </c>
      <c r="D101" s="64" t="s">
        <v>3202</v>
      </c>
      <c r="E101" s="34">
        <f t="shared" si="51"/>
        <v>0</v>
      </c>
      <c r="F101" s="35" t="s">
        <v>11</v>
      </c>
      <c r="G101" s="36" t="s">
        <v>2963</v>
      </c>
      <c r="H101" s="37">
        <v>326863583.19999999</v>
      </c>
      <c r="I101" s="38">
        <f t="shared" si="52"/>
        <v>0</v>
      </c>
      <c r="J101" s="39">
        <f t="shared" si="53"/>
        <v>0</v>
      </c>
      <c r="K101" s="40">
        <f t="shared" si="54"/>
        <v>0</v>
      </c>
      <c r="L101" s="39">
        <f t="shared" si="55"/>
        <v>0</v>
      </c>
      <c r="M101" s="40">
        <f t="shared" si="56"/>
        <v>0</v>
      </c>
      <c r="N101" s="41">
        <f t="shared" si="57"/>
        <v>0</v>
      </c>
      <c r="O101" s="42">
        <f>IFERROR(N101*H101," ")</f>
        <v>0</v>
      </c>
      <c r="P101" s="41">
        <f t="shared" si="58"/>
        <v>0</v>
      </c>
      <c r="Q101" s="42">
        <f t="shared" si="59"/>
        <v>0</v>
      </c>
      <c r="R101" s="43">
        <f t="shared" si="60"/>
        <v>0</v>
      </c>
      <c r="S101" s="42">
        <f t="shared" si="61"/>
        <v>0</v>
      </c>
      <c r="T101" s="41">
        <f>SUM(Tabla2[[#This Row],[LNDV ]:[LNDV UND REF]])</f>
        <v>0</v>
      </c>
      <c r="U101" s="42">
        <f t="shared" si="62"/>
        <v>0</v>
      </c>
      <c r="V101" s="41">
        <f t="shared" si="63"/>
        <v>0</v>
      </c>
      <c r="W101" s="42">
        <f>IFERROR(V101*H101," ")</f>
        <v>0</v>
      </c>
      <c r="X101" s="41">
        <f t="shared" si="64"/>
        <v>0</v>
      </c>
      <c r="Y101" s="40">
        <f>IFERROR(X101*H101," ")</f>
        <v>0</v>
      </c>
      <c r="Z101" s="44">
        <f t="shared" si="65"/>
        <v>0</v>
      </c>
      <c r="AA101" s="35">
        <f t="shared" si="66"/>
        <v>0</v>
      </c>
      <c r="AD101" s="31"/>
      <c r="AE101" s="45"/>
      <c r="AF101" s="45"/>
      <c r="AG101" s="45"/>
      <c r="AH101" s="45"/>
      <c r="AI101" s="45"/>
      <c r="AJ101" s="45"/>
      <c r="AK101" s="45"/>
      <c r="AL101" s="45"/>
      <c r="AM101" s="45"/>
      <c r="AN101" s="45"/>
      <c r="AO101" s="45"/>
      <c r="AP101" s="45"/>
      <c r="AQ101" s="45"/>
      <c r="AR101" s="45"/>
      <c r="AS101" s="45"/>
      <c r="AT101" s="45"/>
      <c r="AU101" s="45"/>
      <c r="AV101" s="45"/>
      <c r="AW101" s="45"/>
      <c r="AX101" s="45"/>
      <c r="AY101" s="45"/>
      <c r="AZ101" s="45"/>
      <c r="BA101" s="45"/>
      <c r="BB101" s="45"/>
      <c r="BC101" s="45"/>
      <c r="BD101" s="45"/>
      <c r="BE101" s="45"/>
      <c r="BF101" s="45"/>
      <c r="BG101" s="45"/>
      <c r="BH101" s="45"/>
      <c r="BI101" s="45"/>
      <c r="BJ101" s="45"/>
      <c r="BK101" s="45"/>
      <c r="BL101" s="45"/>
      <c r="BM101" s="45"/>
      <c r="BN101" s="45"/>
      <c r="BO101" s="45"/>
      <c r="BP101" s="45"/>
      <c r="BQ101" s="45"/>
      <c r="BR101" s="45"/>
      <c r="BS101" s="45"/>
      <c r="BT101" s="45"/>
      <c r="BU101" s="45"/>
      <c r="BV101" s="45"/>
      <c r="BW101" s="45"/>
      <c r="BX101" s="45"/>
      <c r="BY101" s="45"/>
      <c r="BZ101" s="45"/>
      <c r="CA101" s="45"/>
      <c r="CB101" s="45"/>
      <c r="CC101" s="45"/>
      <c r="CD101" s="45"/>
      <c r="CE101" s="46"/>
      <c r="CF101" s="46"/>
      <c r="CG101" s="45"/>
      <c r="CH101" s="15"/>
      <c r="CI101" s="47"/>
    </row>
    <row r="102" spans="1:87" ht="28.5" x14ac:dyDescent="0.2">
      <c r="A102" s="31">
        <v>100</v>
      </c>
      <c r="B102" s="51" t="s">
        <v>3203</v>
      </c>
      <c r="C102" s="64" t="s">
        <v>3201</v>
      </c>
      <c r="D102" s="64" t="s">
        <v>3204</v>
      </c>
      <c r="E102" s="34">
        <f t="shared" si="51"/>
        <v>0</v>
      </c>
      <c r="F102" s="35" t="s">
        <v>11</v>
      </c>
      <c r="G102" s="36" t="s">
        <v>2963</v>
      </c>
      <c r="H102" s="37">
        <v>103816000</v>
      </c>
      <c r="I102" s="38">
        <f t="shared" si="52"/>
        <v>0</v>
      </c>
      <c r="J102" s="39">
        <f t="shared" si="53"/>
        <v>0</v>
      </c>
      <c r="K102" s="40">
        <f t="shared" si="54"/>
        <v>0</v>
      </c>
      <c r="L102" s="39">
        <f t="shared" si="55"/>
        <v>0</v>
      </c>
      <c r="M102" s="40">
        <f t="shared" si="56"/>
        <v>0</v>
      </c>
      <c r="N102" s="41">
        <f t="shared" si="57"/>
        <v>0</v>
      </c>
      <c r="O102" s="42">
        <f>IFERROR(N102*H102," ")</f>
        <v>0</v>
      </c>
      <c r="P102" s="41">
        <f t="shared" si="58"/>
        <v>0</v>
      </c>
      <c r="Q102" s="42">
        <f t="shared" si="59"/>
        <v>0</v>
      </c>
      <c r="R102" s="43">
        <f t="shared" si="60"/>
        <v>0</v>
      </c>
      <c r="S102" s="42">
        <f t="shared" si="61"/>
        <v>0</v>
      </c>
      <c r="T102" s="41">
        <f>SUM(Tabla2[[#This Row],[LNDV ]:[LNDV UND REF]])</f>
        <v>0</v>
      </c>
      <c r="U102" s="42">
        <f t="shared" si="62"/>
        <v>0</v>
      </c>
      <c r="V102" s="41">
        <f t="shared" si="63"/>
        <v>0</v>
      </c>
      <c r="W102" s="42">
        <f>IFERROR(V102*H102," ")</f>
        <v>0</v>
      </c>
      <c r="X102" s="41">
        <f t="shared" si="64"/>
        <v>0</v>
      </c>
      <c r="Y102" s="40">
        <f>IFERROR(X102*H102," ")</f>
        <v>0</v>
      </c>
      <c r="Z102" s="44">
        <f t="shared" si="65"/>
        <v>0</v>
      </c>
      <c r="AA102" s="35">
        <f t="shared" si="66"/>
        <v>0</v>
      </c>
      <c r="AD102" s="31"/>
      <c r="AE102" s="45"/>
      <c r="AF102" s="45"/>
      <c r="AG102" s="45"/>
      <c r="AH102" s="45"/>
      <c r="AI102" s="45"/>
      <c r="AJ102" s="45"/>
      <c r="AK102" s="45"/>
      <c r="AL102" s="45"/>
      <c r="AM102" s="45"/>
      <c r="AN102" s="45"/>
      <c r="AO102" s="45"/>
      <c r="AP102" s="45"/>
      <c r="AQ102" s="45"/>
      <c r="AR102" s="45"/>
      <c r="AS102" s="45"/>
      <c r="AT102" s="45"/>
      <c r="AU102" s="45"/>
      <c r="AV102" s="45"/>
      <c r="AW102" s="45"/>
      <c r="AX102" s="45"/>
      <c r="AY102" s="45"/>
      <c r="AZ102" s="45"/>
      <c r="BA102" s="45"/>
      <c r="BB102" s="45"/>
      <c r="BC102" s="45"/>
      <c r="BD102" s="45"/>
      <c r="BE102" s="45"/>
      <c r="BF102" s="45"/>
      <c r="BG102" s="45"/>
      <c r="BH102" s="45"/>
      <c r="BI102" s="45"/>
      <c r="BJ102" s="45"/>
      <c r="BK102" s="45"/>
      <c r="BL102" s="45"/>
      <c r="BM102" s="45"/>
      <c r="BN102" s="45"/>
      <c r="BO102" s="45"/>
      <c r="BP102" s="45"/>
      <c r="BQ102" s="45"/>
      <c r="BR102" s="45"/>
      <c r="BS102" s="45"/>
      <c r="BT102" s="45"/>
      <c r="BU102" s="45"/>
      <c r="BV102" s="45"/>
      <c r="BW102" s="45"/>
      <c r="BX102" s="45"/>
      <c r="BY102" s="45"/>
      <c r="BZ102" s="45"/>
      <c r="CA102" s="45"/>
      <c r="CB102" s="45"/>
      <c r="CC102" s="45"/>
      <c r="CD102" s="45"/>
      <c r="CE102" s="46"/>
      <c r="CF102" s="46"/>
      <c r="CG102" s="45"/>
      <c r="CH102" s="15"/>
      <c r="CI102" s="47"/>
    </row>
    <row r="103" spans="1:87" ht="14.25" x14ac:dyDescent="0.2">
      <c r="A103" s="31">
        <v>101</v>
      </c>
      <c r="B103" s="32" t="s">
        <v>3205</v>
      </c>
      <c r="C103" s="48"/>
      <c r="D103" s="48"/>
      <c r="E103" s="34">
        <f t="shared" si="51"/>
        <v>0</v>
      </c>
      <c r="F103" s="35" t="s">
        <v>11</v>
      </c>
      <c r="G103" s="36"/>
      <c r="H103" s="37">
        <v>46665677.758400001</v>
      </c>
      <c r="I103" s="38">
        <f t="shared" si="52"/>
        <v>0</v>
      </c>
      <c r="J103" s="39">
        <f t="shared" si="53"/>
        <v>0</v>
      </c>
      <c r="K103" s="40">
        <f t="shared" si="54"/>
        <v>0</v>
      </c>
      <c r="L103" s="39">
        <f t="shared" si="55"/>
        <v>0</v>
      </c>
      <c r="M103" s="40">
        <f t="shared" si="56"/>
        <v>0</v>
      </c>
      <c r="N103" s="41">
        <f t="shared" si="57"/>
        <v>0</v>
      </c>
      <c r="O103" s="42"/>
      <c r="P103" s="41">
        <f t="shared" si="58"/>
        <v>0</v>
      </c>
      <c r="Q103" s="42">
        <f t="shared" si="59"/>
        <v>0</v>
      </c>
      <c r="R103" s="43">
        <f t="shared" si="60"/>
        <v>0</v>
      </c>
      <c r="S103" s="42">
        <f t="shared" si="61"/>
        <v>0</v>
      </c>
      <c r="T103" s="41">
        <f>SUM(Tabla2[[#This Row],[LNDV ]:[LNDV UND REF]])</f>
        <v>0</v>
      </c>
      <c r="U103" s="42">
        <f t="shared" si="62"/>
        <v>0</v>
      </c>
      <c r="V103" s="41">
        <f t="shared" si="63"/>
        <v>0</v>
      </c>
      <c r="W103" s="42"/>
      <c r="X103" s="41">
        <f t="shared" si="64"/>
        <v>0</v>
      </c>
      <c r="Y103" s="40"/>
      <c r="Z103" s="44">
        <f t="shared" si="65"/>
        <v>0</v>
      </c>
      <c r="AA103" s="35">
        <f t="shared" si="66"/>
        <v>0</v>
      </c>
      <c r="AD103" s="31"/>
      <c r="AE103" s="45"/>
      <c r="AF103" s="45"/>
      <c r="AG103" s="45"/>
      <c r="AH103" s="45"/>
      <c r="AI103" s="45"/>
      <c r="AJ103" s="45"/>
      <c r="AK103" s="45"/>
      <c r="AL103" s="45"/>
      <c r="AM103" s="45"/>
      <c r="AN103" s="45"/>
      <c r="AO103" s="45"/>
      <c r="AP103" s="45"/>
      <c r="AQ103" s="45"/>
      <c r="AR103" s="45"/>
      <c r="AS103" s="45"/>
      <c r="AT103" s="45"/>
      <c r="AU103" s="45"/>
      <c r="AV103" s="45"/>
      <c r="AW103" s="45"/>
      <c r="AX103" s="45"/>
      <c r="AY103" s="45"/>
      <c r="AZ103" s="45"/>
      <c r="BA103" s="45"/>
      <c r="BB103" s="45"/>
      <c r="BC103" s="45"/>
      <c r="BD103" s="45"/>
      <c r="BE103" s="45"/>
      <c r="BF103" s="45"/>
      <c r="BG103" s="45"/>
      <c r="BH103" s="45"/>
      <c r="BI103" s="45"/>
      <c r="BJ103" s="45"/>
      <c r="BK103" s="45"/>
      <c r="BL103" s="45"/>
      <c r="BM103" s="45"/>
      <c r="BN103" s="45"/>
      <c r="BO103" s="45"/>
      <c r="BP103" s="45"/>
      <c r="BQ103" s="45"/>
      <c r="BR103" s="45"/>
      <c r="BS103" s="45"/>
      <c r="BT103" s="45"/>
      <c r="BU103" s="45"/>
      <c r="BV103" s="45"/>
      <c r="BW103" s="45"/>
      <c r="BX103" s="45"/>
      <c r="BY103" s="45"/>
      <c r="BZ103" s="45"/>
      <c r="CA103" s="45"/>
      <c r="CB103" s="45"/>
      <c r="CC103" s="45"/>
      <c r="CD103" s="45"/>
      <c r="CE103" s="46"/>
      <c r="CF103" s="46"/>
      <c r="CG103" s="45"/>
      <c r="CH103" s="15"/>
      <c r="CI103" s="47"/>
    </row>
    <row r="104" spans="1:87" ht="24" x14ac:dyDescent="0.2">
      <c r="A104" s="31">
        <v>102</v>
      </c>
      <c r="B104" s="51" t="s">
        <v>3206</v>
      </c>
      <c r="C104" s="64" t="s">
        <v>3207</v>
      </c>
      <c r="D104" s="64" t="s">
        <v>3208</v>
      </c>
      <c r="E104" s="34">
        <f t="shared" si="51"/>
        <v>0</v>
      </c>
      <c r="F104" s="35" t="s">
        <v>11</v>
      </c>
      <c r="G104" s="36" t="s">
        <v>2962</v>
      </c>
      <c r="H104" s="37">
        <v>26008640</v>
      </c>
      <c r="I104" s="38">
        <f t="shared" si="52"/>
        <v>0</v>
      </c>
      <c r="J104" s="39">
        <f t="shared" si="53"/>
        <v>0</v>
      </c>
      <c r="K104" s="40">
        <f t="shared" si="54"/>
        <v>0</v>
      </c>
      <c r="L104" s="39">
        <f t="shared" si="55"/>
        <v>0</v>
      </c>
      <c r="M104" s="40">
        <f t="shared" si="56"/>
        <v>0</v>
      </c>
      <c r="N104" s="41">
        <f t="shared" si="57"/>
        <v>0</v>
      </c>
      <c r="O104" s="42">
        <f>IFERROR(N104*H104," ")</f>
        <v>0</v>
      </c>
      <c r="P104" s="41">
        <f t="shared" si="58"/>
        <v>0</v>
      </c>
      <c r="Q104" s="42">
        <f t="shared" si="59"/>
        <v>0</v>
      </c>
      <c r="R104" s="43">
        <f t="shared" si="60"/>
        <v>0</v>
      </c>
      <c r="S104" s="42">
        <f t="shared" si="61"/>
        <v>0</v>
      </c>
      <c r="T104" s="41">
        <f>SUM(Tabla2[[#This Row],[LNDV ]:[LNDV UND REF]])</f>
        <v>0</v>
      </c>
      <c r="U104" s="42">
        <f t="shared" si="62"/>
        <v>0</v>
      </c>
      <c r="V104" s="41">
        <f t="shared" si="63"/>
        <v>0</v>
      </c>
      <c r="W104" s="42">
        <f>IFERROR(V104*H104," ")</f>
        <v>0</v>
      </c>
      <c r="X104" s="41">
        <f t="shared" si="64"/>
        <v>0</v>
      </c>
      <c r="Y104" s="40">
        <f>IFERROR(X104*H104," ")</f>
        <v>0</v>
      </c>
      <c r="Z104" s="44">
        <f t="shared" si="65"/>
        <v>0</v>
      </c>
      <c r="AA104" s="35">
        <f t="shared" si="66"/>
        <v>0</v>
      </c>
      <c r="AD104" s="31"/>
      <c r="AE104" s="45"/>
      <c r="AF104" s="45"/>
      <c r="AG104" s="45"/>
      <c r="AH104" s="45"/>
      <c r="AI104" s="45"/>
      <c r="AJ104" s="45"/>
      <c r="AK104" s="45"/>
      <c r="AL104" s="45"/>
      <c r="AM104" s="45"/>
      <c r="AN104" s="45"/>
      <c r="AO104" s="45"/>
      <c r="AP104" s="45"/>
      <c r="AQ104" s="45"/>
      <c r="AR104" s="45"/>
      <c r="AS104" s="45"/>
      <c r="AT104" s="45"/>
      <c r="AU104" s="45"/>
      <c r="AV104" s="45"/>
      <c r="AW104" s="45"/>
      <c r="AX104" s="45"/>
      <c r="AY104" s="45"/>
      <c r="AZ104" s="45"/>
      <c r="BA104" s="45"/>
      <c r="BB104" s="45"/>
      <c r="BC104" s="45"/>
      <c r="BD104" s="45"/>
      <c r="BE104" s="45"/>
      <c r="BF104" s="45"/>
      <c r="BG104" s="45"/>
      <c r="BH104" s="45"/>
      <c r="BI104" s="45"/>
      <c r="BJ104" s="45"/>
      <c r="BK104" s="45"/>
      <c r="BL104" s="45"/>
      <c r="BM104" s="45"/>
      <c r="BN104" s="45"/>
      <c r="BO104" s="45"/>
      <c r="BP104" s="45"/>
      <c r="BQ104" s="45"/>
      <c r="BR104" s="45"/>
      <c r="BS104" s="45"/>
      <c r="BT104" s="45"/>
      <c r="BU104" s="45"/>
      <c r="BV104" s="45"/>
      <c r="BW104" s="45"/>
      <c r="BX104" s="45"/>
      <c r="BY104" s="45"/>
      <c r="BZ104" s="45"/>
      <c r="CA104" s="45"/>
      <c r="CB104" s="45"/>
      <c r="CC104" s="45"/>
      <c r="CD104" s="45"/>
      <c r="CE104" s="46"/>
      <c r="CF104" s="46"/>
      <c r="CG104" s="45"/>
      <c r="CH104" s="15"/>
      <c r="CI104" s="47"/>
    </row>
    <row r="105" spans="1:87" ht="28.5" x14ac:dyDescent="0.2">
      <c r="A105" s="31">
        <v>103</v>
      </c>
      <c r="B105" s="51" t="s">
        <v>3209</v>
      </c>
      <c r="C105" s="64" t="s">
        <v>3192</v>
      </c>
      <c r="D105" s="73">
        <v>17005940</v>
      </c>
      <c r="E105" s="34">
        <f t="shared" si="51"/>
        <v>0</v>
      </c>
      <c r="F105" s="35" t="s">
        <v>11</v>
      </c>
      <c r="G105" s="36" t="s">
        <v>2964</v>
      </c>
      <c r="H105" s="37">
        <v>246782980.63999999</v>
      </c>
      <c r="I105" s="38">
        <f t="shared" si="52"/>
        <v>0</v>
      </c>
      <c r="J105" s="39">
        <f t="shared" si="53"/>
        <v>0</v>
      </c>
      <c r="K105" s="40">
        <f t="shared" si="54"/>
        <v>0</v>
      </c>
      <c r="L105" s="39">
        <f t="shared" si="55"/>
        <v>0</v>
      </c>
      <c r="M105" s="40">
        <f t="shared" si="56"/>
        <v>0</v>
      </c>
      <c r="N105" s="41">
        <f t="shared" si="57"/>
        <v>0</v>
      </c>
      <c r="O105" s="42">
        <f>IFERROR(N105*H105," ")</f>
        <v>0</v>
      </c>
      <c r="P105" s="41">
        <f t="shared" si="58"/>
        <v>0</v>
      </c>
      <c r="Q105" s="42">
        <f t="shared" si="59"/>
        <v>0</v>
      </c>
      <c r="R105" s="43">
        <f t="shared" si="60"/>
        <v>0</v>
      </c>
      <c r="S105" s="42">
        <f t="shared" si="61"/>
        <v>0</v>
      </c>
      <c r="T105" s="41">
        <f>SUM(Tabla2[[#This Row],[LNDV ]:[LNDV UND REF]])</f>
        <v>0</v>
      </c>
      <c r="U105" s="42">
        <f t="shared" si="62"/>
        <v>0</v>
      </c>
      <c r="V105" s="41">
        <f t="shared" si="63"/>
        <v>0</v>
      </c>
      <c r="W105" s="42">
        <f>IFERROR(V105*H105," ")</f>
        <v>0</v>
      </c>
      <c r="X105" s="41">
        <f t="shared" si="64"/>
        <v>0</v>
      </c>
      <c r="Y105" s="40">
        <f>IFERROR(X105*H105," ")</f>
        <v>0</v>
      </c>
      <c r="Z105" s="44">
        <f t="shared" si="65"/>
        <v>0</v>
      </c>
      <c r="AA105" s="35">
        <f t="shared" si="66"/>
        <v>0</v>
      </c>
      <c r="AD105" s="31"/>
      <c r="AE105" s="45"/>
      <c r="AF105" s="45"/>
      <c r="AG105" s="45"/>
      <c r="AH105" s="45"/>
      <c r="AI105" s="45"/>
      <c r="AJ105" s="45"/>
      <c r="AK105" s="45"/>
      <c r="AL105" s="45"/>
      <c r="AM105" s="45"/>
      <c r="AN105" s="45"/>
      <c r="AO105" s="45"/>
      <c r="AP105" s="45"/>
      <c r="AQ105" s="45"/>
      <c r="AR105" s="45"/>
      <c r="AS105" s="45"/>
      <c r="AT105" s="45"/>
      <c r="AU105" s="45"/>
      <c r="AV105" s="45"/>
      <c r="AW105" s="45"/>
      <c r="AX105" s="45"/>
      <c r="AY105" s="45"/>
      <c r="AZ105" s="45"/>
      <c r="BA105" s="45"/>
      <c r="BB105" s="45"/>
      <c r="BC105" s="45"/>
      <c r="BD105" s="45"/>
      <c r="BE105" s="45"/>
      <c r="BF105" s="45"/>
      <c r="BG105" s="45"/>
      <c r="BH105" s="45"/>
      <c r="BI105" s="45"/>
      <c r="BJ105" s="45"/>
      <c r="BK105" s="45"/>
      <c r="BL105" s="45"/>
      <c r="BM105" s="45"/>
      <c r="BN105" s="45"/>
      <c r="BO105" s="45"/>
      <c r="BP105" s="45"/>
      <c r="BQ105" s="45"/>
      <c r="BR105" s="45"/>
      <c r="BS105" s="45"/>
      <c r="BT105" s="45"/>
      <c r="BU105" s="45"/>
      <c r="BV105" s="45"/>
      <c r="BW105" s="45"/>
      <c r="BX105" s="45"/>
      <c r="BY105" s="45"/>
      <c r="BZ105" s="45"/>
      <c r="CA105" s="45"/>
      <c r="CB105" s="45"/>
      <c r="CC105" s="45"/>
      <c r="CD105" s="45"/>
      <c r="CE105" s="46"/>
      <c r="CF105" s="46"/>
      <c r="CG105" s="45"/>
      <c r="CH105" s="15"/>
      <c r="CI105" s="47"/>
    </row>
    <row r="106" spans="1:87" ht="14.25" x14ac:dyDescent="0.2">
      <c r="A106" s="31">
        <v>104</v>
      </c>
      <c r="B106" s="51" t="s">
        <v>3210</v>
      </c>
      <c r="C106" s="61"/>
      <c r="D106" s="61"/>
      <c r="E106" s="34">
        <f t="shared" si="51"/>
        <v>0</v>
      </c>
      <c r="F106" s="35" t="s">
        <v>11</v>
      </c>
      <c r="G106" s="36" t="s">
        <v>2968</v>
      </c>
      <c r="H106" s="37">
        <v>696432052.84800005</v>
      </c>
      <c r="I106" s="38">
        <f t="shared" si="52"/>
        <v>0</v>
      </c>
      <c r="J106" s="39">
        <f t="shared" si="53"/>
        <v>0</v>
      </c>
      <c r="K106" s="40">
        <f t="shared" si="54"/>
        <v>0</v>
      </c>
      <c r="L106" s="39">
        <f t="shared" si="55"/>
        <v>0</v>
      </c>
      <c r="M106" s="40">
        <f t="shared" si="56"/>
        <v>0</v>
      </c>
      <c r="N106" s="41">
        <f t="shared" si="57"/>
        <v>0</v>
      </c>
      <c r="O106" s="42">
        <f>IFERROR(N106*H106," ")</f>
        <v>0</v>
      </c>
      <c r="P106" s="41">
        <f t="shared" si="58"/>
        <v>0</v>
      </c>
      <c r="Q106" s="42">
        <f t="shared" si="59"/>
        <v>0</v>
      </c>
      <c r="R106" s="43">
        <f t="shared" si="60"/>
        <v>0</v>
      </c>
      <c r="S106" s="42">
        <f t="shared" si="61"/>
        <v>0</v>
      </c>
      <c r="T106" s="41">
        <f>SUM(Tabla2[[#This Row],[LNDV ]:[LNDV UND REF]])</f>
        <v>0</v>
      </c>
      <c r="U106" s="42">
        <f t="shared" si="62"/>
        <v>0</v>
      </c>
      <c r="V106" s="41">
        <f t="shared" si="63"/>
        <v>0</v>
      </c>
      <c r="W106" s="42">
        <f>IFERROR(V106*H106," ")</f>
        <v>0</v>
      </c>
      <c r="X106" s="41">
        <f t="shared" si="64"/>
        <v>0</v>
      </c>
      <c r="Y106" s="40">
        <f>IFERROR(X106*H106," ")</f>
        <v>0</v>
      </c>
      <c r="Z106" s="44">
        <f t="shared" si="65"/>
        <v>0</v>
      </c>
      <c r="AA106" s="35">
        <f t="shared" si="66"/>
        <v>0</v>
      </c>
      <c r="AD106" s="31"/>
      <c r="AE106" s="45"/>
      <c r="AF106" s="45"/>
      <c r="AG106" s="45"/>
      <c r="AH106" s="45"/>
      <c r="AI106" s="45"/>
      <c r="AJ106" s="45"/>
      <c r="AK106" s="45"/>
      <c r="AL106" s="45"/>
      <c r="AM106" s="45"/>
      <c r="AN106" s="45"/>
      <c r="AO106" s="45"/>
      <c r="AP106" s="45"/>
      <c r="AQ106" s="45"/>
      <c r="AR106" s="45"/>
      <c r="AS106" s="45"/>
      <c r="AT106" s="45"/>
      <c r="AU106" s="45"/>
      <c r="AV106" s="45"/>
      <c r="AW106" s="45"/>
      <c r="AX106" s="45"/>
      <c r="AY106" s="45"/>
      <c r="AZ106" s="45"/>
      <c r="BA106" s="45"/>
      <c r="BB106" s="45"/>
      <c r="BC106" s="45"/>
      <c r="BD106" s="45"/>
      <c r="BE106" s="45"/>
      <c r="BF106" s="45"/>
      <c r="BG106" s="45"/>
      <c r="BH106" s="45"/>
      <c r="BI106" s="45"/>
      <c r="BJ106" s="45"/>
      <c r="BK106" s="45"/>
      <c r="BL106" s="45"/>
      <c r="BM106" s="45"/>
      <c r="BN106" s="45"/>
      <c r="BO106" s="45"/>
      <c r="BP106" s="45"/>
      <c r="BQ106" s="45"/>
      <c r="BR106" s="45"/>
      <c r="BS106" s="45"/>
      <c r="BT106" s="45"/>
      <c r="BU106" s="45"/>
      <c r="BV106" s="45"/>
      <c r="BW106" s="45"/>
      <c r="BX106" s="45"/>
      <c r="BY106" s="45"/>
      <c r="BZ106" s="45"/>
      <c r="CA106" s="45"/>
      <c r="CB106" s="45"/>
      <c r="CC106" s="45"/>
      <c r="CD106" s="45"/>
      <c r="CE106" s="46"/>
      <c r="CF106" s="46"/>
      <c r="CG106" s="45"/>
      <c r="CH106" s="15"/>
      <c r="CI106" s="47"/>
    </row>
    <row r="107" spans="1:87" ht="28.5" x14ac:dyDescent="0.2">
      <c r="A107" s="31">
        <v>105</v>
      </c>
      <c r="B107" s="51" t="s">
        <v>3211</v>
      </c>
      <c r="C107" s="64" t="s">
        <v>3192</v>
      </c>
      <c r="D107" s="64">
        <v>1851148</v>
      </c>
      <c r="E107" s="34">
        <f t="shared" si="51"/>
        <v>0</v>
      </c>
      <c r="F107" s="35" t="s">
        <v>11</v>
      </c>
      <c r="G107" s="36" t="s">
        <v>2964</v>
      </c>
      <c r="H107" s="37">
        <v>85369459.503999993</v>
      </c>
      <c r="I107" s="38">
        <f t="shared" si="52"/>
        <v>0</v>
      </c>
      <c r="J107" s="39">
        <f t="shared" si="53"/>
        <v>0</v>
      </c>
      <c r="K107" s="40">
        <f t="shared" si="54"/>
        <v>0</v>
      </c>
      <c r="L107" s="39">
        <f t="shared" si="55"/>
        <v>0</v>
      </c>
      <c r="M107" s="40">
        <f t="shared" si="56"/>
        <v>0</v>
      </c>
      <c r="N107" s="41">
        <f t="shared" si="57"/>
        <v>0</v>
      </c>
      <c r="O107" s="42">
        <f>IFERROR(N107*H107," ")</f>
        <v>0</v>
      </c>
      <c r="P107" s="41">
        <f t="shared" si="58"/>
        <v>0</v>
      </c>
      <c r="Q107" s="42">
        <f t="shared" si="59"/>
        <v>0</v>
      </c>
      <c r="R107" s="43">
        <f t="shared" si="60"/>
        <v>0</v>
      </c>
      <c r="S107" s="42">
        <f t="shared" si="61"/>
        <v>0</v>
      </c>
      <c r="T107" s="41">
        <f>SUM(Tabla2[[#This Row],[LNDV ]:[LNDV UND REF]])</f>
        <v>0</v>
      </c>
      <c r="U107" s="42">
        <f t="shared" si="62"/>
        <v>0</v>
      </c>
      <c r="V107" s="41">
        <f t="shared" si="63"/>
        <v>0</v>
      </c>
      <c r="W107" s="42">
        <f>IFERROR(V107*H107," ")</f>
        <v>0</v>
      </c>
      <c r="X107" s="41">
        <f t="shared" si="64"/>
        <v>0</v>
      </c>
      <c r="Y107" s="40">
        <f>IFERROR(X107*H107," ")</f>
        <v>0</v>
      </c>
      <c r="Z107" s="44">
        <f t="shared" si="65"/>
        <v>0</v>
      </c>
      <c r="AA107" s="35">
        <f t="shared" si="66"/>
        <v>0</v>
      </c>
      <c r="AD107" s="31"/>
      <c r="AE107" s="45"/>
      <c r="AF107" s="45"/>
      <c r="AG107" s="45"/>
      <c r="AH107" s="45"/>
      <c r="AI107" s="45"/>
      <c r="AJ107" s="45"/>
      <c r="AK107" s="45"/>
      <c r="AL107" s="45"/>
      <c r="AM107" s="45"/>
      <c r="AN107" s="45"/>
      <c r="AO107" s="45"/>
      <c r="AP107" s="45"/>
      <c r="AQ107" s="45"/>
      <c r="AR107" s="45"/>
      <c r="AS107" s="45"/>
      <c r="AT107" s="45"/>
      <c r="AU107" s="45"/>
      <c r="AV107" s="45"/>
      <c r="AW107" s="45"/>
      <c r="AX107" s="45"/>
      <c r="AY107" s="45"/>
      <c r="AZ107" s="45"/>
      <c r="BA107" s="45"/>
      <c r="BB107" s="45"/>
      <c r="BC107" s="45"/>
      <c r="BD107" s="45"/>
      <c r="BE107" s="45"/>
      <c r="BF107" s="45"/>
      <c r="BG107" s="45"/>
      <c r="BH107" s="45"/>
      <c r="BI107" s="45"/>
      <c r="BJ107" s="45"/>
      <c r="BK107" s="45"/>
      <c r="BL107" s="45"/>
      <c r="BM107" s="45"/>
      <c r="BN107" s="45"/>
      <c r="BO107" s="45"/>
      <c r="BP107" s="45"/>
      <c r="BQ107" s="45"/>
      <c r="BR107" s="45"/>
      <c r="BS107" s="45"/>
      <c r="BT107" s="45"/>
      <c r="BU107" s="45"/>
      <c r="BV107" s="45"/>
      <c r="BW107" s="45"/>
      <c r="BX107" s="45"/>
      <c r="BY107" s="45"/>
      <c r="BZ107" s="45"/>
      <c r="CA107" s="45"/>
      <c r="CB107" s="45"/>
      <c r="CC107" s="45"/>
      <c r="CD107" s="45"/>
      <c r="CE107" s="46"/>
      <c r="CF107" s="46"/>
      <c r="CG107" s="45"/>
      <c r="CH107" s="15"/>
      <c r="CI107" s="47"/>
    </row>
    <row r="108" spans="1:87" ht="14.25" x14ac:dyDescent="0.2">
      <c r="A108" s="31">
        <v>106</v>
      </c>
      <c r="B108" s="32" t="s">
        <v>3212</v>
      </c>
      <c r="C108" s="48"/>
      <c r="D108" s="48"/>
      <c r="E108" s="34">
        <f t="shared" si="51"/>
        <v>0</v>
      </c>
      <c r="F108" s="35" t="s">
        <v>11</v>
      </c>
      <c r="G108" s="36"/>
      <c r="H108" s="37">
        <v>55295680</v>
      </c>
      <c r="I108" s="38">
        <f t="shared" si="52"/>
        <v>0</v>
      </c>
      <c r="J108" s="39">
        <f t="shared" si="53"/>
        <v>0</v>
      </c>
      <c r="K108" s="40">
        <f t="shared" si="54"/>
        <v>0</v>
      </c>
      <c r="L108" s="39">
        <f t="shared" si="55"/>
        <v>0</v>
      </c>
      <c r="M108" s="40">
        <f t="shared" si="56"/>
        <v>0</v>
      </c>
      <c r="N108" s="41">
        <f t="shared" si="57"/>
        <v>0</v>
      </c>
      <c r="O108" s="42"/>
      <c r="P108" s="41">
        <f t="shared" si="58"/>
        <v>0</v>
      </c>
      <c r="Q108" s="42">
        <f t="shared" si="59"/>
        <v>0</v>
      </c>
      <c r="R108" s="43">
        <f t="shared" si="60"/>
        <v>0</v>
      </c>
      <c r="S108" s="42">
        <f t="shared" si="61"/>
        <v>0</v>
      </c>
      <c r="T108" s="41">
        <f>SUM(Tabla2[[#This Row],[LNDV ]:[LNDV UND REF]])</f>
        <v>0</v>
      </c>
      <c r="U108" s="42">
        <f t="shared" si="62"/>
        <v>0</v>
      </c>
      <c r="V108" s="41">
        <f t="shared" si="63"/>
        <v>0</v>
      </c>
      <c r="W108" s="42"/>
      <c r="X108" s="41">
        <f t="shared" si="64"/>
        <v>0</v>
      </c>
      <c r="Y108" s="40"/>
      <c r="Z108" s="44">
        <f t="shared" si="65"/>
        <v>0</v>
      </c>
      <c r="AA108" s="35">
        <f t="shared" si="66"/>
        <v>0</v>
      </c>
      <c r="AD108" s="31"/>
      <c r="AE108" s="45"/>
      <c r="AF108" s="45"/>
      <c r="AG108" s="45"/>
      <c r="AH108" s="45"/>
      <c r="AI108" s="45"/>
      <c r="AJ108" s="45"/>
      <c r="AK108" s="45"/>
      <c r="AL108" s="45"/>
      <c r="AM108" s="45"/>
      <c r="AN108" s="45"/>
      <c r="AO108" s="45"/>
      <c r="AP108" s="45"/>
      <c r="AQ108" s="45"/>
      <c r="AR108" s="45"/>
      <c r="AS108" s="45"/>
      <c r="AT108" s="45"/>
      <c r="AU108" s="45"/>
      <c r="AV108" s="45"/>
      <c r="AW108" s="45"/>
      <c r="AX108" s="45"/>
      <c r="AY108" s="45"/>
      <c r="AZ108" s="45"/>
      <c r="BA108" s="45"/>
      <c r="BB108" s="45"/>
      <c r="BC108" s="45"/>
      <c r="BD108" s="45"/>
      <c r="BE108" s="45"/>
      <c r="BF108" s="45"/>
      <c r="BG108" s="45"/>
      <c r="BH108" s="45"/>
      <c r="BI108" s="45"/>
      <c r="BJ108" s="45"/>
      <c r="BK108" s="45"/>
      <c r="BL108" s="45"/>
      <c r="BM108" s="45"/>
      <c r="BN108" s="45"/>
      <c r="BO108" s="45"/>
      <c r="BP108" s="45"/>
      <c r="BQ108" s="45"/>
      <c r="BR108" s="45"/>
      <c r="BS108" s="45"/>
      <c r="BT108" s="45"/>
      <c r="BU108" s="45"/>
      <c r="BV108" s="45"/>
      <c r="BW108" s="45"/>
      <c r="BX108" s="45"/>
      <c r="BY108" s="45"/>
      <c r="BZ108" s="45"/>
      <c r="CA108" s="45"/>
      <c r="CB108" s="45"/>
      <c r="CC108" s="45"/>
      <c r="CD108" s="45"/>
      <c r="CE108" s="46"/>
      <c r="CF108" s="46"/>
      <c r="CG108" s="45"/>
      <c r="CH108" s="15"/>
      <c r="CI108" s="47"/>
    </row>
    <row r="109" spans="1:87" ht="14.25" x14ac:dyDescent="0.2">
      <c r="A109" s="31">
        <v>107</v>
      </c>
      <c r="B109" s="32" t="s">
        <v>3213</v>
      </c>
      <c r="C109" s="48"/>
      <c r="D109" s="48"/>
      <c r="E109" s="34">
        <f t="shared" si="51"/>
        <v>0</v>
      </c>
      <c r="F109" s="35" t="s">
        <v>11</v>
      </c>
      <c r="G109" s="36"/>
      <c r="H109" s="37">
        <v>7813520</v>
      </c>
      <c r="I109" s="38">
        <f t="shared" si="52"/>
        <v>0</v>
      </c>
      <c r="J109" s="39">
        <f t="shared" si="53"/>
        <v>0</v>
      </c>
      <c r="K109" s="40">
        <f t="shared" si="54"/>
        <v>0</v>
      </c>
      <c r="L109" s="39">
        <f t="shared" si="55"/>
        <v>0</v>
      </c>
      <c r="M109" s="40">
        <f t="shared" si="56"/>
        <v>0</v>
      </c>
      <c r="N109" s="41">
        <f t="shared" si="57"/>
        <v>0</v>
      </c>
      <c r="O109" s="42"/>
      <c r="P109" s="41">
        <f t="shared" si="58"/>
        <v>0</v>
      </c>
      <c r="Q109" s="42">
        <f t="shared" si="59"/>
        <v>0</v>
      </c>
      <c r="R109" s="43">
        <f t="shared" si="60"/>
        <v>0</v>
      </c>
      <c r="S109" s="42">
        <f t="shared" si="61"/>
        <v>0</v>
      </c>
      <c r="T109" s="41">
        <f>SUM(Tabla2[[#This Row],[LNDV ]:[LNDV UND REF]])</f>
        <v>0</v>
      </c>
      <c r="U109" s="42">
        <f t="shared" si="62"/>
        <v>0</v>
      </c>
      <c r="V109" s="41">
        <f t="shared" si="63"/>
        <v>0</v>
      </c>
      <c r="W109" s="42"/>
      <c r="X109" s="41">
        <f t="shared" si="64"/>
        <v>0</v>
      </c>
      <c r="Y109" s="40"/>
      <c r="Z109" s="44">
        <f t="shared" si="65"/>
        <v>0</v>
      </c>
      <c r="AA109" s="35">
        <f t="shared" si="66"/>
        <v>0</v>
      </c>
      <c r="AD109" s="31"/>
      <c r="AE109" s="45"/>
      <c r="AF109" s="45"/>
      <c r="AG109" s="45"/>
      <c r="AH109" s="45"/>
      <c r="AI109" s="45"/>
      <c r="AJ109" s="45"/>
      <c r="AK109" s="45"/>
      <c r="AL109" s="45"/>
      <c r="AM109" s="45"/>
      <c r="AN109" s="45"/>
      <c r="AO109" s="45"/>
      <c r="AP109" s="45"/>
      <c r="AQ109" s="45"/>
      <c r="AR109" s="45"/>
      <c r="AS109" s="45"/>
      <c r="AT109" s="45"/>
      <c r="AU109" s="45"/>
      <c r="AV109" s="45"/>
      <c r="AW109" s="45"/>
      <c r="AX109" s="45"/>
      <c r="AY109" s="45"/>
      <c r="AZ109" s="45"/>
      <c r="BA109" s="45"/>
      <c r="BB109" s="45"/>
      <c r="BC109" s="45"/>
      <c r="BD109" s="45"/>
      <c r="BE109" s="45"/>
      <c r="BF109" s="45"/>
      <c r="BG109" s="45"/>
      <c r="BH109" s="45"/>
      <c r="BI109" s="45"/>
      <c r="BJ109" s="45"/>
      <c r="BK109" s="45"/>
      <c r="BL109" s="45"/>
      <c r="BM109" s="45"/>
      <c r="BN109" s="45"/>
      <c r="BO109" s="45"/>
      <c r="BP109" s="45"/>
      <c r="BQ109" s="45"/>
      <c r="BR109" s="45"/>
      <c r="BS109" s="45"/>
      <c r="BT109" s="45"/>
      <c r="BU109" s="45"/>
      <c r="BV109" s="45"/>
      <c r="BW109" s="45"/>
      <c r="BX109" s="45"/>
      <c r="BY109" s="45"/>
      <c r="BZ109" s="45"/>
      <c r="CA109" s="45"/>
      <c r="CB109" s="45"/>
      <c r="CC109" s="45"/>
      <c r="CD109" s="45"/>
      <c r="CE109" s="46"/>
      <c r="CF109" s="46"/>
      <c r="CG109" s="45"/>
      <c r="CH109" s="15"/>
      <c r="CI109" s="47"/>
    </row>
    <row r="110" spans="1:87" ht="14.25" x14ac:dyDescent="0.2">
      <c r="A110" s="31">
        <v>108</v>
      </c>
      <c r="B110" s="32" t="s">
        <v>3214</v>
      </c>
      <c r="C110" s="48"/>
      <c r="D110" s="48"/>
      <c r="E110" s="34">
        <f t="shared" si="51"/>
        <v>0</v>
      </c>
      <c r="F110" s="35" t="s">
        <v>11</v>
      </c>
      <c r="G110" s="36"/>
      <c r="H110" s="37">
        <v>48083200</v>
      </c>
      <c r="I110" s="38">
        <f t="shared" si="52"/>
        <v>0</v>
      </c>
      <c r="J110" s="39">
        <f t="shared" si="53"/>
        <v>0</v>
      </c>
      <c r="K110" s="40">
        <f t="shared" si="54"/>
        <v>0</v>
      </c>
      <c r="L110" s="39">
        <f t="shared" si="55"/>
        <v>0</v>
      </c>
      <c r="M110" s="40">
        <f t="shared" si="56"/>
        <v>0</v>
      </c>
      <c r="N110" s="41">
        <f t="shared" si="57"/>
        <v>0</v>
      </c>
      <c r="O110" s="42"/>
      <c r="P110" s="41">
        <f t="shared" si="58"/>
        <v>0</v>
      </c>
      <c r="Q110" s="42">
        <f t="shared" si="59"/>
        <v>0</v>
      </c>
      <c r="R110" s="43">
        <f t="shared" si="60"/>
        <v>0</v>
      </c>
      <c r="S110" s="42">
        <f t="shared" si="61"/>
        <v>0</v>
      </c>
      <c r="T110" s="41">
        <f>SUM(Tabla2[[#This Row],[LNDV ]:[LNDV UND REF]])</f>
        <v>0</v>
      </c>
      <c r="U110" s="42">
        <f t="shared" si="62"/>
        <v>0</v>
      </c>
      <c r="V110" s="41">
        <f t="shared" si="63"/>
        <v>0</v>
      </c>
      <c r="W110" s="42"/>
      <c r="X110" s="41">
        <f t="shared" si="64"/>
        <v>0</v>
      </c>
      <c r="Y110" s="40"/>
      <c r="Z110" s="44">
        <f t="shared" si="65"/>
        <v>0</v>
      </c>
      <c r="AA110" s="35">
        <f t="shared" si="66"/>
        <v>0</v>
      </c>
      <c r="AD110" s="31"/>
      <c r="AE110" s="45"/>
      <c r="AF110" s="45"/>
      <c r="AG110" s="45"/>
      <c r="AH110" s="45"/>
      <c r="AI110" s="45"/>
      <c r="AJ110" s="45"/>
      <c r="AK110" s="45"/>
      <c r="AL110" s="45"/>
      <c r="AM110" s="45"/>
      <c r="AN110" s="45"/>
      <c r="AO110" s="45"/>
      <c r="AP110" s="45"/>
      <c r="AQ110" s="45"/>
      <c r="AR110" s="45"/>
      <c r="AS110" s="45"/>
      <c r="AT110" s="45"/>
      <c r="AU110" s="45"/>
      <c r="AV110" s="45"/>
      <c r="AW110" s="45"/>
      <c r="AX110" s="45"/>
      <c r="AY110" s="45"/>
      <c r="AZ110" s="45"/>
      <c r="BA110" s="45"/>
      <c r="BB110" s="45"/>
      <c r="BC110" s="45"/>
      <c r="BD110" s="45"/>
      <c r="BE110" s="45"/>
      <c r="BF110" s="45"/>
      <c r="BG110" s="45"/>
      <c r="BH110" s="45"/>
      <c r="BI110" s="45"/>
      <c r="BJ110" s="45"/>
      <c r="BK110" s="45"/>
      <c r="BL110" s="45"/>
      <c r="BM110" s="45"/>
      <c r="BN110" s="45"/>
      <c r="BO110" s="45"/>
      <c r="BP110" s="45"/>
      <c r="BQ110" s="45"/>
      <c r="BR110" s="45"/>
      <c r="BS110" s="45"/>
      <c r="BT110" s="45"/>
      <c r="BU110" s="45"/>
      <c r="BV110" s="45"/>
      <c r="BW110" s="45"/>
      <c r="BX110" s="45"/>
      <c r="BY110" s="45"/>
      <c r="BZ110" s="45"/>
      <c r="CA110" s="45"/>
      <c r="CB110" s="45"/>
      <c r="CC110" s="45"/>
      <c r="CD110" s="45"/>
      <c r="CE110" s="46"/>
      <c r="CF110" s="46"/>
      <c r="CG110" s="45"/>
      <c r="CH110" s="15"/>
      <c r="CI110" s="47"/>
    </row>
    <row r="111" spans="1:87" ht="14.25" x14ac:dyDescent="0.2">
      <c r="A111" s="31">
        <v>109</v>
      </c>
      <c r="B111" s="32" t="s">
        <v>3215</v>
      </c>
      <c r="C111" s="48"/>
      <c r="D111" s="48"/>
      <c r="E111" s="34">
        <f t="shared" si="51"/>
        <v>0</v>
      </c>
      <c r="F111" s="35" t="s">
        <v>11</v>
      </c>
      <c r="G111" s="36"/>
      <c r="H111" s="37">
        <v>27647840</v>
      </c>
      <c r="I111" s="38">
        <f t="shared" si="52"/>
        <v>0</v>
      </c>
      <c r="J111" s="39">
        <f t="shared" si="53"/>
        <v>0</v>
      </c>
      <c r="K111" s="40">
        <f t="shared" si="54"/>
        <v>0</v>
      </c>
      <c r="L111" s="39">
        <f t="shared" si="55"/>
        <v>0</v>
      </c>
      <c r="M111" s="40">
        <f t="shared" si="56"/>
        <v>0</v>
      </c>
      <c r="N111" s="41">
        <f t="shared" si="57"/>
        <v>0</v>
      </c>
      <c r="O111" s="42"/>
      <c r="P111" s="41">
        <f t="shared" si="58"/>
        <v>0</v>
      </c>
      <c r="Q111" s="42">
        <f t="shared" si="59"/>
        <v>0</v>
      </c>
      <c r="R111" s="43">
        <f t="shared" si="60"/>
        <v>0</v>
      </c>
      <c r="S111" s="42">
        <f t="shared" si="61"/>
        <v>0</v>
      </c>
      <c r="T111" s="41">
        <f>SUM(Tabla2[[#This Row],[LNDV ]:[LNDV UND REF]])</f>
        <v>0</v>
      </c>
      <c r="U111" s="42">
        <f t="shared" si="62"/>
        <v>0</v>
      </c>
      <c r="V111" s="41">
        <f t="shared" si="63"/>
        <v>0</v>
      </c>
      <c r="W111" s="42"/>
      <c r="X111" s="41">
        <f t="shared" si="64"/>
        <v>0</v>
      </c>
      <c r="Y111" s="40"/>
      <c r="Z111" s="44">
        <f t="shared" si="65"/>
        <v>0</v>
      </c>
      <c r="AA111" s="35">
        <f t="shared" si="66"/>
        <v>0</v>
      </c>
      <c r="AD111" s="31"/>
      <c r="AE111" s="45"/>
      <c r="AF111" s="45"/>
      <c r="AG111" s="45"/>
      <c r="AH111" s="45"/>
      <c r="AI111" s="45"/>
      <c r="AJ111" s="45"/>
      <c r="AK111" s="45"/>
      <c r="AL111" s="45"/>
      <c r="AM111" s="45"/>
      <c r="AN111" s="45"/>
      <c r="AO111" s="45"/>
      <c r="AP111" s="45"/>
      <c r="AQ111" s="45"/>
      <c r="AR111" s="45"/>
      <c r="AS111" s="45"/>
      <c r="AT111" s="45"/>
      <c r="AU111" s="45"/>
      <c r="AV111" s="45"/>
      <c r="AW111" s="45"/>
      <c r="AX111" s="45"/>
      <c r="AY111" s="45"/>
      <c r="AZ111" s="45"/>
      <c r="BA111" s="45"/>
      <c r="BB111" s="45"/>
      <c r="BC111" s="45"/>
      <c r="BD111" s="45"/>
      <c r="BE111" s="45"/>
      <c r="BF111" s="45"/>
      <c r="BG111" s="45"/>
      <c r="BH111" s="45"/>
      <c r="BI111" s="45"/>
      <c r="BJ111" s="45"/>
      <c r="BK111" s="45"/>
      <c r="BL111" s="45"/>
      <c r="BM111" s="45"/>
      <c r="BN111" s="45"/>
      <c r="BO111" s="45"/>
      <c r="BP111" s="45"/>
      <c r="BQ111" s="45"/>
      <c r="BR111" s="45"/>
      <c r="BS111" s="45"/>
      <c r="BT111" s="45"/>
      <c r="BU111" s="45"/>
      <c r="BV111" s="45"/>
      <c r="BW111" s="45"/>
      <c r="BX111" s="45"/>
      <c r="BY111" s="45"/>
      <c r="BZ111" s="45"/>
      <c r="CA111" s="45"/>
      <c r="CB111" s="45"/>
      <c r="CC111" s="45"/>
      <c r="CD111" s="45"/>
      <c r="CE111" s="46"/>
      <c r="CF111" s="46"/>
      <c r="CG111" s="45"/>
      <c r="CH111" s="15"/>
      <c r="CI111" s="47"/>
    </row>
    <row r="112" spans="1:87" ht="36" x14ac:dyDescent="0.2">
      <c r="A112" s="31">
        <v>49</v>
      </c>
      <c r="B112" s="51" t="s">
        <v>3216</v>
      </c>
      <c r="C112" s="49" t="s">
        <v>3103</v>
      </c>
      <c r="D112" s="74" t="s">
        <v>3217</v>
      </c>
      <c r="E112" s="34">
        <f t="shared" si="51"/>
        <v>3</v>
      </c>
      <c r="F112" s="35" t="s">
        <v>11</v>
      </c>
      <c r="G112" s="36" t="s">
        <v>2965</v>
      </c>
      <c r="H112" s="37">
        <v>164114518.40000001</v>
      </c>
      <c r="I112" s="38">
        <f t="shared" si="52"/>
        <v>492343555.20000005</v>
      </c>
      <c r="J112" s="39">
        <f t="shared" si="53"/>
        <v>2</v>
      </c>
      <c r="K112" s="40">
        <f t="shared" si="54"/>
        <v>328229036.80000001</v>
      </c>
      <c r="L112" s="39">
        <f t="shared" si="55"/>
        <v>0</v>
      </c>
      <c r="M112" s="40">
        <f t="shared" si="56"/>
        <v>0</v>
      </c>
      <c r="N112" s="41">
        <f t="shared" si="57"/>
        <v>1</v>
      </c>
      <c r="O112" s="42">
        <f>IFERROR(N112*H112," ")</f>
        <v>164114518.40000001</v>
      </c>
      <c r="P112" s="41">
        <f t="shared" si="58"/>
        <v>0</v>
      </c>
      <c r="Q112" s="42">
        <f t="shared" si="59"/>
        <v>0</v>
      </c>
      <c r="R112" s="43">
        <f t="shared" si="60"/>
        <v>0</v>
      </c>
      <c r="S112" s="42">
        <f t="shared" si="61"/>
        <v>0</v>
      </c>
      <c r="T112" s="41">
        <f>SUM(Tabla2[[#This Row],[LNDV ]:[LNDV UND REF]])</f>
        <v>0</v>
      </c>
      <c r="U112" s="42">
        <f t="shared" si="62"/>
        <v>0</v>
      </c>
      <c r="V112" s="41">
        <f t="shared" si="63"/>
        <v>0</v>
      </c>
      <c r="W112" s="42">
        <f>IFERROR(V112*H112," ")</f>
        <v>0</v>
      </c>
      <c r="X112" s="41">
        <f t="shared" si="64"/>
        <v>0</v>
      </c>
      <c r="Y112" s="40">
        <f>IFERROR(X112*H112," ")</f>
        <v>0</v>
      </c>
      <c r="Z112" s="44">
        <f t="shared" si="65"/>
        <v>0</v>
      </c>
      <c r="AA112" s="35">
        <f t="shared" si="66"/>
        <v>0</v>
      </c>
      <c r="AD112" s="31">
        <v>1</v>
      </c>
      <c r="AE112" s="45"/>
      <c r="AF112" s="45"/>
      <c r="AG112" s="45"/>
      <c r="AH112" s="45"/>
      <c r="AI112" s="45"/>
      <c r="AJ112" s="45">
        <v>1</v>
      </c>
      <c r="AK112" s="45"/>
      <c r="AL112" s="45"/>
      <c r="AM112" s="45"/>
      <c r="AN112" s="45"/>
      <c r="AO112" s="45"/>
      <c r="AP112" s="45"/>
      <c r="AQ112" s="45"/>
      <c r="AR112" s="45">
        <v>1</v>
      </c>
      <c r="AS112" s="45"/>
      <c r="AT112" s="45"/>
      <c r="AU112" s="45"/>
      <c r="AV112" s="45"/>
      <c r="AW112" s="45"/>
      <c r="AX112" s="45"/>
      <c r="AY112" s="45"/>
      <c r="AZ112" s="45"/>
      <c r="BA112" s="45"/>
      <c r="BB112" s="45"/>
      <c r="BC112" s="45"/>
      <c r="BD112" s="45"/>
      <c r="BE112" s="45"/>
      <c r="BF112" s="45"/>
      <c r="BG112" s="45"/>
      <c r="BH112" s="45"/>
      <c r="BI112" s="45"/>
      <c r="BJ112" s="45"/>
      <c r="BK112" s="45"/>
      <c r="BL112" s="45"/>
      <c r="BM112" s="45"/>
      <c r="BN112" s="45"/>
      <c r="BO112" s="45"/>
      <c r="BP112" s="45"/>
      <c r="BQ112" s="45"/>
      <c r="BR112" s="45"/>
      <c r="BS112" s="45"/>
      <c r="BT112" s="45"/>
      <c r="BU112" s="45"/>
      <c r="BV112" s="45"/>
      <c r="BW112" s="45"/>
      <c r="BX112" s="45"/>
      <c r="BY112" s="45"/>
      <c r="BZ112" s="45"/>
      <c r="CA112" s="45"/>
      <c r="CB112" s="45"/>
      <c r="CC112" s="45"/>
      <c r="CD112" s="45"/>
      <c r="CE112" s="46"/>
      <c r="CF112" s="46"/>
      <c r="CG112" s="45"/>
      <c r="CH112" s="15"/>
      <c r="CI112" s="47"/>
    </row>
    <row r="113" spans="1:87" ht="30" customHeight="1" x14ac:dyDescent="0.25">
      <c r="A113" s="31"/>
      <c r="B113" s="75" t="s">
        <v>3218</v>
      </c>
      <c r="C113" s="48"/>
      <c r="D113" s="48"/>
      <c r="E113" s="34"/>
      <c r="F113" s="35" t="s">
        <v>11</v>
      </c>
      <c r="G113" s="36"/>
      <c r="H113" s="37"/>
      <c r="I113" s="38">
        <f t="shared" si="52"/>
        <v>0</v>
      </c>
      <c r="J113" s="39">
        <f t="shared" si="53"/>
        <v>0</v>
      </c>
      <c r="K113" s="40">
        <f t="shared" si="54"/>
        <v>0</v>
      </c>
      <c r="L113" s="39">
        <f t="shared" si="55"/>
        <v>0</v>
      </c>
      <c r="M113" s="40">
        <f t="shared" si="56"/>
        <v>0</v>
      </c>
      <c r="N113" s="41">
        <f t="shared" si="57"/>
        <v>0</v>
      </c>
      <c r="O113" s="42"/>
      <c r="P113" s="41">
        <f t="shared" si="58"/>
        <v>0</v>
      </c>
      <c r="Q113" s="42">
        <f t="shared" si="59"/>
        <v>0</v>
      </c>
      <c r="R113" s="43">
        <f t="shared" si="60"/>
        <v>0</v>
      </c>
      <c r="S113" s="42">
        <f t="shared" si="61"/>
        <v>0</v>
      </c>
      <c r="T113" s="41">
        <f>SUM(Tabla2[[#This Row],[LNDV ]:[LNDV UND REF]])</f>
        <v>0</v>
      </c>
      <c r="U113" s="42">
        <f t="shared" si="62"/>
        <v>0</v>
      </c>
      <c r="V113" s="41">
        <f t="shared" si="63"/>
        <v>0</v>
      </c>
      <c r="W113" s="42"/>
      <c r="X113" s="41">
        <f t="shared" si="64"/>
        <v>0</v>
      </c>
      <c r="Y113" s="40"/>
      <c r="Z113" s="44">
        <f t="shared" si="65"/>
        <v>0</v>
      </c>
      <c r="AA113" s="35">
        <f t="shared" si="66"/>
        <v>0</v>
      </c>
      <c r="AD113" s="31"/>
      <c r="AE113" s="45"/>
      <c r="AF113" s="45"/>
      <c r="AG113" s="45"/>
      <c r="AH113" s="45"/>
      <c r="AI113" s="45"/>
      <c r="AJ113" s="45"/>
      <c r="AK113" s="45"/>
      <c r="AL113" s="45"/>
      <c r="AM113" s="45"/>
      <c r="AN113" s="45"/>
      <c r="AO113" s="45"/>
      <c r="AP113" s="45"/>
      <c r="AQ113" s="45"/>
      <c r="AR113" s="45"/>
      <c r="AS113" s="45"/>
      <c r="AT113" s="45"/>
      <c r="AU113" s="45"/>
      <c r="AV113" s="45"/>
      <c r="AW113" s="45"/>
      <c r="AX113" s="45"/>
      <c r="AY113" s="45"/>
      <c r="AZ113" s="45"/>
      <c r="BA113" s="45"/>
      <c r="BB113" s="45"/>
      <c r="BC113" s="45"/>
      <c r="BD113" s="45"/>
      <c r="BE113" s="45"/>
      <c r="BF113" s="45"/>
      <c r="BG113" s="45"/>
      <c r="BH113" s="45"/>
      <c r="BI113" s="45"/>
      <c r="BJ113" s="45"/>
      <c r="BK113" s="45"/>
      <c r="BL113" s="45"/>
      <c r="BM113" s="45"/>
      <c r="BN113" s="45"/>
      <c r="BO113" s="45"/>
      <c r="BP113" s="45"/>
      <c r="BQ113" s="45"/>
      <c r="BR113" s="45"/>
      <c r="BS113" s="45"/>
      <c r="BT113" s="45"/>
      <c r="BU113" s="45"/>
      <c r="BV113" s="45"/>
      <c r="BW113" s="45"/>
      <c r="BX113" s="45"/>
      <c r="BY113" s="45"/>
      <c r="BZ113" s="45"/>
      <c r="CA113" s="45"/>
      <c r="CB113" s="45"/>
      <c r="CC113" s="45"/>
      <c r="CD113" s="45"/>
      <c r="CE113" s="46"/>
      <c r="CF113" s="46"/>
      <c r="CG113" s="45"/>
      <c r="CH113" s="15"/>
      <c r="CI113" s="47"/>
    </row>
    <row r="114" spans="1:87" x14ac:dyDescent="0.2">
      <c r="A114" s="31"/>
      <c r="B114" s="48"/>
      <c r="C114" s="48"/>
      <c r="D114" s="48"/>
      <c r="E114" s="34"/>
      <c r="F114" s="35" t="s">
        <v>11</v>
      </c>
      <c r="G114" s="36"/>
      <c r="H114" s="37"/>
      <c r="I114" s="38">
        <f t="shared" si="52"/>
        <v>0</v>
      </c>
      <c r="J114" s="39">
        <f t="shared" si="53"/>
        <v>0</v>
      </c>
      <c r="K114" s="40">
        <f t="shared" si="54"/>
        <v>0</v>
      </c>
      <c r="L114" s="39">
        <f t="shared" si="55"/>
        <v>0</v>
      </c>
      <c r="M114" s="40">
        <f t="shared" si="56"/>
        <v>0</v>
      </c>
      <c r="N114" s="41">
        <f t="shared" si="57"/>
        <v>0</v>
      </c>
      <c r="O114" s="42"/>
      <c r="P114" s="41">
        <f t="shared" si="58"/>
        <v>0</v>
      </c>
      <c r="Q114" s="42">
        <f t="shared" si="59"/>
        <v>0</v>
      </c>
      <c r="R114" s="43">
        <f t="shared" si="60"/>
        <v>0</v>
      </c>
      <c r="S114" s="42">
        <f t="shared" si="61"/>
        <v>0</v>
      </c>
      <c r="T114" s="41">
        <f>SUM(Tabla2[[#This Row],[LNDV ]:[LNDV UND REF]])</f>
        <v>0</v>
      </c>
      <c r="U114" s="42">
        <f t="shared" si="62"/>
        <v>0</v>
      </c>
      <c r="V114" s="41">
        <f t="shared" si="63"/>
        <v>0</v>
      </c>
      <c r="W114" s="42"/>
      <c r="X114" s="41">
        <f t="shared" si="64"/>
        <v>0</v>
      </c>
      <c r="Y114" s="40"/>
      <c r="Z114" s="44">
        <f t="shared" si="65"/>
        <v>0</v>
      </c>
      <c r="AA114" s="35">
        <f t="shared" si="66"/>
        <v>0</v>
      </c>
      <c r="AD114" s="31"/>
      <c r="AE114" s="45"/>
      <c r="AF114" s="45"/>
      <c r="AG114" s="45"/>
      <c r="AH114" s="45"/>
      <c r="AI114" s="45"/>
      <c r="AJ114" s="45"/>
      <c r="AK114" s="45"/>
      <c r="AL114" s="45"/>
      <c r="AM114" s="45"/>
      <c r="AN114" s="45"/>
      <c r="AO114" s="45"/>
      <c r="AP114" s="45"/>
      <c r="AQ114" s="45"/>
      <c r="AR114" s="45"/>
      <c r="AS114" s="45"/>
      <c r="AT114" s="45"/>
      <c r="AU114" s="45"/>
      <c r="AV114" s="45"/>
      <c r="AW114" s="45"/>
      <c r="AX114" s="45"/>
      <c r="AY114" s="45"/>
      <c r="AZ114" s="45"/>
      <c r="BA114" s="45"/>
      <c r="BB114" s="45"/>
      <c r="BC114" s="45"/>
      <c r="BD114" s="45"/>
      <c r="BE114" s="45"/>
      <c r="BF114" s="45"/>
      <c r="BG114" s="45"/>
      <c r="BH114" s="45"/>
      <c r="BI114" s="45"/>
      <c r="BJ114" s="45"/>
      <c r="BK114" s="45"/>
      <c r="BL114" s="45"/>
      <c r="BM114" s="45"/>
      <c r="BN114" s="45"/>
      <c r="BO114" s="45"/>
      <c r="BP114" s="45"/>
      <c r="BQ114" s="45"/>
      <c r="BR114" s="45"/>
      <c r="BS114" s="45"/>
      <c r="BT114" s="45"/>
      <c r="BU114" s="45"/>
      <c r="BV114" s="45"/>
      <c r="BW114" s="45"/>
      <c r="BX114" s="45"/>
      <c r="BY114" s="45"/>
      <c r="BZ114" s="45"/>
      <c r="CA114" s="45"/>
      <c r="CB114" s="45"/>
      <c r="CC114" s="45"/>
      <c r="CD114" s="45"/>
      <c r="CE114" s="46"/>
      <c r="CF114" s="46"/>
      <c r="CG114" s="45"/>
      <c r="CH114" s="15"/>
      <c r="CI114" s="47"/>
    </row>
    <row r="115" spans="1:87" x14ac:dyDescent="0.2">
      <c r="A115" s="31"/>
      <c r="B115" s="48"/>
      <c r="C115" s="48"/>
      <c r="D115" s="48"/>
      <c r="E115" s="34"/>
      <c r="F115" s="35" t="s">
        <v>11</v>
      </c>
      <c r="G115" s="36"/>
      <c r="H115" s="37"/>
      <c r="I115" s="38">
        <f t="shared" si="52"/>
        <v>0</v>
      </c>
      <c r="J115" s="39">
        <f t="shared" si="53"/>
        <v>0</v>
      </c>
      <c r="K115" s="40">
        <f t="shared" si="54"/>
        <v>0</v>
      </c>
      <c r="L115" s="39">
        <f t="shared" si="55"/>
        <v>0</v>
      </c>
      <c r="M115" s="40">
        <f t="shared" si="56"/>
        <v>0</v>
      </c>
      <c r="N115" s="41">
        <f t="shared" si="57"/>
        <v>0</v>
      </c>
      <c r="O115" s="42"/>
      <c r="P115" s="41">
        <f t="shared" si="58"/>
        <v>0</v>
      </c>
      <c r="Q115" s="42">
        <f t="shared" si="59"/>
        <v>0</v>
      </c>
      <c r="R115" s="43">
        <f t="shared" si="60"/>
        <v>0</v>
      </c>
      <c r="S115" s="42">
        <f t="shared" si="61"/>
        <v>0</v>
      </c>
      <c r="T115" s="41">
        <f>SUM(Tabla2[[#This Row],[LNDV ]:[LNDV UND REF]])</f>
        <v>0</v>
      </c>
      <c r="U115" s="42">
        <f t="shared" si="62"/>
        <v>0</v>
      </c>
      <c r="V115" s="41">
        <f t="shared" si="63"/>
        <v>0</v>
      </c>
      <c r="W115" s="42"/>
      <c r="X115" s="41">
        <f t="shared" si="64"/>
        <v>0</v>
      </c>
      <c r="Y115" s="40"/>
      <c r="Z115" s="44">
        <f t="shared" si="65"/>
        <v>0</v>
      </c>
      <c r="AA115" s="35">
        <f t="shared" si="66"/>
        <v>0</v>
      </c>
      <c r="AD115" s="31"/>
      <c r="AE115" s="45"/>
      <c r="AF115" s="45"/>
      <c r="AG115" s="45"/>
      <c r="AH115" s="45"/>
      <c r="AI115" s="45"/>
      <c r="AJ115" s="45"/>
      <c r="AK115" s="45"/>
      <c r="AL115" s="45"/>
      <c r="AM115" s="45"/>
      <c r="AN115" s="45"/>
      <c r="AO115" s="45"/>
      <c r="AP115" s="45"/>
      <c r="AQ115" s="45"/>
      <c r="AR115" s="45"/>
      <c r="AS115" s="45"/>
      <c r="AT115" s="45"/>
      <c r="AU115" s="45"/>
      <c r="AV115" s="45"/>
      <c r="AW115" s="45"/>
      <c r="AX115" s="45"/>
      <c r="AY115" s="45"/>
      <c r="AZ115" s="45"/>
      <c r="BA115" s="45"/>
      <c r="BB115" s="45"/>
      <c r="BC115" s="45"/>
      <c r="BD115" s="45"/>
      <c r="BE115" s="45"/>
      <c r="BF115" s="45"/>
      <c r="BG115" s="45"/>
      <c r="BH115" s="45"/>
      <c r="BI115" s="45"/>
      <c r="BJ115" s="45"/>
      <c r="BK115" s="45"/>
      <c r="BL115" s="45"/>
      <c r="BM115" s="45"/>
      <c r="BN115" s="45"/>
      <c r="BO115" s="45"/>
      <c r="BP115" s="45"/>
      <c r="BQ115" s="45"/>
      <c r="BR115" s="45"/>
      <c r="BS115" s="45"/>
      <c r="BT115" s="45"/>
      <c r="BU115" s="45"/>
      <c r="BV115" s="45"/>
      <c r="BW115" s="45"/>
      <c r="BX115" s="45"/>
      <c r="BY115" s="45"/>
      <c r="BZ115" s="45"/>
      <c r="CA115" s="45"/>
      <c r="CB115" s="45"/>
      <c r="CC115" s="45"/>
      <c r="CD115" s="45"/>
      <c r="CE115" s="46"/>
      <c r="CF115" s="46"/>
      <c r="CG115" s="45"/>
      <c r="CH115" s="15"/>
      <c r="CI115" s="47"/>
    </row>
    <row r="116" spans="1:87" x14ac:dyDescent="0.2">
      <c r="A116" s="31"/>
      <c r="B116" s="48"/>
      <c r="C116" s="48"/>
      <c r="D116" s="48"/>
      <c r="E116" s="34"/>
      <c r="F116" s="35" t="s">
        <v>11</v>
      </c>
      <c r="G116" s="36"/>
      <c r="H116" s="37"/>
      <c r="I116" s="38">
        <f t="shared" si="52"/>
        <v>0</v>
      </c>
      <c r="J116" s="39">
        <f t="shared" si="53"/>
        <v>0</v>
      </c>
      <c r="K116" s="40">
        <f t="shared" si="54"/>
        <v>0</v>
      </c>
      <c r="L116" s="39">
        <f t="shared" si="55"/>
        <v>0</v>
      </c>
      <c r="M116" s="40">
        <f t="shared" si="56"/>
        <v>0</v>
      </c>
      <c r="N116" s="41">
        <f t="shared" si="57"/>
        <v>0</v>
      </c>
      <c r="O116" s="42"/>
      <c r="P116" s="41">
        <f t="shared" si="58"/>
        <v>0</v>
      </c>
      <c r="Q116" s="42">
        <f t="shared" si="59"/>
        <v>0</v>
      </c>
      <c r="R116" s="43">
        <f t="shared" si="60"/>
        <v>0</v>
      </c>
      <c r="S116" s="42">
        <f t="shared" si="61"/>
        <v>0</v>
      </c>
      <c r="T116" s="41">
        <f>SUM(Tabla2[[#This Row],[LNDV ]:[LNDV UND REF]])</f>
        <v>0</v>
      </c>
      <c r="U116" s="42">
        <f t="shared" si="62"/>
        <v>0</v>
      </c>
      <c r="V116" s="41">
        <f t="shared" si="63"/>
        <v>0</v>
      </c>
      <c r="W116" s="42"/>
      <c r="X116" s="41">
        <f t="shared" si="64"/>
        <v>0</v>
      </c>
      <c r="Y116" s="40"/>
      <c r="Z116" s="44">
        <f t="shared" si="65"/>
        <v>0</v>
      </c>
      <c r="AA116" s="35">
        <f t="shared" si="66"/>
        <v>0</v>
      </c>
      <c r="AD116" s="31"/>
      <c r="AE116" s="45"/>
      <c r="AF116" s="45"/>
      <c r="AG116" s="45"/>
      <c r="AH116" s="45"/>
      <c r="AI116" s="45"/>
      <c r="AJ116" s="45"/>
      <c r="AK116" s="45"/>
      <c r="AL116" s="45"/>
      <c r="AM116" s="45"/>
      <c r="AN116" s="45"/>
      <c r="AO116" s="45"/>
      <c r="AP116" s="45"/>
      <c r="AQ116" s="45"/>
      <c r="AR116" s="45"/>
      <c r="AS116" s="45"/>
      <c r="AT116" s="45"/>
      <c r="AU116" s="45"/>
      <c r="AV116" s="45"/>
      <c r="AW116" s="45"/>
      <c r="AX116" s="45"/>
      <c r="AY116" s="45"/>
      <c r="AZ116" s="45"/>
      <c r="BA116" s="45"/>
      <c r="BB116" s="45"/>
      <c r="BC116" s="45"/>
      <c r="BD116" s="45"/>
      <c r="BE116" s="45"/>
      <c r="BF116" s="45"/>
      <c r="BG116" s="45"/>
      <c r="BH116" s="45"/>
      <c r="BI116" s="45"/>
      <c r="BJ116" s="45"/>
      <c r="BK116" s="45"/>
      <c r="BL116" s="45"/>
      <c r="BM116" s="45"/>
      <c r="BN116" s="45"/>
      <c r="BO116" s="45"/>
      <c r="BP116" s="45"/>
      <c r="BQ116" s="45"/>
      <c r="BR116" s="45"/>
      <c r="BS116" s="45"/>
      <c r="BT116" s="45"/>
      <c r="BU116" s="45"/>
      <c r="BV116" s="45"/>
      <c r="BW116" s="45"/>
      <c r="BX116" s="45"/>
      <c r="BY116" s="45"/>
      <c r="BZ116" s="45"/>
      <c r="CA116" s="45"/>
      <c r="CB116" s="45"/>
      <c r="CC116" s="45"/>
      <c r="CD116" s="45"/>
      <c r="CE116" s="46"/>
      <c r="CF116" s="46"/>
      <c r="CG116" s="45"/>
      <c r="CH116" s="15"/>
      <c r="CI116" s="47"/>
    </row>
    <row r="117" spans="1:87" x14ac:dyDescent="0.2">
      <c r="A117" s="31"/>
      <c r="B117" s="48"/>
      <c r="C117" s="48"/>
      <c r="D117" s="48"/>
      <c r="E117" s="34"/>
      <c r="F117" s="35" t="s">
        <v>11</v>
      </c>
      <c r="G117" s="36"/>
      <c r="H117" s="37"/>
      <c r="I117" s="38">
        <f t="shared" si="52"/>
        <v>0</v>
      </c>
      <c r="J117" s="39">
        <f t="shared" si="53"/>
        <v>0</v>
      </c>
      <c r="K117" s="40">
        <f t="shared" si="54"/>
        <v>0</v>
      </c>
      <c r="L117" s="39">
        <f t="shared" si="55"/>
        <v>0</v>
      </c>
      <c r="M117" s="40">
        <f t="shared" si="56"/>
        <v>0</v>
      </c>
      <c r="N117" s="41">
        <f t="shared" si="57"/>
        <v>0</v>
      </c>
      <c r="O117" s="42"/>
      <c r="P117" s="41">
        <f t="shared" si="58"/>
        <v>0</v>
      </c>
      <c r="Q117" s="42">
        <f t="shared" si="59"/>
        <v>0</v>
      </c>
      <c r="R117" s="43">
        <f t="shared" si="60"/>
        <v>0</v>
      </c>
      <c r="S117" s="42">
        <f t="shared" si="61"/>
        <v>0</v>
      </c>
      <c r="T117" s="41">
        <f>SUM(Tabla2[[#This Row],[LNDV ]:[LNDV UND REF]])</f>
        <v>0</v>
      </c>
      <c r="U117" s="42">
        <f t="shared" si="62"/>
        <v>0</v>
      </c>
      <c r="V117" s="41">
        <f t="shared" si="63"/>
        <v>0</v>
      </c>
      <c r="W117" s="42"/>
      <c r="X117" s="41">
        <f t="shared" si="64"/>
        <v>0</v>
      </c>
      <c r="Y117" s="40"/>
      <c r="Z117" s="44">
        <f t="shared" si="65"/>
        <v>0</v>
      </c>
      <c r="AA117" s="35">
        <f t="shared" si="66"/>
        <v>0</v>
      </c>
      <c r="AD117" s="31"/>
      <c r="AE117" s="45"/>
      <c r="AF117" s="45"/>
      <c r="AG117" s="45"/>
      <c r="AH117" s="45"/>
      <c r="AI117" s="45"/>
      <c r="AJ117" s="45"/>
      <c r="AK117" s="45"/>
      <c r="AL117" s="45"/>
      <c r="AM117" s="45"/>
      <c r="AN117" s="45"/>
      <c r="AO117" s="45"/>
      <c r="AP117" s="45"/>
      <c r="AQ117" s="45"/>
      <c r="AR117" s="45"/>
      <c r="AS117" s="45"/>
      <c r="AT117" s="45"/>
      <c r="AU117" s="45"/>
      <c r="AV117" s="45"/>
      <c r="AW117" s="45"/>
      <c r="AX117" s="45"/>
      <c r="AY117" s="45"/>
      <c r="AZ117" s="45"/>
      <c r="BA117" s="45"/>
      <c r="BB117" s="45"/>
      <c r="BC117" s="45"/>
      <c r="BD117" s="45"/>
      <c r="BE117" s="45"/>
      <c r="BF117" s="45"/>
      <c r="BG117" s="45"/>
      <c r="BH117" s="45"/>
      <c r="BI117" s="45"/>
      <c r="BJ117" s="45"/>
      <c r="BK117" s="45"/>
      <c r="BL117" s="45"/>
      <c r="BM117" s="45"/>
      <c r="BN117" s="45"/>
      <c r="BO117" s="45"/>
      <c r="BP117" s="45"/>
      <c r="BQ117" s="45"/>
      <c r="BR117" s="45"/>
      <c r="BS117" s="45"/>
      <c r="BT117" s="45"/>
      <c r="BU117" s="45"/>
      <c r="BV117" s="45"/>
      <c r="BW117" s="45"/>
      <c r="BX117" s="45"/>
      <c r="BY117" s="45"/>
      <c r="BZ117" s="45"/>
      <c r="CA117" s="45"/>
      <c r="CB117" s="45"/>
      <c r="CC117" s="45"/>
      <c r="CD117" s="45"/>
      <c r="CE117" s="46"/>
      <c r="CF117" s="46"/>
      <c r="CG117" s="45"/>
      <c r="CH117" s="15"/>
      <c r="CI117" s="47"/>
    </row>
    <row r="118" spans="1:87" x14ac:dyDescent="0.2">
      <c r="A118" s="31"/>
      <c r="B118" s="48"/>
      <c r="C118" s="48"/>
      <c r="D118" s="48"/>
      <c r="E118" s="34"/>
      <c r="F118" s="35" t="s">
        <v>11</v>
      </c>
      <c r="G118" s="36"/>
      <c r="H118" s="37"/>
      <c r="I118" s="38">
        <f t="shared" si="52"/>
        <v>0</v>
      </c>
      <c r="J118" s="39">
        <f t="shared" si="53"/>
        <v>0</v>
      </c>
      <c r="K118" s="40">
        <f t="shared" si="54"/>
        <v>0</v>
      </c>
      <c r="L118" s="39">
        <f t="shared" si="55"/>
        <v>0</v>
      </c>
      <c r="M118" s="40">
        <f t="shared" si="56"/>
        <v>0</v>
      </c>
      <c r="N118" s="41">
        <f t="shared" si="57"/>
        <v>0</v>
      </c>
      <c r="O118" s="42"/>
      <c r="P118" s="41">
        <f t="shared" si="58"/>
        <v>0</v>
      </c>
      <c r="Q118" s="42">
        <f t="shared" si="59"/>
        <v>0</v>
      </c>
      <c r="R118" s="43">
        <f t="shared" si="60"/>
        <v>0</v>
      </c>
      <c r="S118" s="42">
        <f t="shared" si="61"/>
        <v>0</v>
      </c>
      <c r="T118" s="41">
        <f>SUM(Tabla2[[#This Row],[LNDV ]:[LNDV UND REF]])</f>
        <v>0</v>
      </c>
      <c r="U118" s="42">
        <f t="shared" si="62"/>
        <v>0</v>
      </c>
      <c r="V118" s="41">
        <f t="shared" si="63"/>
        <v>0</v>
      </c>
      <c r="W118" s="42"/>
      <c r="X118" s="41">
        <f t="shared" si="64"/>
        <v>0</v>
      </c>
      <c r="Y118" s="40"/>
      <c r="Z118" s="44">
        <f t="shared" si="65"/>
        <v>0</v>
      </c>
      <c r="AA118" s="35">
        <f t="shared" si="66"/>
        <v>0</v>
      </c>
      <c r="AD118" s="31"/>
      <c r="AE118" s="45"/>
      <c r="AF118" s="45"/>
      <c r="AG118" s="45"/>
      <c r="AH118" s="45"/>
      <c r="AI118" s="45"/>
      <c r="AJ118" s="45"/>
      <c r="AK118" s="45"/>
      <c r="AL118" s="45"/>
      <c r="AM118" s="45"/>
      <c r="AN118" s="45"/>
      <c r="AO118" s="45"/>
      <c r="AP118" s="45"/>
      <c r="AQ118" s="45"/>
      <c r="AR118" s="45"/>
      <c r="AS118" s="45"/>
      <c r="AT118" s="45"/>
      <c r="AU118" s="45"/>
      <c r="AV118" s="45"/>
      <c r="AW118" s="45"/>
      <c r="AX118" s="45"/>
      <c r="AY118" s="45"/>
      <c r="AZ118" s="45"/>
      <c r="BA118" s="45"/>
      <c r="BB118" s="45"/>
      <c r="BC118" s="45"/>
      <c r="BD118" s="45"/>
      <c r="BE118" s="45"/>
      <c r="BF118" s="45"/>
      <c r="BG118" s="45"/>
      <c r="BH118" s="45"/>
      <c r="BI118" s="45"/>
      <c r="BJ118" s="45"/>
      <c r="BK118" s="45"/>
      <c r="BL118" s="45"/>
      <c r="BM118" s="45"/>
      <c r="BN118" s="45"/>
      <c r="BO118" s="45"/>
      <c r="BP118" s="45"/>
      <c r="BQ118" s="45"/>
      <c r="BR118" s="45"/>
      <c r="BS118" s="45"/>
      <c r="BT118" s="45"/>
      <c r="BU118" s="45"/>
      <c r="BV118" s="45"/>
      <c r="BW118" s="45"/>
      <c r="BX118" s="45"/>
      <c r="BY118" s="45"/>
      <c r="BZ118" s="45"/>
      <c r="CA118" s="45"/>
      <c r="CB118" s="45"/>
      <c r="CC118" s="45"/>
      <c r="CD118" s="45"/>
      <c r="CE118" s="46"/>
      <c r="CF118" s="46"/>
      <c r="CG118" s="45"/>
      <c r="CH118" s="15"/>
      <c r="CI118" s="47"/>
    </row>
    <row r="119" spans="1:87" x14ac:dyDescent="0.2">
      <c r="A119" s="76"/>
      <c r="B119" s="77"/>
      <c r="C119" s="77"/>
      <c r="D119" s="77"/>
      <c r="E119" s="78"/>
      <c r="F119" s="35" t="s">
        <v>11</v>
      </c>
      <c r="G119" s="79"/>
      <c r="H119" s="80"/>
      <c r="I119" s="81">
        <f t="shared" si="52"/>
        <v>0</v>
      </c>
      <c r="J119" s="82">
        <f t="shared" si="53"/>
        <v>0</v>
      </c>
      <c r="K119" s="83">
        <f t="shared" si="54"/>
        <v>0</v>
      </c>
      <c r="L119" s="82">
        <f t="shared" si="55"/>
        <v>0</v>
      </c>
      <c r="M119" s="83">
        <f t="shared" si="56"/>
        <v>0</v>
      </c>
      <c r="N119" s="84">
        <f t="shared" si="57"/>
        <v>0</v>
      </c>
      <c r="O119" s="85"/>
      <c r="P119" s="84">
        <f t="shared" si="58"/>
        <v>0</v>
      </c>
      <c r="Q119" s="85">
        <f t="shared" si="59"/>
        <v>0</v>
      </c>
      <c r="R119" s="86">
        <f t="shared" si="60"/>
        <v>0</v>
      </c>
      <c r="S119" s="85">
        <f t="shared" si="61"/>
        <v>0</v>
      </c>
      <c r="T119" s="41">
        <f>SUM(Tabla2[[#This Row],[LNDV ]:[LNDV UND REF]])</f>
        <v>0</v>
      </c>
      <c r="U119" s="85">
        <f t="shared" si="62"/>
        <v>0</v>
      </c>
      <c r="V119" s="84">
        <f t="shared" si="63"/>
        <v>0</v>
      </c>
      <c r="W119" s="85"/>
      <c r="X119" s="84">
        <f t="shared" si="64"/>
        <v>0</v>
      </c>
      <c r="Y119" s="83"/>
      <c r="Z119" s="87">
        <f t="shared" si="65"/>
        <v>0</v>
      </c>
      <c r="AA119" s="88">
        <f t="shared" si="66"/>
        <v>0</v>
      </c>
      <c r="AD119" s="76"/>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c r="BC119" s="89"/>
      <c r="BD119" s="89"/>
      <c r="BE119" s="89"/>
      <c r="BF119" s="89"/>
      <c r="BG119" s="89"/>
      <c r="BH119" s="89"/>
      <c r="BI119" s="89"/>
      <c r="BJ119" s="89"/>
      <c r="BK119" s="89"/>
      <c r="BL119" s="89"/>
      <c r="BM119" s="89"/>
      <c r="BN119" s="89"/>
      <c r="BO119" s="89"/>
      <c r="BP119" s="89"/>
      <c r="BQ119" s="89"/>
      <c r="BR119" s="89"/>
      <c r="BS119" s="89"/>
      <c r="BT119" s="89"/>
      <c r="BU119" s="89"/>
      <c r="BV119" s="89"/>
      <c r="BW119" s="89"/>
      <c r="BX119" s="89"/>
      <c r="BY119" s="89"/>
      <c r="BZ119" s="89"/>
      <c r="CA119" s="89"/>
      <c r="CB119" s="89"/>
      <c r="CC119" s="89"/>
      <c r="CD119" s="89"/>
      <c r="CE119" s="90"/>
      <c r="CF119" s="90"/>
      <c r="CG119" s="89"/>
      <c r="CH119" s="91"/>
      <c r="CI119" s="92"/>
    </row>
    <row r="120" spans="1:87" x14ac:dyDescent="0.2">
      <c r="A120" s="93" t="s">
        <v>2032</v>
      </c>
      <c r="B120" s="94">
        <f>SUBTOTAL(103,Tabla1[[Equipo ]])</f>
        <v>111</v>
      </c>
      <c r="C120" s="94"/>
      <c r="D120" s="94"/>
      <c r="E120" s="95"/>
      <c r="F120" s="96"/>
      <c r="G120" s="97"/>
      <c r="H120" s="98">
        <f>SUBTOTAL(109,Tabla1[Adjudicado 2023+ IPC])</f>
        <v>21178580255.3424</v>
      </c>
      <c r="I120" s="99">
        <f>SUBTOTAL(109,Tabla1[Valor Total SAD])</f>
        <v>11634656029.561604</v>
      </c>
      <c r="J120" s="100">
        <f>SUBTOTAL(109,Tabla1[Cant. RED LDF])</f>
        <v>33</v>
      </c>
      <c r="K120" s="101">
        <f>SUBTOTAL(109,Tabla1[Valor Total RED LDF])</f>
        <v>2737933575.0672002</v>
      </c>
      <c r="L120" s="100">
        <f>SUBTOTAL(109,Tabla1[Cant.  LDF&amp;MR])</f>
        <v>24</v>
      </c>
      <c r="M120" s="101">
        <f>SUBTOTAL(109,Tabla1[Valor Total LDF&amp;MR])</f>
        <v>1854268003.4976001</v>
      </c>
      <c r="N120" s="100">
        <f>SUBTOTAL(109,Tabla1[Cant. LANIA])</f>
        <v>15</v>
      </c>
      <c r="O120" s="102">
        <f>SUBTOTAL(109,Tabla1[Valor Total LANIA])</f>
        <v>338648152.62400001</v>
      </c>
      <c r="P120" s="100">
        <f>SUBTOTAL(109,Tabla1[Cant.  RED LASE])</f>
        <v>4</v>
      </c>
      <c r="Q120" s="102">
        <f>SUBTOTAL(109,Tabla1[Valor Total RED LASE])</f>
        <v>178374465.59999999</v>
      </c>
      <c r="R120" s="103">
        <f>SUBTOTAL(109,Tabla1[Cant.  LDV])</f>
        <v>11</v>
      </c>
      <c r="S120" s="102">
        <f>SUBTOTAL(109,Tabla1[Valor total RED LDV])</f>
        <v>379947217.44000006</v>
      </c>
      <c r="T120" s="100">
        <f>SUBTOTAL(109,Tabla1[Cant. LNDV])</f>
        <v>4</v>
      </c>
      <c r="U120" s="102">
        <f>SUBTOTAL(109,Tabla1[Valor Total LNDV])</f>
        <v>300145287.62239999</v>
      </c>
      <c r="V120" s="100">
        <f>SUBTOTAL(109,Tabla1[Total  LANIP])</f>
        <v>20</v>
      </c>
      <c r="W120" s="102">
        <f>SUBTOTAL(109,Tabla1[[ Valor Total LANIP]])</f>
        <v>712727165.19999993</v>
      </c>
      <c r="X120" s="100">
        <f>SUBTOTAL(109,Tabla1[TOTAL  GGCA])</f>
        <v>0</v>
      </c>
      <c r="Y120" s="101">
        <f>SUBTOTAL(109,Tabla1[Valor Total GGCA])</f>
        <v>0</v>
      </c>
      <c r="Z120" s="104">
        <f>SUBTOTAL(109,Tabla1[TOTAL  SPA])</f>
        <v>0</v>
      </c>
      <c r="AA120" s="105">
        <f>SUBTOTAL(109,Tabla1[Valor Total SPA])</f>
        <v>0</v>
      </c>
      <c r="AD120" s="76">
        <f>SUBTOTAL(109,Tabla2[LDF Barranquilla])</f>
        <v>3</v>
      </c>
      <c r="AE120" s="89">
        <f>SUBTOTAL(109,Tabla2[LDF Bello])</f>
        <v>0</v>
      </c>
      <c r="AF120" s="89">
        <f>SUBTOTAL(109,Tabla2[LDF Bucaramanga])</f>
        <v>4</v>
      </c>
      <c r="AG120" s="89">
        <f>SUBTOTAL(109,Tabla2[LDF Carepa])</f>
        <v>0</v>
      </c>
      <c r="AH120" s="89">
        <f>SUBTOTAL(109,Tabla2[LDF Cereté])</f>
        <v>0</v>
      </c>
      <c r="AI120" s="89">
        <f>SUBTOTAL(109,Tabla2[LDF Cúcuta])</f>
        <v>2</v>
      </c>
      <c r="AJ120" s="89">
        <f>SUBTOTAL(109,Tabla2[LDF Ibagué])</f>
        <v>13</v>
      </c>
      <c r="AK120" s="89">
        <f>SUBTOTAL(109,Tabla2[LDF Manizales])</f>
        <v>3</v>
      </c>
      <c r="AL120" s="89">
        <f>SUBTOTAL(109,Tabla2[LDF Palmira])</f>
        <v>0</v>
      </c>
      <c r="AM120" s="89">
        <f>SUBTOTAL(109,Tabla2[LDF Pasto])</f>
        <v>1</v>
      </c>
      <c r="AN120" s="89">
        <f>SUBTOTAL(109,Tabla2[LDF Sogamoso])</f>
        <v>3</v>
      </c>
      <c r="AO120" s="89">
        <f>SUBTOTAL(109,Tabla2[LDF Villavicencio])</f>
        <v>3</v>
      </c>
      <c r="AP120" s="89">
        <f>SUBTOTAL(109,Tabla2[[LDF Zona Bananera ]])</f>
        <v>1</v>
      </c>
      <c r="AQ120" s="89">
        <f>SUBTOTAL(109,Tabla2[LAMA])</f>
        <v>0</v>
      </c>
      <c r="AR120" s="89">
        <f>SUBTOTAL(109,Tabla2[LANIA])</f>
        <v>15</v>
      </c>
      <c r="AS120" s="89">
        <f>SUBTOTAL(109,Tabla2[LNDF])</f>
        <v>4</v>
      </c>
      <c r="AT120" s="89">
        <f>SUBTOTAL(109,Tabla2[LNDF REF])</f>
        <v>9</v>
      </c>
      <c r="AU120" s="89">
        <f>SUBTOTAL(109,Tabla2[LCV])</f>
        <v>2</v>
      </c>
      <c r="AV120" s="89">
        <f>SUBTOTAL(109,Tabla2[LOGM])</f>
        <v>6</v>
      </c>
      <c r="AW120" s="89">
        <f>SUBTOTAL(109,Tabla2[LNTC])</f>
        <v>3</v>
      </c>
      <c r="AX120" s="89">
        <f>SUBTOTAL(109,Tabla2[LASE Bucaramanga])</f>
        <v>0</v>
      </c>
      <c r="AY120" s="89">
        <f>SUBTOTAL(109,Tabla2[LASE Ibagué])</f>
        <v>2</v>
      </c>
      <c r="AZ120" s="89">
        <f>SUBTOTAL(109,Tabla2[LASE Palmira])</f>
        <v>1</v>
      </c>
      <c r="BA120" s="89">
        <f>SUBTOTAL(109,Tabla2[LASE Valledupar])</f>
        <v>0</v>
      </c>
      <c r="BB120" s="89">
        <f>SUBTOTAL(109,Tabla2[LASE Villavicencio])</f>
        <v>0</v>
      </c>
      <c r="BC120" s="89">
        <f>SUBTOTAL(109,Tabla2[LANASE])</f>
        <v>1</v>
      </c>
      <c r="BD120" s="89">
        <f>SUBTOTAL(109,Tabla2[LDV - Aguachica])</f>
        <v>0</v>
      </c>
      <c r="BE120" s="89">
        <f>SUBTOTAL(109,Tabla2[LDV - Arauca])</f>
        <v>1</v>
      </c>
      <c r="BF120" s="89">
        <f>SUBTOTAL(109,Tabla2[LDV - Barrancabermeja])</f>
        <v>0</v>
      </c>
      <c r="BG120" s="89">
        <f>SUBTOTAL(109,Tabla2[LDV - Cartagena])</f>
        <v>0</v>
      </c>
      <c r="BH120" s="89">
        <f>SUBTOTAL(109,Tabla2[LDV - Cereté])</f>
        <v>1</v>
      </c>
      <c r="BI120" s="89">
        <f>SUBTOTAL(109,Tabla2[LDV - Cúcuta])</f>
        <v>0</v>
      </c>
      <c r="BJ120" s="89">
        <f>SUBTOTAL(109,Tabla2[LDV - El Banco])</f>
        <v>0</v>
      </c>
      <c r="BK120" s="89">
        <f>SUBTOTAL(109,Tabla2[LDV - Florencia])</f>
        <v>1</v>
      </c>
      <c r="BL120" s="89">
        <f>SUBTOTAL(109,Tabla2[LDV - Fundación])</f>
        <v>0</v>
      </c>
      <c r="BM120" s="89">
        <f>SUBTOTAL(109,Tabla2[LDV - La Dorada])</f>
        <v>0</v>
      </c>
      <c r="BN120" s="89">
        <f>SUBTOTAL(109,Tabla2[LDV - Manizales])</f>
        <v>1</v>
      </c>
      <c r="BO120" s="89">
        <f>SUBTOTAL(109,Tabla2[LDV - Palmira])</f>
        <v>0</v>
      </c>
      <c r="BP120" s="89">
        <f>SUBTOTAL(109,Tabla2[LDV - Pasto])</f>
        <v>0</v>
      </c>
      <c r="BQ120" s="89">
        <f>SUBTOTAL(109,Tabla2[LDV - Popayán])</f>
        <v>0</v>
      </c>
      <c r="BR120" s="89">
        <f>SUBTOTAL(109,Tabla2[LDV - Sincelejo])</f>
        <v>0</v>
      </c>
      <c r="BS120" s="89">
        <f>SUBTOTAL(109,Tabla2[LDV - Sogamoso])</f>
        <v>1</v>
      </c>
      <c r="BT120" s="89">
        <f>SUBTOTAL(109,Tabla2[LDV - Tuluá])</f>
        <v>2</v>
      </c>
      <c r="BU120" s="89">
        <f>SUBTOTAL(109,Tabla2[LDV - Valledupar])</f>
        <v>0</v>
      </c>
      <c r="BV120" s="89">
        <f>SUBTOTAL(109,Tabla2[LDV - Villavicencio])</f>
        <v>0</v>
      </c>
      <c r="BW120" s="89">
        <f>SUBTOTAL(109,Tabla2[LDV - Yopal])</f>
        <v>0</v>
      </c>
      <c r="BX120" s="89">
        <f>SUBTOTAL(109,Tabla2[LDV- Armernia])</f>
        <v>0</v>
      </c>
      <c r="BY120" s="89">
        <f>SUBTOTAL(109,Tabla2[LDV Barranquilla])</f>
        <v>1</v>
      </c>
      <c r="BZ120" s="89">
        <f>SUBTOTAL(109,Tabla2[LDV Bello])</f>
        <v>1</v>
      </c>
      <c r="CA120" s="89">
        <f>SUBTOTAL(109,Tabla2[LDV Ibagué])</f>
        <v>1</v>
      </c>
      <c r="CB120" s="89">
        <f>SUBTOTAL(109,Tabla2[LDV Neiva])</f>
        <v>1</v>
      </c>
      <c r="CC120" s="89">
        <f>SUBTOTAL(109,Tabla2[LDV Palmira])</f>
        <v>0</v>
      </c>
      <c r="CD120" s="89">
        <f>SUBTOTAL(109,Tabla2[[LNDV ]])</f>
        <v>3</v>
      </c>
      <c r="CE120" s="89"/>
      <c r="CF120" s="90">
        <f>SUBTOTAL(109,Tabla2[LANIP])</f>
        <v>20</v>
      </c>
      <c r="CG120" s="89">
        <f>SUBTOTAL(109,Tabla2[LASIM])</f>
        <v>0</v>
      </c>
      <c r="CH120" s="91">
        <f>SUBTOTAL(109,Tabla2[SOPORTE])</f>
        <v>0</v>
      </c>
      <c r="CI120" s="92">
        <f>SUBTOTAL(109,Tabla2[SPA])</f>
        <v>0</v>
      </c>
    </row>
    <row r="121" spans="1:87" x14ac:dyDescent="0.2">
      <c r="C121" s="10"/>
      <c r="D121" s="10"/>
      <c r="K121" s="106"/>
      <c r="L121" s="106"/>
      <c r="M121" s="106"/>
      <c r="N121" s="106"/>
      <c r="O121" s="106"/>
      <c r="P121" s="106"/>
      <c r="Q121" s="106"/>
      <c r="R121" s="106"/>
      <c r="S121" s="106"/>
      <c r="T121" s="106"/>
      <c r="U121" s="106"/>
      <c r="V121" s="106"/>
      <c r="W121" s="106"/>
      <c r="X121" s="106"/>
      <c r="Y121" s="106"/>
      <c r="Z121" s="106"/>
      <c r="AA121" s="106"/>
    </row>
    <row r="122" spans="1:87" x14ac:dyDescent="0.2">
      <c r="C122" s="10"/>
      <c r="D122" s="10"/>
      <c r="K122" s="107"/>
      <c r="M122" s="107"/>
      <c r="N122" s="107"/>
      <c r="O122" s="107"/>
      <c r="P122" s="107"/>
      <c r="Q122" s="107"/>
      <c r="R122" s="107"/>
      <c r="S122" s="107"/>
      <c r="T122" s="107"/>
      <c r="U122" s="107"/>
      <c r="V122" s="107"/>
      <c r="W122" s="107"/>
      <c r="X122" s="107"/>
      <c r="Y122" s="107"/>
      <c r="Z122" s="107"/>
      <c r="AA122" s="107"/>
    </row>
    <row r="126" spans="1:87" x14ac:dyDescent="0.2">
      <c r="B126" s="108"/>
    </row>
    <row r="127" spans="1:87" x14ac:dyDescent="0.2">
      <c r="B127" s="108"/>
    </row>
    <row r="128" spans="1:87" x14ac:dyDescent="0.2">
      <c r="B128" s="109"/>
    </row>
  </sheetData>
  <sortState xmlns:xlrd2="http://schemas.microsoft.com/office/spreadsheetml/2017/richdata2" ref="BD2:CC2">
    <sortCondition ref="BD2"/>
  </sortState>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3947b0a9b10a8ee52c9a22391abaf2ad">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97ee6d4b05bc516e8a1436f4a82ab588"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SharedWithUsers xmlns="6bd64bee-747a-4257-ac2c-022ce70e2643">
      <UserInfo>
        <DisplayName>Diego Alejandro Mendez Mendez</DisplayName>
        <AccountId>277</AccountId>
        <AccountType/>
      </UserInfo>
      <UserInfo>
        <DisplayName>Marcos Cesar Truyol Matute</DisplayName>
        <AccountId>14</AccountId>
        <AccountType/>
      </UserInfo>
      <UserInfo>
        <DisplayName>Zonia Yubyll Sabogal Rodríguez</DisplayName>
        <AccountId>170</AccountId>
        <AccountType/>
      </UserInfo>
      <UserInfo>
        <DisplayName>Nancy Naranjo Amaya</DisplayName>
        <AccountId>153</AccountId>
        <AccountType/>
      </UserInfo>
      <UserInfo>
        <DisplayName>Fanny Carolina Leal Leal</DisplayName>
        <AccountId>200</AccountId>
        <AccountType/>
      </UserInfo>
      <UserInfo>
        <DisplayName>Uriel Esteban Sierra Zuleta</DisplayName>
        <AccountId>20</AccountId>
        <AccountType/>
      </UserInfo>
      <UserInfo>
        <DisplayName>Oscar Javier Dix Luna</DisplayName>
        <AccountId>24</AccountId>
        <AccountType/>
      </UserInfo>
      <UserInfo>
        <DisplayName>Ana Rosa Puentes Martinez</DisplayName>
        <AccountId>161</AccountId>
        <AccountType/>
      </UserInfo>
      <UserInfo>
        <DisplayName>Manuela Calderon Hernandez</DisplayName>
        <AccountId>751</AccountId>
        <AccountType/>
      </UserInfo>
      <UserInfo>
        <DisplayName>Leixaned Beltran Calderon</DisplayName>
        <AccountId>12</AccountId>
        <AccountType/>
      </UserInfo>
      <UserInfo>
        <DisplayName>Claudia Patricia Calderon Parra</DisplayName>
        <AccountId>141</AccountId>
        <AccountType/>
      </UserInfo>
      <UserInfo>
        <DisplayName>Ivan Mauricio Huerfano Barco</DisplayName>
        <AccountId>717</AccountId>
        <AccountType/>
      </UserInfo>
      <UserInfo>
        <DisplayName>Daniel David Romero Jara</DisplayName>
        <AccountId>9</AccountId>
        <AccountType/>
      </UserInfo>
      <UserInfo>
        <DisplayName>Fernanda Carolina Cubides Suescun</DisplayName>
        <AccountId>813</AccountId>
        <AccountType/>
      </UserInfo>
      <UserInfo>
        <DisplayName>Viviana Sofia Zamora Pineda</DisplayName>
        <AccountId>1200</AccountId>
        <AccountType/>
      </UserInfo>
      <UserInfo>
        <DisplayName>Jorge Evelio Angel Diaz</DisplayName>
        <AccountId>71</AccountId>
        <AccountType/>
      </UserInfo>
      <UserInfo>
        <DisplayName>Eilin Daniela Garzon Torres</DisplayName>
        <AccountId>1275</AccountId>
        <AccountType/>
      </UserInfo>
      <UserInfo>
        <DisplayName>David Ghetgheny Esquivel Valderrama</DisplayName>
        <AccountId>37</AccountId>
        <AccountType/>
      </UserInfo>
      <UserInfo>
        <DisplayName>Mariluz Ayala Vasquez</DisplayName>
        <AccountId>89</AccountId>
        <AccountType/>
      </UserInfo>
      <UserInfo>
        <DisplayName>Ana Eugenia Patiño Suaza</DisplayName>
        <AccountId>221</AccountId>
        <AccountType/>
      </UserInfo>
      <UserInfo>
        <DisplayName>Carlos Eduardo Benitez Alvarado</DisplayName>
        <AccountId>15</AccountId>
        <AccountType/>
      </UserInfo>
      <UserInfo>
        <DisplayName>Natalia León Velasquez</DisplayName>
        <AccountId>1136</AccountId>
        <AccountType/>
      </UserInfo>
      <UserInfo>
        <DisplayName>Andres Felipe Osejo Varona</DisplayName>
        <AccountId>282</AccountId>
        <AccountType/>
      </UserInfo>
      <UserInfo>
        <DisplayName>Lina María Jimenez Aristizabal</DisplayName>
        <AccountId>99</AccountId>
        <AccountType/>
      </UserInfo>
      <UserInfo>
        <DisplayName>Cristian Giovany García Muñoz</DisplayName>
        <AccountId>49</AccountId>
        <AccountType/>
      </UserInfo>
      <UserInfo>
        <DisplayName>Subgerencia de Análisis y Diagnóstico</DisplayName>
        <AccountId>23</AccountId>
        <AccountType/>
      </UserInfo>
    </SharedWithUsers>
  </documentManagement>
</p:properties>
</file>

<file path=customXml/itemProps1.xml><?xml version="1.0" encoding="utf-8"?>
<ds:datastoreItem xmlns:ds="http://schemas.openxmlformats.org/officeDocument/2006/customXml" ds:itemID="{235488BE-46CE-4CCF-B127-0B33F97F2D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d64bee-747a-4257-ac2c-022ce70e2643"/>
    <ds:schemaRef ds:uri="49568fc9-c75b-4056-ba7b-120608bf9c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C36F11B-D923-45ED-BF90-1CF6ECFCD025}">
  <ds:schemaRefs>
    <ds:schemaRef ds:uri="http://schemas.microsoft.com/sharepoint/v3/contenttype/forms"/>
  </ds:schemaRefs>
</ds:datastoreItem>
</file>

<file path=customXml/itemProps3.xml><?xml version="1.0" encoding="utf-8"?>
<ds:datastoreItem xmlns:ds="http://schemas.openxmlformats.org/officeDocument/2006/customXml" ds:itemID="{9A4D8C42-6EA4-48CF-AD7D-D5E978D1DB9C}">
  <ds:schemaRefs>
    <ds:schemaRef ds:uri="http://schemas.microsoft.com/office/2006/metadata/properties"/>
    <ds:schemaRef ds:uri="http://schemas.microsoft.com/office/infopath/2007/PartnerControls"/>
    <ds:schemaRef ds:uri="6bd64bee-747a-4257-ac2c-022ce70e2643"/>
    <ds:schemaRef ds:uri="49568fc9-c75b-4056-ba7b-120608bf9c5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Reactivos resumen</vt:lpstr>
      <vt:lpstr>Resumen elementos</vt:lpstr>
      <vt:lpstr>Distri_Reactivos</vt:lpstr>
      <vt:lpstr>Distrib_Elementos</vt:lpstr>
      <vt:lpstr>Resumen equipos</vt:lpstr>
      <vt:lpstr>Equipos</vt:lpstr>
      <vt:lpstr>Elementos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Familia</dc:creator>
  <cp:keywords/>
  <dc:description/>
  <cp:lastModifiedBy>Daniel David Romero Jara</cp:lastModifiedBy>
  <cp:revision/>
  <dcterms:created xsi:type="dcterms:W3CDTF">2020-03-30T21:59:00Z</dcterms:created>
  <dcterms:modified xsi:type="dcterms:W3CDTF">2024-08-23T22:43:11Z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y fmtid="{D5CDD505-2E9C-101B-9397-08002B2CF9AE}" pid="3" name="MediaServiceImageTags">
    <vt:lpwstr/>
  </property>
</Properties>
</file>