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omments4.xml" ContentType="application/vnd.openxmlformats-officedocument.spreadsheetml.comments+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mc:AlternateContent xmlns:mc="http://schemas.openxmlformats.org/markup-compatibility/2006">
    <mc:Choice Requires="x15">
      <x15ac:absPath xmlns:x15ac="http://schemas.microsoft.com/office/spreadsheetml/2010/11/ac" url="C:\Users\Usuario\Desktop\Gestion 2024\Selección Abreviada\Estudio Previo 37862\Publicación SECOP\Informe de evaluación\Técnico\"/>
    </mc:Choice>
  </mc:AlternateContent>
  <xr:revisionPtr revIDLastSave="0" documentId="13_ncr:1_{1CB1CE46-9C91-4500-84C0-B9453202E669}" xr6:coauthVersionLast="47" xr6:coauthVersionMax="47" xr10:uidLastSave="{00000000-0000-0000-0000-000000000000}"/>
  <bookViews>
    <workbookView xWindow="28680" yWindow="-45" windowWidth="21840" windowHeight="13020" tabRatio="867" firstSheet="1" xr2:uid="{00000000-000D-0000-FFFF-FFFF00000000}"/>
  </bookViews>
  <sheets>
    <sheet name="PROPONENTES" sheetId="2" r:id="rId1"/>
    <sheet name="EXP. ACREDITADA" sheetId="4" r:id="rId2"/>
    <sheet name="CAPACIDAD RESIDUAL " sheetId="17" r:id="rId3"/>
    <sheet name="RESUMEN" sheetId="7" r:id="rId4"/>
    <sheet name="EQUIPO" sheetId="5" r:id="rId5"/>
    <sheet name="IMPACTO SOCIAL" sheetId="16" r:id="rId6"/>
    <sheet name="INDUSTRIA NACIONAL" sheetId="6" r:id="rId7"/>
    <sheet name="CONSORCIOS" sheetId="13" r:id="rId8"/>
    <sheet name="SMML" sheetId="9" r:id="rId9"/>
  </sheets>
  <externalReferences>
    <externalReference r:id="rId10"/>
  </externalReferences>
  <definedNames>
    <definedName name="_Fill" localSheetId="2" hidden="1">#REF!</definedName>
    <definedName name="_Fill" localSheetId="7" hidden="1">#REF!</definedName>
    <definedName name="_Fill" localSheetId="1" hidden="1">#REF!</definedName>
    <definedName name="_Fill" localSheetId="5" hidden="1">#REF!</definedName>
    <definedName name="_Fill" localSheetId="0" hidden="1">#REF!</definedName>
    <definedName name="_Fill" localSheetId="3" hidden="1">#REF!</definedName>
    <definedName name="_Fill" localSheetId="8" hidden="1">#REF!</definedName>
    <definedName name="_Fill" hidden="1">#REF!</definedName>
    <definedName name="_xlnm._FilterDatabase" localSheetId="1" hidden="1">'EXP. ACREDITADA'!$A$18:$O$90</definedName>
    <definedName name="_xlnm._FilterDatabase" localSheetId="0" hidden="1">PROPONENTES!$A$16:$F$23</definedName>
    <definedName name="_xlnm._FilterDatabase" localSheetId="3" hidden="1">RESUMEN!$A$15:$H$21</definedName>
    <definedName name="_xlnm.Print_Area" localSheetId="2">'CAPACIDAD RESIDUAL '!$A$1:$M$353</definedName>
    <definedName name="_xlnm.Print_Area" localSheetId="7">CONSORCIOS!$A$1:$E$18</definedName>
    <definedName name="_xlnm.Print_Area" localSheetId="4">EQUIPO!$A$1:$H$29</definedName>
    <definedName name="_xlnm.Print_Area" localSheetId="1">'EXP. ACREDITADA'!$A$1:$O$93</definedName>
    <definedName name="_xlnm.Print_Area" localSheetId="5">'IMPACTO SOCIAL'!$A$1:$F$29</definedName>
    <definedName name="_xlnm.Print_Area" localSheetId="6">'INDUSTRIA NACIONAL'!$A$1:$I$26</definedName>
    <definedName name="_xlnm.Print_Area" localSheetId="0">PROPONENTES!$A$1:$G$28</definedName>
    <definedName name="_xlnm.Print_Area" localSheetId="3">RESUMEN!$A$1:$L$25</definedName>
    <definedName name="_xlnm.Print_Titles" localSheetId="2">'CAPACIDAD RESIDUAL '!$1:$20</definedName>
    <definedName name="_xlnm.Print_Titles" localSheetId="7">CONSORCIOS!$1:$14</definedName>
    <definedName name="_xlnm.Print_Titles" localSheetId="4">EQUIPO!$1:$15</definedName>
    <definedName name="_xlnm.Print_Titles" localSheetId="1">'EXP. ACREDITADA'!$1:$17</definedName>
    <definedName name="_xlnm.Print_Titles" localSheetId="5">'IMPACTO SOCIAL'!$1:$15</definedName>
    <definedName name="_xlnm.Print_Titles" localSheetId="6">'INDUSTRIA NACIONAL'!$1:$15</definedName>
    <definedName name="_xlnm.Print_Titles" localSheetId="0">PROPONENTES!$1:$16</definedName>
    <definedName name="_xlnm.Print_Titles" localSheetId="3">RESUMEN!$1:$15</definedName>
    <definedName name="wrn.GENERAL." localSheetId="2"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8" hidden="1">{"TAB1",#N/A,TRUE,"GENERAL";"TAB2",#N/A,TRUE,"GENERAL";"TAB3",#N/A,TRUE,"GENERAL";"TAB4",#N/A,TRUE,"GENERAL";"TAB5",#N/A,TRUE,"GENERAL"}</definedName>
    <definedName name="wrn.GENERAL." hidden="1">{"TAB1",#N/A,TRUE,"GENERAL";"TAB2",#N/A,TRUE,"GENERAL";"TAB3",#N/A,TRUE,"GENERAL";"TAB4",#N/A,TRUE,"GENERAL";"TAB5",#N/A,TRUE,"GENERAL"}</definedName>
    <definedName name="wrn.via." localSheetId="2" hidden="1">{"via1",#N/A,TRUE,"general";"via2",#N/A,TRUE,"general";"via3",#N/A,TRUE,"general"}</definedName>
    <definedName name="wrn.via." localSheetId="7" hidden="1">{"via1",#N/A,TRUE,"general";"via2",#N/A,TRUE,"general";"via3",#N/A,TRUE,"general"}</definedName>
    <definedName name="wrn.via." localSheetId="4" hidden="1">{"via1",#N/A,TRUE,"general";"via2",#N/A,TRUE,"general";"via3",#N/A,TRUE,"general"}</definedName>
    <definedName name="wrn.via." localSheetId="1"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0" hidden="1">{"via1",#N/A,TRUE,"general";"via2",#N/A,TRUE,"general";"via3",#N/A,TRUE,"general"}</definedName>
    <definedName name="wrn.via." localSheetId="3" hidden="1">{"via1",#N/A,TRUE,"general";"via2",#N/A,TRUE,"general";"via3",#N/A,TRUE,"general"}</definedName>
    <definedName name="wrn.via." localSheetId="8" hidden="1">{"via1",#N/A,TRUE,"general";"via2",#N/A,TRUE,"general";"via3",#N/A,TRUE,"general"}</definedName>
    <definedName name="wrn.via." hidden="1">{"via1",#N/A,TRUE,"general";"via2",#N/A,TRUE,"general";"via3",#N/A,TRUE,"general"}</definedName>
    <definedName name="yuf" localSheetId="2" hidden="1">{"TAB1",#N/A,TRUE,"GENERAL";"TAB2",#N/A,TRUE,"GENERAL";"TAB3",#N/A,TRUE,"GENERAL";"TAB4",#N/A,TRUE,"GENERAL";"TAB5",#N/A,TRUE,"GENERAL"}</definedName>
    <definedName name="yuf" localSheetId="7" hidden="1">{"TAB1",#N/A,TRUE,"GENERAL";"TAB2",#N/A,TRUE,"GENERAL";"TAB3",#N/A,TRUE,"GENERAL";"TAB4",#N/A,TRUE,"GENERAL";"TAB5",#N/A,TRUE,"GENERAL"}</definedName>
    <definedName name="yuf" localSheetId="4" hidden="1">{"TAB1",#N/A,TRUE,"GENERAL";"TAB2",#N/A,TRUE,"GENERAL";"TAB3",#N/A,TRUE,"GENERAL";"TAB4",#N/A,TRUE,"GENERAL";"TAB5",#N/A,TRUE,"GENERAL"}</definedName>
    <definedName name="yuf" localSheetId="1" hidden="1">{"TAB1",#N/A,TRUE,"GENERAL";"TAB2",#N/A,TRUE,"GENERAL";"TAB3",#N/A,TRUE,"GENERAL";"TAB4",#N/A,TRUE,"GENERAL";"TAB5",#N/A,TRUE,"GENERAL"}</definedName>
    <definedName name="yuf" localSheetId="5" hidden="1">{"TAB1",#N/A,TRUE,"GENERAL";"TAB2",#N/A,TRUE,"GENERAL";"TAB3",#N/A,TRUE,"GENERAL";"TAB4",#N/A,TRUE,"GENERAL";"TAB5",#N/A,TRUE,"GENERAL"}</definedName>
    <definedName name="yuf" localSheetId="6" hidden="1">{"TAB1",#N/A,TRUE,"GENERAL";"TAB2",#N/A,TRUE,"GENERAL";"TAB3",#N/A,TRUE,"GENERAL";"TAB4",#N/A,TRUE,"GENERAL";"TAB5",#N/A,TRUE,"GENERAL"}</definedName>
    <definedName name="yuf" localSheetId="0" hidden="1">{"TAB1",#N/A,TRUE,"GENERAL";"TAB2",#N/A,TRUE,"GENERAL";"TAB3",#N/A,TRUE,"GENERAL";"TAB4",#N/A,TRUE,"GENERAL";"TAB5",#N/A,TRUE,"GENERAL"}</definedName>
    <definedName name="yuf" localSheetId="3" hidden="1">{"TAB1",#N/A,TRUE,"GENERAL";"TAB2",#N/A,TRUE,"GENERAL";"TAB3",#N/A,TRUE,"GENERAL";"TAB4",#N/A,TRUE,"GENERAL";"TAB5",#N/A,TRUE,"GENERAL"}</definedName>
    <definedName name="yuf" localSheetId="8" hidden="1">{"TAB1",#N/A,TRUE,"GENERAL";"TAB2",#N/A,TRUE,"GENERAL";"TAB3",#N/A,TRUE,"GENERAL";"TAB4",#N/A,TRUE,"GENERAL";"TAB5",#N/A,TRUE,"GENERAL"}</definedName>
    <definedName name="yuf" hidden="1">{"TAB1",#N/A,TRUE,"GENERAL";"TAB2",#N/A,TRUE,"GENERAL";"TAB3",#N/A,TRUE,"GENERAL";"TAB4",#N/A,TRUE,"GENERAL";"TAB5",#N/A,TRUE,"GENERAL"}</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351" i="17" l="1"/>
  <c r="L351" i="17"/>
  <c r="M350" i="17"/>
  <c r="L350" i="17"/>
  <c r="M349" i="17"/>
  <c r="L349" i="17"/>
  <c r="M348" i="17"/>
  <c r="L348" i="17"/>
  <c r="M347" i="17"/>
  <c r="L347" i="17"/>
  <c r="M346" i="17"/>
  <c r="L346" i="17"/>
  <c r="M345" i="17"/>
  <c r="L345" i="17"/>
  <c r="M344" i="17"/>
  <c r="L344" i="17"/>
  <c r="L343" i="17"/>
  <c r="M343" i="17" s="1"/>
  <c r="L342" i="17"/>
  <c r="M342" i="17" s="1"/>
  <c r="M352" i="17" s="1"/>
  <c r="H336" i="17"/>
  <c r="H331" i="17"/>
  <c r="G323" i="17"/>
  <c r="H324" i="17" s="1"/>
  <c r="H325" i="17" s="1"/>
  <c r="G318" i="17"/>
  <c r="I312" i="17"/>
  <c r="L310" i="17"/>
  <c r="G314" i="17" s="1"/>
  <c r="K305" i="17" s="1"/>
  <c r="C310" i="17"/>
  <c r="M300" i="17"/>
  <c r="L300" i="17"/>
  <c r="L299" i="17"/>
  <c r="M299" i="17" s="1"/>
  <c r="Y298" i="17"/>
  <c r="V298" i="17"/>
  <c r="T298" i="17"/>
  <c r="R298" i="17"/>
  <c r="P298" i="17"/>
  <c r="L298" i="17"/>
  <c r="M298" i="17" s="1"/>
  <c r="M297" i="17"/>
  <c r="L296" i="17"/>
  <c r="M296" i="17" s="1"/>
  <c r="H290" i="17"/>
  <c r="H284" i="17"/>
  <c r="H285" i="17" s="1"/>
  <c r="G277" i="17"/>
  <c r="H278" i="17" s="1"/>
  <c r="H279" i="17" s="1"/>
  <c r="G272" i="17"/>
  <c r="G268" i="17"/>
  <c r="I266" i="17"/>
  <c r="L264" i="17"/>
  <c r="C264" i="17"/>
  <c r="Q259" i="17"/>
  <c r="M254" i="17"/>
  <c r="M255" i="17" s="1"/>
  <c r="L254" i="17"/>
  <c r="M253" i="17"/>
  <c r="L253" i="17"/>
  <c r="Y252" i="17"/>
  <c r="V252" i="17"/>
  <c r="T252" i="17"/>
  <c r="R252" i="17"/>
  <c r="P252" i="17"/>
  <c r="M252" i="17"/>
  <c r="L252" i="17"/>
  <c r="H244" i="17"/>
  <c r="H238" i="17"/>
  <c r="H239" i="17" s="1"/>
  <c r="G231" i="17"/>
  <c r="H232" i="17" s="1"/>
  <c r="H233" i="17" s="1"/>
  <c r="G226" i="17"/>
  <c r="I221" i="17"/>
  <c r="I220" i="17"/>
  <c r="L218" i="17"/>
  <c r="G222" i="17" s="1"/>
  <c r="C218" i="17"/>
  <c r="Q213" i="17"/>
  <c r="M210" i="17"/>
  <c r="L210" i="17"/>
  <c r="M209" i="17"/>
  <c r="L209" i="17"/>
  <c r="M208" i="17"/>
  <c r="L208" i="17"/>
  <c r="M207" i="17"/>
  <c r="L207" i="17"/>
  <c r="M206" i="17"/>
  <c r="L206" i="17"/>
  <c r="Y205" i="17"/>
  <c r="AA205" i="17" s="1"/>
  <c r="V205" i="17"/>
  <c r="T205" i="17"/>
  <c r="R205" i="17"/>
  <c r="P205" i="17"/>
  <c r="M205" i="17"/>
  <c r="L205" i="17"/>
  <c r="M204" i="17"/>
  <c r="M203" i="17"/>
  <c r="M211" i="17" s="1"/>
  <c r="L203" i="17"/>
  <c r="H197" i="17"/>
  <c r="H191" i="17"/>
  <c r="H192" i="17" s="1"/>
  <c r="G184" i="17"/>
  <c r="G179" i="17"/>
  <c r="G175" i="17"/>
  <c r="I174" i="17"/>
  <c r="I173" i="17"/>
  <c r="C171" i="17"/>
  <c r="Q166" i="17"/>
  <c r="M162" i="17"/>
  <c r="L162" i="17"/>
  <c r="M161" i="17"/>
  <c r="L161" i="17"/>
  <c r="M160" i="17"/>
  <c r="L160" i="17"/>
  <c r="M159" i="17"/>
  <c r="L159" i="17"/>
  <c r="M158" i="17"/>
  <c r="L158" i="17"/>
  <c r="L157" i="17"/>
  <c r="L156" i="17"/>
  <c r="M155" i="17"/>
  <c r="M154" i="17"/>
  <c r="L153" i="17"/>
  <c r="M153" i="17" s="1"/>
  <c r="H147" i="17"/>
  <c r="H142" i="17"/>
  <c r="H141" i="17"/>
  <c r="G134" i="17"/>
  <c r="H135" i="17" s="1"/>
  <c r="H136" i="17" s="1"/>
  <c r="G129" i="17"/>
  <c r="G125" i="17"/>
  <c r="I124" i="17"/>
  <c r="I123" i="17"/>
  <c r="L121" i="17"/>
  <c r="C121" i="17"/>
  <c r="M114" i="17"/>
  <c r="L113" i="17"/>
  <c r="L112" i="17"/>
  <c r="L111" i="17"/>
  <c r="L110" i="17"/>
  <c r="L109" i="17"/>
  <c r="L108" i="17"/>
  <c r="L107" i="17"/>
  <c r="L106" i="17"/>
  <c r="L105" i="17"/>
  <c r="H99" i="17"/>
  <c r="H93" i="17"/>
  <c r="H94" i="17" s="1"/>
  <c r="G86" i="17"/>
  <c r="H87" i="17" s="1"/>
  <c r="H88" i="17" s="1"/>
  <c r="G81" i="17"/>
  <c r="G77" i="17"/>
  <c r="I76" i="17"/>
  <c r="I75" i="17"/>
  <c r="L73" i="17"/>
  <c r="C73" i="17"/>
  <c r="Q66" i="17"/>
  <c r="M62" i="17"/>
  <c r="L62" i="17"/>
  <c r="M61" i="17"/>
  <c r="L61" i="17"/>
  <c r="Y60" i="17"/>
  <c r="V60" i="17"/>
  <c r="T60" i="17"/>
  <c r="R60" i="17"/>
  <c r="P60" i="17"/>
  <c r="M60" i="17"/>
  <c r="L60" i="17"/>
  <c r="M59" i="17"/>
  <c r="M58" i="17"/>
  <c r="M63" i="17" s="1"/>
  <c r="L58" i="17"/>
  <c r="H52" i="17"/>
  <c r="H46" i="17"/>
  <c r="H47" i="17" s="1"/>
  <c r="G39" i="17"/>
  <c r="H40" i="17" s="1"/>
  <c r="H41" i="17" s="1"/>
  <c r="G34" i="17"/>
  <c r="G30" i="17"/>
  <c r="I29" i="17"/>
  <c r="I28" i="17"/>
  <c r="L26" i="17"/>
  <c r="C26" i="17"/>
  <c r="Q21" i="17"/>
  <c r="A19" i="17"/>
  <c r="E17" i="17"/>
  <c r="L23" i="4"/>
  <c r="M305" i="17" l="1"/>
  <c r="AA252" i="17"/>
  <c r="AA60" i="17"/>
  <c r="AA298" i="17"/>
  <c r="H185" i="17"/>
  <c r="H186" i="17" s="1"/>
  <c r="K166" i="17" s="1"/>
  <c r="M166" i="17" s="1"/>
  <c r="K213" i="17"/>
  <c r="M213" i="17" s="1"/>
  <c r="M163" i="17"/>
  <c r="K116" i="17" s="1"/>
  <c r="M116" i="17" s="1"/>
  <c r="M301" i="17"/>
  <c r="K259" i="17"/>
  <c r="M259" i="17" s="1"/>
  <c r="K21" i="17"/>
  <c r="M21" i="17" s="1"/>
  <c r="K68" i="17"/>
  <c r="M68" i="17" s="1"/>
  <c r="M59" i="4"/>
  <c r="M58" i="4"/>
  <c r="M47" i="4"/>
  <c r="M35" i="4"/>
  <c r="M34" i="4"/>
  <c r="K66" i="17" l="1"/>
  <c r="M66" i="17" s="1"/>
  <c r="H17" i="6"/>
  <c r="H18" i="6"/>
  <c r="H19" i="6"/>
  <c r="H20" i="6"/>
  <c r="H21" i="6"/>
  <c r="H16" i="6"/>
  <c r="F17" i="6"/>
  <c r="F18" i="6"/>
  <c r="F19" i="6"/>
  <c r="F20" i="6"/>
  <c r="F21" i="6"/>
  <c r="F16" i="6"/>
  <c r="B16" i="13"/>
  <c r="B29" i="16"/>
  <c r="B28" i="16"/>
  <c r="D24" i="16"/>
  <c r="F24" i="16" s="1"/>
  <c r="B24" i="16"/>
  <c r="D23" i="16"/>
  <c r="F23" i="16" s="1"/>
  <c r="B23" i="16"/>
  <c r="D22" i="16"/>
  <c r="F22" i="16" s="1"/>
  <c r="B22" i="16"/>
  <c r="D21" i="16"/>
  <c r="F21" i="16" s="1"/>
  <c r="B21" i="16"/>
  <c r="D20" i="16"/>
  <c r="F20" i="16" s="1"/>
  <c r="B20" i="16"/>
  <c r="D19" i="16"/>
  <c r="F19" i="16" s="1"/>
  <c r="B19" i="16"/>
  <c r="C16" i="16"/>
  <c r="A10" i="16"/>
  <c r="A8" i="16"/>
  <c r="V88" i="4"/>
  <c r="M88" i="4"/>
  <c r="AA88" i="4" s="1"/>
  <c r="L88" i="4"/>
  <c r="V87" i="4"/>
  <c r="M87" i="4"/>
  <c r="Z87" i="4" s="1"/>
  <c r="L87" i="4"/>
  <c r="V86" i="4"/>
  <c r="M86" i="4"/>
  <c r="Z86" i="4" s="1"/>
  <c r="L86" i="4"/>
  <c r="V85" i="4"/>
  <c r="M85" i="4"/>
  <c r="Z85" i="4" s="1"/>
  <c r="L85" i="4"/>
  <c r="V84" i="4"/>
  <c r="M84" i="4"/>
  <c r="Z84" i="4" s="1"/>
  <c r="L84" i="4"/>
  <c r="V83" i="4"/>
  <c r="M83" i="4"/>
  <c r="Z83" i="4" s="1"/>
  <c r="L83" i="4"/>
  <c r="V82" i="4"/>
  <c r="Z82" i="4"/>
  <c r="L82" i="4"/>
  <c r="V76" i="4"/>
  <c r="M76" i="4"/>
  <c r="Z76" i="4" s="1"/>
  <c r="L76" i="4"/>
  <c r="V75" i="4"/>
  <c r="M75" i="4"/>
  <c r="Z75" i="4" s="1"/>
  <c r="L75" i="4"/>
  <c r="V74" i="4"/>
  <c r="M74" i="4"/>
  <c r="Z74" i="4" s="1"/>
  <c r="L74" i="4"/>
  <c r="V73" i="4"/>
  <c r="M73" i="4"/>
  <c r="Z73" i="4" s="1"/>
  <c r="L73" i="4"/>
  <c r="V72" i="4"/>
  <c r="Z72" i="4"/>
  <c r="L72" i="4"/>
  <c r="V71" i="4"/>
  <c r="Z71" i="4"/>
  <c r="L71" i="4"/>
  <c r="V70" i="4"/>
  <c r="R70" i="4"/>
  <c r="L70" i="4"/>
  <c r="J67" i="4"/>
  <c r="V64" i="4"/>
  <c r="M64" i="4"/>
  <c r="L64" i="4"/>
  <c r="V63" i="4"/>
  <c r="M63" i="4"/>
  <c r="L63" i="4"/>
  <c r="V62" i="4"/>
  <c r="M62" i="4"/>
  <c r="L62" i="4"/>
  <c r="V61" i="4"/>
  <c r="M61" i="4"/>
  <c r="L61" i="4"/>
  <c r="V60" i="4"/>
  <c r="L60" i="4"/>
  <c r="V59" i="4"/>
  <c r="L59" i="4"/>
  <c r="V58" i="4"/>
  <c r="R58" i="4"/>
  <c r="L58" i="4"/>
  <c r="V52" i="4"/>
  <c r="M52" i="4"/>
  <c r="L52" i="4"/>
  <c r="V51" i="4"/>
  <c r="M51" i="4"/>
  <c r="L51" i="4"/>
  <c r="V50" i="4"/>
  <c r="M50" i="4"/>
  <c r="L50" i="4"/>
  <c r="V49" i="4"/>
  <c r="M49" i="4"/>
  <c r="L49" i="4"/>
  <c r="V48" i="4"/>
  <c r="M48" i="4"/>
  <c r="L48" i="4"/>
  <c r="V47" i="4"/>
  <c r="L47" i="4"/>
  <c r="V46" i="4"/>
  <c r="R46" i="4"/>
  <c r="L46" i="4"/>
  <c r="A31" i="4"/>
  <c r="Q31" i="4" s="1"/>
  <c r="V40" i="4"/>
  <c r="M40" i="4"/>
  <c r="L40" i="4"/>
  <c r="V39" i="4"/>
  <c r="M39" i="4"/>
  <c r="L39" i="4"/>
  <c r="V38" i="4"/>
  <c r="M38" i="4"/>
  <c r="L38" i="4"/>
  <c r="V37" i="4"/>
  <c r="M37" i="4"/>
  <c r="L37" i="4"/>
  <c r="V36" i="4"/>
  <c r="M36" i="4"/>
  <c r="L36" i="4"/>
  <c r="V35" i="4"/>
  <c r="L35" i="4"/>
  <c r="V34" i="4"/>
  <c r="R34" i="4"/>
  <c r="L34" i="4"/>
  <c r="L24" i="4"/>
  <c r="L25" i="4"/>
  <c r="L26" i="4"/>
  <c r="M26" i="4"/>
  <c r="L27" i="4"/>
  <c r="M27" i="4"/>
  <c r="L28" i="4"/>
  <c r="M28" i="4"/>
  <c r="R22" i="4"/>
  <c r="L22" i="4"/>
  <c r="J79" i="4" l="1"/>
  <c r="B31" i="4"/>
  <c r="J55" i="4"/>
  <c r="J43" i="4"/>
  <c r="J31" i="4"/>
  <c r="J19" i="4"/>
  <c r="R23" i="4"/>
  <c r="R24" i="4" s="1"/>
  <c r="R59" i="4"/>
  <c r="S59" i="4" s="1"/>
  <c r="Z70" i="4"/>
  <c r="A43" i="4"/>
  <c r="M89" i="4"/>
  <c r="R82" i="4"/>
  <c r="R83" i="4" s="1"/>
  <c r="Z88" i="4"/>
  <c r="AA87" i="4" s="1"/>
  <c r="R71" i="4"/>
  <c r="R72" i="4" s="1"/>
  <c r="T70" i="4"/>
  <c r="S70" i="4"/>
  <c r="W70" i="4" s="1"/>
  <c r="AA76" i="4"/>
  <c r="M77" i="4"/>
  <c r="T58" i="4"/>
  <c r="S58" i="4"/>
  <c r="Z58" i="4"/>
  <c r="Z59" i="4"/>
  <c r="Z60" i="4"/>
  <c r="Z61" i="4"/>
  <c r="Z62" i="4"/>
  <c r="Z63" i="4"/>
  <c r="Z64" i="4"/>
  <c r="AA64" i="4"/>
  <c r="M65" i="4"/>
  <c r="T46" i="4"/>
  <c r="S46" i="4"/>
  <c r="R47" i="4"/>
  <c r="M53" i="4"/>
  <c r="B43" i="4"/>
  <c r="Z46" i="4"/>
  <c r="Z47" i="4"/>
  <c r="Z48" i="4"/>
  <c r="Z49" i="4"/>
  <c r="Z50" i="4"/>
  <c r="Z51" i="4"/>
  <c r="Z52" i="4"/>
  <c r="AA52" i="4"/>
  <c r="P31" i="4"/>
  <c r="Y34" i="4"/>
  <c r="T34" i="4"/>
  <c r="S34" i="4"/>
  <c r="W34" i="4" s="1"/>
  <c r="R35" i="4"/>
  <c r="M41" i="4"/>
  <c r="Z34" i="4"/>
  <c r="Z35" i="4"/>
  <c r="Z36" i="4"/>
  <c r="Z37" i="4"/>
  <c r="Z38" i="4"/>
  <c r="Z39" i="4"/>
  <c r="Z40" i="4"/>
  <c r="AA40" i="4"/>
  <c r="T59" i="4" l="1"/>
  <c r="W64" i="4"/>
  <c r="Y59" i="4"/>
  <c r="W46" i="4"/>
  <c r="W63" i="4"/>
  <c r="AA75" i="4"/>
  <c r="R60" i="4"/>
  <c r="S60" i="4" s="1"/>
  <c r="R48" i="4"/>
  <c r="Y48" i="4" s="1"/>
  <c r="Q43" i="4"/>
  <c r="R43" i="4" s="1"/>
  <c r="N53" i="4" s="1"/>
  <c r="A55" i="4"/>
  <c r="P43" i="4"/>
  <c r="Y46" i="4" s="1"/>
  <c r="T83" i="4"/>
  <c r="S83" i="4"/>
  <c r="Y83" i="4"/>
  <c r="AA86" i="4"/>
  <c r="R84" i="4"/>
  <c r="R85" i="4" s="1"/>
  <c r="R86" i="4" s="1"/>
  <c r="T82" i="4"/>
  <c r="S82" i="4"/>
  <c r="Y82" i="4"/>
  <c r="Y72" i="4"/>
  <c r="T72" i="4"/>
  <c r="S72" i="4"/>
  <c r="R73" i="4"/>
  <c r="Y71" i="4"/>
  <c r="T71" i="4"/>
  <c r="S71" i="4"/>
  <c r="W72" i="4" s="1"/>
  <c r="AA63" i="4"/>
  <c r="W61" i="4"/>
  <c r="W60" i="4"/>
  <c r="W59" i="4"/>
  <c r="W58" i="4"/>
  <c r="W62" i="4"/>
  <c r="AA51" i="4"/>
  <c r="Y47" i="4"/>
  <c r="T47" i="4"/>
  <c r="S47" i="4"/>
  <c r="W48" i="4" s="1"/>
  <c r="Y35" i="4"/>
  <c r="T35" i="4"/>
  <c r="S35" i="4"/>
  <c r="R36" i="4"/>
  <c r="AA39" i="4"/>
  <c r="W86" i="4" l="1"/>
  <c r="W76" i="4"/>
  <c r="W74" i="4"/>
  <c r="W75" i="4"/>
  <c r="W71" i="4"/>
  <c r="W73" i="4"/>
  <c r="W47" i="4"/>
  <c r="W50" i="4"/>
  <c r="W49" i="4"/>
  <c r="W52" i="4"/>
  <c r="W51" i="4"/>
  <c r="S48" i="4"/>
  <c r="T48" i="4"/>
  <c r="R49" i="4"/>
  <c r="R50" i="4" s="1"/>
  <c r="W35" i="4"/>
  <c r="AA74" i="4"/>
  <c r="AA73" i="4" s="1"/>
  <c r="T60" i="4"/>
  <c r="R61" i="4"/>
  <c r="Y60" i="4"/>
  <c r="R87" i="4"/>
  <c r="R88" i="4" s="1"/>
  <c r="AA50" i="4"/>
  <c r="Q55" i="4"/>
  <c r="R55" i="4" s="1"/>
  <c r="N65" i="4" s="1"/>
  <c r="P55" i="4"/>
  <c r="Y58" i="4" s="1"/>
  <c r="B55" i="4"/>
  <c r="A67" i="4"/>
  <c r="A79" i="4" s="1"/>
  <c r="T85" i="4"/>
  <c r="S85" i="4"/>
  <c r="Y85" i="4"/>
  <c r="W85" i="4"/>
  <c r="T84" i="4"/>
  <c r="S84" i="4"/>
  <c r="Y84" i="4"/>
  <c r="W83" i="4"/>
  <c r="W87" i="4"/>
  <c r="W82" i="4"/>
  <c r="T86" i="4"/>
  <c r="S86" i="4"/>
  <c r="Y86" i="4"/>
  <c r="W84" i="4"/>
  <c r="W88" i="4"/>
  <c r="AA85" i="4"/>
  <c r="R74" i="4"/>
  <c r="Y73" i="4"/>
  <c r="T73" i="4"/>
  <c r="S73" i="4"/>
  <c r="AA62" i="4"/>
  <c r="AA38" i="4"/>
  <c r="Y36" i="4"/>
  <c r="T36" i="4"/>
  <c r="S36" i="4"/>
  <c r="W39" i="4" s="1"/>
  <c r="R37" i="4"/>
  <c r="Y87" i="4" l="1"/>
  <c r="S87" i="4"/>
  <c r="T87" i="4"/>
  <c r="P79" i="4"/>
  <c r="B79" i="4"/>
  <c r="Q79" i="4"/>
  <c r="R79" i="4" s="1"/>
  <c r="N89" i="4" s="1"/>
  <c r="Y49" i="4"/>
  <c r="T49" i="4"/>
  <c r="S49" i="4"/>
  <c r="W37" i="4"/>
  <c r="W38" i="4"/>
  <c r="W40" i="4"/>
  <c r="W36" i="4"/>
  <c r="R38" i="4"/>
  <c r="R39" i="4" s="1"/>
  <c r="T39" i="4" s="1"/>
  <c r="Y50" i="4"/>
  <c r="T50" i="4"/>
  <c r="S50" i="4"/>
  <c r="Q67" i="4"/>
  <c r="R67" i="4" s="1"/>
  <c r="N77" i="4" s="1"/>
  <c r="P67" i="4"/>
  <c r="B67" i="4"/>
  <c r="T61" i="4"/>
  <c r="S61" i="4"/>
  <c r="Y61" i="4"/>
  <c r="R62" i="4"/>
  <c r="R63" i="4" s="1"/>
  <c r="AA49" i="4"/>
  <c r="R51" i="4"/>
  <c r="R52" i="4" s="1"/>
  <c r="T88" i="4"/>
  <c r="S88" i="4"/>
  <c r="Y88" i="4"/>
  <c r="AA84" i="4"/>
  <c r="Y74" i="4"/>
  <c r="T74" i="4"/>
  <c r="S74" i="4"/>
  <c r="AA72" i="4"/>
  <c r="R75" i="4"/>
  <c r="AA61" i="4"/>
  <c r="AA48" i="4"/>
  <c r="AA37" i="4"/>
  <c r="Y37" i="4"/>
  <c r="T37" i="4"/>
  <c r="S37" i="4"/>
  <c r="D20" i="5"/>
  <c r="S79" i="4" l="1"/>
  <c r="H89" i="4" s="1"/>
  <c r="Y70" i="4"/>
  <c r="S38" i="4"/>
  <c r="T38" i="4"/>
  <c r="Y38" i="4"/>
  <c r="Y39" i="4"/>
  <c r="S39" i="4"/>
  <c r="R40" i="4"/>
  <c r="Y52" i="4"/>
  <c r="T52" i="4"/>
  <c r="S52" i="4"/>
  <c r="Y51" i="4"/>
  <c r="T51" i="4"/>
  <c r="S51" i="4"/>
  <c r="R64" i="4"/>
  <c r="Y63" i="4"/>
  <c r="T63" i="4"/>
  <c r="S63" i="4"/>
  <c r="Y62" i="4"/>
  <c r="T62" i="4"/>
  <c r="S62" i="4"/>
  <c r="AA83" i="4"/>
  <c r="AA71" i="4"/>
  <c r="Y75" i="4"/>
  <c r="T75" i="4"/>
  <c r="S75" i="4"/>
  <c r="R76" i="4"/>
  <c r="AA60" i="4"/>
  <c r="AA47" i="4"/>
  <c r="AA36" i="4"/>
  <c r="T40" i="4" l="1"/>
  <c r="S40" i="4"/>
  <c r="S31" i="4" s="1"/>
  <c r="H41" i="4" s="1"/>
  <c r="Y40" i="4"/>
  <c r="Y64" i="4"/>
  <c r="T64" i="4"/>
  <c r="S64" i="4"/>
  <c r="S55" i="4" s="1"/>
  <c r="H65" i="4" s="1"/>
  <c r="S43" i="4"/>
  <c r="H53" i="4" s="1"/>
  <c r="AA82" i="4"/>
  <c r="Y76" i="4"/>
  <c r="T76" i="4"/>
  <c r="S76" i="4"/>
  <c r="S67" i="4" s="1"/>
  <c r="H77" i="4" s="1"/>
  <c r="AA70" i="4"/>
  <c r="AA59" i="4"/>
  <c r="AA46" i="4"/>
  <c r="AA35" i="4"/>
  <c r="AA58" i="4" l="1"/>
  <c r="AA34" i="4"/>
  <c r="B21" i="6" l="1"/>
  <c r="D24" i="5"/>
  <c r="H24" i="5" s="1"/>
  <c r="D23" i="5"/>
  <c r="H23" i="5" s="1"/>
  <c r="D22" i="5"/>
  <c r="H22" i="5" s="1"/>
  <c r="D21" i="5"/>
  <c r="H21" i="5" s="1"/>
  <c r="D19" i="5"/>
  <c r="H19" i="5" s="1"/>
  <c r="B17" i="7"/>
  <c r="B18" i="7"/>
  <c r="B19" i="7"/>
  <c r="B20" i="7"/>
  <c r="B21" i="7"/>
  <c r="B16" i="7"/>
  <c r="O17" i="4"/>
  <c r="L67" i="4" l="1"/>
  <c r="L31" i="4"/>
  <c r="L19" i="4"/>
  <c r="L43" i="4"/>
  <c r="L55" i="4"/>
  <c r="L79" i="4"/>
  <c r="AB88" i="4"/>
  <c r="AB76" i="4"/>
  <c r="AB40" i="4"/>
  <c r="AB52" i="4"/>
  <c r="AB64" i="4"/>
  <c r="AB87" i="4"/>
  <c r="AB86" i="4"/>
  <c r="AB74" i="4"/>
  <c r="AB51" i="4"/>
  <c r="AB39" i="4"/>
  <c r="AB63" i="4"/>
  <c r="AB75" i="4"/>
  <c r="AB62" i="4"/>
  <c r="AB50" i="4"/>
  <c r="AB38" i="4"/>
  <c r="AB49" i="4"/>
  <c r="AB73" i="4"/>
  <c r="AB85" i="4"/>
  <c r="AB72" i="4"/>
  <c r="AB61" i="4"/>
  <c r="AB48" i="4"/>
  <c r="AB84" i="4"/>
  <c r="AB37" i="4"/>
  <c r="AB47" i="4"/>
  <c r="AB60" i="4"/>
  <c r="AB71" i="4"/>
  <c r="AB36" i="4"/>
  <c r="AB83" i="4"/>
  <c r="AB46" i="4"/>
  <c r="AB35" i="4"/>
  <c r="AB82" i="4"/>
  <c r="AB70" i="4"/>
  <c r="AB59" i="4"/>
  <c r="AB58" i="4"/>
  <c r="AB34" i="4"/>
  <c r="B20" i="6"/>
  <c r="B19" i="6"/>
  <c r="B18" i="6"/>
  <c r="B17" i="6"/>
  <c r="B16" i="6"/>
  <c r="H20" i="5"/>
  <c r="B24" i="5"/>
  <c r="B23" i="5"/>
  <c r="B22" i="5"/>
  <c r="B21" i="5"/>
  <c r="B20" i="5"/>
  <c r="B19" i="5"/>
  <c r="AB67" i="4" l="1"/>
  <c r="N67" i="4" s="1"/>
  <c r="D20" i="7" s="1"/>
  <c r="E20" i="7" s="1"/>
  <c r="AB79" i="4"/>
  <c r="D21" i="7" s="1"/>
  <c r="E21" i="7" s="1"/>
  <c r="AB43" i="4"/>
  <c r="N43" i="4" s="1"/>
  <c r="D18" i="7" s="1"/>
  <c r="E18" i="7" s="1"/>
  <c r="AB31" i="4"/>
  <c r="AB55" i="4"/>
  <c r="N55" i="4" s="1"/>
  <c r="D19" i="7" s="1"/>
  <c r="E19" i="7" s="1"/>
  <c r="U83" i="4"/>
  <c r="U82" i="4"/>
  <c r="U85" i="4"/>
  <c r="U86" i="4"/>
  <c r="U87" i="4"/>
  <c r="U84" i="4"/>
  <c r="U88" i="4"/>
  <c r="U58" i="4"/>
  <c r="U59" i="4"/>
  <c r="U60" i="4"/>
  <c r="U61" i="4"/>
  <c r="U63" i="4"/>
  <c r="U62" i="4"/>
  <c r="U64" i="4"/>
  <c r="U46" i="4"/>
  <c r="U47" i="4"/>
  <c r="U48" i="4"/>
  <c r="U49" i="4"/>
  <c r="U50" i="4"/>
  <c r="U51" i="4"/>
  <c r="U52" i="4"/>
  <c r="U34" i="4"/>
  <c r="U35" i="4"/>
  <c r="U36" i="4"/>
  <c r="U37" i="4"/>
  <c r="U39" i="4"/>
  <c r="U38" i="4"/>
  <c r="U40" i="4"/>
  <c r="U70" i="4"/>
  <c r="U71" i="4"/>
  <c r="U72" i="4"/>
  <c r="U73" i="4"/>
  <c r="U74" i="4"/>
  <c r="U75" i="4"/>
  <c r="U76" i="4"/>
  <c r="L16" i="13"/>
  <c r="L17" i="13" s="1"/>
  <c r="K16" i="13"/>
  <c r="K17" i="13" s="1"/>
  <c r="V22" i="4"/>
  <c r="R31" i="4" l="1"/>
  <c r="N41" i="4" s="1"/>
  <c r="J17" i="13"/>
  <c r="Z22" i="4"/>
  <c r="N31" i="4" l="1"/>
  <c r="D17" i="7" s="1"/>
  <c r="E17" i="7" s="1"/>
  <c r="T22" i="4"/>
  <c r="A10" i="13" l="1"/>
  <c r="A8" i="13"/>
  <c r="A6" i="13"/>
  <c r="J16" i="13" l="1"/>
  <c r="B92" i="4" l="1"/>
  <c r="B91" i="4"/>
  <c r="A10" i="7" l="1"/>
  <c r="A8" i="7"/>
  <c r="B25" i="7"/>
  <c r="B24" i="7"/>
  <c r="B26" i="6"/>
  <c r="B25" i="6"/>
  <c r="A10" i="6"/>
  <c r="A8" i="6"/>
  <c r="B29" i="5"/>
  <c r="B28" i="5"/>
  <c r="C16" i="5"/>
  <c r="A10" i="5"/>
  <c r="A8" i="5"/>
  <c r="P19" i="4" l="1"/>
  <c r="B19" i="4"/>
  <c r="A9" i="4"/>
  <c r="A7" i="4"/>
  <c r="Z23" i="4" l="1"/>
  <c r="Q19" i="4"/>
  <c r="R19" i="4" s="1"/>
  <c r="P10" i="7"/>
  <c r="J21" i="6"/>
  <c r="V28" i="4"/>
  <c r="AA28" i="4"/>
  <c r="V27" i="4"/>
  <c r="Z27" i="4"/>
  <c r="V26" i="4"/>
  <c r="V25" i="4"/>
  <c r="V24" i="4"/>
  <c r="Z24" i="4"/>
  <c r="V23" i="4"/>
  <c r="P11" i="2"/>
  <c r="N29" i="4" l="1"/>
  <c r="Z25" i="4"/>
  <c r="M29" i="4"/>
  <c r="AB28" i="4"/>
  <c r="Z26" i="4"/>
  <c r="Y22" i="4"/>
  <c r="Z28" i="4"/>
  <c r="AA27" i="4" s="1"/>
  <c r="AB27" i="4" s="1"/>
  <c r="U22" i="4" l="1"/>
  <c r="AA26" i="4"/>
  <c r="AB26" i="4" s="1"/>
  <c r="S22" i="4"/>
  <c r="W22" i="4" s="1"/>
  <c r="Y24" i="4" l="1"/>
  <c r="Y23" i="4"/>
  <c r="AA25" i="4"/>
  <c r="AB25" i="4" s="1"/>
  <c r="T23" i="4"/>
  <c r="U23" i="4" s="1"/>
  <c r="S23" i="4"/>
  <c r="W26" i="4" s="1"/>
  <c r="S24" i="4" l="1"/>
  <c r="T24" i="4"/>
  <c r="U24" i="4" s="1"/>
  <c r="R25" i="4"/>
  <c r="Y25" i="4" s="1"/>
  <c r="W24" i="4"/>
  <c r="W25" i="4"/>
  <c r="W23" i="4"/>
  <c r="W28" i="4"/>
  <c r="W27" i="4"/>
  <c r="AA24" i="4"/>
  <c r="AB24" i="4" s="1"/>
  <c r="R26" i="4" l="1"/>
  <c r="Y26" i="4" s="1"/>
  <c r="S25" i="4"/>
  <c r="T25" i="4"/>
  <c r="U25" i="4" s="1"/>
  <c r="AA23" i="4"/>
  <c r="AB23" i="4" l="1"/>
  <c r="AA22" i="4"/>
  <c r="AB22" i="4" s="1"/>
  <c r="R27" i="4"/>
  <c r="Y27" i="4" s="1"/>
  <c r="S26" i="4"/>
  <c r="T26" i="4"/>
  <c r="U26" i="4" s="1"/>
  <c r="AB19" i="4" l="1"/>
  <c r="R28" i="4"/>
  <c r="Y28" i="4" s="1"/>
  <c r="S27" i="4"/>
  <c r="T27" i="4"/>
  <c r="U27" i="4" s="1"/>
  <c r="N19" i="4" l="1"/>
  <c r="D16" i="7" s="1"/>
  <c r="E16" i="7" s="1"/>
  <c r="S28" i="4"/>
  <c r="S19" i="4" s="1"/>
  <c r="H29" i="4" s="1"/>
  <c r="T28" i="4"/>
  <c r="U28" i="4" s="1"/>
  <c r="D17" i="13" l="1"/>
  <c r="C17" i="13"/>
  <c r="E16" i="13"/>
  <c r="C16" i="13"/>
  <c r="E17" i="13"/>
  <c r="D16" i="13" l="1"/>
  <c r="E18" i="13"/>
  <c r="C18" i="13"/>
  <c r="D18"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Natalia Zapata Puerta</author>
  </authors>
  <commentList>
    <comment ref="B15" authorId="0" shapeId="0" xr:uid="{00000000-0006-0000-0000-000001000000}">
      <text>
        <r>
          <rPr>
            <sz val="9"/>
            <color indexed="81"/>
            <rFont val="Tahoma"/>
            <family val="2"/>
          </rPr>
          <t>Cuando es proponente plural, establecer los integrantes con el % de participación, en esta misma celda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Natalia Zapata Puerta</author>
  </authors>
  <commentList>
    <comment ref="E17" authorId="0" shapeId="0" xr:uid="{00000000-0006-0000-0400-000001000000}">
      <text>
        <r>
          <rPr>
            <b/>
            <sz val="9"/>
            <color indexed="81"/>
            <rFont val="Tahoma"/>
            <family val="2"/>
          </rPr>
          <t>Natalia Zapata Puerta:</t>
        </r>
        <r>
          <rPr>
            <sz val="9"/>
            <color indexed="81"/>
            <rFont val="Tahoma"/>
            <family val="2"/>
          </rPr>
          <t xml:space="preserve">
Aporta formato 5
NO Aporta formato 5</t>
        </r>
      </text>
    </comment>
    <comment ref="G17" authorId="0" shapeId="0" xr:uid="{00000000-0006-0000-0400-000002000000}">
      <text>
        <r>
          <rPr>
            <b/>
            <sz val="9"/>
            <color indexed="81"/>
            <rFont val="Tahoma"/>
            <family val="2"/>
          </rPr>
          <t>OPCION 1</t>
        </r>
        <r>
          <rPr>
            <sz val="9"/>
            <color indexed="81"/>
            <rFont val="Tahoma"/>
            <family val="2"/>
          </rPr>
          <t xml:space="preserve">
Se consultó el registro nacional de obras civiles inconclusas y el proponente no tiene anotaciones.
</t>
        </r>
        <r>
          <rPr>
            <b/>
            <sz val="9"/>
            <color indexed="81"/>
            <rFont val="Tahoma"/>
            <family val="2"/>
          </rPr>
          <t>OPCION 2</t>
        </r>
        <r>
          <rPr>
            <sz val="9"/>
            <color indexed="81"/>
            <rFont val="Tahoma"/>
            <family val="2"/>
          </rPr>
          <t xml:space="preserve">
Se consultó el registro nacional de obras civiles inconclusas y el proponente si tiene anotaciones.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Natalia Zapata Puerta</author>
  </authors>
  <commentList>
    <comment ref="E17" authorId="0" shapeId="0" xr:uid="{00000000-0006-0000-0500-000001000000}">
      <text>
        <r>
          <rPr>
            <b/>
            <sz val="9"/>
            <color indexed="81"/>
            <rFont val="Tahoma"/>
            <family val="2"/>
          </rPr>
          <t>Natalia Zapata Puerta:</t>
        </r>
        <r>
          <rPr>
            <sz val="9"/>
            <color indexed="81"/>
            <rFont val="Tahoma"/>
            <family val="2"/>
          </rPr>
          <t xml:space="preserve">
Aporta formato 5
NO Aporta formato 5</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Julian David Londono Zapata</author>
    <author>Natalia Zapata Puerta</author>
  </authors>
  <commentList>
    <comment ref="C14" authorId="0" shapeId="0" xr:uid="{00000000-0006-0000-0600-000001000000}">
      <text>
        <r>
          <rPr>
            <b/>
            <sz val="9"/>
            <color indexed="81"/>
            <rFont val="Tahoma"/>
            <family val="2"/>
          </rPr>
          <t xml:space="preserve">Aplica para: </t>
        </r>
        <r>
          <rPr>
            <sz val="9"/>
            <color indexed="81"/>
            <rFont val="Tahoma"/>
            <family val="2"/>
          </rPr>
          <t xml:space="preserve">persona natural colombiana o residente en Colombia o persona jurídica constituida de conformidad con la legislación colombiana o Proponente extranjero con Trato Nacional - este ultimo pude decidir si se acoge a la regla de origen de su país.
</t>
        </r>
        <r>
          <rPr>
            <b/>
            <sz val="9"/>
            <color indexed="81"/>
            <rFont val="Tahoma"/>
            <family val="2"/>
          </rPr>
          <t xml:space="preserve">y para consorcios así:
</t>
        </r>
        <r>
          <rPr>
            <sz val="9"/>
            <color indexed="81"/>
            <rFont val="Tahoma"/>
            <family val="2"/>
          </rPr>
          <t xml:space="preserve">1. Únicamente integrantes colombianos
2. Colombianos en asocio con extranjeros con trato nacional
3. Únicamente integrado por extranjeros con trato nacional
</t>
        </r>
      </text>
    </comment>
    <comment ref="G14" authorId="0" shapeId="0" xr:uid="{00000000-0006-0000-0600-000002000000}">
      <text>
        <r>
          <rPr>
            <b/>
            <sz val="9"/>
            <color indexed="81"/>
            <rFont val="Tahoma"/>
            <family val="2"/>
          </rPr>
          <t xml:space="preserve">Aplica para: </t>
        </r>
        <r>
          <rPr>
            <sz val="9"/>
            <color indexed="81"/>
            <rFont val="Tahoma"/>
            <family val="2"/>
          </rPr>
          <t xml:space="preserve">Proponentes extranjeros sin derecho a Trato Nacional
</t>
        </r>
        <r>
          <rPr>
            <b/>
            <sz val="9"/>
            <color indexed="81"/>
            <rFont val="Tahoma"/>
            <family val="2"/>
          </rPr>
          <t xml:space="preserve">y consorcios así: 
</t>
        </r>
        <r>
          <rPr>
            <sz val="9"/>
            <color indexed="81"/>
            <rFont val="Tahoma"/>
            <family val="2"/>
          </rPr>
          <t xml:space="preserve">1. Proponente plural en el que al menos uno de los integrantes es extranjero sin trato nacional.
</t>
        </r>
      </text>
    </comment>
    <comment ref="I14" authorId="1" shapeId="0" xr:uid="{00000000-0006-0000-0600-000003000000}">
      <text>
        <r>
          <rPr>
            <b/>
            <sz val="9"/>
            <color indexed="81"/>
            <rFont val="Tahoma"/>
            <family val="2"/>
          </rPr>
          <t>Natalia Zapata Puerta:</t>
        </r>
        <r>
          <rPr>
            <sz val="9"/>
            <color indexed="81"/>
            <rFont val="Tahoma"/>
            <family val="2"/>
          </rPr>
          <t xml:space="preserve">
Aporta Formato 9A, opción 1
Aportó Formato 9 diligenciado y firmado</t>
        </r>
      </text>
    </comment>
    <comment ref="E15" authorId="1" shapeId="0" xr:uid="{00000000-0006-0000-0600-000004000000}">
      <text>
        <r>
          <rPr>
            <sz val="9"/>
            <color indexed="81"/>
            <rFont val="Tahoma"/>
            <family val="2"/>
          </rPr>
          <t xml:space="preserve">En el formato esta MINIMO 80%
</t>
        </r>
      </text>
    </comment>
  </commentList>
</comments>
</file>

<file path=xl/sharedStrings.xml><?xml version="1.0" encoding="utf-8"?>
<sst xmlns="http://schemas.openxmlformats.org/spreadsheetml/2006/main" count="894" uniqueCount="253">
  <si>
    <t>PROPONENTES</t>
  </si>
  <si>
    <t>PROPONENTE</t>
  </si>
  <si>
    <t>NIT</t>
  </si>
  <si>
    <t>PAÍS</t>
  </si>
  <si>
    <t>DEPARTAMENTO</t>
  </si>
  <si>
    <t>MUNICIPIO</t>
  </si>
  <si>
    <t>TAMAÑO EMPRESARIAL</t>
  </si>
  <si>
    <t>2</t>
  </si>
  <si>
    <t>F.</t>
  </si>
  <si>
    <t>SECRETARÍA DE SUMINISTROS Y SERVICIOS</t>
  </si>
  <si>
    <t>CAPACIDAD RESIDUAL (Cr)</t>
  </si>
  <si>
    <t>EXPERIENCIA GENERAL Y ESPECÍFICA DEL PROPONENTE</t>
  </si>
  <si>
    <t>Cód.. (UNSPSC):</t>
  </si>
  <si>
    <t>NUMERO MÁXIMO DE CONTRATOS QUE PUEDE ACREDITAR:</t>
  </si>
  <si>
    <t>CONDICIÓN PROPONENTES PLURALES</t>
  </si>
  <si>
    <t>VALOR PRESUPUESTO OFICIAL</t>
  </si>
  <si>
    <t>No. Contratos Validos</t>
  </si>
  <si>
    <t>Valor a Acreditar</t>
  </si>
  <si>
    <t>VERIFICACIÓN</t>
  </si>
  <si>
    <t>FOLIOS</t>
  </si>
  <si>
    <t>RUP No. DE ORDEN</t>
  </si>
  <si>
    <t>CONTRATANTE</t>
  </si>
  <si>
    <t>NUMERO DEL CONTRATO</t>
  </si>
  <si>
    <t>CUMPLE ALCANCE GENERAL
(S/N)</t>
  </si>
  <si>
    <t xml:space="preserve">Cód.. (UNSPSC) RUP </t>
  </si>
  <si>
    <t>INTEGRANTE QUE ACREDITA</t>
  </si>
  <si>
    <t>%PAR. EN EL PROCESO</t>
  </si>
  <si>
    <t>VALOR DEL CONTRATO EN COP</t>
  </si>
  <si>
    <t>%PAR. EN EL CONTRATO</t>
  </si>
  <si>
    <t>FECHA DE
TERMINACIÓN
(día - mes - año)</t>
  </si>
  <si>
    <t xml:space="preserve">VALOR DEL CONTRATO EN SMMLV </t>
  </si>
  <si>
    <t>EXPERIENCIA EN SMMLV
(=RUP)</t>
  </si>
  <si>
    <t>OBSERVACIONES</t>
  </si>
  <si>
    <t>TOTAL</t>
  </si>
  <si>
    <t>Criterio</t>
  </si>
  <si>
    <t>Puntos</t>
  </si>
  <si>
    <t>No.</t>
  </si>
  <si>
    <t>Registro Nacional de Obras Civiles Inconclusas.</t>
  </si>
  <si>
    <t>PUNTAJE TOTAL</t>
  </si>
  <si>
    <t>Aporta Compromiso
(S/N)</t>
  </si>
  <si>
    <t>PUNTAJE</t>
  </si>
  <si>
    <t>Observación</t>
  </si>
  <si>
    <t>Concepto</t>
  </si>
  <si>
    <t>Puntaje</t>
  </si>
  <si>
    <t>Promoción de servicios nacionales o con trato nacional</t>
  </si>
  <si>
    <t>incorporación de componente nacional en servicios extranjeros</t>
  </si>
  <si>
    <t>ESTÍMULO A LA INDUSTRIA NACIONAL</t>
  </si>
  <si>
    <t>EXPERIENCIA</t>
  </si>
  <si>
    <t>RESUMEN</t>
  </si>
  <si>
    <t>EXPERIENCIA CONSORCIO Y/O UNIONES TEMPORALES</t>
  </si>
  <si>
    <t>INTEGRANTE</t>
  </si>
  <si>
    <t>EXP. ACREDITADA (smmlv)</t>
  </si>
  <si>
    <t>% DE EXP. ACREDITADA RESPECTO DEL TOTAL REQUERIDO</t>
  </si>
  <si>
    <t>AÑO</t>
  </si>
  <si>
    <t>SMMLV</t>
  </si>
  <si>
    <t>Cedula / Residencia / Certificado de existencia y representación (S/N)</t>
  </si>
  <si>
    <t>Porcentaje de personal técnico, operativo y profesional de origen colombiano (%)</t>
  </si>
  <si>
    <t>SI</t>
  </si>
  <si>
    <t>NO</t>
  </si>
  <si>
    <t xml:space="preserve">SUBSANACION </t>
  </si>
  <si>
    <t xml:space="preserve">FECHA SUBSANACION </t>
  </si>
  <si>
    <t>DOCUMENTOS APORTADOS PARA SUBSANAR</t>
  </si>
  <si>
    <t>SECRETARÍA DE GESTIÓN Y CONTROL TERRITORIAL</t>
  </si>
  <si>
    <t>RESUMEN EVALUACIÓN TÉCNICA</t>
  </si>
  <si>
    <t>Si es proponente plural, poner acá el # de integrantes</t>
  </si>
  <si>
    <t>1</t>
  </si>
  <si>
    <t>COLOMBIA</t>
  </si>
  <si>
    <t xml:space="preserve">% de Participación </t>
  </si>
  <si>
    <t>Elaboró: Diego Alberto Acosta Betancur - Natalia Zapata Puerta</t>
  </si>
  <si>
    <t xml:space="preserve">Cargo: Profesional Universitario - Ingeniero Contratista </t>
  </si>
  <si>
    <t>MEDIANA EMPRESA</t>
  </si>
  <si>
    <t>CUNDINAMARCA</t>
  </si>
  <si>
    <t>MICRO EMPRESA</t>
  </si>
  <si>
    <t>PEQUEÑA EMPRESA</t>
  </si>
  <si>
    <t>ANTIOQUIA</t>
  </si>
  <si>
    <t>RIONEGRO</t>
  </si>
  <si>
    <t>MEDELLIN</t>
  </si>
  <si>
    <t>META</t>
  </si>
  <si>
    <t>VILLAVICENCIO</t>
  </si>
  <si>
    <t>S</t>
  </si>
  <si>
    <t>Se consultó el registro nacional de obras civiles inconclusas y el proponente no tiene anotaciones.</t>
  </si>
  <si>
    <t>SELECCIÓN ABREVIADA DE MENOR CUANTÍA No. 9015314</t>
  </si>
  <si>
    <t>"Construir obras complementarias del alcantarillado de la centralidad del corregimiento San Sebastián de Palmitas"</t>
  </si>
  <si>
    <r>
      <rPr>
        <b/>
        <sz val="10"/>
        <rFont val="Arial"/>
        <family val="2"/>
      </rPr>
      <t xml:space="preserve">EXPERIENCIA GENERAL: 
</t>
    </r>
    <r>
      <rPr>
        <sz val="10"/>
        <rFont val="Arial"/>
        <family val="2"/>
      </rPr>
      <t xml:space="preserve">El proponente deberá acreditar experiencia en un mínimo de un (1) y máximo de tres (3) contratos ejecutados, en PROYECTOS QUE CORRESPONDAN O HAYAN CONTENIDO ACTIVIDADES DE: AMPLIACION Y/U OPTIMIZACION Y/O CONSTRUCCION Y/O MEJORAMIENTO Y/O REPOSICION DE ALCANTARILLADOS, cuya sumatoria deberá ser igual o superior al cien por ciento (100%) del presupuesto oficial expresado en salarios mínimos mensuales legales vigentes (SMMLV).
Los contratos aportados para efectos de acreditación de la experiencia requerida deben estar clasificados en </t>
    </r>
    <r>
      <rPr>
        <b/>
        <u/>
        <sz val="10"/>
        <rFont val="Arial"/>
        <family val="2"/>
      </rPr>
      <t>al menos dos (2) de los siguientes códigos</t>
    </r>
    <r>
      <rPr>
        <sz val="10"/>
        <rFont val="Arial"/>
        <family val="2"/>
      </rPr>
      <t xml:space="preserve">:
</t>
    </r>
    <r>
      <rPr>
        <b/>
        <sz val="10"/>
        <rFont val="Arial"/>
        <family val="2"/>
      </rPr>
      <t>721029</t>
    </r>
    <r>
      <rPr>
        <sz val="10"/>
        <rFont val="Arial"/>
        <family val="2"/>
      </rPr>
      <t xml:space="preserve"> SERVICIOS DE MANTENIMIENTO Y REPARACIÓN DE INSTALACIONES 
</t>
    </r>
    <r>
      <rPr>
        <b/>
        <sz val="10"/>
        <rFont val="Arial"/>
        <family val="2"/>
      </rPr>
      <t>721411</t>
    </r>
    <r>
      <rPr>
        <sz val="10"/>
        <rFont val="Arial"/>
        <family val="2"/>
      </rPr>
      <t xml:space="preserve"> SERVICIOS DE PAVIMENTACIÓN Y SUPERFICIES DE INFRAESTRUTURA
</t>
    </r>
    <r>
      <rPr>
        <b/>
        <sz val="10"/>
        <rFont val="Arial"/>
        <family val="2"/>
      </rPr>
      <t>721415</t>
    </r>
    <r>
      <rPr>
        <sz val="10"/>
        <rFont val="Arial"/>
        <family val="2"/>
      </rPr>
      <t xml:space="preserve"> SERVICIOS DE PREPARACIÓN DE TIERRAS 
</t>
    </r>
    <r>
      <rPr>
        <b/>
        <sz val="10"/>
        <rFont val="Arial"/>
        <family val="2"/>
      </rPr>
      <t>811015</t>
    </r>
    <r>
      <rPr>
        <sz val="10"/>
        <rFont val="Arial"/>
        <family val="2"/>
      </rPr>
      <t xml:space="preserve"> INGENIERIA CIVIL Y ARQUITECTURA
</t>
    </r>
    <r>
      <rPr>
        <b/>
        <sz val="10"/>
        <rFont val="Arial"/>
        <family val="2"/>
      </rPr>
      <t>831015</t>
    </r>
    <r>
      <rPr>
        <sz val="10"/>
        <rFont val="Arial"/>
        <family val="2"/>
      </rPr>
      <t xml:space="preserve"> SERVICIOS DE ACUEDUCTO Y ALCANTARILLADO
</t>
    </r>
    <r>
      <rPr>
        <b/>
        <sz val="10"/>
        <rFont val="Arial"/>
        <family val="2"/>
      </rPr>
      <t xml:space="preserve">
Experiencia específica:</t>
    </r>
    <r>
      <rPr>
        <sz val="10"/>
        <rFont val="Arial"/>
        <family val="2"/>
      </rPr>
      <t xml:space="preserve">
De los contratos aportados para la Experiencia General, mínimo uno (1) deberá contemplar en el objeto y/o alcance y/o actividades la construcción de obras de mitigación o contención, para lo cual deberá aportar los correspondientes certificados y deberán estar inscritos en RUP.</t>
    </r>
  </si>
  <si>
    <t>El valor a acreditar por cada uno de los integrantes del consorcio, unión temporal u otra forma de asociación permitida por la ley, deberá corresponder a su porcentaje de participación en la forma asociativa y expresada en Salarios Mínimos Mensuales Legales Vigentes (SMMLV). En todo caso, cada integrante deberá acreditar como mínimo un (1) contrato, independientemente del número de integrantes de la forma asociativa. Si el proponente plural se conforma por un número mayor al número de contratos solicitados, el proponente informará cuales de los contratos aportados se deberán tener en cuenta para la verificación de la experiencia, sin perjuicio en todo caso de que, a cada uno de los integrantes de la forma asociativa, le corresponde acreditar un (1) contrato que corresponda a su porcentaje de participación en el correspondiente proponente plural.</t>
  </si>
  <si>
    <t>Aportó Formato 5 diligenciado y firmado</t>
  </si>
  <si>
    <t>Formato Experiencia y formación adicional del Personal evaluable</t>
  </si>
  <si>
    <t>Formato de compromiso fomento al impacto social</t>
  </si>
  <si>
    <t>Aportó Formato diligenciado y firmado</t>
  </si>
  <si>
    <t>Formato – Promoción de Servicios Nacionales o con Trato Nacional (S/N)</t>
  </si>
  <si>
    <t>EQUIPO DE TRABAJO</t>
  </si>
  <si>
    <t>POLITICA DE FOMENTO DE IMPACTO SOCIAL</t>
  </si>
  <si>
    <t>Promoción de Servicios Nacionales o con Trato Nacional (100 puntos)</t>
  </si>
  <si>
    <t>Incorporación de componente nacional en servicios extranjeros (50 puntos)</t>
  </si>
  <si>
    <t>MEGACONSTRUCCIONES Y EQUIPOS S.A.S</t>
  </si>
  <si>
    <t>EMPRESA ASOCIATIVA DE TRABAJO UNIDOS AL FUTURO</t>
  </si>
  <si>
    <t>DYA INGENIERIA SAS</t>
  </si>
  <si>
    <t>ESTORAQUES 20 SAS</t>
  </si>
  <si>
    <t>C.T. 2 CONSTRUCCIONES S.A.S</t>
  </si>
  <si>
    <t>900211682-3</t>
  </si>
  <si>
    <t>822007497-0</t>
  </si>
  <si>
    <t>901429186-2</t>
  </si>
  <si>
    <t>NEIVA</t>
  </si>
  <si>
    <t>HUILA</t>
  </si>
  <si>
    <t>CONSORCIO OBRAS MC (COINAR - CONSULTORES INGENIEROS Y ARQUITECTOS LTDA (70%) y MATMAR CONSTRUCCIONES S.A.S. (30%))</t>
  </si>
  <si>
    <t>900211521-6</t>
  </si>
  <si>
    <t>811031717-7</t>
  </si>
  <si>
    <t>900214670-9</t>
  </si>
  <si>
    <t>BOGOTA D.C.</t>
  </si>
  <si>
    <t>NORTE DE SANTANDER</t>
  </si>
  <si>
    <t>CUCUTA</t>
  </si>
  <si>
    <t>901420326-6</t>
  </si>
  <si>
    <t>MUNICIPIO  DE MARINILLA - SECRETARÍA DE OBRAS PÚBLICAS E INFRAESTRUCTURA</t>
  </si>
  <si>
    <t>161-SO-2014</t>
  </si>
  <si>
    <t>EEPP DEL SANTUARIO E.S.P.</t>
  </si>
  <si>
    <t>012 DE 2015</t>
  </si>
  <si>
    <t>EMPRESAS VARIAS DE MEDELLÍN S.A. E.S.P. EMVARIAS - GRUPO EPM</t>
  </si>
  <si>
    <t>CONTRATO CW-69851 DE 2019</t>
  </si>
  <si>
    <t>0S-022 DE 2011</t>
  </si>
  <si>
    <t>721029      721411</t>
  </si>
  <si>
    <t>811015 831015</t>
  </si>
  <si>
    <t>721411    811015</t>
  </si>
  <si>
    <t>721029   721411</t>
  </si>
  <si>
    <t>EDESA S.A E.S.P.</t>
  </si>
  <si>
    <t>072-2022</t>
  </si>
  <si>
    <t>150-2007</t>
  </si>
  <si>
    <t>MATMAR CONSTRUCCIONES S.A.S.</t>
  </si>
  <si>
    <t>COINAR . CONSULTORES  INGENIEROS Y ARQUITECTOS LTDA</t>
  </si>
  <si>
    <t>AGUAS REGIONALES EPM S.A.E.S.P.</t>
  </si>
  <si>
    <t>DEPARTAMENTO DE ANTIOQUIA</t>
  </si>
  <si>
    <t>CO-2021-083</t>
  </si>
  <si>
    <t>2013-OO-37-0012</t>
  </si>
  <si>
    <t>721411   811015</t>
  </si>
  <si>
    <t>721411   721415</t>
  </si>
  <si>
    <t>MUNICIPIO  DE MEDELLIN</t>
  </si>
  <si>
    <t>4600026733 DE 2010</t>
  </si>
  <si>
    <t>4600056474 DE 2014</t>
  </si>
  <si>
    <t>MUNICIIPIO  DE REMEDIOS</t>
  </si>
  <si>
    <t>SPDT-331-2021</t>
  </si>
  <si>
    <t>721029   831015</t>
  </si>
  <si>
    <t>721029    811015</t>
  </si>
  <si>
    <t>721029   721415</t>
  </si>
  <si>
    <t>INGENIERIA HIDRÁULICA S.A.S</t>
  </si>
  <si>
    <t>N</t>
  </si>
  <si>
    <t>Cumple experiencia especifica</t>
  </si>
  <si>
    <t>14-2022-ALAMEDA</t>
  </si>
  <si>
    <t>RSVM-01-2020</t>
  </si>
  <si>
    <t>No presentó Formato de Experiencia del Proponente</t>
  </si>
  <si>
    <t>Aporta un contrato adicional según criterios para Mipymes y Empresas de Mujeres</t>
  </si>
  <si>
    <t>CONJUNTO RESIDENCIAL QUINTANAR DE TOLEDO</t>
  </si>
  <si>
    <t>134.1 2022</t>
  </si>
  <si>
    <t>CONDOMINIO CAMPESTRE AGUAZUL PH</t>
  </si>
  <si>
    <t>N.A</t>
  </si>
  <si>
    <t>No se evidencia en el RUP a qué contrato se hace referencia, debe aclarar</t>
  </si>
  <si>
    <t>NO CUMPLE</t>
  </si>
  <si>
    <r>
      <t>No cumple, pues este contrato se encuentra relacionado solo en uno de los códigos de la Clasificación UNSPSC  exigidos para el proceso, es decir el 811015. 
El pliego de condiciones establece "</t>
    </r>
    <r>
      <rPr>
        <i/>
        <sz val="10"/>
        <color rgb="FFFF0000"/>
        <rFont val="Arial"/>
        <family val="2"/>
      </rPr>
      <t>Los contratos aportados para efectos de acreditación de la experiencia requerida deben estar clasificados en al menos dos (2) de los siguientes códigos:
721029 SERVICIOS DE MANTENIMIENTO Y REPARACIÓN DE INSTALACIONES 
721411 SERVICIOS DE PAVIMENTACIÓN Y SUPERFICIES DE INFRAESTRUTURA
721415 SERVICIOS DE PREPARACIÓN DE TIERRAS 
811015 INGENIERIA CIVIL Y ARQUITECTURA
831015 SERVICIOS DE ACUEDUCTO Y ALCANTARILLADO"</t>
    </r>
    <r>
      <rPr>
        <sz val="10"/>
        <color rgb="FFFF0000"/>
        <rFont val="Arial"/>
        <family val="2"/>
      </rPr>
      <t xml:space="preserve">
</t>
    </r>
  </si>
  <si>
    <t>ANDINA CONCEPTOS INMOBILIARIOS SAS</t>
  </si>
  <si>
    <t>El proponente debe aclarar en cual de los contratos acredita la experiencia específica solicitada</t>
  </si>
  <si>
    <t>Presupuesto estimado del Proceso de Contratación ($COP)</t>
  </si>
  <si>
    <t>Cr: Capacidad Residual del proponente
CO: Capacidad de Organización
E: Experiencia 
CF: Capacidad financiera  
CT: Capacidad técnica  
SCE: Saldos de los Contratos en Ejecución</t>
  </si>
  <si>
    <t>Factor</t>
  </si>
  <si>
    <t>Puntaje Máximo</t>
  </si>
  <si>
    <t>Menos de un (1) Año</t>
  </si>
  <si>
    <t>Fecha de presentación la oferta (dd-mm-aaaa)</t>
  </si>
  <si>
    <t>Experiencia (E)</t>
  </si>
  <si>
    <t>Mas de un (1) año</t>
  </si>
  <si>
    <t>Porcentaje de Anticipo (%)</t>
  </si>
  <si>
    <t>Capacidad financiera (CF)</t>
  </si>
  <si>
    <t>Plazo estimado del Proceso de Contratación (meses)</t>
  </si>
  <si>
    <t>Capacidad técnica (CT)</t>
  </si>
  <si>
    <t>Capacidad Residual del Proceso de Contratación ($COP)</t>
  </si>
  <si>
    <t>Total</t>
  </si>
  <si>
    <t>Cr Total =</t>
  </si>
  <si>
    <t>Capacidad de Organización (CO)</t>
  </si>
  <si>
    <t xml:space="preserve">Años de información financiera </t>
  </si>
  <si>
    <t xml:space="preserve">Capacidad de organización (CO) </t>
  </si>
  <si>
    <t>Tipo de información financiera que tiene el proponente o participantes del proponente plural:</t>
  </si>
  <si>
    <t xml:space="preserve">Cinco (5) años o más </t>
  </si>
  <si>
    <t xml:space="preserve">Mayor ingreso operacional de los últimos cinco años </t>
  </si>
  <si>
    <t>Año - Documento Estado de Resultado o Estado Pérdida o Ganancias</t>
  </si>
  <si>
    <t xml:space="preserve">Entre uno (1) y cinco (5) años </t>
  </si>
  <si>
    <t xml:space="preserve">Mayor ingreso operacional de los años de vida del oferente. </t>
  </si>
  <si>
    <t xml:space="preserve">Menos de un (1) año </t>
  </si>
  <si>
    <t>USD 125.000</t>
  </si>
  <si>
    <t>Firmas Estados de Resultados</t>
  </si>
  <si>
    <t>CONTADOR</t>
  </si>
  <si>
    <t xml:space="preserve">CLAUDIA TERESA GOMEZ ZULUAGA </t>
  </si>
  <si>
    <t xml:space="preserve">Matricula y Certificado de antecedentes </t>
  </si>
  <si>
    <t>VIGENTE</t>
  </si>
  <si>
    <t>REVISOR FISCAL</t>
  </si>
  <si>
    <t>GIOVANA MELISSA GONZALES CARBALLO</t>
  </si>
  <si>
    <t>Capacidad de Organización del proponente o participantes del proponente plural:</t>
  </si>
  <si>
    <t xml:space="preserve">Mayor a </t>
  </si>
  <si>
    <t xml:space="preserve">Menor o igual a </t>
  </si>
  <si>
    <t xml:space="preserve">Puntaje </t>
  </si>
  <si>
    <t>% de Participación en el presente proceso</t>
  </si>
  <si>
    <t>RUP</t>
  </si>
  <si>
    <t>Contratos relacionados con la actividad de la construcción</t>
  </si>
  <si>
    <t>Valor COP</t>
  </si>
  <si>
    <t xml:space="preserve">Mayores </t>
  </si>
  <si>
    <t>Formato 5.1A o Formato 5.1B</t>
  </si>
  <si>
    <t>Valor total de los contratos relacionados con la actividad de la construcción (COP)</t>
  </si>
  <si>
    <t>Factor Experiencia</t>
  </si>
  <si>
    <t>Puntaje por Experiencia</t>
  </si>
  <si>
    <t>Capacidad Financiera (CF)</t>
  </si>
  <si>
    <t>Mayor a igual a</t>
  </si>
  <si>
    <t xml:space="preserve">Menor a </t>
  </si>
  <si>
    <t>Activo Corriente</t>
  </si>
  <si>
    <t>Pasivo Corriente</t>
  </si>
  <si>
    <t>Índice de Liquidez</t>
  </si>
  <si>
    <t>Puntaje por Capacidad Financiera</t>
  </si>
  <si>
    <t>Capacidad Técnica (CT)</t>
  </si>
  <si>
    <t>Desde</t>
  </si>
  <si>
    <t>Hasta</t>
  </si>
  <si>
    <r>
      <t xml:space="preserve">Número de socios y profesionales de la arquitectura, ingeniería y geología vinculados </t>
    </r>
    <r>
      <rPr>
        <b/>
        <sz val="9"/>
        <rFont val="Arial"/>
        <family val="2"/>
      </rPr>
      <t>Formato 5.2</t>
    </r>
  </si>
  <si>
    <t>Puntaje por Capacidad Técnica</t>
  </si>
  <si>
    <t>Saldo de los Contratos en Ejecución (SCE)</t>
  </si>
  <si>
    <t>Formato 5.3</t>
  </si>
  <si>
    <t>Contrato No.</t>
  </si>
  <si>
    <t>% de Participación</t>
  </si>
  <si>
    <t>Plazo (meses)</t>
  </si>
  <si>
    <t>Fecha Inicio</t>
  </si>
  <si>
    <t>Suspensión No. 1</t>
  </si>
  <si>
    <t>Reinicio No. 1</t>
  </si>
  <si>
    <t>Suspensión No. 2</t>
  </si>
  <si>
    <t>Reinicio No. 2</t>
  </si>
  <si>
    <t>Plazo por ejecutar
(días)</t>
  </si>
  <si>
    <t>Saldo COP</t>
  </si>
  <si>
    <t>Valor Total Saldo de los Contratos en Ejecución (SCE)</t>
  </si>
  <si>
    <t>CONSORCIO OBRAS MC</t>
  </si>
  <si>
    <t>INTEGRANTE No. 1: COINAR - CONSULTORES INGENIEROS Y ARQUITECTOS LTDA</t>
  </si>
  <si>
    <t>Cr =</t>
  </si>
  <si>
    <t>EDINSON MEZA GRANADOS</t>
  </si>
  <si>
    <t xml:space="preserve">ORLANDO GALENAO LOPEZ </t>
  </si>
  <si>
    <t>INTEGRANTE No. 2: MATMAR CONSTRUCCIONES S.A.S.</t>
  </si>
  <si>
    <t>MARLENY GOMEZ SILVA</t>
  </si>
  <si>
    <t xml:space="preserve">INGRITH RIVERA GOMEZ </t>
  </si>
  <si>
    <t xml:space="preserve">INES OBEIDACARVAJAL MARIN </t>
  </si>
  <si>
    <t xml:space="preserve">ALVARO DANIEL ALVAREZ CALDERON </t>
  </si>
  <si>
    <t xml:space="preserve">LUISA FERNANDA CAMPOS </t>
  </si>
  <si>
    <t xml:space="preserve">ELKIN FERNANDO PINILLA TABORDA </t>
  </si>
  <si>
    <t xml:space="preserve">LIZETH RODRIGUEZ </t>
  </si>
  <si>
    <t>OSCAR EDUARDO LEÓN LÓPEZ</t>
  </si>
  <si>
    <t>valores en documento no corresponden</t>
  </si>
  <si>
    <t xml:space="preserve">CATALINA CARDONA OSORIO </t>
  </si>
  <si>
    <t xml:space="preserve">FABIOLA RUGELES LOPEZ </t>
  </si>
  <si>
    <t>Elaboró:</t>
  </si>
  <si>
    <t xml:space="preserve">Maria Isabel Caro Abad - </t>
  </si>
  <si>
    <t>Cargo:</t>
  </si>
  <si>
    <t>Contratistas</t>
  </si>
  <si>
    <t xml:space="preserve">CUMPLE </t>
  </si>
  <si>
    <t>No presentó Formato de Experiencia del Proponente. Para el contrato No. RSVM-01-2020 no se evidencia en el RUP a qué contrato se hace referencia, debe aclarar.
El proponente debe aclarar en cual de los contratos acredita la experiencia específica solicitada, así mismo aclarar los porcentajes del A.I.U, pues el mismo se consignó solo en valores ($).</t>
  </si>
  <si>
    <r>
      <t>No presentó Formato de Experiencia del Proponente.
Además no cumple, pues el contrato con consecutivo No. 30 del RUP se encuentra relacionado solo en uno de los códigos de la Clasificación UNSPSC  exigidos para el proceso, es decir el 811015. El pliego de condiciones establece "</t>
    </r>
    <r>
      <rPr>
        <i/>
        <sz val="10"/>
        <color rgb="FFFF0000"/>
        <rFont val="Arial"/>
        <family val="2"/>
      </rPr>
      <t xml:space="preserve">Los contratos aportados para efectos de acreditación de la experiencia requerida deben estar clasificados en al menos dos (2) de los siguientes códigos:
721029 SERVICIOS DE MANTENIMIENTO Y REPARACIÓN DE INSTALACIONES 
721411 SERVICIOS DE PAVIMENTACIÓN Y SUPERFICIES DE INFRAESTRUTURA
721415 SERVICIOS DE PREPARACIÓN DE TIERRAS 
811015 INGENIERIA CIVIL Y ARQUITECTURA
831015 SERVICIOS DE ACUEDUCTO Y ALCANTARILLADO"
</t>
    </r>
    <r>
      <rPr>
        <sz val="10"/>
        <color rgb="FFFF0000"/>
        <rFont val="Arial"/>
        <family val="2"/>
      </rPr>
      <t>Por lo anterior también debe aclarar en cual de los contratos acredita la experiencia específica.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</si>
</sst>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4" formatCode="_-&quot;$&quot;\ * #,##0.00_-;\-&quot;$&quot;\ * #,##0.00_-;_-&quot;$&quot;\ * &quot;-&quot;??_-;_-@_-"/>
    <numFmt numFmtId="43" formatCode="_-* #,##0.00_-;\-* #,##0.00_-;_-* &quot;-&quot;??_-;_-@_-"/>
    <numFmt numFmtId="164" formatCode="_(* #,##0_);_(* \(#,##0\);_(* &quot;-&quot;_);_(@_)"/>
    <numFmt numFmtId="165" formatCode="_(&quot;$&quot;\ * #,##0.00_);_(&quot;$&quot;\ * \(#,##0.00\);_(&quot;$&quot;\ * &quot;-&quot;??_);_(@_)"/>
    <numFmt numFmtId="166" formatCode="_(* #,##0.00_);_(* \(#,##0.00\);_(* &quot;-&quot;??_);_(@_)"/>
    <numFmt numFmtId="167" formatCode="_(&quot;$&quot;* #,##0.00_);_(&quot;$&quot;* \(#,##0.00\);_(&quot;$&quot;* &quot;-&quot;??_);_(@_)"/>
    <numFmt numFmtId="168" formatCode="[$-C0A]d\-mmm\-yyyy;@"/>
    <numFmt numFmtId="169" formatCode="_(* #,##0_);_(* \(#,##0\);_(* &quot;-&quot;??_);_(@_)"/>
    <numFmt numFmtId="170" formatCode="_(&quot;$&quot;\ * #,##0_);_(&quot;$&quot;\ * \(#,##0\);_(&quot;$&quot;\ * &quot;-&quot;??_);_(@_)"/>
    <numFmt numFmtId="171" formatCode="#,##0.00\ &quot;SMMVL&quot;\ "/>
    <numFmt numFmtId="172" formatCode="[$-409]d\-m\-yy\ h:mm\ AM/PM;@"/>
    <numFmt numFmtId="173" formatCode="[$-C0A]dd\-mmm\-yy;@"/>
    <numFmt numFmtId="174" formatCode="0.0"/>
    <numFmt numFmtId="175" formatCode="_-&quot;$&quot;* #,##0_-;\-&quot;$&quot;* #,##0_-;_-&quot;$&quot;* &quot;-&quot;??_-;_-@_-"/>
    <numFmt numFmtId="176" formatCode="&quot;$&quot;#,##0_);[Red]\(&quot;$&quot;#,##0\)"/>
    <numFmt numFmtId="177" formatCode="#,##0.0"/>
    <numFmt numFmtId="178" formatCode="&quot;$&quot;#,##0"/>
    <numFmt numFmtId="179" formatCode="#,##0.000"/>
  </numFmts>
  <fonts count="38"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Tahoma"/>
      <family val="2"/>
    </font>
    <font>
      <sz val="10"/>
      <name val="Tahoma"/>
      <family val="2"/>
    </font>
    <font>
      <b/>
      <sz val="10"/>
      <name val="Arial"/>
      <family val="2"/>
    </font>
    <font>
      <b/>
      <sz val="8"/>
      <name val="Arial"/>
      <family val="2"/>
    </font>
    <font>
      <sz val="8"/>
      <name val="Arial"/>
      <family val="2"/>
    </font>
    <font>
      <sz val="8"/>
      <name val="Tahoma"/>
      <family val="2"/>
    </font>
    <font>
      <sz val="9"/>
      <name val="Arial"/>
      <family val="2"/>
    </font>
    <font>
      <b/>
      <sz val="9"/>
      <name val="Arial"/>
      <family val="2"/>
    </font>
    <font>
      <b/>
      <sz val="11"/>
      <name val="Arial"/>
      <family val="2"/>
    </font>
    <font>
      <sz val="16"/>
      <name val="Arial"/>
      <family val="2"/>
    </font>
    <font>
      <sz val="11"/>
      <name val="Arial"/>
      <family val="2"/>
    </font>
    <font>
      <sz val="12"/>
      <name val="Arial"/>
      <family val="2"/>
    </font>
    <font>
      <sz val="18"/>
      <name val="Arial"/>
      <family val="2"/>
    </font>
    <font>
      <b/>
      <sz val="10"/>
      <color rgb="FFFF0000"/>
      <name val="Arial"/>
      <family val="2"/>
    </font>
    <font>
      <b/>
      <sz val="12"/>
      <color rgb="FFFF0000"/>
      <name val="Arial"/>
      <family val="2"/>
    </font>
    <font>
      <b/>
      <sz val="12"/>
      <name val="Arial"/>
      <family val="2"/>
    </font>
    <font>
      <b/>
      <sz val="10"/>
      <color theme="1"/>
      <name val="Arial"/>
      <family val="2"/>
    </font>
    <font>
      <sz val="11"/>
      <color theme="0" tint="-0.34998626667073579"/>
      <name val="Calibri"/>
      <family val="2"/>
      <scheme val="minor"/>
    </font>
    <font>
      <sz val="11"/>
      <color theme="1"/>
      <name val="Arial"/>
      <family val="2"/>
    </font>
    <font>
      <sz val="10"/>
      <color theme="0" tint="-0.34998626667073579"/>
      <name val="Arial"/>
      <family val="2"/>
    </font>
    <font>
      <sz val="9"/>
      <color indexed="81"/>
      <name val="Tahoma"/>
      <family val="2"/>
    </font>
    <font>
      <b/>
      <sz val="9"/>
      <color indexed="81"/>
      <name val="Tahoma"/>
      <family val="2"/>
    </font>
    <font>
      <sz val="11"/>
      <name val="Calibri"/>
      <family val="2"/>
      <scheme val="minor"/>
    </font>
    <font>
      <b/>
      <u/>
      <sz val="10"/>
      <name val="Arial"/>
      <family val="2"/>
    </font>
    <font>
      <sz val="8"/>
      <color theme="1"/>
      <name val="Arial"/>
      <family val="2"/>
    </font>
    <font>
      <sz val="8"/>
      <name val="Calibri"/>
      <family val="2"/>
      <scheme val="minor"/>
    </font>
    <font>
      <sz val="10"/>
      <color theme="0"/>
      <name val="Tahoma"/>
      <family val="2"/>
    </font>
    <font>
      <sz val="10"/>
      <color rgb="FFFF0000"/>
      <name val="Arial"/>
      <family val="2"/>
    </font>
    <font>
      <i/>
      <sz val="10"/>
      <color rgb="FFFF0000"/>
      <name val="Arial"/>
      <family val="2"/>
    </font>
    <font>
      <sz val="8"/>
      <color indexed="8"/>
      <name val="Arial"/>
      <family val="2"/>
    </font>
    <font>
      <b/>
      <i/>
      <sz val="9"/>
      <name val="Arial"/>
      <family val="2"/>
    </font>
    <font>
      <b/>
      <sz val="12"/>
      <color rgb="FF0070C0"/>
      <name val="Arial"/>
      <family val="2"/>
    </font>
    <font>
      <b/>
      <sz val="9"/>
      <color rgb="FF000000"/>
      <name val="Arial"/>
      <family val="2"/>
    </font>
    <font>
      <sz val="9"/>
      <color rgb="FF000000"/>
      <name val="Arial"/>
      <family val="2"/>
    </font>
  </fonts>
  <fills count="11">
    <fill>
      <patternFill patternType="none"/>
    </fill>
    <fill>
      <patternFill patternType="gray125"/>
    </fill>
    <fill>
      <patternFill patternType="solid">
        <fgColor theme="9" tint="0.7999816888943144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4" tint="0.39997558519241921"/>
        <bgColor indexed="64"/>
      </patternFill>
    </fill>
    <fill>
      <patternFill patternType="solid">
        <fgColor theme="0"/>
        <bgColor indexed="64"/>
      </patternFill>
    </fill>
    <fill>
      <patternFill patternType="solid">
        <fgColor theme="8" tint="0.79998168889431442"/>
        <bgColor indexed="64"/>
      </patternFill>
    </fill>
    <fill>
      <patternFill patternType="solid">
        <fgColor theme="3" tint="0.39997558519241921"/>
        <bgColor indexed="64"/>
      </patternFill>
    </fill>
    <fill>
      <patternFill patternType="solid">
        <fgColor rgb="FFFF0000"/>
        <bgColor indexed="64"/>
      </patternFill>
    </fill>
    <fill>
      <patternFill patternType="solid">
        <fgColor theme="6" tint="0.59999389629810485"/>
        <bgColor indexed="64"/>
      </patternFill>
    </fill>
  </fills>
  <borders count="9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auto="1"/>
      </right>
      <top/>
      <bottom style="medium">
        <color auto="1"/>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style="thin">
        <color indexed="64"/>
      </right>
      <top style="hair">
        <color indexed="64"/>
      </top>
      <bottom style="hair">
        <color indexed="64"/>
      </bottom>
      <diagonal/>
    </border>
    <border>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diagonal/>
    </border>
    <border>
      <left style="medium">
        <color indexed="64"/>
      </left>
      <right style="thin">
        <color rgb="FF000000"/>
      </right>
      <top style="thin">
        <color rgb="FF000000"/>
      </top>
      <bottom/>
      <diagonal/>
    </border>
    <border>
      <left style="medium">
        <color indexed="64"/>
      </left>
      <right style="medium">
        <color indexed="64"/>
      </right>
      <top/>
      <bottom/>
      <diagonal/>
    </border>
    <border>
      <left style="medium">
        <color indexed="64"/>
      </left>
      <right style="thin">
        <color rgb="FF000000"/>
      </right>
      <top/>
      <bottom style="medium">
        <color rgb="FF000000"/>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medium">
        <color indexed="64"/>
      </top>
      <bottom style="hair">
        <color indexed="64"/>
      </bottom>
      <diagonal/>
    </border>
    <border>
      <left/>
      <right/>
      <top style="hair">
        <color indexed="64"/>
      </top>
      <bottom style="hair">
        <color indexed="64"/>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style="thin">
        <color indexed="64"/>
      </left>
      <right/>
      <top style="medium">
        <color indexed="64"/>
      </top>
      <bottom style="hair">
        <color indexed="64"/>
      </bottom>
      <diagonal/>
    </border>
    <border>
      <left/>
      <right style="thin">
        <color indexed="64"/>
      </right>
      <top style="medium">
        <color indexed="64"/>
      </top>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right style="thin">
        <color indexed="64"/>
      </right>
      <top style="hair">
        <color indexed="64"/>
      </top>
      <bottom style="hair">
        <color indexed="64"/>
      </bottom>
      <diagonal/>
    </border>
    <border>
      <left/>
      <right style="thin">
        <color indexed="64"/>
      </right>
      <top style="hair">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bottom style="medium">
        <color indexed="64"/>
      </bottom>
      <diagonal/>
    </border>
  </borders>
  <cellStyleXfs count="15">
    <xf numFmtId="0" fontId="0" fillId="0" borderId="0"/>
    <xf numFmtId="9" fontId="1" fillId="0" borderId="0" applyFont="0" applyFill="0" applyBorder="0" applyAlignment="0" applyProtection="0"/>
    <xf numFmtId="168" fontId="3" fillId="0" borderId="0"/>
    <xf numFmtId="0" fontId="3" fillId="0" borderId="0"/>
    <xf numFmtId="0" fontId="3" fillId="0" borderId="0"/>
    <xf numFmtId="0" fontId="3" fillId="0" borderId="0"/>
    <xf numFmtId="0" fontId="3" fillId="0" borderId="0"/>
    <xf numFmtId="165" fontId="3"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cellStyleXfs>
  <cellXfs count="513">
    <xf numFmtId="0" fontId="0" fillId="0" borderId="0" xfId="0"/>
    <xf numFmtId="168" fontId="4" fillId="0" borderId="0" xfId="2" applyFont="1" applyAlignment="1">
      <alignment horizontal="center" vertical="center"/>
    </xf>
    <xf numFmtId="168" fontId="5" fillId="0" borderId="0" xfId="2" applyFont="1" applyAlignment="1">
      <alignment vertical="center"/>
    </xf>
    <xf numFmtId="1" fontId="5" fillId="0" borderId="0" xfId="2" applyNumberFormat="1" applyFont="1" applyAlignment="1">
      <alignment vertical="center"/>
    </xf>
    <xf numFmtId="168" fontId="6" fillId="0" borderId="0" xfId="2" applyFont="1" applyAlignment="1">
      <alignment horizontal="center" vertical="center"/>
    </xf>
    <xf numFmtId="168" fontId="3" fillId="0" borderId="0" xfId="2" applyAlignment="1">
      <alignment vertical="center"/>
    </xf>
    <xf numFmtId="0" fontId="6" fillId="0" borderId="0" xfId="2" applyNumberFormat="1" applyFont="1" applyAlignment="1">
      <alignment horizontal="center" vertical="center" wrapText="1"/>
    </xf>
    <xf numFmtId="0" fontId="6" fillId="0" borderId="0" xfId="2" applyNumberFormat="1" applyFont="1" applyAlignment="1">
      <alignment vertical="center" wrapText="1"/>
    </xf>
    <xf numFmtId="0" fontId="5" fillId="0" borderId="0" xfId="2" applyNumberFormat="1" applyFont="1" applyAlignment="1">
      <alignment horizontal="center" vertical="center" wrapText="1"/>
    </xf>
    <xf numFmtId="168" fontId="7" fillId="0" borderId="0" xfId="2" applyFont="1" applyAlignment="1">
      <alignment horizontal="center" vertical="center" wrapText="1"/>
    </xf>
    <xf numFmtId="168" fontId="5" fillId="0" borderId="0" xfId="2" applyFont="1" applyAlignment="1">
      <alignment horizontal="center" vertical="center"/>
    </xf>
    <xf numFmtId="168" fontId="3" fillId="0" borderId="0" xfId="2" applyAlignment="1">
      <alignment horizontal="left" vertical="center"/>
    </xf>
    <xf numFmtId="0" fontId="9" fillId="0" borderId="0" xfId="2" applyNumberFormat="1" applyFont="1" applyAlignment="1">
      <alignment horizontal="center" vertical="center"/>
    </xf>
    <xf numFmtId="168" fontId="9" fillId="0" borderId="0" xfId="2" applyFont="1" applyAlignment="1">
      <alignment horizontal="center" vertical="center"/>
    </xf>
    <xf numFmtId="4" fontId="3" fillId="0" borderId="5" xfId="2" applyNumberFormat="1" applyBorder="1" applyAlignment="1">
      <alignment horizontal="center" vertical="center" wrapText="1"/>
    </xf>
    <xf numFmtId="4" fontId="3" fillId="0" borderId="6" xfId="2" applyNumberFormat="1" applyBorder="1" applyAlignment="1">
      <alignment horizontal="center" vertical="center" wrapText="1"/>
    </xf>
    <xf numFmtId="168" fontId="3" fillId="2" borderId="0" xfId="2" applyFill="1" applyAlignment="1">
      <alignment horizontal="center" vertical="center" wrapText="1"/>
    </xf>
    <xf numFmtId="168" fontId="5" fillId="0" borderId="0" xfId="2" applyFont="1" applyAlignment="1">
      <alignment horizontal="left" vertical="center"/>
    </xf>
    <xf numFmtId="0" fontId="10" fillId="0" borderId="0" xfId="4" applyFont="1" applyAlignment="1">
      <alignment vertical="center"/>
    </xf>
    <xf numFmtId="0" fontId="3" fillId="0" borderId="0" xfId="4" applyAlignment="1">
      <alignment vertical="center"/>
    </xf>
    <xf numFmtId="0" fontId="3" fillId="0" borderId="0" xfId="4" applyAlignment="1">
      <alignment horizontal="center" vertical="center"/>
    </xf>
    <xf numFmtId="0" fontId="12" fillId="0" borderId="0" xfId="4" applyFont="1" applyAlignment="1">
      <alignment vertical="center"/>
    </xf>
    <xf numFmtId="0" fontId="13" fillId="0" borderId="0" xfId="4" applyFont="1" applyAlignment="1">
      <alignment horizontal="center" vertical="center"/>
    </xf>
    <xf numFmtId="0" fontId="13" fillId="0" borderId="0" xfId="4" applyFont="1" applyAlignment="1">
      <alignment horizontal="left" vertical="center"/>
    </xf>
    <xf numFmtId="0" fontId="14" fillId="0" borderId="0" xfId="4" applyFont="1" applyAlignment="1">
      <alignment horizontal="left" vertical="center"/>
    </xf>
    <xf numFmtId="0" fontId="12" fillId="0" borderId="0" xfId="4" applyFont="1" applyAlignment="1">
      <alignment horizontal="left" vertical="center"/>
    </xf>
    <xf numFmtId="0" fontId="15" fillId="0" borderId="0" xfId="4" applyFont="1" applyAlignment="1">
      <alignment horizontal="center" vertical="center"/>
    </xf>
    <xf numFmtId="0" fontId="15" fillId="0" borderId="0" xfId="4" applyFont="1" applyAlignment="1">
      <alignment horizontal="left" vertical="center"/>
    </xf>
    <xf numFmtId="0" fontId="12" fillId="0" borderId="0" xfId="4" applyFont="1" applyAlignment="1">
      <alignment vertical="center" wrapText="1"/>
    </xf>
    <xf numFmtId="0" fontId="16" fillId="0" borderId="0" xfId="4" applyFont="1" applyAlignment="1">
      <alignment horizontal="center" vertical="center"/>
    </xf>
    <xf numFmtId="0" fontId="16" fillId="0" borderId="0" xfId="4" applyFont="1" applyAlignment="1">
      <alignment horizontal="left" vertical="center"/>
    </xf>
    <xf numFmtId="0" fontId="15" fillId="0" borderId="0" xfId="0" applyFont="1"/>
    <xf numFmtId="0" fontId="12" fillId="0" borderId="0" xfId="4" applyFont="1" applyAlignment="1">
      <alignment horizontal="center" vertical="center"/>
    </xf>
    <xf numFmtId="0" fontId="6" fillId="0" borderId="18" xfId="4" applyFont="1" applyBorder="1" applyAlignment="1">
      <alignment vertical="center" wrapText="1"/>
    </xf>
    <xf numFmtId="0" fontId="17" fillId="3" borderId="21" xfId="4" applyFont="1" applyFill="1" applyBorder="1" applyAlignment="1">
      <alignment horizontal="center" vertical="center"/>
    </xf>
    <xf numFmtId="0" fontId="17" fillId="3" borderId="36" xfId="4" applyFont="1" applyFill="1" applyBorder="1" applyAlignment="1">
      <alignment horizontal="center" vertical="center"/>
    </xf>
    <xf numFmtId="0" fontId="18" fillId="3" borderId="36" xfId="4" applyFont="1" applyFill="1" applyBorder="1" applyAlignment="1">
      <alignment horizontal="center" vertical="center"/>
    </xf>
    <xf numFmtId="170" fontId="12" fillId="3" borderId="38" xfId="7" applyNumberFormat="1" applyFont="1" applyFill="1" applyBorder="1" applyAlignment="1">
      <alignment vertical="center" wrapText="1"/>
    </xf>
    <xf numFmtId="171" fontId="12" fillId="3" borderId="36" xfId="7" applyNumberFormat="1" applyFont="1" applyFill="1" applyBorder="1" applyAlignment="1">
      <alignment horizontal="right" vertical="center" wrapText="1"/>
    </xf>
    <xf numFmtId="0" fontId="10" fillId="0" borderId="0" xfId="4" applyFont="1" applyAlignment="1">
      <alignment horizontal="left" vertical="center"/>
    </xf>
    <xf numFmtId="0" fontId="11" fillId="0" borderId="0" xfId="4" applyFont="1" applyAlignment="1">
      <alignment vertical="center"/>
    </xf>
    <xf numFmtId="0" fontId="11" fillId="0" borderId="0" xfId="4" applyFont="1" applyAlignment="1">
      <alignment horizontal="center" vertical="center"/>
    </xf>
    <xf numFmtId="2" fontId="11" fillId="0" borderId="0" xfId="4" applyNumberFormat="1" applyFont="1" applyAlignment="1">
      <alignment horizontal="center" vertical="center"/>
    </xf>
    <xf numFmtId="0" fontId="10" fillId="0" borderId="0" xfId="4" applyFont="1" applyAlignment="1">
      <alignment horizontal="center" vertical="center"/>
    </xf>
    <xf numFmtId="0" fontId="6" fillId="0" borderId="18" xfId="4" applyFont="1" applyBorder="1" applyAlignment="1">
      <alignment horizontal="center" vertical="center"/>
    </xf>
    <xf numFmtId="0" fontId="6" fillId="4" borderId="36" xfId="4" applyFont="1" applyFill="1" applyBorder="1" applyAlignment="1">
      <alignment horizontal="center" vertical="center" wrapText="1"/>
    </xf>
    <xf numFmtId="0" fontId="6" fillId="4" borderId="20" xfId="4" applyFont="1" applyFill="1" applyBorder="1" applyAlignment="1">
      <alignment vertical="center" wrapText="1"/>
    </xf>
    <xf numFmtId="171" fontId="6" fillId="4" borderId="36" xfId="7" applyNumberFormat="1" applyFont="1" applyFill="1" applyBorder="1" applyAlignment="1">
      <alignment horizontal="right" vertical="center" wrapText="1"/>
    </xf>
    <xf numFmtId="0" fontId="6" fillId="0" borderId="20" xfId="4" applyFont="1" applyBorder="1" applyAlignment="1">
      <alignment horizontal="right" vertical="center"/>
    </xf>
    <xf numFmtId="10" fontId="3" fillId="0" borderId="0" xfId="1" applyNumberFormat="1" applyFont="1" applyAlignment="1">
      <alignment horizontal="center" vertical="center"/>
    </xf>
    <xf numFmtId="0" fontId="3" fillId="0" borderId="0" xfId="1" applyNumberFormat="1" applyFont="1" applyAlignment="1">
      <alignment horizontal="center" vertical="center"/>
    </xf>
    <xf numFmtId="0" fontId="6" fillId="0" borderId="0" xfId="4" applyFont="1" applyAlignment="1">
      <alignment horizontal="center" vertical="center"/>
    </xf>
    <xf numFmtId="0" fontId="6" fillId="0" borderId="0" xfId="4" applyFont="1" applyAlignment="1">
      <alignment vertical="center"/>
    </xf>
    <xf numFmtId="170" fontId="6" fillId="0" borderId="0" xfId="4" applyNumberFormat="1" applyFont="1" applyAlignment="1">
      <alignment vertical="center"/>
    </xf>
    <xf numFmtId="0" fontId="3" fillId="3" borderId="28" xfId="4" applyFill="1" applyBorder="1" applyAlignment="1">
      <alignment horizontal="center" vertical="center"/>
    </xf>
    <xf numFmtId="0" fontId="3" fillId="3" borderId="41" xfId="4" applyFill="1" applyBorder="1" applyAlignment="1">
      <alignment horizontal="center" vertical="center" wrapText="1"/>
    </xf>
    <xf numFmtId="0" fontId="3" fillId="3" borderId="29" xfId="4" applyFill="1" applyBorder="1" applyAlignment="1">
      <alignment horizontal="left" vertical="center" wrapText="1"/>
    </xf>
    <xf numFmtId="169" fontId="3" fillId="3" borderId="29" xfId="9" applyNumberFormat="1" applyFont="1" applyFill="1" applyBorder="1" applyAlignment="1">
      <alignment vertical="center" wrapText="1"/>
    </xf>
    <xf numFmtId="166" fontId="3" fillId="0" borderId="41" xfId="9" applyFont="1" applyFill="1" applyBorder="1" applyAlignment="1">
      <alignment vertical="center"/>
    </xf>
    <xf numFmtId="2" fontId="3" fillId="0" borderId="0" xfId="1" applyNumberFormat="1" applyFont="1" applyAlignment="1">
      <alignment vertical="center"/>
    </xf>
    <xf numFmtId="3" fontId="3" fillId="0" borderId="0" xfId="4" applyNumberFormat="1" applyAlignment="1">
      <alignment vertical="center"/>
    </xf>
    <xf numFmtId="9" fontId="3" fillId="0" borderId="0" xfId="1" applyFont="1" applyAlignment="1">
      <alignment vertical="center"/>
    </xf>
    <xf numFmtId="0" fontId="3" fillId="3" borderId="43" xfId="4" applyFill="1" applyBorder="1" applyAlignment="1">
      <alignment horizontal="center" vertical="center"/>
    </xf>
    <xf numFmtId="0" fontId="3" fillId="3" borderId="41" xfId="4" applyFill="1" applyBorder="1" applyAlignment="1">
      <alignment vertical="center" wrapText="1"/>
    </xf>
    <xf numFmtId="0" fontId="3" fillId="3" borderId="41" xfId="4" applyFill="1" applyBorder="1" applyAlignment="1">
      <alignment horizontal="center" vertical="center"/>
    </xf>
    <xf numFmtId="0" fontId="3" fillId="3" borderId="41" xfId="4" applyFill="1" applyBorder="1" applyAlignment="1">
      <alignment horizontal="left" vertical="center" wrapText="1"/>
    </xf>
    <xf numFmtId="10" fontId="3" fillId="3" borderId="41" xfId="8" applyNumberFormat="1" applyFont="1" applyFill="1" applyBorder="1" applyAlignment="1">
      <alignment horizontal="center" vertical="center"/>
    </xf>
    <xf numFmtId="169" fontId="3" fillId="3" borderId="41" xfId="9" applyNumberFormat="1" applyFont="1" applyFill="1" applyBorder="1" applyAlignment="1">
      <alignment vertical="center" wrapText="1"/>
    </xf>
    <xf numFmtId="17" fontId="3" fillId="3" borderId="41" xfId="4" applyNumberFormat="1" applyFill="1" applyBorder="1" applyAlignment="1">
      <alignment horizontal="center" vertical="center"/>
    </xf>
    <xf numFmtId="0" fontId="3" fillId="3" borderId="45" xfId="4" applyFill="1" applyBorder="1" applyAlignment="1">
      <alignment horizontal="center" vertical="center"/>
    </xf>
    <xf numFmtId="0" fontId="3" fillId="3" borderId="46" xfId="4" applyFill="1" applyBorder="1" applyAlignment="1">
      <alignment horizontal="center" vertical="center" wrapText="1"/>
    </xf>
    <xf numFmtId="0" fontId="3" fillId="3" borderId="46" xfId="4" applyFill="1" applyBorder="1" applyAlignment="1">
      <alignment vertical="center" wrapText="1"/>
    </xf>
    <xf numFmtId="0" fontId="3" fillId="3" borderId="46" xfId="4" applyFill="1" applyBorder="1" applyAlignment="1">
      <alignment horizontal="center" vertical="center"/>
    </xf>
    <xf numFmtId="0" fontId="3" fillId="3" borderId="46" xfId="4" applyFill="1" applyBorder="1" applyAlignment="1">
      <alignment horizontal="left" vertical="center" wrapText="1"/>
    </xf>
    <xf numFmtId="10" fontId="3" fillId="3" borderId="46" xfId="8" applyNumberFormat="1" applyFont="1" applyFill="1" applyBorder="1" applyAlignment="1">
      <alignment horizontal="center" vertical="center"/>
    </xf>
    <xf numFmtId="169" fontId="3" fillId="3" borderId="46" xfId="9" applyNumberFormat="1" applyFont="1" applyFill="1" applyBorder="1" applyAlignment="1">
      <alignment vertical="center" wrapText="1"/>
    </xf>
    <xf numFmtId="17" fontId="3" fillId="3" borderId="46" xfId="4" applyNumberFormat="1" applyFill="1" applyBorder="1" applyAlignment="1">
      <alignment horizontal="center" vertical="center"/>
    </xf>
    <xf numFmtId="166" fontId="3" fillId="0" borderId="46" xfId="9" applyFont="1" applyFill="1" applyBorder="1" applyAlignment="1">
      <alignment vertical="center"/>
    </xf>
    <xf numFmtId="167" fontId="6" fillId="0" borderId="12" xfId="10" applyFont="1" applyBorder="1" applyAlignment="1">
      <alignment vertical="center"/>
    </xf>
    <xf numFmtId="166" fontId="6" fillId="0" borderId="48" xfId="9" applyFont="1" applyBorder="1" applyAlignment="1">
      <alignment horizontal="center" vertical="center"/>
    </xf>
    <xf numFmtId="0" fontId="10" fillId="0" borderId="0" xfId="4" applyFont="1" applyAlignment="1">
      <alignment horizontal="left" vertical="center" indent="1"/>
    </xf>
    <xf numFmtId="0" fontId="3" fillId="0" borderId="0" xfId="3"/>
    <xf numFmtId="0" fontId="19" fillId="0" borderId="0" xfId="3" applyFont="1" applyAlignment="1">
      <alignment vertical="center"/>
    </xf>
    <xf numFmtId="0" fontId="3" fillId="0" borderId="0" xfId="3" applyAlignment="1">
      <alignment vertical="center"/>
    </xf>
    <xf numFmtId="0" fontId="6" fillId="0" borderId="16" xfId="2" applyNumberFormat="1" applyFont="1" applyBorder="1" applyAlignment="1">
      <alignment horizontal="center" vertical="center" wrapText="1"/>
    </xf>
    <xf numFmtId="0" fontId="6" fillId="3" borderId="16" xfId="2" applyNumberFormat="1" applyFont="1" applyFill="1" applyBorder="1" applyAlignment="1">
      <alignment horizontal="center" vertical="center" wrapText="1"/>
    </xf>
    <xf numFmtId="0" fontId="3" fillId="3" borderId="30" xfId="3" applyFill="1" applyBorder="1" applyAlignment="1">
      <alignment horizontal="center" vertical="center" wrapText="1"/>
    </xf>
    <xf numFmtId="2" fontId="3" fillId="0" borderId="9" xfId="3" applyNumberFormat="1" applyBorder="1" applyAlignment="1">
      <alignment horizontal="center" vertical="center" wrapText="1"/>
    </xf>
    <xf numFmtId="2" fontId="6" fillId="0" borderId="58" xfId="3" applyNumberFormat="1" applyFont="1" applyBorder="1" applyAlignment="1">
      <alignment horizontal="center" vertical="center" wrapText="1"/>
    </xf>
    <xf numFmtId="0" fontId="7" fillId="0" borderId="4" xfId="2" applyNumberFormat="1" applyFont="1" applyBorder="1" applyAlignment="1">
      <alignment horizontal="center" vertical="center" wrapText="1"/>
    </xf>
    <xf numFmtId="0" fontId="3" fillId="0" borderId="25" xfId="2" applyNumberFormat="1" applyBorder="1" applyAlignment="1">
      <alignment horizontal="justify" vertical="center" wrapText="1"/>
    </xf>
    <xf numFmtId="4" fontId="3" fillId="0" borderId="4" xfId="2" applyNumberFormat="1" applyBorder="1" applyAlignment="1">
      <alignment horizontal="center" vertical="center" wrapText="1"/>
    </xf>
    <xf numFmtId="4" fontId="3" fillId="0" borderId="57" xfId="2" applyNumberFormat="1" applyBorder="1" applyAlignment="1">
      <alignment horizontal="center" vertical="center" wrapText="1"/>
    </xf>
    <xf numFmtId="0" fontId="2" fillId="0" borderId="0" xfId="0" applyFont="1"/>
    <xf numFmtId="0" fontId="2" fillId="0" borderId="0" xfId="0" applyFont="1" applyAlignment="1">
      <alignment horizontal="center"/>
    </xf>
    <xf numFmtId="0" fontId="0" fillId="0" borderId="0" xfId="0" applyAlignment="1">
      <alignment horizontal="center"/>
    </xf>
    <xf numFmtId="0" fontId="21" fillId="0" borderId="0" xfId="0" applyFont="1" applyAlignment="1">
      <alignment horizontal="left" wrapText="1"/>
    </xf>
    <xf numFmtId="0" fontId="22" fillId="0" borderId="0" xfId="0" applyFont="1"/>
    <xf numFmtId="0" fontId="3" fillId="0" borderId="30" xfId="2" applyNumberFormat="1" applyBorder="1" applyAlignment="1">
      <alignment horizontal="center" vertical="center" wrapText="1"/>
    </xf>
    <xf numFmtId="0" fontId="3" fillId="0" borderId="9" xfId="2" applyNumberFormat="1" applyBorder="1" applyAlignment="1">
      <alignment horizontal="justify" vertical="center" wrapText="1"/>
    </xf>
    <xf numFmtId="0" fontId="23" fillId="2" borderId="0" xfId="2" applyNumberFormat="1" applyFont="1" applyFill="1" applyAlignment="1">
      <alignment horizontal="left" vertical="center" wrapText="1"/>
    </xf>
    <xf numFmtId="0" fontId="6" fillId="0" borderId="4" xfId="2" applyNumberFormat="1" applyFont="1" applyBorder="1" applyAlignment="1">
      <alignment horizontal="center" vertical="center" wrapText="1"/>
    </xf>
    <xf numFmtId="168" fontId="3" fillId="0" borderId="6" xfId="2" applyBorder="1" applyAlignment="1">
      <alignment horizontal="center" vertical="center" wrapText="1"/>
    </xf>
    <xf numFmtId="168" fontId="11" fillId="0" borderId="22" xfId="2" applyFont="1" applyBorder="1" applyAlignment="1">
      <alignment horizontal="center"/>
    </xf>
    <xf numFmtId="168" fontId="11" fillId="0" borderId="31" xfId="2" applyFont="1" applyBorder="1" applyAlignment="1">
      <alignment horizontal="center"/>
    </xf>
    <xf numFmtId="168" fontId="3" fillId="0" borderId="0" xfId="2"/>
    <xf numFmtId="0" fontId="3" fillId="0" borderId="52" xfId="2" applyNumberFormat="1" applyBorder="1" applyAlignment="1">
      <alignment horizontal="center"/>
    </xf>
    <xf numFmtId="165" fontId="0" fillId="0" borderId="52" xfId="7" applyFont="1" applyBorder="1"/>
    <xf numFmtId="0" fontId="3" fillId="0" borderId="58" xfId="2" applyNumberFormat="1" applyBorder="1" applyAlignment="1">
      <alignment horizontal="center"/>
    </xf>
    <xf numFmtId="165" fontId="0" fillId="0" borderId="58" xfId="7" applyFont="1" applyBorder="1"/>
    <xf numFmtId="0" fontId="3" fillId="0" borderId="59" xfId="2" applyNumberFormat="1" applyBorder="1" applyAlignment="1">
      <alignment horizontal="center"/>
    </xf>
    <xf numFmtId="165" fontId="0" fillId="0" borderId="59" xfId="7" applyFont="1" applyBorder="1"/>
    <xf numFmtId="0" fontId="3" fillId="0" borderId="0" xfId="2" applyNumberFormat="1"/>
    <xf numFmtId="165" fontId="0" fillId="0" borderId="60" xfId="7" applyFont="1" applyBorder="1"/>
    <xf numFmtId="0" fontId="3" fillId="0" borderId="60" xfId="2" applyNumberFormat="1" applyBorder="1" applyAlignment="1">
      <alignment horizontal="center"/>
    </xf>
    <xf numFmtId="0" fontId="3" fillId="0" borderId="57" xfId="2" applyNumberFormat="1" applyBorder="1" applyAlignment="1">
      <alignment horizontal="center"/>
    </xf>
    <xf numFmtId="165" fontId="0" fillId="0" borderId="57" xfId="7" applyFont="1" applyBorder="1"/>
    <xf numFmtId="0" fontId="6" fillId="3" borderId="16" xfId="3" applyFont="1" applyFill="1" applyBorder="1" applyAlignment="1">
      <alignment horizontal="center" vertical="center" wrapText="1"/>
    </xf>
    <xf numFmtId="0" fontId="6" fillId="7" borderId="16" xfId="3" applyFont="1" applyFill="1" applyBorder="1" applyAlignment="1">
      <alignment horizontal="center" vertical="center" wrapText="1"/>
    </xf>
    <xf numFmtId="0" fontId="6" fillId="7" borderId="16" xfId="3" applyFont="1" applyFill="1" applyBorder="1" applyAlignment="1">
      <alignment vertical="center" wrapText="1"/>
    </xf>
    <xf numFmtId="0" fontId="3" fillId="3" borderId="16" xfId="3" applyFill="1" applyBorder="1" applyAlignment="1">
      <alignment horizontal="center" vertical="center" wrapText="1"/>
    </xf>
    <xf numFmtId="9" fontId="3" fillId="3" borderId="16" xfId="11" applyFont="1" applyFill="1" applyBorder="1" applyAlignment="1">
      <alignment horizontal="center" vertical="center" wrapText="1"/>
    </xf>
    <xf numFmtId="9" fontId="3" fillId="7" borderId="16" xfId="11" applyFont="1" applyFill="1" applyBorder="1" applyAlignment="1">
      <alignment horizontal="center" vertical="center" wrapText="1"/>
    </xf>
    <xf numFmtId="0" fontId="3" fillId="0" borderId="16" xfId="3" applyBorder="1" applyAlignment="1">
      <alignment horizontal="center" vertical="center" wrapText="1"/>
    </xf>
    <xf numFmtId="0" fontId="3" fillId="3" borderId="16" xfId="3" applyFill="1" applyBorder="1" applyAlignment="1">
      <alignment horizontal="justify" vertical="center"/>
    </xf>
    <xf numFmtId="0" fontId="7" fillId="0" borderId="16" xfId="2" applyNumberFormat="1" applyFont="1" applyBorder="1" applyAlignment="1">
      <alignment horizontal="center" vertical="center" wrapText="1"/>
    </xf>
    <xf numFmtId="0" fontId="3" fillId="0" borderId="16" xfId="2" applyNumberFormat="1" applyBorder="1" applyAlignment="1">
      <alignment horizontal="justify" vertical="center" wrapText="1"/>
    </xf>
    <xf numFmtId="4" fontId="3" fillId="0" borderId="16" xfId="2" applyNumberFormat="1" applyBorder="1" applyAlignment="1">
      <alignment horizontal="center" vertical="center" wrapText="1"/>
    </xf>
    <xf numFmtId="10" fontId="3" fillId="3" borderId="16" xfId="11" applyNumberFormat="1" applyFont="1" applyFill="1" applyBorder="1" applyAlignment="1">
      <alignment horizontal="center" vertical="center" wrapText="1"/>
    </xf>
    <xf numFmtId="0" fontId="26" fillId="0" borderId="0" xfId="0" applyFont="1" applyAlignment="1">
      <alignment horizontal="left" wrapText="1"/>
    </xf>
    <xf numFmtId="168" fontId="7" fillId="0" borderId="16" xfId="2" applyFont="1" applyBorder="1" applyAlignment="1">
      <alignment horizontal="center" vertical="center" wrapText="1"/>
    </xf>
    <xf numFmtId="168" fontId="5" fillId="0" borderId="16" xfId="2" applyFont="1" applyBorder="1" applyAlignment="1">
      <alignment horizontal="center" vertical="center"/>
    </xf>
    <xf numFmtId="0" fontId="3" fillId="2" borderId="16" xfId="2" applyNumberFormat="1" applyFill="1" applyBorder="1" applyAlignment="1">
      <alignment horizontal="center" vertical="center" wrapText="1"/>
    </xf>
    <xf numFmtId="168" fontId="3" fillId="2" borderId="16" xfId="2" applyFill="1" applyBorder="1" applyAlignment="1">
      <alignment horizontal="center" vertical="center" wrapText="1"/>
    </xf>
    <xf numFmtId="43" fontId="3" fillId="0" borderId="0" xfId="4" applyNumberFormat="1" applyAlignment="1">
      <alignment horizontal="center" vertical="center"/>
    </xf>
    <xf numFmtId="168" fontId="8" fillId="2" borderId="16" xfId="2" applyFont="1" applyFill="1" applyBorder="1" applyAlignment="1">
      <alignment horizontal="center" vertical="center" wrapText="1"/>
    </xf>
    <xf numFmtId="168" fontId="7" fillId="0" borderId="0" xfId="2" applyFont="1" applyAlignment="1">
      <alignment horizontal="center" vertical="center"/>
    </xf>
    <xf numFmtId="49" fontId="8" fillId="0" borderId="0" xfId="2" applyNumberFormat="1" applyFont="1" applyAlignment="1">
      <alignment horizontal="center" vertical="center" wrapText="1"/>
    </xf>
    <xf numFmtId="0" fontId="3" fillId="0" borderId="16" xfId="2" applyNumberFormat="1" applyBorder="1" applyAlignment="1">
      <alignment horizontal="left" vertical="center" wrapText="1"/>
    </xf>
    <xf numFmtId="0" fontId="3" fillId="3" borderId="29" xfId="4" applyFill="1" applyBorder="1" applyAlignment="1">
      <alignment vertical="center" wrapText="1"/>
    </xf>
    <xf numFmtId="168" fontId="3" fillId="2" borderId="16" xfId="2" applyFill="1" applyBorder="1" applyAlignment="1">
      <alignment horizontal="left" vertical="center" wrapText="1"/>
    </xf>
    <xf numFmtId="168" fontId="8" fillId="0" borderId="0" xfId="2" applyFont="1" applyAlignment="1">
      <alignment vertical="center"/>
    </xf>
    <xf numFmtId="10" fontId="3" fillId="3" borderId="29" xfId="8" applyNumberFormat="1" applyFont="1" applyFill="1" applyBorder="1" applyAlignment="1">
      <alignment horizontal="center" vertical="center"/>
    </xf>
    <xf numFmtId="168" fontId="3" fillId="2" borderId="61" xfId="2" applyFill="1" applyBorder="1" applyAlignment="1">
      <alignment horizontal="left" vertical="center" wrapText="1"/>
    </xf>
    <xf numFmtId="0" fontId="3" fillId="3" borderId="29" xfId="4" applyFill="1" applyBorder="1" applyAlignment="1">
      <alignment horizontal="center" vertical="center" wrapText="1"/>
    </xf>
    <xf numFmtId="0" fontId="3" fillId="3" borderId="29" xfId="4" quotePrefix="1" applyFill="1" applyBorder="1" applyAlignment="1">
      <alignment horizontal="center" vertical="center" wrapText="1"/>
    </xf>
    <xf numFmtId="0" fontId="3" fillId="3" borderId="29" xfId="4" applyFill="1" applyBorder="1" applyAlignment="1">
      <alignment horizontal="center" vertical="center"/>
    </xf>
    <xf numFmtId="0" fontId="3" fillId="3" borderId="10" xfId="3" applyFill="1" applyBorder="1" applyAlignment="1">
      <alignment horizontal="left" vertical="center" wrapText="1"/>
    </xf>
    <xf numFmtId="10" fontId="8" fillId="2" borderId="16" xfId="1" applyNumberFormat="1" applyFont="1" applyFill="1" applyBorder="1" applyAlignment="1">
      <alignment horizontal="center" vertical="center" wrapText="1"/>
    </xf>
    <xf numFmtId="0" fontId="30" fillId="0" borderId="0" xfId="2" applyNumberFormat="1" applyFont="1" applyAlignment="1">
      <alignment horizontal="center" vertical="center" wrapText="1"/>
    </xf>
    <xf numFmtId="1" fontId="9" fillId="0" borderId="0" xfId="2" applyNumberFormat="1" applyFont="1" applyAlignment="1">
      <alignment horizontal="center" vertical="center"/>
    </xf>
    <xf numFmtId="43" fontId="8" fillId="2" borderId="16" xfId="14" applyFont="1" applyFill="1" applyBorder="1" applyAlignment="1">
      <alignment horizontal="center" vertical="center" wrapText="1"/>
    </xf>
    <xf numFmtId="1" fontId="3" fillId="3" borderId="16" xfId="11" applyNumberFormat="1" applyFont="1" applyFill="1" applyBorder="1" applyAlignment="1">
      <alignment horizontal="center" vertical="center" wrapText="1"/>
    </xf>
    <xf numFmtId="0" fontId="0" fillId="0" borderId="16" xfId="0" applyBorder="1" applyAlignment="1">
      <alignment horizontal="center" vertical="center"/>
    </xf>
    <xf numFmtId="0" fontId="28" fillId="0" borderId="16" xfId="0" applyFont="1" applyBorder="1" applyAlignment="1">
      <alignment horizontal="justify" vertical="center" wrapText="1"/>
    </xf>
    <xf numFmtId="0" fontId="3" fillId="0" borderId="1" xfId="2" applyNumberFormat="1" applyBorder="1" applyAlignment="1">
      <alignment horizontal="center" vertical="center" wrapText="1"/>
    </xf>
    <xf numFmtId="0" fontId="3" fillId="0" borderId="2" xfId="2" applyNumberFormat="1" applyBorder="1" applyAlignment="1">
      <alignment horizontal="justify" vertical="center" wrapText="1"/>
    </xf>
    <xf numFmtId="168" fontId="3" fillId="2" borderId="3" xfId="2" applyFill="1" applyBorder="1" applyAlignment="1">
      <alignment vertical="center" wrapText="1"/>
    </xf>
    <xf numFmtId="0" fontId="6" fillId="3" borderId="11" xfId="3" applyFont="1" applyFill="1" applyBorder="1" applyAlignment="1">
      <alignment horizontal="center" vertical="center" wrapText="1"/>
    </xf>
    <xf numFmtId="0" fontId="3" fillId="0" borderId="16" xfId="2" applyNumberFormat="1" applyBorder="1" applyAlignment="1">
      <alignment horizontal="center" vertical="center" wrapText="1"/>
    </xf>
    <xf numFmtId="172" fontId="10" fillId="0" borderId="16" xfId="2" applyNumberFormat="1" applyFont="1" applyBorder="1" applyAlignment="1">
      <alignment horizontal="center" vertical="center" wrapText="1"/>
    </xf>
    <xf numFmtId="172" fontId="3" fillId="0" borderId="16" xfId="2" applyNumberFormat="1" applyBorder="1" applyAlignment="1">
      <alignment horizontal="left" vertical="center" wrapText="1"/>
    </xf>
    <xf numFmtId="173" fontId="10" fillId="0" borderId="16" xfId="2" applyNumberFormat="1" applyFont="1" applyBorder="1" applyAlignment="1">
      <alignment horizontal="center" vertical="center" wrapText="1"/>
    </xf>
    <xf numFmtId="4" fontId="3" fillId="0" borderId="2" xfId="2" applyNumberFormat="1" applyBorder="1" applyAlignment="1">
      <alignment horizontal="center" vertical="center" wrapText="1"/>
    </xf>
    <xf numFmtId="172" fontId="10" fillId="0" borderId="2" xfId="2" applyNumberFormat="1" applyFont="1" applyBorder="1" applyAlignment="1">
      <alignment horizontal="center" vertical="center" wrapText="1"/>
    </xf>
    <xf numFmtId="172" fontId="3" fillId="0" borderId="2" xfId="2" applyNumberFormat="1" applyBorder="1" applyAlignment="1">
      <alignment horizontal="left" vertical="center" wrapText="1"/>
    </xf>
    <xf numFmtId="0" fontId="3" fillId="0" borderId="62" xfId="2" applyNumberFormat="1" applyBorder="1" applyAlignment="1">
      <alignment horizontal="center" vertical="center" wrapText="1"/>
    </xf>
    <xf numFmtId="168" fontId="31" fillId="2" borderId="61" xfId="2" applyFont="1" applyFill="1" applyBorder="1" applyAlignment="1">
      <alignment horizontal="left" vertical="center" wrapText="1"/>
    </xf>
    <xf numFmtId="0" fontId="3" fillId="0" borderId="5" xfId="2" applyNumberFormat="1" applyBorder="1" applyAlignment="1">
      <alignment horizontal="justify" vertical="center" wrapText="1"/>
    </xf>
    <xf numFmtId="0" fontId="3" fillId="0" borderId="16" xfId="3" applyBorder="1" applyAlignment="1">
      <alignment horizontal="center" vertical="center"/>
    </xf>
    <xf numFmtId="168" fontId="3" fillId="0" borderId="16" xfId="2" applyBorder="1" applyAlignment="1">
      <alignment horizontal="left" vertical="center" wrapText="1"/>
    </xf>
    <xf numFmtId="49" fontId="3" fillId="0" borderId="16" xfId="2" applyNumberFormat="1" applyBorder="1" applyAlignment="1">
      <alignment horizontal="right" vertical="center" wrapText="1"/>
    </xf>
    <xf numFmtId="168" fontId="3" fillId="0" borderId="11" xfId="2" applyBorder="1" applyAlignment="1">
      <alignment horizontal="left" vertical="center" wrapText="1"/>
    </xf>
    <xf numFmtId="2" fontId="3" fillId="3" borderId="30" xfId="3" applyNumberFormat="1" applyFill="1" applyBorder="1" applyAlignment="1">
      <alignment horizontal="center" vertical="center" wrapText="1"/>
    </xf>
    <xf numFmtId="4" fontId="3" fillId="0" borderId="9" xfId="2" applyNumberFormat="1" applyBorder="1" applyAlignment="1">
      <alignment horizontal="center" vertical="center" wrapText="1"/>
    </xf>
    <xf numFmtId="0" fontId="3" fillId="0" borderId="11" xfId="3" applyBorder="1" applyAlignment="1">
      <alignment horizontal="center" vertical="center"/>
    </xf>
    <xf numFmtId="0" fontId="7" fillId="0" borderId="0" xfId="4" applyFont="1" applyAlignment="1">
      <alignment horizontal="center" vertical="center" wrapText="1"/>
    </xf>
    <xf numFmtId="10" fontId="6" fillId="0" borderId="69" xfId="4" applyNumberFormat="1" applyFont="1" applyBorder="1" applyAlignment="1">
      <alignment horizontal="center" vertical="center"/>
    </xf>
    <xf numFmtId="0" fontId="3" fillId="3" borderId="70" xfId="4" applyFill="1" applyBorder="1" applyAlignment="1">
      <alignment horizontal="center" vertical="center" wrapText="1"/>
    </xf>
    <xf numFmtId="17" fontId="3" fillId="3" borderId="70" xfId="4" applyNumberFormat="1" applyFill="1" applyBorder="1" applyAlignment="1">
      <alignment horizontal="center" vertical="center"/>
    </xf>
    <xf numFmtId="166" fontId="3" fillId="0" borderId="70" xfId="9" applyFont="1" applyFill="1" applyBorder="1" applyAlignment="1">
      <alignment vertical="center"/>
    </xf>
    <xf numFmtId="166" fontId="3" fillId="0" borderId="71" xfId="9" applyFont="1" applyFill="1" applyBorder="1" applyAlignment="1">
      <alignment vertical="center"/>
    </xf>
    <xf numFmtId="166" fontId="3" fillId="0" borderId="72" xfId="9" applyFont="1" applyFill="1" applyBorder="1" applyAlignment="1">
      <alignment vertical="center"/>
    </xf>
    <xf numFmtId="166" fontId="3" fillId="0" borderId="73" xfId="9" applyFont="1" applyFill="1" applyBorder="1" applyAlignment="1">
      <alignment vertical="center"/>
    </xf>
    <xf numFmtId="0" fontId="3" fillId="4" borderId="41" xfId="4" applyFill="1" applyBorder="1" applyAlignment="1">
      <alignment horizontal="center" vertical="center" wrapText="1"/>
    </xf>
    <xf numFmtId="0" fontId="3" fillId="4" borderId="70" xfId="4" applyFill="1" applyBorder="1" applyAlignment="1">
      <alignment horizontal="center" vertical="center" wrapText="1"/>
    </xf>
    <xf numFmtId="0" fontId="31" fillId="4" borderId="30" xfId="3" applyFont="1" applyFill="1" applyBorder="1" applyAlignment="1">
      <alignment horizontal="center" vertical="center" wrapText="1"/>
    </xf>
    <xf numFmtId="9" fontId="31" fillId="4" borderId="16" xfId="11" applyFont="1" applyFill="1" applyBorder="1" applyAlignment="1">
      <alignment horizontal="center" vertical="center" wrapText="1"/>
    </xf>
    <xf numFmtId="0" fontId="3" fillId="3" borderId="74" xfId="4" applyFill="1" applyBorder="1" applyAlignment="1">
      <alignment horizontal="center" vertical="center" wrapText="1"/>
    </xf>
    <xf numFmtId="10" fontId="3" fillId="3" borderId="75" xfId="8" applyNumberFormat="1" applyFont="1" applyFill="1" applyBorder="1" applyAlignment="1">
      <alignment horizontal="center" vertical="center"/>
    </xf>
    <xf numFmtId="0" fontId="3" fillId="3" borderId="76" xfId="4" applyFill="1" applyBorder="1" applyAlignment="1">
      <alignment horizontal="center" vertical="center" wrapText="1"/>
    </xf>
    <xf numFmtId="0" fontId="3" fillId="3" borderId="77" xfId="4" applyFill="1" applyBorder="1" applyAlignment="1">
      <alignment horizontal="center" vertical="center" wrapText="1"/>
    </xf>
    <xf numFmtId="10" fontId="3" fillId="3" borderId="78" xfId="8" applyNumberFormat="1" applyFont="1" applyFill="1" applyBorder="1" applyAlignment="1">
      <alignment horizontal="center" vertical="center"/>
    </xf>
    <xf numFmtId="10" fontId="3" fillId="3" borderId="79" xfId="8" applyNumberFormat="1" applyFont="1" applyFill="1" applyBorder="1" applyAlignment="1">
      <alignment horizontal="center" vertical="center"/>
    </xf>
    <xf numFmtId="10" fontId="3" fillId="3" borderId="80" xfId="8" applyNumberFormat="1" applyFont="1" applyFill="1" applyBorder="1" applyAlignment="1">
      <alignment horizontal="center" vertical="center"/>
    </xf>
    <xf numFmtId="0" fontId="3" fillId="0" borderId="55" xfId="4" applyBorder="1" applyAlignment="1">
      <alignment horizontal="left" vertical="center" wrapText="1"/>
    </xf>
    <xf numFmtId="0" fontId="3" fillId="3" borderId="81" xfId="4" applyFill="1" applyBorder="1" applyAlignment="1">
      <alignment horizontal="left" vertical="center" wrapText="1"/>
    </xf>
    <xf numFmtId="0" fontId="3" fillId="3" borderId="82" xfId="4" applyFill="1" applyBorder="1" applyAlignment="1">
      <alignment horizontal="left" vertical="center" wrapText="1"/>
    </xf>
    <xf numFmtId="0" fontId="3" fillId="0" borderId="0" xfId="5" applyAlignment="1">
      <alignment vertical="center"/>
    </xf>
    <xf numFmtId="0" fontId="3" fillId="0" borderId="0" xfId="5" applyAlignment="1">
      <alignment horizontal="center" vertical="center"/>
    </xf>
    <xf numFmtId="0" fontId="11" fillId="0" borderId="0" xfId="4" applyFont="1" applyAlignment="1">
      <alignment vertical="center" wrapText="1"/>
    </xf>
    <xf numFmtId="0" fontId="33" fillId="0" borderId="0" xfId="6" applyFont="1" applyAlignment="1">
      <alignment vertical="center"/>
    </xf>
    <xf numFmtId="0" fontId="33" fillId="0" borderId="0" xfId="6" applyFont="1" applyAlignment="1">
      <alignment horizontal="center" vertical="center"/>
    </xf>
    <xf numFmtId="174" fontId="33" fillId="0" borderId="0" xfId="6" applyNumberFormat="1" applyFont="1" applyAlignment="1">
      <alignment horizontal="center" vertical="center"/>
    </xf>
    <xf numFmtId="0" fontId="11" fillId="0" borderId="7" xfId="4" applyFont="1" applyBorder="1" applyAlignment="1">
      <alignment vertical="center"/>
    </xf>
    <xf numFmtId="0" fontId="11" fillId="0" borderId="14" xfId="4" applyFont="1" applyBorder="1" applyAlignment="1">
      <alignment vertical="center"/>
    </xf>
    <xf numFmtId="175" fontId="11" fillId="0" borderId="2" xfId="10" applyNumberFormat="1" applyFont="1" applyFill="1" applyBorder="1" applyAlignment="1">
      <alignment horizontal="center" vertical="center"/>
    </xf>
    <xf numFmtId="0" fontId="11" fillId="0" borderId="3" xfId="4" applyFont="1" applyBorder="1" applyAlignment="1">
      <alignment horizontal="center" vertical="center"/>
    </xf>
    <xf numFmtId="14" fontId="11" fillId="0" borderId="16" xfId="4" applyNumberFormat="1" applyFont="1" applyBorder="1" applyAlignment="1">
      <alignment horizontal="right" vertical="center"/>
    </xf>
    <xf numFmtId="0" fontId="10" fillId="0" borderId="61" xfId="4" applyFont="1" applyBorder="1" applyAlignment="1">
      <alignment horizontal="center" vertical="center"/>
    </xf>
    <xf numFmtId="10" fontId="11" fillId="0" borderId="16" xfId="1" applyNumberFormat="1" applyFont="1" applyFill="1" applyBorder="1" applyAlignment="1">
      <alignment horizontal="right" vertical="center"/>
    </xf>
    <xf numFmtId="174" fontId="11" fillId="0" borderId="16" xfId="4" applyNumberFormat="1" applyFont="1" applyBorder="1" applyAlignment="1">
      <alignment horizontal="right" vertical="center"/>
    </xf>
    <xf numFmtId="175" fontId="11" fillId="0" borderId="5" xfId="10" applyNumberFormat="1" applyFont="1" applyBorder="1" applyAlignment="1">
      <alignment horizontal="center" vertical="center"/>
    </xf>
    <xf numFmtId="0" fontId="11" fillId="0" borderId="6" xfId="4" applyFont="1" applyBorder="1" applyAlignment="1">
      <alignment horizontal="center" vertical="center"/>
    </xf>
    <xf numFmtId="176" fontId="11" fillId="0" borderId="0" xfId="4" applyNumberFormat="1" applyFont="1" applyAlignment="1">
      <alignment horizontal="center" vertical="center"/>
    </xf>
    <xf numFmtId="0" fontId="11" fillId="0" borderId="18" xfId="4" applyFont="1" applyBorder="1" applyAlignment="1">
      <alignment horizontal="center" vertical="center"/>
    </xf>
    <xf numFmtId="0" fontId="11" fillId="8" borderId="19" xfId="4" applyFont="1" applyFill="1" applyBorder="1" applyAlignment="1">
      <alignment horizontal="right" vertical="center"/>
    </xf>
    <xf numFmtId="0" fontId="11" fillId="9" borderId="22" xfId="4" applyFont="1" applyFill="1" applyBorder="1" applyAlignment="1">
      <alignment horizontal="center" vertical="center"/>
    </xf>
    <xf numFmtId="0" fontId="11" fillId="0" borderId="0" xfId="4" applyFont="1" applyAlignment="1">
      <alignment horizontal="left" vertical="center" wrapText="1"/>
    </xf>
    <xf numFmtId="0" fontId="10" fillId="0" borderId="11" xfId="4" applyFont="1" applyBorder="1" applyAlignment="1">
      <alignment horizontal="center" vertical="center"/>
    </xf>
    <xf numFmtId="0" fontId="10" fillId="0" borderId="8" xfId="4" applyFont="1" applyBorder="1" applyAlignment="1">
      <alignment horizontal="center" vertical="center"/>
    </xf>
    <xf numFmtId="0" fontId="11" fillId="0" borderId="7" xfId="4" applyFont="1" applyBorder="1" applyAlignment="1">
      <alignment horizontal="center" vertical="center"/>
    </xf>
    <xf numFmtId="0" fontId="37" fillId="0" borderId="5" xfId="0" applyFont="1" applyBorder="1" applyAlignment="1">
      <alignment vertical="center" wrapText="1"/>
    </xf>
    <xf numFmtId="0" fontId="37" fillId="0" borderId="0" xfId="0" applyFont="1" applyAlignment="1">
      <alignment horizontal="left" vertical="center" wrapText="1"/>
    </xf>
    <xf numFmtId="0" fontId="37" fillId="0" borderId="0" xfId="0" applyFont="1" applyAlignment="1">
      <alignment vertical="center" wrapText="1"/>
    </xf>
    <xf numFmtId="175" fontId="10" fillId="0" borderId="0" xfId="10" applyNumberFormat="1" applyFont="1" applyBorder="1" applyAlignment="1">
      <alignment horizontal="center" vertical="center"/>
    </xf>
    <xf numFmtId="0" fontId="10" fillId="0" borderId="62" xfId="4" applyFont="1" applyBorder="1" applyAlignment="1">
      <alignment horizontal="left" vertical="center" indent="1"/>
    </xf>
    <xf numFmtId="0" fontId="10" fillId="3" borderId="61" xfId="4" applyFont="1" applyFill="1" applyBorder="1" applyAlignment="1">
      <alignment horizontal="center" vertical="center" wrapText="1"/>
    </xf>
    <xf numFmtId="0" fontId="10" fillId="0" borderId="4" xfId="4" applyFont="1" applyBorder="1" applyAlignment="1">
      <alignment horizontal="left" vertical="center"/>
    </xf>
    <xf numFmtId="0" fontId="10" fillId="0" borderId="89" xfId="4" applyFont="1" applyBorder="1" applyAlignment="1">
      <alignment horizontal="left" vertical="center"/>
    </xf>
    <xf numFmtId="0" fontId="10" fillId="0" borderId="5" xfId="4" applyFont="1" applyBorder="1" applyAlignment="1">
      <alignment horizontal="left" vertical="center"/>
    </xf>
    <xf numFmtId="44" fontId="10" fillId="0" borderId="0" xfId="4" applyNumberFormat="1" applyFont="1" applyAlignment="1">
      <alignment horizontal="left" vertical="center"/>
    </xf>
    <xf numFmtId="0" fontId="11" fillId="0" borderId="63" xfId="4" applyFont="1" applyBorder="1" applyAlignment="1">
      <alignment horizontal="center" vertical="center"/>
    </xf>
    <xf numFmtId="0" fontId="11" fillId="0" borderId="2" xfId="4" applyFont="1" applyBorder="1" applyAlignment="1">
      <alignment horizontal="center" vertical="center"/>
    </xf>
    <xf numFmtId="0" fontId="10" fillId="0" borderId="14" xfId="4" applyFont="1" applyBorder="1" applyAlignment="1">
      <alignment horizontal="left" vertical="center"/>
    </xf>
    <xf numFmtId="0" fontId="10" fillId="0" borderId="23" xfId="4" applyFont="1" applyBorder="1" applyAlignment="1">
      <alignment horizontal="center" vertical="center"/>
    </xf>
    <xf numFmtId="0" fontId="10" fillId="0" borderId="16" xfId="4" applyFont="1" applyBorder="1" applyAlignment="1">
      <alignment horizontal="center" vertical="center"/>
    </xf>
    <xf numFmtId="0" fontId="10" fillId="0" borderId="89" xfId="4" applyFont="1" applyBorder="1" applyAlignment="1">
      <alignment horizontal="center" vertical="center"/>
    </xf>
    <xf numFmtId="0" fontId="10" fillId="0" borderId="5" xfId="4" applyFont="1" applyBorder="1" applyAlignment="1">
      <alignment horizontal="center" vertical="center"/>
    </xf>
    <xf numFmtId="0" fontId="10" fillId="0" borderId="6" xfId="4" applyFont="1" applyBorder="1" applyAlignment="1">
      <alignment horizontal="center" vertical="center"/>
    </xf>
    <xf numFmtId="4" fontId="10" fillId="0" borderId="10" xfId="9" applyNumberFormat="1" applyFont="1" applyBorder="1" applyAlignment="1">
      <alignment horizontal="center" vertical="center"/>
    </xf>
    <xf numFmtId="3" fontId="11" fillId="8" borderId="6" xfId="9" applyNumberFormat="1" applyFont="1" applyFill="1" applyBorder="1" applyAlignment="1">
      <alignment horizontal="center" vertical="center"/>
    </xf>
    <xf numFmtId="175" fontId="10" fillId="0" borderId="0" xfId="4" applyNumberFormat="1" applyFont="1" applyAlignment="1">
      <alignment horizontal="left" vertical="center"/>
    </xf>
    <xf numFmtId="3" fontId="10" fillId="3" borderId="61" xfId="9" applyNumberFormat="1" applyFont="1" applyFill="1" applyBorder="1" applyAlignment="1">
      <alignment horizontal="center" vertical="center"/>
    </xf>
    <xf numFmtId="2" fontId="10" fillId="0" borderId="23" xfId="4" applyNumberFormat="1" applyFont="1" applyBorder="1" applyAlignment="1">
      <alignment horizontal="center" vertical="center"/>
    </xf>
    <xf numFmtId="2" fontId="10" fillId="0" borderId="16" xfId="4" applyNumberFormat="1" applyFont="1" applyBorder="1" applyAlignment="1">
      <alignment horizontal="center" vertical="center"/>
    </xf>
    <xf numFmtId="179" fontId="10" fillId="0" borderId="61" xfId="9" applyNumberFormat="1" applyFont="1" applyBorder="1" applyAlignment="1">
      <alignment horizontal="center" vertical="center"/>
    </xf>
    <xf numFmtId="2" fontId="10" fillId="0" borderId="4" xfId="4" applyNumberFormat="1" applyFont="1" applyBorder="1" applyAlignment="1">
      <alignment horizontal="center" vertical="center"/>
    </xf>
    <xf numFmtId="2" fontId="10" fillId="0" borderId="5" xfId="4" applyNumberFormat="1" applyFont="1" applyBorder="1" applyAlignment="1">
      <alignment horizontal="center" vertical="center"/>
    </xf>
    <xf numFmtId="0" fontId="10" fillId="3" borderId="61" xfId="9" applyNumberFormat="1" applyFont="1" applyFill="1" applyBorder="1" applyAlignment="1">
      <alignment horizontal="center" vertical="center"/>
    </xf>
    <xf numFmtId="1" fontId="10" fillId="0" borderId="23" xfId="4" applyNumberFormat="1" applyFont="1" applyBorder="1" applyAlignment="1">
      <alignment horizontal="center" vertical="center"/>
    </xf>
    <xf numFmtId="1" fontId="10" fillId="0" borderId="16" xfId="4" applyNumberFormat="1" applyFont="1" applyBorder="1" applyAlignment="1">
      <alignment horizontal="center" vertical="center"/>
    </xf>
    <xf numFmtId="1" fontId="10" fillId="0" borderId="4" xfId="4" applyNumberFormat="1" applyFont="1" applyBorder="1" applyAlignment="1">
      <alignment horizontal="center" vertical="center"/>
    </xf>
    <xf numFmtId="0" fontId="10" fillId="0" borderId="7" xfId="4" applyFont="1" applyBorder="1" applyAlignment="1">
      <alignment vertical="top" wrapText="1"/>
    </xf>
    <xf numFmtId="0" fontId="10" fillId="0" borderId="0" xfId="4" applyFont="1" applyAlignment="1">
      <alignment vertical="top" wrapText="1"/>
    </xf>
    <xf numFmtId="0" fontId="10" fillId="0" borderId="7" xfId="4" applyFont="1" applyBorder="1" applyAlignment="1">
      <alignment vertical="center"/>
    </xf>
    <xf numFmtId="0" fontId="10" fillId="0" borderId="28" xfId="4" applyFont="1" applyBorder="1" applyAlignment="1">
      <alignment horizontal="left" vertical="center"/>
    </xf>
    <xf numFmtId="0" fontId="10" fillId="0" borderId="75" xfId="4" applyFont="1" applyBorder="1" applyAlignment="1">
      <alignment horizontal="center" vertical="center"/>
    </xf>
    <xf numFmtId="0" fontId="10" fillId="0" borderId="29" xfId="4" applyFont="1" applyBorder="1" applyAlignment="1">
      <alignment horizontal="center" vertical="center"/>
    </xf>
    <xf numFmtId="0" fontId="10" fillId="0" borderId="29" xfId="4" applyFont="1" applyBorder="1" applyAlignment="1">
      <alignment horizontal="center" vertical="center" wrapText="1"/>
    </xf>
    <xf numFmtId="0" fontId="10" fillId="0" borderId="91" xfId="4" applyFont="1" applyBorder="1" applyAlignment="1">
      <alignment horizontal="center" vertical="center"/>
    </xf>
    <xf numFmtId="0" fontId="10" fillId="3" borderId="62" xfId="4" applyFont="1" applyFill="1" applyBorder="1" applyAlignment="1">
      <alignment horizontal="left" vertical="center"/>
    </xf>
    <xf numFmtId="10" fontId="10" fillId="3" borderId="16" xfId="1" applyNumberFormat="1" applyFont="1" applyFill="1" applyBorder="1" applyAlignment="1">
      <alignment horizontal="center" vertical="center"/>
    </xf>
    <xf numFmtId="175" fontId="10" fillId="3" borderId="16" xfId="10" applyNumberFormat="1" applyFont="1" applyFill="1" applyBorder="1" applyAlignment="1">
      <alignment horizontal="left" vertical="center"/>
    </xf>
    <xf numFmtId="174" fontId="10" fillId="3" borderId="16" xfId="4" applyNumberFormat="1" applyFont="1" applyFill="1" applyBorder="1" applyAlignment="1">
      <alignment horizontal="center" vertical="center"/>
    </xf>
    <xf numFmtId="14" fontId="10" fillId="3" borderId="16" xfId="4" applyNumberFormat="1" applyFont="1" applyFill="1" applyBorder="1" applyAlignment="1">
      <alignment horizontal="center" vertical="center"/>
    </xf>
    <xf numFmtId="175" fontId="10" fillId="0" borderId="61" xfId="10" applyNumberFormat="1" applyFont="1" applyBorder="1" applyAlignment="1">
      <alignment horizontal="center" vertical="center"/>
    </xf>
    <xf numFmtId="14" fontId="10" fillId="0" borderId="0" xfId="4" applyNumberFormat="1" applyFont="1" applyAlignment="1">
      <alignment vertical="center"/>
    </xf>
    <xf numFmtId="14" fontId="11" fillId="0" borderId="0" xfId="4" applyNumberFormat="1" applyFont="1" applyAlignment="1">
      <alignment horizontal="center" vertical="center"/>
    </xf>
    <xf numFmtId="175" fontId="11" fillId="8" borderId="6" xfId="10" applyNumberFormat="1" applyFont="1" applyFill="1" applyBorder="1" applyAlignment="1">
      <alignment horizontal="center" vertical="center"/>
    </xf>
    <xf numFmtId="0" fontId="10" fillId="0" borderId="32" xfId="4" applyFont="1" applyBorder="1" applyAlignment="1">
      <alignment vertical="center"/>
    </xf>
    <xf numFmtId="0" fontId="10" fillId="0" borderId="17" xfId="4" applyFont="1" applyBorder="1" applyAlignment="1">
      <alignment vertical="center"/>
    </xf>
    <xf numFmtId="0" fontId="11" fillId="0" borderId="17" xfId="4" applyFont="1" applyBorder="1" applyAlignment="1">
      <alignment horizontal="center" vertical="center"/>
    </xf>
    <xf numFmtId="0" fontId="10" fillId="0" borderId="33" xfId="4" applyFont="1" applyBorder="1" applyAlignment="1">
      <alignment vertical="center"/>
    </xf>
    <xf numFmtId="0" fontId="11" fillId="8" borderId="18" xfId="4" applyFont="1" applyFill="1" applyBorder="1" applyAlignment="1">
      <alignment vertical="center"/>
    </xf>
    <xf numFmtId="0" fontId="11" fillId="8" borderId="19" xfId="4" applyFont="1" applyFill="1" applyBorder="1" applyAlignment="1">
      <alignment vertical="center"/>
    </xf>
    <xf numFmtId="175" fontId="10" fillId="0" borderId="14" xfId="10" applyNumberFormat="1" applyFont="1" applyBorder="1" applyAlignment="1">
      <alignment horizontal="center" vertical="center"/>
    </xf>
    <xf numFmtId="3" fontId="10" fillId="3" borderId="62" xfId="4" applyNumberFormat="1" applyFont="1" applyFill="1" applyBorder="1" applyAlignment="1">
      <alignment horizontal="left" vertical="center"/>
    </xf>
    <xf numFmtId="0" fontId="10" fillId="0" borderId="0" xfId="4" applyFont="1" applyAlignment="1">
      <alignment horizontal="left" vertical="center" wrapText="1"/>
    </xf>
    <xf numFmtId="175" fontId="10" fillId="0" borderId="0" xfId="10" applyNumberFormat="1" applyFont="1" applyFill="1" applyBorder="1" applyAlignment="1">
      <alignment horizontal="center" vertical="center"/>
    </xf>
    <xf numFmtId="0" fontId="10" fillId="0" borderId="17" xfId="4" applyFont="1" applyBorder="1" applyAlignment="1">
      <alignment horizontal="left" vertical="center" wrapText="1"/>
    </xf>
    <xf numFmtId="0" fontId="10" fillId="0" borderId="95" xfId="4" applyFont="1" applyBorder="1" applyAlignment="1">
      <alignment horizontal="left" vertical="center" wrapText="1"/>
    </xf>
    <xf numFmtId="175" fontId="11" fillId="8" borderId="33" xfId="10" applyNumberFormat="1" applyFont="1" applyFill="1" applyBorder="1" applyAlignment="1">
      <alignment horizontal="center" vertical="center"/>
    </xf>
    <xf numFmtId="0" fontId="35" fillId="0" borderId="0" xfId="4" applyFont="1" applyAlignment="1">
      <alignment horizontal="left" vertical="center" wrapText="1"/>
    </xf>
    <xf numFmtId="0" fontId="10" fillId="0" borderId="9" xfId="4" applyFont="1" applyBorder="1" applyAlignment="1">
      <alignment horizontal="center" vertical="center"/>
    </xf>
    <xf numFmtId="175" fontId="10" fillId="0" borderId="61" xfId="10" applyNumberFormat="1" applyFont="1" applyFill="1" applyBorder="1" applyAlignment="1">
      <alignment horizontal="center" vertical="center"/>
    </xf>
    <xf numFmtId="0" fontId="10" fillId="0" borderId="0" xfId="4" applyFont="1" applyAlignment="1">
      <alignment horizontal="right" vertical="center" indent="1"/>
    </xf>
    <xf numFmtId="168" fontId="3" fillId="0" borderId="11" xfId="2" applyBorder="1" applyAlignment="1">
      <alignment horizontal="left" vertical="center" wrapText="1"/>
    </xf>
    <xf numFmtId="168" fontId="3" fillId="0" borderId="9" xfId="2" applyBorder="1" applyAlignment="1">
      <alignment horizontal="left" vertical="center" wrapText="1"/>
    </xf>
    <xf numFmtId="0" fontId="3" fillId="0" borderId="11" xfId="3" applyBorder="1" applyAlignment="1">
      <alignment horizontal="center" vertical="center"/>
    </xf>
    <xf numFmtId="0" fontId="3" fillId="0" borderId="9" xfId="3" applyBorder="1" applyAlignment="1">
      <alignment horizontal="center" vertical="center"/>
    </xf>
    <xf numFmtId="168" fontId="6" fillId="0" borderId="0" xfId="2" applyFont="1" applyAlignment="1">
      <alignment horizontal="center" vertical="center" wrapText="1"/>
    </xf>
    <xf numFmtId="0" fontId="6" fillId="0" borderId="0" xfId="2" applyNumberFormat="1" applyFont="1" applyAlignment="1">
      <alignment horizontal="center" vertical="center" wrapText="1"/>
    </xf>
    <xf numFmtId="168" fontId="6" fillId="0" borderId="16" xfId="2" applyFont="1" applyBorder="1" applyAlignment="1">
      <alignment horizontal="center" vertical="center"/>
    </xf>
    <xf numFmtId="168" fontId="7" fillId="0" borderId="16" xfId="2" applyFont="1" applyBorder="1" applyAlignment="1">
      <alignment horizontal="center" vertical="center" wrapText="1"/>
    </xf>
    <xf numFmtId="0" fontId="12" fillId="0" borderId="0" xfId="4" applyFont="1" applyAlignment="1">
      <alignment horizontal="center" vertical="center" wrapText="1"/>
    </xf>
    <xf numFmtId="0" fontId="12" fillId="0" borderId="0" xfId="4" applyFont="1" applyAlignment="1">
      <alignment horizontal="center" vertical="center"/>
    </xf>
    <xf numFmtId="0" fontId="3" fillId="0" borderId="34" xfId="4" applyBorder="1" applyAlignment="1">
      <alignment horizontal="justify" vertical="center" wrapText="1"/>
    </xf>
    <xf numFmtId="0" fontId="3" fillId="0" borderId="15" xfId="4" applyBorder="1" applyAlignment="1">
      <alignment horizontal="justify" vertical="center" wrapText="1"/>
    </xf>
    <xf numFmtId="0" fontId="3" fillId="0" borderId="35" xfId="4" applyBorder="1" applyAlignment="1">
      <alignment horizontal="justify" vertical="center" wrapText="1"/>
    </xf>
    <xf numFmtId="0" fontId="3" fillId="0" borderId="7" xfId="4" applyBorder="1" applyAlignment="1">
      <alignment horizontal="justify" vertical="center" wrapText="1"/>
    </xf>
    <xf numFmtId="0" fontId="3" fillId="0" borderId="0" xfId="4" applyAlignment="1">
      <alignment horizontal="justify" vertical="center" wrapText="1"/>
    </xf>
    <xf numFmtId="0" fontId="3" fillId="0" borderId="14" xfId="4" applyBorder="1" applyAlignment="1">
      <alignment horizontal="justify" vertical="center" wrapText="1"/>
    </xf>
    <xf numFmtId="0" fontId="3" fillId="0" borderId="32" xfId="4" applyBorder="1" applyAlignment="1">
      <alignment horizontal="justify" vertical="center" wrapText="1"/>
    </xf>
    <xf numFmtId="0" fontId="3" fillId="0" borderId="17" xfId="4" applyBorder="1" applyAlignment="1">
      <alignment horizontal="justify" vertical="center" wrapText="1"/>
    </xf>
    <xf numFmtId="0" fontId="3" fillId="0" borderId="33" xfId="4" applyBorder="1" applyAlignment="1">
      <alignment horizontal="justify" vertical="center" wrapText="1"/>
    </xf>
    <xf numFmtId="0" fontId="6" fillId="0" borderId="18" xfId="4" applyFont="1" applyBorder="1" applyAlignment="1">
      <alignment horizontal="left" vertical="center" wrapText="1"/>
    </xf>
    <xf numFmtId="0" fontId="6" fillId="0" borderId="19" xfId="4" applyFont="1" applyBorder="1" applyAlignment="1">
      <alignment horizontal="left" vertical="center" wrapText="1"/>
    </xf>
    <xf numFmtId="0" fontId="6" fillId="0" borderId="20" xfId="4" applyFont="1" applyBorder="1" applyAlignment="1">
      <alignment horizontal="left" vertical="center" wrapText="1"/>
    </xf>
    <xf numFmtId="0" fontId="6" fillId="0" borderId="28" xfId="4" applyFont="1" applyBorder="1" applyAlignment="1">
      <alignment horizontal="center" vertical="center" wrapText="1"/>
    </xf>
    <xf numFmtId="0" fontId="6" fillId="0" borderId="37" xfId="4" applyFont="1" applyBorder="1" applyAlignment="1">
      <alignment horizontal="center" vertical="center" wrapText="1"/>
    </xf>
    <xf numFmtId="0" fontId="10" fillId="3" borderId="2" xfId="4" applyFont="1" applyFill="1" applyBorder="1" applyAlignment="1">
      <alignment horizontal="left" vertical="center" wrapText="1"/>
    </xf>
    <xf numFmtId="0" fontId="10" fillId="3" borderId="3" xfId="4" applyFont="1" applyFill="1" applyBorder="1" applyAlignment="1">
      <alignment horizontal="left" vertical="center" wrapText="1"/>
    </xf>
    <xf numFmtId="0" fontId="10" fillId="3" borderId="11" xfId="4" applyFont="1" applyFill="1" applyBorder="1" applyAlignment="1">
      <alignment horizontal="left" vertical="center" wrapText="1"/>
    </xf>
    <xf numFmtId="0" fontId="10" fillId="3" borderId="27" xfId="4" applyFont="1" applyFill="1" applyBorder="1" applyAlignment="1">
      <alignment horizontal="left" vertical="center" wrapText="1"/>
    </xf>
    <xf numFmtId="0" fontId="19" fillId="0" borderId="18" xfId="4" applyFont="1" applyBorder="1" applyAlignment="1">
      <alignment horizontal="left" vertical="center" wrapText="1"/>
    </xf>
    <xf numFmtId="0" fontId="19" fillId="0" borderId="19" xfId="4" applyFont="1" applyBorder="1" applyAlignment="1">
      <alignment horizontal="left" vertical="center" wrapText="1"/>
    </xf>
    <xf numFmtId="0" fontId="19" fillId="0" borderId="20" xfId="4" applyFont="1" applyBorder="1" applyAlignment="1">
      <alignment horizontal="left" vertical="center" wrapText="1"/>
    </xf>
    <xf numFmtId="0" fontId="3" fillId="3" borderId="67" xfId="9" applyNumberFormat="1" applyFont="1" applyFill="1" applyBorder="1" applyAlignment="1">
      <alignment horizontal="justify" vertical="center"/>
    </xf>
    <xf numFmtId="0" fontId="3" fillId="3" borderId="44" xfId="9" applyNumberFormat="1" applyFont="1" applyFill="1" applyBorder="1" applyAlignment="1">
      <alignment horizontal="justify" vertical="center"/>
    </xf>
    <xf numFmtId="0" fontId="3" fillId="3" borderId="68" xfId="9" applyNumberFormat="1" applyFont="1" applyFill="1" applyBorder="1" applyAlignment="1">
      <alignment horizontal="justify" vertical="center"/>
    </xf>
    <xf numFmtId="0" fontId="3" fillId="3" borderId="47" xfId="9" applyNumberFormat="1" applyFont="1" applyFill="1" applyBorder="1" applyAlignment="1">
      <alignment horizontal="justify" vertical="center"/>
    </xf>
    <xf numFmtId="0" fontId="3" fillId="0" borderId="7" xfId="4" applyBorder="1" applyAlignment="1">
      <alignment horizontal="justify" vertical="center"/>
    </xf>
    <xf numFmtId="0" fontId="3" fillId="0" borderId="0" xfId="4" applyAlignment="1">
      <alignment horizontal="justify" vertical="center"/>
    </xf>
    <xf numFmtId="0" fontId="3" fillId="0" borderId="14" xfId="4" applyBorder="1" applyAlignment="1">
      <alignment horizontal="justify" vertical="center"/>
    </xf>
    <xf numFmtId="0" fontId="7" fillId="0" borderId="40" xfId="9" applyNumberFormat="1" applyFont="1" applyBorder="1" applyAlignment="1">
      <alignment horizontal="center" vertical="center" wrapText="1"/>
    </xf>
    <xf numFmtId="0" fontId="7" fillId="0" borderId="33" xfId="9" applyNumberFormat="1" applyFont="1" applyBorder="1" applyAlignment="1">
      <alignment horizontal="center" vertical="center" wrapText="1"/>
    </xf>
    <xf numFmtId="0" fontId="7" fillId="0" borderId="39" xfId="4" applyFont="1" applyBorder="1" applyAlignment="1">
      <alignment horizontal="center" vertical="center" wrapText="1"/>
    </xf>
    <xf numFmtId="0" fontId="7" fillId="0" borderId="14" xfId="4" applyFont="1" applyBorder="1" applyAlignment="1">
      <alignment horizontal="center" vertical="center" wrapText="1"/>
    </xf>
    <xf numFmtId="0" fontId="7" fillId="0" borderId="40" xfId="4" applyFont="1" applyBorder="1" applyAlignment="1">
      <alignment horizontal="center" vertical="center" wrapText="1"/>
    </xf>
    <xf numFmtId="0" fontId="7" fillId="0" borderId="33" xfId="4" applyFont="1" applyBorder="1" applyAlignment="1">
      <alignment horizontal="center" vertical="center" wrapText="1"/>
    </xf>
    <xf numFmtId="0" fontId="3" fillId="3" borderId="66" xfId="9" applyNumberFormat="1" applyFont="1" applyFill="1" applyBorder="1" applyAlignment="1">
      <alignment horizontal="justify" vertical="center" wrapText="1"/>
    </xf>
    <xf numFmtId="0" fontId="3" fillId="3" borderId="42" xfId="9" applyNumberFormat="1" applyFont="1" applyFill="1" applyBorder="1" applyAlignment="1">
      <alignment horizontal="justify" vertical="center" wrapText="1"/>
    </xf>
    <xf numFmtId="0" fontId="6" fillId="0" borderId="31" xfId="4" applyFont="1" applyBorder="1" applyAlignment="1">
      <alignment horizontal="left" vertical="center" wrapText="1"/>
    </xf>
    <xf numFmtId="0" fontId="6" fillId="4" borderId="18" xfId="4" applyFont="1" applyFill="1" applyBorder="1" applyAlignment="1">
      <alignment horizontal="center" vertical="center" wrapText="1"/>
    </xf>
    <xf numFmtId="0" fontId="6" fillId="4" borderId="20" xfId="4" applyFont="1" applyFill="1" applyBorder="1" applyAlignment="1">
      <alignment horizontal="center" vertical="center" wrapText="1"/>
    </xf>
    <xf numFmtId="2" fontId="6" fillId="5" borderId="21" xfId="4" applyNumberFormat="1" applyFont="1" applyFill="1" applyBorder="1" applyAlignment="1">
      <alignment horizontal="center" vertical="center"/>
    </xf>
    <xf numFmtId="2" fontId="6" fillId="5" borderId="36" xfId="4" applyNumberFormat="1" applyFont="1" applyFill="1" applyBorder="1" applyAlignment="1">
      <alignment horizontal="center" vertical="center"/>
    </xf>
    <xf numFmtId="0" fontId="7" fillId="0" borderId="30" xfId="4" applyFont="1" applyBorder="1" applyAlignment="1">
      <alignment horizontal="center" vertical="center"/>
    </xf>
    <xf numFmtId="0" fontId="7" fillId="0" borderId="4" xfId="4" applyFont="1" applyBorder="1" applyAlignment="1">
      <alignment horizontal="center" vertical="center"/>
    </xf>
    <xf numFmtId="0" fontId="7" fillId="0" borderId="9" xfId="4" applyFont="1" applyBorder="1" applyAlignment="1">
      <alignment horizontal="center" vertical="center" wrapText="1"/>
    </xf>
    <xf numFmtId="0" fontId="7" fillId="0" borderId="5" xfId="4" applyFont="1" applyBorder="1" applyAlignment="1">
      <alignment horizontal="center" vertical="center"/>
    </xf>
    <xf numFmtId="0" fontId="7" fillId="0" borderId="9" xfId="4" applyFont="1" applyBorder="1" applyAlignment="1">
      <alignment horizontal="center" vertical="center"/>
    </xf>
    <xf numFmtId="0" fontId="7" fillId="0" borderId="5" xfId="4" applyFont="1" applyBorder="1" applyAlignment="1">
      <alignment horizontal="center" vertical="center" wrapText="1"/>
    </xf>
    <xf numFmtId="0" fontId="7" fillId="0" borderId="8" xfId="4" applyFont="1" applyBorder="1" applyAlignment="1">
      <alignment horizontal="center" vertical="center" wrapText="1"/>
    </xf>
    <xf numFmtId="0" fontId="7" fillId="0" borderId="13" xfId="4" applyFont="1" applyBorder="1" applyAlignment="1">
      <alignment horizontal="center" vertical="center" wrapText="1"/>
    </xf>
    <xf numFmtId="0" fontId="31" fillId="3" borderId="67" xfId="9" applyNumberFormat="1" applyFont="1" applyFill="1" applyBorder="1" applyAlignment="1">
      <alignment horizontal="justify" vertical="center"/>
    </xf>
    <xf numFmtId="0" fontId="31" fillId="3" borderId="44" xfId="9" applyNumberFormat="1" applyFont="1" applyFill="1" applyBorder="1" applyAlignment="1">
      <alignment horizontal="justify" vertical="center"/>
    </xf>
    <xf numFmtId="0" fontId="31" fillId="3" borderId="66" xfId="9" applyNumberFormat="1" applyFont="1" applyFill="1" applyBorder="1" applyAlignment="1">
      <alignment horizontal="justify" vertical="center" wrapText="1"/>
    </xf>
    <xf numFmtId="0" fontId="10" fillId="0" borderId="62" xfId="4" applyFont="1" applyBorder="1" applyAlignment="1">
      <alignment horizontal="left" vertical="center" wrapText="1"/>
    </xf>
    <xf numFmtId="0" fontId="10" fillId="0" borderId="16" xfId="4" applyFont="1" applyBorder="1" applyAlignment="1">
      <alignment horizontal="left" vertical="center" wrapText="1"/>
    </xf>
    <xf numFmtId="0" fontId="10" fillId="0" borderId="62" xfId="4" applyFont="1" applyBorder="1" applyAlignment="1">
      <alignment horizontal="left" vertical="center"/>
    </xf>
    <xf numFmtId="0" fontId="10" fillId="0" borderId="16" xfId="4" applyFont="1" applyBorder="1" applyAlignment="1">
      <alignment horizontal="left" vertical="center"/>
    </xf>
    <xf numFmtId="0" fontId="8" fillId="0" borderId="62" xfId="4" applyFont="1" applyBorder="1" applyAlignment="1">
      <alignment horizontal="justify" vertical="center" wrapText="1"/>
    </xf>
    <xf numFmtId="0" fontId="8" fillId="0" borderId="16" xfId="4" applyFont="1" applyBorder="1" applyAlignment="1">
      <alignment horizontal="justify" vertical="center" wrapText="1"/>
    </xf>
    <xf numFmtId="0" fontId="10" fillId="0" borderId="4" xfId="4" applyFont="1" applyBorder="1" applyAlignment="1">
      <alignment horizontal="left" vertical="center" wrapText="1"/>
    </xf>
    <xf numFmtId="0" fontId="10" fillId="0" borderId="5" xfId="4" applyFont="1" applyBorder="1" applyAlignment="1">
      <alignment horizontal="left" vertical="center" wrapText="1"/>
    </xf>
    <xf numFmtId="0" fontId="11" fillId="0" borderId="4" xfId="4" applyFont="1" applyBorder="1" applyAlignment="1">
      <alignment horizontal="left" vertical="center"/>
    </xf>
    <xf numFmtId="0" fontId="11" fillId="0" borderId="5" xfId="4" applyFont="1" applyBorder="1" applyAlignment="1">
      <alignment horizontal="left" vertical="center"/>
    </xf>
    <xf numFmtId="0" fontId="11" fillId="0" borderId="0" xfId="4" applyFont="1" applyAlignment="1">
      <alignment horizontal="center" vertical="center" wrapText="1"/>
    </xf>
    <xf numFmtId="0" fontId="11" fillId="0" borderId="0" xfId="4" applyFont="1" applyAlignment="1">
      <alignment horizontal="center" vertical="center"/>
    </xf>
    <xf numFmtId="0" fontId="10" fillId="0" borderId="1" xfId="4" applyFont="1" applyBorder="1" applyAlignment="1">
      <alignment horizontal="left" vertical="center" wrapText="1"/>
    </xf>
    <xf numFmtId="0" fontId="10" fillId="0" borderId="2" xfId="4" applyFont="1" applyBorder="1" applyAlignment="1">
      <alignment horizontal="left" vertical="center" wrapText="1"/>
    </xf>
    <xf numFmtId="0" fontId="10" fillId="0" borderId="2" xfId="4" applyFont="1" applyBorder="1" applyAlignment="1">
      <alignment horizontal="center" vertical="center"/>
    </xf>
    <xf numFmtId="0" fontId="10" fillId="0" borderId="3" xfId="4" applyFont="1" applyBorder="1" applyAlignment="1">
      <alignment horizontal="center" vertical="center"/>
    </xf>
    <xf numFmtId="0" fontId="10" fillId="0" borderId="16" xfId="4" applyFont="1" applyBorder="1" applyAlignment="1">
      <alignment horizontal="center" vertical="center"/>
    </xf>
    <xf numFmtId="0" fontId="10" fillId="0" borderId="61" xfId="4" applyFont="1" applyBorder="1" applyAlignment="1">
      <alignment horizontal="center" vertical="center"/>
    </xf>
    <xf numFmtId="0" fontId="10" fillId="0" borderId="5" xfId="4" applyFont="1" applyBorder="1" applyAlignment="1">
      <alignment horizontal="center" vertical="center"/>
    </xf>
    <xf numFmtId="0" fontId="10" fillId="0" borderId="6" xfId="4" applyFont="1" applyBorder="1" applyAlignment="1">
      <alignment horizontal="center" vertical="center"/>
    </xf>
    <xf numFmtId="0" fontId="34" fillId="0" borderId="15" xfId="4" applyFont="1" applyBorder="1" applyAlignment="1">
      <alignment horizontal="left" vertical="center" wrapText="1" indent="1"/>
    </xf>
    <xf numFmtId="0" fontId="11" fillId="0" borderId="15" xfId="4" applyFont="1" applyBorder="1" applyAlignment="1">
      <alignment horizontal="left" vertical="center" indent="1"/>
    </xf>
    <xf numFmtId="0" fontId="11" fillId="0" borderId="0" xfId="4" applyFont="1" applyAlignment="1">
      <alignment horizontal="left" vertical="center" indent="1"/>
    </xf>
    <xf numFmtId="0" fontId="11" fillId="0" borderId="17" xfId="4" applyFont="1" applyBorder="1" applyAlignment="1">
      <alignment horizontal="left" vertical="center" indent="1"/>
    </xf>
    <xf numFmtId="0" fontId="11" fillId="0" borderId="1" xfId="4" applyFont="1" applyBorder="1" applyAlignment="1">
      <alignment horizontal="left" vertical="center"/>
    </xf>
    <xf numFmtId="0" fontId="11" fillId="0" borderId="2" xfId="4" applyFont="1" applyBorder="1" applyAlignment="1">
      <alignment horizontal="left" vertical="center"/>
    </xf>
    <xf numFmtId="0" fontId="10" fillId="0" borderId="23" xfId="4" applyFont="1" applyBorder="1" applyAlignment="1">
      <alignment horizontal="left" vertical="center"/>
    </xf>
    <xf numFmtId="0" fontId="10" fillId="3" borderId="16" xfId="4" applyFont="1" applyFill="1" applyBorder="1" applyAlignment="1">
      <alignment horizontal="center" vertical="center" wrapText="1"/>
    </xf>
    <xf numFmtId="0" fontId="10" fillId="3" borderId="61" xfId="4" applyFont="1" applyFill="1" applyBorder="1" applyAlignment="1">
      <alignment horizontal="center" vertical="center" wrapText="1"/>
    </xf>
    <xf numFmtId="0" fontId="37" fillId="0" borderId="23" xfId="0" applyFont="1" applyBorder="1" applyAlignment="1">
      <alignment horizontal="left" vertical="center" wrapText="1"/>
    </xf>
    <xf numFmtId="0" fontId="37" fillId="0" borderId="16" xfId="0" applyFont="1" applyBorder="1" applyAlignment="1">
      <alignment horizontal="left" vertical="center" wrapText="1"/>
    </xf>
    <xf numFmtId="0" fontId="37" fillId="0" borderId="61" xfId="0" applyFont="1" applyBorder="1" applyAlignment="1">
      <alignment horizontal="left" vertical="center" wrapText="1"/>
    </xf>
    <xf numFmtId="0" fontId="10" fillId="0" borderId="86" xfId="4" applyFont="1" applyBorder="1" applyAlignment="1">
      <alignment horizontal="left" vertical="center"/>
    </xf>
    <xf numFmtId="0" fontId="10" fillId="0" borderId="87" xfId="4" applyFont="1" applyBorder="1" applyAlignment="1">
      <alignment horizontal="left" vertical="center"/>
    </xf>
    <xf numFmtId="0" fontId="10" fillId="3" borderId="24" xfId="4" applyFont="1" applyFill="1" applyBorder="1" applyAlignment="1">
      <alignment horizontal="center" vertical="center" wrapText="1"/>
    </xf>
    <xf numFmtId="0" fontId="10" fillId="3" borderId="88" xfId="4" applyFont="1" applyFill="1" applyBorder="1" applyAlignment="1">
      <alignment horizontal="center" vertical="center" wrapText="1"/>
    </xf>
    <xf numFmtId="0" fontId="35" fillId="0" borderId="7" xfId="4" applyFont="1" applyBorder="1" applyAlignment="1">
      <alignment horizontal="left" vertical="center" wrapText="1"/>
    </xf>
    <xf numFmtId="0" fontId="35" fillId="0" borderId="0" xfId="4" applyFont="1" applyAlignment="1">
      <alignment horizontal="left" vertical="center" wrapText="1"/>
    </xf>
    <xf numFmtId="0" fontId="35" fillId="0" borderId="32" xfId="4" applyFont="1" applyBorder="1" applyAlignment="1">
      <alignment horizontal="left" vertical="center" wrapText="1"/>
    </xf>
    <xf numFmtId="0" fontId="35" fillId="0" borderId="17" xfId="4" applyFont="1" applyBorder="1" applyAlignment="1">
      <alignment horizontal="left" vertical="center" wrapText="1"/>
    </xf>
    <xf numFmtId="0" fontId="11" fillId="8" borderId="18" xfId="4" applyFont="1" applyFill="1" applyBorder="1" applyAlignment="1">
      <alignment horizontal="left" vertical="center"/>
    </xf>
    <xf numFmtId="0" fontId="11" fillId="8" borderId="19" xfId="4" applyFont="1" applyFill="1" applyBorder="1" applyAlignment="1">
      <alignment horizontal="left" vertical="center"/>
    </xf>
    <xf numFmtId="0" fontId="11" fillId="8" borderId="20" xfId="4" applyFont="1" applyFill="1" applyBorder="1" applyAlignment="1">
      <alignment horizontal="left" vertical="center"/>
    </xf>
    <xf numFmtId="167" fontId="11" fillId="8" borderId="21" xfId="10" applyFont="1" applyFill="1" applyBorder="1" applyAlignment="1">
      <alignment horizontal="center" vertical="center"/>
    </xf>
    <xf numFmtId="0" fontId="11" fillId="0" borderId="7" xfId="4" applyFont="1" applyBorder="1" applyAlignment="1">
      <alignment horizontal="center" vertical="center"/>
    </xf>
    <xf numFmtId="0" fontId="11" fillId="8" borderId="83" xfId="4" applyFont="1" applyFill="1" applyBorder="1" applyAlignment="1">
      <alignment horizontal="left" vertical="center"/>
    </xf>
    <xf numFmtId="0" fontId="11" fillId="8" borderId="84" xfId="4" applyFont="1" applyFill="1" applyBorder="1" applyAlignment="1">
      <alignment horizontal="left" vertical="center"/>
    </xf>
    <xf numFmtId="0" fontId="11" fillId="8" borderId="85" xfId="4" applyFont="1" applyFill="1" applyBorder="1" applyAlignment="1">
      <alignment horizontal="left" vertical="center"/>
    </xf>
    <xf numFmtId="0" fontId="36" fillId="0" borderId="63" xfId="0" applyFont="1" applyBorder="1" applyAlignment="1">
      <alignment horizontal="center" vertical="center" wrapText="1"/>
    </xf>
    <xf numFmtId="0" fontId="36" fillId="0" borderId="2" xfId="0" applyFont="1" applyBorder="1" applyAlignment="1">
      <alignment horizontal="center" vertical="center" wrapText="1"/>
    </xf>
    <xf numFmtId="0" fontId="36" fillId="0" borderId="3" xfId="0" applyFont="1" applyBorder="1" applyAlignment="1">
      <alignment horizontal="center" vertical="center" wrapText="1"/>
    </xf>
    <xf numFmtId="0" fontId="10" fillId="3" borderId="24" xfId="4" applyFont="1" applyFill="1" applyBorder="1" applyAlignment="1">
      <alignment horizontal="left" vertical="center"/>
    </xf>
    <xf numFmtId="0" fontId="10" fillId="3" borderId="23" xfId="4" applyFont="1" applyFill="1" applyBorder="1" applyAlignment="1">
      <alignment horizontal="left" vertical="center"/>
    </xf>
    <xf numFmtId="0" fontId="10" fillId="0" borderId="24" xfId="4" applyFont="1" applyBorder="1" applyAlignment="1">
      <alignment horizontal="center" vertical="center"/>
    </xf>
    <xf numFmtId="0" fontId="10" fillId="0" borderId="23" xfId="4" applyFont="1" applyBorder="1" applyAlignment="1">
      <alignment horizontal="center" vertical="center"/>
    </xf>
    <xf numFmtId="0" fontId="37" fillId="0" borderId="7" xfId="0" applyFont="1" applyBorder="1" applyAlignment="1">
      <alignment horizontal="left" vertical="center" wrapText="1"/>
    </xf>
    <xf numFmtId="0" fontId="37" fillId="0" borderId="0" xfId="0" applyFont="1" applyAlignment="1">
      <alignment horizontal="left" vertical="center" wrapText="1"/>
    </xf>
    <xf numFmtId="0" fontId="37" fillId="0" borderId="14" xfId="0" applyFont="1" applyBorder="1" applyAlignment="1">
      <alignment horizontal="left" vertical="center" wrapText="1"/>
    </xf>
    <xf numFmtId="169" fontId="11" fillId="8" borderId="25" xfId="9" applyNumberFormat="1" applyFont="1" applyFill="1" applyBorder="1" applyAlignment="1">
      <alignment horizontal="center" vertical="center"/>
    </xf>
    <xf numFmtId="169" fontId="11" fillId="8" borderId="90" xfId="9" applyNumberFormat="1" applyFont="1" applyFill="1" applyBorder="1" applyAlignment="1">
      <alignment horizontal="center" vertical="center"/>
    </xf>
    <xf numFmtId="0" fontId="11" fillId="8" borderId="83" xfId="4" quotePrefix="1" applyFont="1" applyFill="1" applyBorder="1" applyAlignment="1">
      <alignment horizontal="left" vertical="center"/>
    </xf>
    <xf numFmtId="10" fontId="10" fillId="10" borderId="16" xfId="1" applyNumberFormat="1" applyFont="1" applyFill="1" applyBorder="1" applyAlignment="1">
      <alignment horizontal="center" vertical="center" wrapText="1"/>
    </xf>
    <xf numFmtId="10" fontId="10" fillId="10" borderId="61" xfId="1" applyNumberFormat="1" applyFont="1" applyFill="1" applyBorder="1" applyAlignment="1">
      <alignment horizontal="center" vertical="center" wrapText="1"/>
    </xf>
    <xf numFmtId="0" fontId="10" fillId="0" borderId="23" xfId="4" applyFont="1" applyBorder="1" applyAlignment="1">
      <alignment horizontal="left" vertical="center" wrapText="1"/>
    </xf>
    <xf numFmtId="169" fontId="11" fillId="3" borderId="16" xfId="9" applyNumberFormat="1" applyFont="1" applyFill="1" applyBorder="1" applyAlignment="1">
      <alignment horizontal="center" vertical="center"/>
    </xf>
    <xf numFmtId="169" fontId="11" fillId="3" borderId="61" xfId="9" applyNumberFormat="1" applyFont="1" applyFill="1" applyBorder="1" applyAlignment="1">
      <alignment horizontal="center" vertical="center"/>
    </xf>
    <xf numFmtId="0" fontId="37" fillId="0" borderId="89" xfId="0" applyFont="1" applyBorder="1" applyAlignment="1">
      <alignment horizontal="left" vertical="center" wrapText="1"/>
    </xf>
    <xf numFmtId="0" fontId="37" fillId="0" borderId="5" xfId="0" applyFont="1" applyBorder="1" applyAlignment="1">
      <alignment horizontal="left" vertical="center" wrapText="1"/>
    </xf>
    <xf numFmtId="175" fontId="10" fillId="0" borderId="5" xfId="10" applyNumberFormat="1" applyFont="1" applyBorder="1" applyAlignment="1">
      <alignment horizontal="center" vertical="center"/>
    </xf>
    <xf numFmtId="175" fontId="10" fillId="0" borderId="6" xfId="10" applyNumberFormat="1" applyFont="1" applyBorder="1" applyAlignment="1">
      <alignment horizontal="center" vertical="center"/>
    </xf>
    <xf numFmtId="0" fontId="11" fillId="0" borderId="86" xfId="4" applyFont="1" applyBorder="1" applyAlignment="1">
      <alignment horizontal="left" vertical="center"/>
    </xf>
    <xf numFmtId="0" fontId="11" fillId="0" borderId="87" xfId="4" applyFont="1" applyBorder="1" applyAlignment="1">
      <alignment horizontal="left" vertical="center"/>
    </xf>
    <xf numFmtId="0" fontId="11" fillId="0" borderId="88" xfId="4" applyFont="1" applyBorder="1" applyAlignment="1">
      <alignment horizontal="left" vertical="center"/>
    </xf>
    <xf numFmtId="178" fontId="10" fillId="0" borderId="16" xfId="4" applyNumberFormat="1" applyFont="1" applyBorder="1" applyAlignment="1">
      <alignment horizontal="right" vertical="center"/>
    </xf>
    <xf numFmtId="178" fontId="10" fillId="0" borderId="61" xfId="4" applyNumberFormat="1" applyFont="1" applyBorder="1" applyAlignment="1">
      <alignment horizontal="right" vertical="center"/>
    </xf>
    <xf numFmtId="4" fontId="10" fillId="0" borderId="5" xfId="9" applyNumberFormat="1" applyFont="1" applyBorder="1" applyAlignment="1">
      <alignment horizontal="right" vertical="center"/>
    </xf>
    <xf numFmtId="4" fontId="10" fillId="0" borderId="6" xfId="9" applyNumberFormat="1" applyFont="1" applyBorder="1" applyAlignment="1">
      <alignment horizontal="right" vertical="center"/>
    </xf>
    <xf numFmtId="0" fontId="10" fillId="0" borderId="30" xfId="4" applyFont="1" applyBorder="1" applyAlignment="1">
      <alignment horizontal="left" vertical="center" wrapText="1"/>
    </xf>
    <xf numFmtId="0" fontId="10" fillId="0" borderId="92" xfId="4" applyFont="1" applyBorder="1" applyAlignment="1">
      <alignment horizontal="left" vertical="center" wrapText="1"/>
    </xf>
    <xf numFmtId="0" fontId="10" fillId="0" borderId="9" xfId="4" applyFont="1" applyBorder="1" applyAlignment="1">
      <alignment horizontal="left" vertical="center" wrapText="1"/>
    </xf>
    <xf numFmtId="0" fontId="10" fillId="0" borderId="89" xfId="4" applyFont="1" applyBorder="1" applyAlignment="1">
      <alignment horizontal="left" vertical="center" wrapText="1"/>
    </xf>
    <xf numFmtId="0" fontId="10" fillId="0" borderId="26" xfId="4" applyFont="1" applyBorder="1" applyAlignment="1">
      <alignment horizontal="left" vertical="center"/>
    </xf>
    <xf numFmtId="0" fontId="10" fillId="0" borderId="64" xfId="4" applyFont="1" applyBorder="1" applyAlignment="1">
      <alignment horizontal="left" vertical="center"/>
    </xf>
    <xf numFmtId="0" fontId="10" fillId="0" borderId="11" xfId="4" applyFont="1" applyBorder="1" applyAlignment="1">
      <alignment horizontal="left" vertical="center"/>
    </xf>
    <xf numFmtId="177" fontId="10" fillId="0" borderId="11" xfId="9" applyNumberFormat="1" applyFont="1" applyBorder="1" applyAlignment="1">
      <alignment horizontal="center" vertical="center"/>
    </xf>
    <xf numFmtId="177" fontId="10" fillId="0" borderId="27" xfId="9" applyNumberFormat="1" applyFont="1" applyBorder="1" applyAlignment="1">
      <alignment horizontal="center" vertical="center"/>
    </xf>
    <xf numFmtId="0" fontId="11" fillId="0" borderId="28" xfId="4" applyFont="1" applyBorder="1" applyAlignment="1">
      <alignment horizontal="left" vertical="center"/>
    </xf>
    <xf numFmtId="0" fontId="11" fillId="0" borderId="75" xfId="4" applyFont="1" applyBorder="1" applyAlignment="1">
      <alignment horizontal="left" vertical="center"/>
    </xf>
    <xf numFmtId="0" fontId="11" fillId="0" borderId="29" xfId="4" applyFont="1" applyBorder="1" applyAlignment="1">
      <alignment horizontal="left" vertical="center"/>
    </xf>
    <xf numFmtId="0" fontId="11" fillId="0" borderId="91" xfId="4" applyFont="1" applyBorder="1" applyAlignment="1">
      <alignment horizontal="left" vertical="center"/>
    </xf>
    <xf numFmtId="0" fontId="10" fillId="0" borderId="1" xfId="4" applyFont="1" applyBorder="1" applyAlignment="1">
      <alignment horizontal="left" vertical="center"/>
    </xf>
    <xf numFmtId="0" fontId="10" fillId="0" borderId="2" xfId="4" applyFont="1" applyBorder="1" applyAlignment="1">
      <alignment horizontal="left" vertical="center"/>
    </xf>
    <xf numFmtId="0" fontId="11" fillId="0" borderId="62" xfId="4" applyFont="1" applyBorder="1" applyAlignment="1">
      <alignment horizontal="left" vertical="center"/>
    </xf>
    <xf numFmtId="4" fontId="10" fillId="3" borderId="24" xfId="13" applyNumberFormat="1" applyFont="1" applyFill="1" applyBorder="1" applyAlignment="1">
      <alignment horizontal="right" vertical="center"/>
    </xf>
    <xf numFmtId="4" fontId="10" fillId="3" borderId="88" xfId="13" applyNumberFormat="1" applyFont="1" applyFill="1" applyBorder="1" applyAlignment="1">
      <alignment horizontal="right" vertical="center"/>
    </xf>
    <xf numFmtId="0" fontId="11" fillId="8" borderId="18" xfId="4" quotePrefix="1" applyFont="1" applyFill="1" applyBorder="1" applyAlignment="1">
      <alignment horizontal="left" vertical="center"/>
    </xf>
    <xf numFmtId="0" fontId="11" fillId="8" borderId="19" xfId="4" quotePrefix="1" applyFont="1" applyFill="1" applyBorder="1" applyAlignment="1">
      <alignment horizontal="left" vertical="center"/>
    </xf>
    <xf numFmtId="0" fontId="11" fillId="8" borderId="31" xfId="4" quotePrefix="1" applyFont="1" applyFill="1" applyBorder="1" applyAlignment="1">
      <alignment horizontal="left" vertical="center"/>
    </xf>
    <xf numFmtId="0" fontId="11" fillId="0" borderId="32" xfId="4" applyFont="1" applyBorder="1" applyAlignment="1">
      <alignment horizontal="left" vertical="center"/>
    </xf>
    <xf numFmtId="0" fontId="11" fillId="0" borderId="17" xfId="4" applyFont="1" applyBorder="1" applyAlignment="1">
      <alignment horizontal="left" vertical="center"/>
    </xf>
    <xf numFmtId="0" fontId="11" fillId="0" borderId="33" xfId="4" applyFont="1" applyBorder="1" applyAlignment="1">
      <alignment horizontal="left" vertical="center"/>
    </xf>
    <xf numFmtId="0" fontId="10" fillId="0" borderId="93" xfId="4" applyFont="1" applyBorder="1" applyAlignment="1">
      <alignment horizontal="left" vertical="center" wrapText="1"/>
    </xf>
    <xf numFmtId="0" fontId="10" fillId="0" borderId="94" xfId="4" applyFont="1" applyBorder="1" applyAlignment="1">
      <alignment horizontal="left" vertical="center" wrapText="1"/>
    </xf>
    <xf numFmtId="0" fontId="11" fillId="8" borderId="18" xfId="4" applyFont="1" applyFill="1" applyBorder="1" applyAlignment="1">
      <alignment horizontal="left" vertical="center" wrapText="1"/>
    </xf>
    <xf numFmtId="0" fontId="36" fillId="0" borderId="1" xfId="0" applyFont="1" applyBorder="1" applyAlignment="1">
      <alignment horizontal="center" vertical="center" wrapText="1"/>
    </xf>
    <xf numFmtId="0" fontId="37" fillId="0" borderId="62" xfId="0" applyFont="1" applyBorder="1" applyAlignment="1">
      <alignment horizontal="left" vertical="center" wrapText="1"/>
    </xf>
    <xf numFmtId="0" fontId="37" fillId="0" borderId="4" xfId="0" applyFont="1" applyBorder="1" applyAlignment="1">
      <alignment horizontal="left" vertical="center" wrapText="1"/>
    </xf>
    <xf numFmtId="169" fontId="11" fillId="8" borderId="5" xfId="9" applyNumberFormat="1" applyFont="1" applyFill="1" applyBorder="1" applyAlignment="1">
      <alignment horizontal="center" vertical="center"/>
    </xf>
    <xf numFmtId="169" fontId="11" fillId="8" borderId="6" xfId="9" applyNumberFormat="1" applyFont="1" applyFill="1" applyBorder="1" applyAlignment="1">
      <alignment horizontal="center" vertical="center"/>
    </xf>
    <xf numFmtId="178" fontId="10" fillId="3" borderId="16" xfId="4" applyNumberFormat="1" applyFont="1" applyFill="1" applyBorder="1" applyAlignment="1">
      <alignment horizontal="right" vertical="center"/>
    </xf>
    <xf numFmtId="178" fontId="10" fillId="3" borderId="61" xfId="4" applyNumberFormat="1" applyFont="1" applyFill="1" applyBorder="1" applyAlignment="1">
      <alignment horizontal="right" vertical="center"/>
    </xf>
    <xf numFmtId="167" fontId="11" fillId="8" borderId="38" xfId="10" applyFont="1" applyFill="1" applyBorder="1" applyAlignment="1">
      <alignment horizontal="center" vertical="center"/>
    </xf>
    <xf numFmtId="167" fontId="11" fillId="8" borderId="31" xfId="10" applyFont="1" applyFill="1" applyBorder="1" applyAlignment="1">
      <alignment horizontal="center" vertical="center"/>
    </xf>
    <xf numFmtId="168" fontId="6" fillId="0" borderId="0" xfId="2" applyFont="1" applyAlignment="1">
      <alignment horizontal="center" vertical="center"/>
    </xf>
    <xf numFmtId="0" fontId="6" fillId="0" borderId="0" xfId="2" applyNumberFormat="1" applyFont="1" applyAlignment="1">
      <alignment vertical="center" wrapText="1"/>
    </xf>
    <xf numFmtId="168" fontId="6" fillId="0" borderId="1" xfId="2" applyFont="1" applyBorder="1" applyAlignment="1">
      <alignment horizontal="center" vertical="center"/>
    </xf>
    <xf numFmtId="168" fontId="6" fillId="0" borderId="26" xfId="2" applyFont="1" applyBorder="1" applyAlignment="1">
      <alignment horizontal="center" vertical="center"/>
    </xf>
    <xf numFmtId="168" fontId="7" fillId="0" borderId="49" xfId="2" applyFont="1" applyBorder="1" applyAlignment="1">
      <alignment horizontal="center" vertical="center" wrapText="1"/>
    </xf>
    <xf numFmtId="168" fontId="7" fillId="0" borderId="65" xfId="2" applyFont="1" applyBorder="1" applyAlignment="1">
      <alignment horizontal="center" vertical="center" wrapText="1"/>
    </xf>
    <xf numFmtId="168" fontId="7" fillId="0" borderId="52" xfId="2" applyFont="1" applyBorder="1" applyAlignment="1">
      <alignment horizontal="center" vertical="center" wrapText="1"/>
    </xf>
    <xf numFmtId="168" fontId="7" fillId="0" borderId="57" xfId="2" applyFont="1" applyBorder="1" applyAlignment="1">
      <alignment horizontal="center" vertical="center" wrapText="1"/>
    </xf>
    <xf numFmtId="168" fontId="7" fillId="0" borderId="63" xfId="2" applyFont="1" applyBorder="1" applyAlignment="1">
      <alignment horizontal="center" vertical="center" wrapText="1"/>
    </xf>
    <xf numFmtId="168" fontId="7" fillId="0" borderId="64" xfId="2" applyFont="1" applyBorder="1" applyAlignment="1">
      <alignment horizontal="center" vertical="center" wrapText="1"/>
    </xf>
    <xf numFmtId="168" fontId="7" fillId="0" borderId="2" xfId="2" applyFont="1" applyBorder="1" applyAlignment="1">
      <alignment horizontal="center" vertical="center" wrapText="1"/>
    </xf>
    <xf numFmtId="168" fontId="7" fillId="0" borderId="11" xfId="2" applyFont="1" applyBorder="1" applyAlignment="1">
      <alignment horizontal="center" vertical="center" wrapText="1"/>
    </xf>
    <xf numFmtId="168" fontId="7" fillId="0" borderId="3" xfId="2" applyFont="1" applyBorder="1" applyAlignment="1">
      <alignment horizontal="center" vertical="center" wrapText="1"/>
    </xf>
    <xf numFmtId="168" fontId="7" fillId="0" borderId="27" xfId="2" applyFont="1" applyBorder="1" applyAlignment="1">
      <alignment horizontal="center" vertical="center" wrapText="1"/>
    </xf>
    <xf numFmtId="168" fontId="7" fillId="0" borderId="29" xfId="2" applyFont="1" applyBorder="1" applyAlignment="1">
      <alignment horizontal="center" vertical="center" wrapText="1"/>
    </xf>
    <xf numFmtId="168" fontId="7" fillId="0" borderId="8" xfId="2" applyFont="1" applyBorder="1" applyAlignment="1">
      <alignment horizontal="center" vertical="center" wrapText="1"/>
    </xf>
    <xf numFmtId="0" fontId="6" fillId="0" borderId="24" xfId="2" applyNumberFormat="1" applyFont="1" applyBorder="1" applyAlignment="1">
      <alignment horizontal="left" vertical="center" wrapText="1"/>
    </xf>
    <xf numFmtId="0" fontId="6" fillId="0" borderId="23" xfId="2" applyNumberFormat="1" applyFont="1" applyBorder="1" applyAlignment="1">
      <alignment horizontal="left" vertical="center" wrapText="1"/>
    </xf>
    <xf numFmtId="0" fontId="6" fillId="0" borderId="1" xfId="3" applyFont="1" applyBorder="1" applyAlignment="1">
      <alignment horizontal="center" vertical="center"/>
    </xf>
    <xf numFmtId="0" fontId="6" fillId="0" borderId="37" xfId="3" applyFont="1" applyBorder="1" applyAlignment="1">
      <alignment horizontal="center" vertical="center"/>
    </xf>
    <xf numFmtId="0" fontId="6" fillId="0" borderId="4" xfId="3" applyFont="1" applyBorder="1" applyAlignment="1">
      <alignment horizontal="center" vertical="center"/>
    </xf>
    <xf numFmtId="0" fontId="6" fillId="0" borderId="49" xfId="3" applyFont="1" applyBorder="1" applyAlignment="1">
      <alignment horizontal="center" vertical="center" wrapText="1"/>
    </xf>
    <xf numFmtId="0" fontId="6" fillId="0" borderId="39" xfId="3" applyFont="1" applyBorder="1" applyAlignment="1">
      <alignment horizontal="center" vertical="center" wrapText="1"/>
    </xf>
    <xf numFmtId="0" fontId="6" fillId="0" borderId="25" xfId="3" applyFont="1" applyBorder="1" applyAlignment="1">
      <alignment horizontal="center" vertical="center" wrapText="1"/>
    </xf>
    <xf numFmtId="0" fontId="6" fillId="0" borderId="1" xfId="3" applyFont="1" applyBorder="1" applyAlignment="1">
      <alignment horizontal="center" vertical="center" wrapText="1"/>
    </xf>
    <xf numFmtId="0" fontId="6" fillId="0" borderId="2" xfId="3" applyFont="1" applyBorder="1" applyAlignment="1">
      <alignment horizontal="center" vertical="center" wrapText="1"/>
    </xf>
    <xf numFmtId="0" fontId="6" fillId="0" borderId="3" xfId="3" applyFont="1" applyBorder="1" applyAlignment="1">
      <alignment horizontal="center" vertical="center" wrapText="1"/>
    </xf>
    <xf numFmtId="0" fontId="11" fillId="6" borderId="52" xfId="3" applyFont="1" applyFill="1" applyBorder="1" applyAlignment="1">
      <alignment horizontal="center" vertical="center" wrapText="1"/>
    </xf>
    <xf numFmtId="0" fontId="11" fillId="6" borderId="55" xfId="3" applyFont="1" applyFill="1" applyBorder="1" applyAlignment="1">
      <alignment horizontal="center" vertical="center" wrapText="1"/>
    </xf>
    <xf numFmtId="0" fontId="11" fillId="6" borderId="57" xfId="3" applyFont="1" applyFill="1" applyBorder="1" applyAlignment="1">
      <alignment horizontal="center" vertical="center" wrapText="1"/>
    </xf>
    <xf numFmtId="0" fontId="6" fillId="0" borderId="26" xfId="3" applyFont="1" applyBorder="1" applyAlignment="1">
      <alignment horizontal="center" vertical="center" wrapText="1"/>
    </xf>
    <xf numFmtId="0" fontId="6" fillId="0" borderId="12" xfId="3" applyFont="1" applyBorder="1" applyAlignment="1">
      <alignment horizontal="center" vertical="center" wrapText="1"/>
    </xf>
    <xf numFmtId="0" fontId="6" fillId="0" borderId="11" xfId="3" applyFont="1" applyBorder="1" applyAlignment="1">
      <alignment horizontal="center" vertical="center" wrapText="1"/>
    </xf>
    <xf numFmtId="0" fontId="6" fillId="0" borderId="13" xfId="3" applyFont="1" applyBorder="1" applyAlignment="1">
      <alignment horizontal="center" vertical="center" wrapText="1"/>
    </xf>
    <xf numFmtId="0" fontId="6" fillId="0" borderId="53" xfId="3" applyFont="1" applyBorder="1" applyAlignment="1">
      <alignment horizontal="center" vertical="center" wrapText="1"/>
    </xf>
    <xf numFmtId="0" fontId="6" fillId="0" borderId="33" xfId="3" applyFont="1" applyBorder="1" applyAlignment="1">
      <alignment horizontal="center" vertical="center" wrapText="1"/>
    </xf>
    <xf numFmtId="0" fontId="20" fillId="0" borderId="54" xfId="0" applyFont="1" applyBorder="1" applyAlignment="1">
      <alignment horizontal="center" vertical="center" wrapText="1"/>
    </xf>
    <xf numFmtId="0" fontId="14" fillId="0" borderId="56" xfId="0" applyFont="1" applyBorder="1"/>
    <xf numFmtId="0" fontId="20" fillId="0" borderId="50" xfId="0" applyFont="1" applyBorder="1" applyAlignment="1">
      <alignment horizontal="center" vertical="center" wrapText="1"/>
    </xf>
    <xf numFmtId="0" fontId="14" fillId="0" borderId="51" xfId="0" applyFont="1" applyBorder="1"/>
    <xf numFmtId="0" fontId="6" fillId="0" borderId="16" xfId="3" applyFont="1" applyBorder="1" applyAlignment="1">
      <alignment horizontal="center" vertical="center"/>
    </xf>
    <xf numFmtId="0" fontId="6" fillId="0" borderId="11" xfId="3" applyFont="1" applyBorder="1" applyAlignment="1">
      <alignment horizontal="center" vertical="center"/>
    </xf>
    <xf numFmtId="0" fontId="6" fillId="0" borderId="16" xfId="3" applyFont="1" applyBorder="1" applyAlignment="1">
      <alignment horizontal="left" vertical="center" wrapText="1"/>
    </xf>
    <xf numFmtId="0" fontId="6" fillId="0" borderId="11" xfId="3" applyFont="1" applyBorder="1" applyAlignment="1">
      <alignment horizontal="left" vertical="center" wrapText="1"/>
    </xf>
    <xf numFmtId="0" fontId="6" fillId="0" borderId="16" xfId="3" applyFont="1" applyBorder="1" applyAlignment="1">
      <alignment horizontal="center" vertical="center" wrapText="1"/>
    </xf>
    <xf numFmtId="0" fontId="6" fillId="3" borderId="16" xfId="3" applyFont="1" applyFill="1" applyBorder="1" applyAlignment="1">
      <alignment horizontal="center" vertical="center" wrapText="1"/>
    </xf>
    <xf numFmtId="0" fontId="6" fillId="7" borderId="16" xfId="3" applyFont="1" applyFill="1" applyBorder="1" applyAlignment="1">
      <alignment horizontal="center" vertical="center" wrapText="1"/>
    </xf>
    <xf numFmtId="0" fontId="8" fillId="0" borderId="11" xfId="3" applyFont="1" applyBorder="1" applyAlignment="1">
      <alignment horizontal="center" vertical="center"/>
    </xf>
    <xf numFmtId="0" fontId="8" fillId="0" borderId="9" xfId="3" applyFont="1" applyBorder="1" applyAlignment="1">
      <alignment horizontal="center" vertical="center"/>
    </xf>
    <xf numFmtId="168" fontId="8" fillId="0" borderId="11" xfId="2" applyFont="1" applyBorder="1" applyAlignment="1">
      <alignment horizontal="left" vertical="center" wrapText="1"/>
    </xf>
    <xf numFmtId="168" fontId="8" fillId="0" borderId="9" xfId="2" applyFont="1" applyBorder="1" applyAlignment="1">
      <alignment horizontal="left" vertical="center" wrapText="1"/>
    </xf>
  </cellXfs>
  <cellStyles count="15">
    <cellStyle name="Millares" xfId="14" builtinId="3"/>
    <cellStyle name="Millares [0] 2" xfId="13" xr:uid="{00000000-0005-0000-0000-000001000000}"/>
    <cellStyle name="Millares 33 2" xfId="9" xr:uid="{00000000-0005-0000-0000-000002000000}"/>
    <cellStyle name="Moneda 2" xfId="7" xr:uid="{00000000-0005-0000-0000-000003000000}"/>
    <cellStyle name="Moneda 33" xfId="10" xr:uid="{00000000-0005-0000-0000-000004000000}"/>
    <cellStyle name="Normal" xfId="0" builtinId="0"/>
    <cellStyle name="Normal 10 2 2" xfId="4" xr:uid="{00000000-0005-0000-0000-000006000000}"/>
    <cellStyle name="Normal 10 45" xfId="2" xr:uid="{00000000-0005-0000-0000-000007000000}"/>
    <cellStyle name="Normal 12" xfId="3" xr:uid="{00000000-0005-0000-0000-000008000000}"/>
    <cellStyle name="Normal 2" xfId="5" xr:uid="{00000000-0005-0000-0000-000009000000}"/>
    <cellStyle name="Normal 3" xfId="6" xr:uid="{00000000-0005-0000-0000-00000A000000}"/>
    <cellStyle name="Porcentaje" xfId="1" builtinId="5"/>
    <cellStyle name="Porcentaje 2" xfId="11" xr:uid="{00000000-0005-0000-0000-00000C000000}"/>
    <cellStyle name="Porcentaje 2 2" xfId="8" xr:uid="{00000000-0005-0000-0000-00000D000000}"/>
    <cellStyle name="Porcentual 2" xfId="12" xr:uid="{00000000-0005-0000-0000-00000E000000}"/>
  </cellStyles>
  <dxfs count="250">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rgb="FFFFC000"/>
        </patternFill>
      </fill>
    </dxf>
    <dxf>
      <fill>
        <patternFill>
          <bgColor rgb="FFFFFF00"/>
        </patternFill>
      </fill>
    </dxf>
    <dxf>
      <fill>
        <patternFill patternType="none">
          <bgColor auto="1"/>
        </patternFill>
      </fill>
    </dxf>
    <dxf>
      <fill>
        <patternFill patternType="none">
          <bgColor auto="1"/>
        </patternFill>
      </fill>
    </dxf>
    <dxf>
      <fill>
        <patternFill>
          <bgColor rgb="FFFFC000"/>
        </patternFill>
      </fill>
    </dxf>
    <dxf>
      <fill>
        <patternFill>
          <bgColor rgb="FFFFFF00"/>
        </patternFill>
      </fill>
    </dxf>
    <dxf>
      <fill>
        <patternFill>
          <bgColor rgb="FFFFC000"/>
        </patternFill>
      </fill>
    </dxf>
    <dxf>
      <fill>
        <patternFill>
          <bgColor rgb="FFFFFF00"/>
        </patternFill>
      </fill>
    </dxf>
    <dxf>
      <fill>
        <patternFill patternType="none">
          <bgColor auto="1"/>
        </patternFill>
      </fill>
    </dxf>
    <dxf>
      <fill>
        <patternFill>
          <bgColor rgb="FFFFFF00"/>
        </patternFill>
      </fill>
    </dxf>
    <dxf>
      <fill>
        <patternFill>
          <bgColor rgb="FFFFC000"/>
        </patternFill>
      </fill>
    </dxf>
    <dxf>
      <fill>
        <patternFill patternType="none">
          <bgColor auto="1"/>
        </patternFill>
      </fill>
    </dxf>
    <dxf>
      <fill>
        <patternFill patternType="none">
          <bgColor auto="1"/>
        </patternFill>
      </fill>
    </dxf>
    <dxf>
      <fill>
        <patternFill>
          <bgColor rgb="FFFFC000"/>
        </patternFill>
      </fill>
    </dxf>
    <dxf>
      <fill>
        <patternFill>
          <bgColor rgb="FFFFFF00"/>
        </patternFill>
      </fill>
    </dxf>
    <dxf>
      <fill>
        <patternFill patternType="none">
          <bgColor auto="1"/>
        </patternFill>
      </fill>
    </dxf>
    <dxf>
      <fill>
        <patternFill>
          <bgColor rgb="FFFFC000"/>
        </patternFill>
      </fill>
    </dxf>
    <dxf>
      <fill>
        <patternFill>
          <bgColor rgb="FFFFFF00"/>
        </patternFill>
      </fill>
    </dxf>
    <dxf>
      <fill>
        <patternFill>
          <bgColor rgb="FFFFC000"/>
        </patternFill>
      </fill>
    </dxf>
    <dxf>
      <fill>
        <patternFill patternType="none">
          <bgColor auto="1"/>
        </patternFill>
      </fill>
    </dxf>
    <dxf>
      <fill>
        <patternFill patternType="none">
          <bgColor auto="1"/>
        </patternFill>
      </fill>
    </dxf>
    <dxf>
      <font>
        <b/>
        <i val="0"/>
      </font>
      <fill>
        <patternFill>
          <bgColor rgb="FFFF0000"/>
        </patternFill>
      </fill>
    </dxf>
    <dxf>
      <fill>
        <patternFill patternType="none">
          <bgColor auto="1"/>
        </patternFill>
      </fill>
    </dxf>
    <dxf>
      <fill>
        <patternFill>
          <bgColor rgb="FFFFFF00"/>
        </patternFill>
      </fill>
    </dxf>
    <dxf>
      <fill>
        <patternFill>
          <bgColor rgb="FFFFC000"/>
        </patternFill>
      </fill>
    </dxf>
    <dxf>
      <fill>
        <patternFill patternType="none">
          <bgColor auto="1"/>
        </patternFill>
      </fill>
    </dxf>
    <dxf>
      <fill>
        <patternFill>
          <bgColor rgb="FFFFFF00"/>
        </patternFill>
      </fill>
    </dxf>
    <dxf>
      <fill>
        <patternFill>
          <bgColor rgb="FFFFC000"/>
        </patternFill>
      </fill>
    </dxf>
    <dxf>
      <fill>
        <patternFill patternType="none">
          <bgColor auto="1"/>
        </patternFill>
      </fill>
    </dxf>
    <dxf>
      <fill>
        <patternFill>
          <bgColor rgb="FFFFFF00"/>
        </patternFill>
      </fill>
    </dxf>
    <dxf>
      <fill>
        <patternFill>
          <bgColor rgb="FFFFC000"/>
        </patternFill>
      </fill>
    </dxf>
    <dxf>
      <fill>
        <patternFill patternType="none">
          <bgColor auto="1"/>
        </patternFill>
      </fill>
    </dxf>
    <dxf>
      <fill>
        <patternFill>
          <bgColor rgb="FFFFFF00"/>
        </patternFill>
      </fill>
    </dxf>
    <dxf>
      <fill>
        <patternFill>
          <bgColor rgb="FFFFC000"/>
        </patternFill>
      </fill>
    </dxf>
    <dxf>
      <fill>
        <patternFill>
          <bgColor rgb="FFFFC000"/>
        </patternFill>
      </fill>
    </dxf>
    <dxf>
      <fill>
        <patternFill patternType="none">
          <bgColor auto="1"/>
        </patternFill>
      </fill>
    </dxf>
    <dxf>
      <fill>
        <patternFill>
          <bgColor rgb="FFFFFF00"/>
        </patternFill>
      </fill>
    </dxf>
    <dxf>
      <fill>
        <patternFill patternType="none">
          <bgColor auto="1"/>
        </patternFill>
      </fill>
    </dxf>
    <dxf>
      <fill>
        <patternFill>
          <bgColor rgb="FFFFC000"/>
        </patternFill>
      </fill>
    </dxf>
    <dxf>
      <fill>
        <patternFill>
          <bgColor rgb="FFFFFF00"/>
        </patternFill>
      </fill>
    </dxf>
    <dxf>
      <fill>
        <patternFill patternType="none">
          <bgColor auto="1"/>
        </patternFill>
      </fill>
    </dxf>
    <dxf>
      <fill>
        <patternFill>
          <bgColor rgb="FFFFC000"/>
        </patternFill>
      </fill>
    </dxf>
    <dxf>
      <fill>
        <patternFill patternType="none">
          <bgColor auto="1"/>
        </patternFill>
      </fill>
    </dxf>
    <dxf>
      <font>
        <b/>
        <i val="0"/>
      </font>
      <fill>
        <patternFill>
          <bgColor rgb="FFFF0000"/>
        </patternFill>
      </fill>
    </dxf>
    <dxf>
      <fill>
        <patternFill patternType="none">
          <bgColor auto="1"/>
        </patternFill>
      </fill>
    </dxf>
    <dxf>
      <fill>
        <patternFill>
          <bgColor rgb="FFFFFF00"/>
        </patternFill>
      </fill>
    </dxf>
    <dxf>
      <fill>
        <patternFill>
          <bgColor rgb="FFFFC000"/>
        </patternFill>
      </fill>
    </dxf>
    <dxf>
      <fill>
        <patternFill patternType="none">
          <bgColor auto="1"/>
        </patternFill>
      </fill>
    </dxf>
    <dxf>
      <fill>
        <patternFill>
          <bgColor rgb="FFFFFF00"/>
        </patternFill>
      </fill>
    </dxf>
    <dxf>
      <fill>
        <patternFill>
          <bgColor rgb="FFFFC000"/>
        </patternFill>
      </fill>
    </dxf>
    <dxf>
      <fill>
        <patternFill>
          <bgColor rgb="FFFFC000"/>
        </patternFill>
      </fill>
    </dxf>
    <dxf>
      <fill>
        <patternFill patternType="none">
          <bgColor auto="1"/>
        </patternFill>
      </fill>
    </dxf>
    <dxf>
      <fill>
        <patternFill>
          <bgColor rgb="FFFFFF00"/>
        </patternFill>
      </fill>
    </dxf>
    <dxf>
      <fill>
        <patternFill>
          <bgColor rgb="FFFFC000"/>
        </patternFill>
      </fill>
    </dxf>
    <dxf>
      <fill>
        <patternFill patternType="none">
          <bgColor auto="1"/>
        </patternFill>
      </fill>
    </dxf>
    <dxf>
      <fill>
        <patternFill>
          <bgColor rgb="FFFFFF00"/>
        </patternFill>
      </fill>
    </dxf>
    <dxf>
      <fill>
        <patternFill patternType="none">
          <bgColor auto="1"/>
        </patternFill>
      </fill>
    </dxf>
    <dxf>
      <fill>
        <patternFill>
          <bgColor rgb="FFFFC000"/>
        </patternFill>
      </fill>
    </dxf>
    <dxf>
      <fill>
        <patternFill>
          <bgColor rgb="FFFFFF00"/>
        </patternFill>
      </fill>
    </dxf>
    <dxf>
      <fill>
        <patternFill patternType="none">
          <bgColor auto="1"/>
        </patternFill>
      </fill>
    </dxf>
    <dxf>
      <fill>
        <patternFill>
          <bgColor rgb="FFFFC000"/>
        </patternFill>
      </fill>
    </dxf>
    <dxf>
      <fill>
        <patternFill>
          <bgColor rgb="FFFFFF00"/>
        </patternFill>
      </fill>
    </dxf>
    <dxf>
      <fill>
        <patternFill patternType="none">
          <bgColor auto="1"/>
        </patternFill>
      </fill>
    </dxf>
    <dxf>
      <fill>
        <patternFill>
          <bgColor rgb="FFFFC000"/>
        </patternFill>
      </fill>
    </dxf>
    <dxf>
      <fill>
        <patternFill patternType="none">
          <bgColor auto="1"/>
        </patternFill>
      </fill>
    </dxf>
    <dxf>
      <font>
        <b/>
        <i val="0"/>
      </font>
      <fill>
        <patternFill>
          <bgColor rgb="FFFF0000"/>
        </patternFill>
      </fill>
    </dxf>
    <dxf>
      <fill>
        <patternFill patternType="none">
          <bgColor auto="1"/>
        </patternFill>
      </fill>
    </dxf>
    <dxf>
      <fill>
        <patternFill>
          <bgColor rgb="FFFFFF00"/>
        </patternFill>
      </fill>
    </dxf>
    <dxf>
      <fill>
        <patternFill>
          <bgColor rgb="FFFFC000"/>
        </patternFill>
      </fill>
    </dxf>
    <dxf>
      <fill>
        <patternFill patternType="none">
          <bgColor auto="1"/>
        </patternFill>
      </fill>
    </dxf>
    <dxf>
      <fill>
        <patternFill>
          <bgColor rgb="FFFFFF00"/>
        </patternFill>
      </fill>
    </dxf>
    <dxf>
      <fill>
        <patternFill>
          <bgColor rgb="FFFFC000"/>
        </patternFill>
      </fill>
    </dxf>
    <dxf>
      <fill>
        <patternFill patternType="none">
          <bgColor auto="1"/>
        </patternFill>
      </fill>
    </dxf>
    <dxf>
      <fill>
        <patternFill>
          <bgColor rgb="FFFFFF00"/>
        </patternFill>
      </fill>
    </dxf>
    <dxf>
      <fill>
        <patternFill>
          <bgColor rgb="FFFFC000"/>
        </patternFill>
      </fill>
    </dxf>
    <dxf>
      <fill>
        <patternFill patternType="none">
          <bgColor auto="1"/>
        </patternFill>
      </fill>
    </dxf>
    <dxf>
      <fill>
        <patternFill>
          <bgColor rgb="FFFFFF00"/>
        </patternFill>
      </fill>
    </dxf>
    <dxf>
      <fill>
        <patternFill>
          <bgColor rgb="FFFFC000"/>
        </patternFill>
      </fill>
    </dxf>
    <dxf>
      <fill>
        <patternFill>
          <bgColor rgb="FFFFFF00"/>
        </patternFill>
      </fill>
    </dxf>
    <dxf>
      <fill>
        <patternFill patternType="none">
          <bgColor auto="1"/>
        </patternFill>
      </fill>
    </dxf>
    <dxf>
      <fill>
        <patternFill>
          <bgColor rgb="FFFFC000"/>
        </patternFill>
      </fill>
    </dxf>
    <dxf>
      <fill>
        <patternFill>
          <bgColor rgb="FFFFC000"/>
        </patternFill>
      </fill>
    </dxf>
    <dxf>
      <fill>
        <patternFill patternType="none">
          <bgColor auto="1"/>
        </patternFill>
      </fill>
    </dxf>
    <dxf>
      <fill>
        <patternFill>
          <bgColor rgb="FFFFFF00"/>
        </patternFill>
      </fill>
    </dxf>
    <dxf>
      <fill>
        <patternFill>
          <bgColor rgb="FFFFC000"/>
        </patternFill>
      </fill>
    </dxf>
    <dxf>
      <fill>
        <patternFill patternType="none">
          <bgColor auto="1"/>
        </patternFill>
      </fill>
    </dxf>
    <dxf>
      <fill>
        <patternFill patternType="none">
          <bgColor auto="1"/>
        </patternFill>
      </fill>
    </dxf>
    <dxf>
      <font>
        <b/>
        <i val="0"/>
      </font>
      <fill>
        <patternFill>
          <bgColor rgb="FFFF0000"/>
        </patternFill>
      </fill>
    </dxf>
    <dxf>
      <fill>
        <patternFill>
          <bgColor rgb="FFFFC000"/>
        </patternFill>
      </fill>
    </dxf>
    <dxf>
      <fill>
        <patternFill>
          <bgColor rgb="FFFFFF00"/>
        </patternFill>
      </fill>
    </dxf>
    <dxf>
      <fill>
        <patternFill patternType="none">
          <bgColor auto="1"/>
        </patternFill>
      </fill>
    </dxf>
    <dxf>
      <fill>
        <patternFill>
          <bgColor rgb="FFFFC000"/>
        </patternFill>
      </fill>
    </dxf>
    <dxf>
      <fill>
        <patternFill>
          <bgColor rgb="FFFFFF00"/>
        </patternFill>
      </fill>
    </dxf>
    <dxf>
      <fill>
        <patternFill patternType="none">
          <bgColor auto="1"/>
        </patternFill>
      </fill>
    </dxf>
    <dxf>
      <fill>
        <patternFill patternType="none">
          <bgColor auto="1"/>
        </patternFill>
      </fill>
    </dxf>
    <dxf>
      <fill>
        <patternFill>
          <bgColor rgb="FFFFFF00"/>
        </patternFill>
      </fill>
    </dxf>
    <dxf>
      <fill>
        <patternFill>
          <bgColor rgb="FFFFC000"/>
        </patternFill>
      </fill>
    </dxf>
    <dxf>
      <fill>
        <patternFill>
          <bgColor rgb="FFFFFF00"/>
        </patternFill>
      </fill>
    </dxf>
    <dxf>
      <fill>
        <patternFill>
          <bgColor rgb="FFFFC000"/>
        </patternFill>
      </fill>
    </dxf>
    <dxf>
      <fill>
        <patternFill patternType="none">
          <bgColor auto="1"/>
        </patternFill>
      </fill>
    </dxf>
    <dxf>
      <fill>
        <patternFill patternType="none">
          <bgColor auto="1"/>
        </patternFill>
      </fill>
    </dxf>
    <dxf>
      <fill>
        <patternFill>
          <bgColor rgb="FFFFFF00"/>
        </patternFill>
      </fill>
    </dxf>
    <dxf>
      <fill>
        <patternFill>
          <bgColor rgb="FFFFC000"/>
        </patternFill>
      </fill>
    </dxf>
    <dxf>
      <fill>
        <patternFill>
          <bgColor rgb="FFFFC000"/>
        </patternFill>
      </fill>
    </dxf>
    <dxf>
      <fill>
        <patternFill patternType="none">
          <bgColor auto="1"/>
        </patternFill>
      </fill>
    </dxf>
    <dxf>
      <fill>
        <patternFill>
          <bgColor rgb="FFFFFF00"/>
        </patternFill>
      </fill>
    </dxf>
    <dxf>
      <fill>
        <patternFill patternType="none">
          <bgColor auto="1"/>
        </patternFill>
      </fill>
    </dxf>
    <dxf>
      <fill>
        <patternFill>
          <bgColor rgb="FFFFC000"/>
        </patternFill>
      </fill>
    </dxf>
    <dxf>
      <fill>
        <patternFill patternType="none">
          <bgColor auto="1"/>
        </patternFill>
      </fill>
    </dxf>
    <dxf>
      <font>
        <b/>
        <i val="0"/>
      </font>
      <fill>
        <patternFill>
          <bgColor rgb="FFFF0000"/>
        </patternFill>
      </fill>
    </dxf>
    <dxf>
      <fill>
        <patternFill patternType="none">
          <bgColor auto="1"/>
        </patternFill>
      </fill>
    </dxf>
    <dxf>
      <fill>
        <patternFill>
          <bgColor rgb="FFFFFF00"/>
        </patternFill>
      </fill>
    </dxf>
    <dxf>
      <fill>
        <patternFill>
          <bgColor rgb="FFFFC000"/>
        </patternFill>
      </fill>
    </dxf>
    <dxf>
      <fill>
        <patternFill patternType="none">
          <bgColor auto="1"/>
        </patternFill>
      </fill>
    </dxf>
    <dxf>
      <fill>
        <patternFill>
          <bgColor rgb="FFFFFF00"/>
        </patternFill>
      </fill>
    </dxf>
    <dxf>
      <fill>
        <patternFill>
          <bgColor rgb="FFFFC000"/>
        </patternFill>
      </fill>
    </dxf>
    <dxf>
      <fill>
        <patternFill>
          <bgColor rgb="FFFFFF00"/>
        </patternFill>
      </fill>
    </dxf>
    <dxf>
      <fill>
        <patternFill patternType="none">
          <bgColor auto="1"/>
        </patternFill>
      </fill>
    </dxf>
    <dxf>
      <fill>
        <patternFill>
          <bgColor rgb="FFFFC000"/>
        </patternFill>
      </fill>
    </dxf>
    <dxf>
      <fill>
        <patternFill>
          <bgColor rgb="FFFFC000"/>
        </patternFill>
      </fill>
    </dxf>
    <dxf>
      <fill>
        <patternFill patternType="none">
          <bgColor auto="1"/>
        </patternFill>
      </fill>
    </dxf>
    <dxf>
      <fill>
        <patternFill>
          <bgColor rgb="FFFFFF00"/>
        </patternFill>
      </fill>
    </dxf>
    <dxf>
      <fill>
        <patternFill>
          <bgColor rgb="FFFFFF00"/>
        </patternFill>
      </fill>
    </dxf>
    <dxf>
      <fill>
        <patternFill>
          <bgColor rgb="FFFFC000"/>
        </patternFill>
      </fill>
    </dxf>
    <dxf>
      <fill>
        <patternFill patternType="none">
          <bgColor auto="1"/>
        </patternFill>
      </fill>
    </dxf>
    <dxf>
      <fill>
        <patternFill patternType="none">
          <bgColor auto="1"/>
        </patternFill>
      </fill>
    </dxf>
    <dxf>
      <fill>
        <patternFill>
          <bgColor rgb="FFFFC000"/>
        </patternFill>
      </fill>
    </dxf>
    <dxf>
      <fill>
        <patternFill>
          <bgColor rgb="FFFFFF00"/>
        </patternFill>
      </fill>
    </dxf>
    <dxf>
      <fill>
        <patternFill>
          <bgColor rgb="FFFFC00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rgb="FFFFC000"/>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670858</xdr:colOff>
      <xdr:row>0</xdr:row>
      <xdr:rowOff>73080</xdr:rowOff>
    </xdr:from>
    <xdr:to>
      <xdr:col>3</xdr:col>
      <xdr:colOff>1140340</xdr:colOff>
      <xdr:row>4</xdr:row>
      <xdr:rowOff>123902</xdr:rowOff>
    </xdr:to>
    <xdr:pic>
      <xdr:nvPicPr>
        <xdr:cNvPr id="2" name="0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18958" y="73080"/>
          <a:ext cx="1469607" cy="73344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668615</xdr:colOff>
      <xdr:row>0</xdr:row>
      <xdr:rowOff>62608</xdr:rowOff>
    </xdr:from>
    <xdr:to>
      <xdr:col>7</xdr:col>
      <xdr:colOff>835614</xdr:colOff>
      <xdr:row>4</xdr:row>
      <xdr:rowOff>147608</xdr:rowOff>
    </xdr:to>
    <xdr:pic>
      <xdr:nvPicPr>
        <xdr:cNvPr id="2" name="0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114115" y="62608"/>
          <a:ext cx="1303385" cy="72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5</xdr:col>
      <xdr:colOff>24659</xdr:colOff>
      <xdr:row>13</xdr:row>
      <xdr:rowOff>35857</xdr:rowOff>
    </xdr:from>
    <xdr:ext cx="2182904" cy="558055"/>
    <mc:AlternateContent xmlns:mc="http://schemas.openxmlformats.org/markup-compatibility/2006" xmlns:a14="http://schemas.microsoft.com/office/drawing/2010/main">
      <mc:Choice Requires="a14">
        <xdr:sp macro="" textlink="">
          <xdr:nvSpPr>
            <xdr:cNvPr id="2" name="2 CuadroTexto">
              <a:extLst>
                <a:ext uri="{FF2B5EF4-FFF2-40B4-BE49-F238E27FC236}">
                  <a16:creationId xmlns:a16="http://schemas.microsoft.com/office/drawing/2014/main" id="{F118922E-5AE2-4E44-AF57-CFD4865D2832}"/>
                </a:ext>
              </a:extLst>
            </xdr:cNvPr>
            <xdr:cNvSpPr txBox="1"/>
          </xdr:nvSpPr>
          <xdr:spPr>
            <a:xfrm>
              <a:off x="4510934" y="1978957"/>
              <a:ext cx="2182904" cy="5580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14:m>
                <m:oMathPara xmlns:m="http://schemas.openxmlformats.org/officeDocument/2006/math">
                  <m:oMathParaPr>
                    <m:jc m:val="left"/>
                  </m:oMathParaPr>
                  <m:oMath xmlns:m="http://schemas.openxmlformats.org/officeDocument/2006/math">
                    <m:r>
                      <a:rPr lang="es-CO" sz="1100" b="1" i="1">
                        <a:latin typeface="Cambria Math"/>
                      </a:rPr>
                      <m:t>𝑪𝒓</m:t>
                    </m:r>
                    <m:r>
                      <a:rPr lang="es-CO" sz="1100" b="1" i="1">
                        <a:latin typeface="Cambria Math"/>
                        <a:ea typeface="Cambria Math"/>
                      </a:rPr>
                      <m:t>=</m:t>
                    </m:r>
                    <m:r>
                      <a:rPr lang="es-CO" sz="1100" b="1" i="1">
                        <a:latin typeface="Cambria Math"/>
                        <a:ea typeface="Cambria Math"/>
                      </a:rPr>
                      <m:t>𝑪𝑶</m:t>
                    </m:r>
                    <m:d>
                      <m:dPr>
                        <m:begChr m:val="["/>
                        <m:endChr m:val="]"/>
                        <m:ctrlPr>
                          <a:rPr lang="es-CO" sz="1100" b="1" i="1">
                            <a:latin typeface="Cambria Math" panose="02040503050406030204" pitchFamily="18" charset="0"/>
                            <a:ea typeface="Cambria Math"/>
                          </a:rPr>
                        </m:ctrlPr>
                      </m:dPr>
                      <m:e>
                        <m:f>
                          <m:fPr>
                            <m:ctrlPr>
                              <a:rPr lang="es-CO" sz="1100" b="1" i="1">
                                <a:latin typeface="Cambria Math" panose="02040503050406030204" pitchFamily="18" charset="0"/>
                                <a:ea typeface="Cambria Math"/>
                              </a:rPr>
                            </m:ctrlPr>
                          </m:fPr>
                          <m:num>
                            <m:d>
                              <m:dPr>
                                <m:ctrlPr>
                                  <a:rPr lang="es-CO" sz="1100" b="1" i="1">
                                    <a:latin typeface="Cambria Math" panose="02040503050406030204" pitchFamily="18" charset="0"/>
                                    <a:ea typeface="Cambria Math"/>
                                  </a:rPr>
                                </m:ctrlPr>
                              </m:dPr>
                              <m:e>
                                <m:r>
                                  <a:rPr lang="es-CO" sz="1100" b="1" i="1">
                                    <a:latin typeface="Cambria Math"/>
                                    <a:ea typeface="Cambria Math"/>
                                  </a:rPr>
                                  <m:t>𝑬</m:t>
                                </m:r>
                                <m:r>
                                  <a:rPr lang="es-CO" sz="1100" b="1" i="1">
                                    <a:latin typeface="Cambria Math"/>
                                    <a:ea typeface="Cambria Math"/>
                                  </a:rPr>
                                  <m:t>+</m:t>
                                </m:r>
                                <m:r>
                                  <a:rPr lang="es-CO" sz="1100" b="1" i="1">
                                    <a:latin typeface="Cambria Math"/>
                                    <a:ea typeface="Cambria Math"/>
                                  </a:rPr>
                                  <m:t>𝑪𝑻</m:t>
                                </m:r>
                                <m:r>
                                  <a:rPr lang="es-CO" sz="1100" b="1" i="1">
                                    <a:latin typeface="Cambria Math"/>
                                    <a:ea typeface="Cambria Math"/>
                                  </a:rPr>
                                  <m:t>+</m:t>
                                </m:r>
                                <m:r>
                                  <a:rPr lang="es-CO" sz="1100" b="1" i="1">
                                    <a:latin typeface="Cambria Math"/>
                                    <a:ea typeface="Cambria Math"/>
                                  </a:rPr>
                                  <m:t>𝑪𝑭</m:t>
                                </m:r>
                              </m:e>
                            </m:d>
                          </m:num>
                          <m:den>
                            <m:r>
                              <a:rPr lang="es-CO" sz="1100" b="1" i="1">
                                <a:latin typeface="Cambria Math"/>
                                <a:ea typeface="Cambria Math"/>
                              </a:rPr>
                              <m:t>𝟏𝟎𝟎</m:t>
                            </m:r>
                          </m:den>
                        </m:f>
                      </m:e>
                    </m:d>
                    <m:r>
                      <a:rPr lang="es-CO" sz="1100" b="1" i="1">
                        <a:latin typeface="Cambria Math"/>
                        <a:ea typeface="Cambria Math"/>
                      </a:rPr>
                      <m:t>−</m:t>
                    </m:r>
                    <m:r>
                      <a:rPr lang="es-CO" sz="1100" b="1" i="1">
                        <a:latin typeface="Cambria Math"/>
                        <a:ea typeface="Cambria Math"/>
                      </a:rPr>
                      <m:t>𝑺𝑪𝑬</m:t>
                    </m:r>
                  </m:oMath>
                </m:oMathPara>
              </a14:m>
              <a:endParaRPr lang="es-CO" sz="1100" b="1">
                <a:latin typeface="Arial" panose="020B0604020202020204" pitchFamily="34" charset="0"/>
                <a:ea typeface="Cambria Math"/>
                <a:cs typeface="Arial" panose="020B0604020202020204" pitchFamily="34" charset="0"/>
              </a:endParaRPr>
            </a:p>
            <a:p>
              <a:endParaRPr lang="es-CO" sz="1100" b="1">
                <a:latin typeface="Arial" panose="020B0604020202020204" pitchFamily="34" charset="0"/>
                <a:cs typeface="Arial" panose="020B0604020202020204" pitchFamily="34" charset="0"/>
              </a:endParaRPr>
            </a:p>
          </xdr:txBody>
        </xdr:sp>
      </mc:Choice>
      <mc:Fallback xmlns="">
        <xdr:sp macro="" textlink="">
          <xdr:nvSpPr>
            <xdr:cNvPr id="2" name="2 CuadroTexto">
              <a:extLst>
                <a:ext uri="{FF2B5EF4-FFF2-40B4-BE49-F238E27FC236}">
                  <a16:creationId xmlns:a16="http://schemas.microsoft.com/office/drawing/2014/main" id="{F118922E-5AE2-4E44-AF57-CFD4865D2832}"/>
                </a:ext>
              </a:extLst>
            </xdr:cNvPr>
            <xdr:cNvSpPr txBox="1"/>
          </xdr:nvSpPr>
          <xdr:spPr>
            <a:xfrm>
              <a:off x="4510934" y="1978957"/>
              <a:ext cx="2182904" cy="5580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r>
                <a:rPr lang="es-CO" sz="1100" b="1" i="0">
                  <a:latin typeface="Cambria Math"/>
                </a:rPr>
                <a:t>𝑪𝒓</a:t>
              </a:r>
              <a:r>
                <a:rPr lang="es-CO" sz="1100" b="1" i="0">
                  <a:latin typeface="Cambria Math"/>
                  <a:ea typeface="Cambria Math"/>
                </a:rPr>
                <a:t>=𝑪𝑶</a:t>
              </a:r>
              <a:r>
                <a:rPr lang="es-CO" sz="1100" b="1" i="0">
                  <a:latin typeface="Cambria Math" panose="02040503050406030204" pitchFamily="18" charset="0"/>
                  <a:ea typeface="Cambria Math"/>
                </a:rPr>
                <a:t>[((</a:t>
              </a:r>
              <a:r>
                <a:rPr lang="es-CO" sz="1100" b="1" i="0">
                  <a:latin typeface="Cambria Math"/>
                  <a:ea typeface="Cambria Math"/>
                </a:rPr>
                <a:t>𝑬+𝑪𝑻+𝑪𝑭</a:t>
              </a:r>
              <a:r>
                <a:rPr lang="es-CO" sz="1100" b="1" i="0">
                  <a:latin typeface="Cambria Math" panose="02040503050406030204" pitchFamily="18" charset="0"/>
                  <a:ea typeface="Cambria Math"/>
                </a:rPr>
                <a:t>))/</a:t>
              </a:r>
              <a:r>
                <a:rPr lang="es-CO" sz="1100" b="1" i="0">
                  <a:latin typeface="Cambria Math"/>
                  <a:ea typeface="Cambria Math"/>
                </a:rPr>
                <a:t>𝟏𝟎𝟎</a:t>
              </a:r>
              <a:r>
                <a:rPr lang="es-CO" sz="1100" b="1" i="0">
                  <a:latin typeface="Cambria Math" panose="02040503050406030204" pitchFamily="18" charset="0"/>
                  <a:ea typeface="Cambria Math"/>
                </a:rPr>
                <a:t>]</a:t>
              </a:r>
              <a:r>
                <a:rPr lang="es-CO" sz="1100" b="1" i="0">
                  <a:latin typeface="Cambria Math"/>
                  <a:ea typeface="Cambria Math"/>
                </a:rPr>
                <a:t>−𝑺𝑪𝑬</a:t>
              </a:r>
              <a:endParaRPr lang="es-CO" sz="1100" b="1">
                <a:latin typeface="Arial" panose="020B0604020202020204" pitchFamily="34" charset="0"/>
                <a:ea typeface="Cambria Math"/>
                <a:cs typeface="Arial" panose="020B0604020202020204" pitchFamily="34" charset="0"/>
              </a:endParaRPr>
            </a:p>
            <a:p>
              <a:endParaRPr lang="es-CO" sz="1100" b="1">
                <a:latin typeface="Arial" panose="020B0604020202020204" pitchFamily="34" charset="0"/>
                <a:cs typeface="Arial" panose="020B0604020202020204" pitchFamily="34" charset="0"/>
              </a:endParaRPr>
            </a:p>
          </xdr:txBody>
        </xdr:sp>
      </mc:Fallback>
    </mc:AlternateContent>
    <xdr:clientData/>
  </xdr:oneCellAnchor>
  <xdr:twoCellAnchor editAs="oneCell">
    <xdr:from>
      <xdr:col>6</xdr:col>
      <xdr:colOff>320661</xdr:colOff>
      <xdr:row>0</xdr:row>
      <xdr:rowOff>83611</xdr:rowOff>
    </xdr:from>
    <xdr:to>
      <xdr:col>7</xdr:col>
      <xdr:colOff>427282</xdr:colOff>
      <xdr:row>4</xdr:row>
      <xdr:rowOff>103708</xdr:rowOff>
    </xdr:to>
    <xdr:pic>
      <xdr:nvPicPr>
        <xdr:cNvPr id="3" name="0 Imagen">
          <a:extLst>
            <a:ext uri="{FF2B5EF4-FFF2-40B4-BE49-F238E27FC236}">
              <a16:creationId xmlns:a16="http://schemas.microsoft.com/office/drawing/2014/main" id="{2B76EF5A-35DA-4282-8F4F-F4AE2404332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07086" y="83611"/>
          <a:ext cx="1303596" cy="66462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144385</xdr:colOff>
      <xdr:row>0</xdr:row>
      <xdr:rowOff>55761</xdr:rowOff>
    </xdr:from>
    <xdr:to>
      <xdr:col>3</xdr:col>
      <xdr:colOff>613867</xdr:colOff>
      <xdr:row>4</xdr:row>
      <xdr:rowOff>103408</xdr:rowOff>
    </xdr:to>
    <xdr:pic>
      <xdr:nvPicPr>
        <xdr:cNvPr id="2" name="0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89021" y="55761"/>
          <a:ext cx="1473937" cy="74037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222991</xdr:colOff>
      <xdr:row>0</xdr:row>
      <xdr:rowOff>101409</xdr:rowOff>
    </xdr:from>
    <xdr:to>
      <xdr:col>4</xdr:col>
      <xdr:colOff>1224638</xdr:colOff>
      <xdr:row>4</xdr:row>
      <xdr:rowOff>167409</xdr:rowOff>
    </xdr:to>
    <xdr:pic>
      <xdr:nvPicPr>
        <xdr:cNvPr id="2" name="0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28366" y="101409"/>
          <a:ext cx="1677922" cy="828000"/>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3175741</xdr:colOff>
      <xdr:row>0</xdr:row>
      <xdr:rowOff>63309</xdr:rowOff>
    </xdr:from>
    <xdr:to>
      <xdr:col>3</xdr:col>
      <xdr:colOff>338813</xdr:colOff>
      <xdr:row>4</xdr:row>
      <xdr:rowOff>129309</xdr:rowOff>
    </xdr:to>
    <xdr:pic>
      <xdr:nvPicPr>
        <xdr:cNvPr id="2" name="0 Imagen">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66266" y="63309"/>
          <a:ext cx="1677922" cy="828000"/>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430742</xdr:colOff>
      <xdr:row>0</xdr:row>
      <xdr:rowOff>84666</xdr:rowOff>
    </xdr:from>
    <xdr:to>
      <xdr:col>4</xdr:col>
      <xdr:colOff>444217</xdr:colOff>
      <xdr:row>4</xdr:row>
      <xdr:rowOff>150666</xdr:rowOff>
    </xdr:to>
    <xdr:pic>
      <xdr:nvPicPr>
        <xdr:cNvPr id="2" name="0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70575" y="84666"/>
          <a:ext cx="1675059" cy="828000"/>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2895600</xdr:colOff>
      <xdr:row>0</xdr:row>
      <xdr:rowOff>73080</xdr:rowOff>
    </xdr:from>
    <xdr:to>
      <xdr:col>2</xdr:col>
      <xdr:colOff>840957</xdr:colOff>
      <xdr:row>4</xdr:row>
      <xdr:rowOff>120727</xdr:rowOff>
    </xdr:to>
    <xdr:pic>
      <xdr:nvPicPr>
        <xdr:cNvPr id="2" name="0 Imagen">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19450" y="73080"/>
          <a:ext cx="1469607" cy="73344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29-GCT/22930-S-SP/U-Serv-Pub/Cmn-Serv-Pub/5_APSB/CONTRATACI&#211;N%202022/4.%20LA%20FLORIDA%20ALCANTARILLADO/INTERVENTOR&#205;A/EVALUACI&#211;N/ANEXO%20EVALUACION%20TECNICA%20CM20005051%20interventor&#237;a%20La%20Floridavf%208%20nov%20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ONENTES"/>
      <sheetName val="EXP. ACREDITADA"/>
      <sheetName val="PERSONAL"/>
      <sheetName val="RESUMEN"/>
      <sheetName val="ORDEN"/>
      <sheetName val="PUNTAJE EXPERIENCIA"/>
      <sheetName val="PUNTAJE PERSONAL"/>
      <sheetName val="FACTOR SOSTENIBILIDAD"/>
      <sheetName val="INDUSTRIA NACIONAL"/>
      <sheetName val="MUJERES"/>
      <sheetName val="MIPYME"/>
      <sheetName val="OBRAS INCONCLUSAS"/>
      <sheetName val="CONSORCIOS"/>
      <sheetName val="SMML"/>
    </sheetNames>
    <sheetDataSet>
      <sheetData sheetId="0">
        <row r="6">
          <cell r="A6" t="str">
            <v>SECRETARÍA DE SUMINISTROS Y SERVICIOS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8"/>
  <dimension ref="A2:P29"/>
  <sheetViews>
    <sheetView tabSelected="1" view="pageBreakPreview" zoomScaleNormal="100" zoomScaleSheetLayoutView="100" workbookViewId="0">
      <selection activeCell="G21" sqref="G21"/>
    </sheetView>
  </sheetViews>
  <sheetFormatPr baseColWidth="10" defaultColWidth="11.453125" defaultRowHeight="12.5" x14ac:dyDescent="0.35"/>
  <cols>
    <col min="1" max="1" width="4.81640625" style="1" customWidth="1"/>
    <col min="2" max="2" width="52.81640625" style="2" customWidth="1"/>
    <col min="3" max="3" width="15" style="2" customWidth="1"/>
    <col min="4" max="7" width="20.81640625" style="2" customWidth="1"/>
    <col min="8" max="10" width="5.1796875" style="3" customWidth="1"/>
    <col min="11" max="15" width="11.453125" style="2"/>
    <col min="16" max="16" width="112.26953125" style="2" customWidth="1"/>
    <col min="17" max="16384" width="11.453125" style="2"/>
  </cols>
  <sheetData>
    <row r="2" spans="1:16" ht="15.75" customHeight="1" x14ac:dyDescent="0.35"/>
    <row r="6" spans="1:16" s="5" customFormat="1" ht="12.75" customHeight="1" x14ac:dyDescent="0.35">
      <c r="A6" s="291" t="s">
        <v>62</v>
      </c>
      <c r="B6" s="291"/>
      <c r="C6" s="291"/>
      <c r="D6" s="291"/>
      <c r="E6" s="291"/>
      <c r="F6" s="291"/>
      <c r="G6" s="291"/>
      <c r="H6" s="4"/>
      <c r="I6" s="4"/>
      <c r="J6" s="4"/>
    </row>
    <row r="7" spans="1:16" s="5" customFormat="1" ht="7.5" customHeight="1" x14ac:dyDescent="0.35">
      <c r="A7" s="4"/>
      <c r="B7" s="4"/>
      <c r="C7" s="4"/>
      <c r="D7" s="4"/>
      <c r="E7" s="4"/>
      <c r="F7" s="4"/>
      <c r="G7" s="4"/>
      <c r="H7" s="4"/>
      <c r="I7" s="4"/>
      <c r="J7" s="4"/>
    </row>
    <row r="8" spans="1:16" s="5" customFormat="1" ht="13" x14ac:dyDescent="0.35">
      <c r="A8" s="292" t="s">
        <v>81</v>
      </c>
      <c r="B8" s="292"/>
      <c r="C8" s="292"/>
      <c r="D8" s="292"/>
      <c r="E8" s="292"/>
      <c r="F8" s="292"/>
      <c r="G8" s="292"/>
      <c r="H8" s="6"/>
      <c r="I8" s="6"/>
      <c r="J8" s="6"/>
    </row>
    <row r="9" spans="1:16" s="5" customFormat="1" ht="7.5" customHeight="1" x14ac:dyDescent="0.35">
      <c r="A9" s="4"/>
      <c r="B9" s="4"/>
      <c r="C9" s="4"/>
      <c r="D9" s="4"/>
      <c r="E9" s="4"/>
      <c r="F9" s="4"/>
      <c r="G9" s="4"/>
      <c r="H9" s="4"/>
      <c r="I9" s="4"/>
      <c r="J9" s="4"/>
    </row>
    <row r="10" spans="1:16" s="5" customFormat="1" ht="3.75" customHeight="1" x14ac:dyDescent="0.35">
      <c r="A10" s="292"/>
      <c r="B10" s="292"/>
      <c r="C10" s="292"/>
      <c r="D10" s="292"/>
      <c r="E10" s="292"/>
      <c r="F10" s="292"/>
      <c r="G10" s="292"/>
      <c r="H10" s="4"/>
      <c r="I10" s="4"/>
      <c r="J10" s="4"/>
    </row>
    <row r="11" spans="1:16" s="5" customFormat="1" ht="13" x14ac:dyDescent="0.35">
      <c r="A11" s="292" t="s">
        <v>82</v>
      </c>
      <c r="B11" s="292"/>
      <c r="C11" s="292"/>
      <c r="D11" s="292"/>
      <c r="E11" s="292"/>
      <c r="F11" s="292"/>
      <c r="G11" s="292"/>
      <c r="H11" s="7"/>
      <c r="I11" s="7"/>
      <c r="J11" s="7"/>
      <c r="P11" s="8" t="str">
        <f>A11</f>
        <v>"Construir obras complementarias del alcantarillado de la centralidad del corregimiento San Sebastián de Palmitas"</v>
      </c>
    </row>
    <row r="12" spans="1:16" s="5" customFormat="1" ht="6.75" customHeight="1" x14ac:dyDescent="0.35">
      <c r="A12" s="4"/>
      <c r="B12" s="4"/>
      <c r="C12" s="4"/>
      <c r="D12" s="4"/>
      <c r="E12" s="4"/>
      <c r="F12" s="4"/>
      <c r="G12" s="4"/>
      <c r="H12" s="4"/>
      <c r="I12" s="4"/>
      <c r="J12" s="4"/>
    </row>
    <row r="13" spans="1:16" s="5" customFormat="1" ht="12.75" customHeight="1" x14ac:dyDescent="0.35">
      <c r="A13" s="292" t="s">
        <v>0</v>
      </c>
      <c r="B13" s="292"/>
      <c r="C13" s="292"/>
      <c r="D13" s="292"/>
      <c r="E13" s="292"/>
      <c r="F13" s="292"/>
      <c r="G13" s="292"/>
      <c r="H13" s="6"/>
      <c r="I13" s="6"/>
      <c r="J13" s="6"/>
    </row>
    <row r="14" spans="1:16" s="5" customFormat="1" ht="13" x14ac:dyDescent="0.35">
      <c r="A14" s="4"/>
      <c r="B14" s="4"/>
      <c r="C14" s="4"/>
      <c r="D14" s="4"/>
      <c r="E14" s="4"/>
      <c r="F14" s="4"/>
      <c r="G14" s="4"/>
      <c r="H14" s="4"/>
      <c r="I14" s="4"/>
      <c r="J14" s="4"/>
    </row>
    <row r="15" spans="1:16" s="5" customFormat="1" ht="16.5" customHeight="1" x14ac:dyDescent="0.35">
      <c r="A15" s="293"/>
      <c r="B15" s="294" t="s">
        <v>1</v>
      </c>
      <c r="C15" s="294" t="s">
        <v>2</v>
      </c>
      <c r="D15" s="294" t="s">
        <v>3</v>
      </c>
      <c r="E15" s="294" t="s">
        <v>4</v>
      </c>
      <c r="F15" s="294" t="s">
        <v>5</v>
      </c>
      <c r="G15" s="294" t="s">
        <v>6</v>
      </c>
      <c r="H15" s="9"/>
      <c r="I15" s="9"/>
      <c r="J15" s="9"/>
    </row>
    <row r="16" spans="1:16" s="10" customFormat="1" ht="16.5" customHeight="1" x14ac:dyDescent="0.35">
      <c r="A16" s="293"/>
      <c r="B16" s="294"/>
      <c r="C16" s="294"/>
      <c r="D16" s="294"/>
      <c r="E16" s="294"/>
      <c r="F16" s="294"/>
      <c r="G16" s="294"/>
      <c r="H16" s="9"/>
      <c r="I16" s="9"/>
      <c r="J16" s="136" t="s">
        <v>64</v>
      </c>
    </row>
    <row r="17" spans="1:11" s="13" customFormat="1" x14ac:dyDescent="0.35">
      <c r="A17" s="169">
        <v>1</v>
      </c>
      <c r="B17" s="170" t="s">
        <v>98</v>
      </c>
      <c r="C17" s="171" t="s">
        <v>99</v>
      </c>
      <c r="D17" s="133" t="s">
        <v>66</v>
      </c>
      <c r="E17" s="133" t="s">
        <v>74</v>
      </c>
      <c r="F17" s="133" t="s">
        <v>75</v>
      </c>
      <c r="G17" s="133" t="s">
        <v>72</v>
      </c>
      <c r="H17" s="11"/>
      <c r="I17" s="9"/>
      <c r="J17" s="137">
        <v>1</v>
      </c>
      <c r="K17" s="12" t="s">
        <v>7</v>
      </c>
    </row>
    <row r="18" spans="1:11" s="13" customFormat="1" x14ac:dyDescent="0.35">
      <c r="A18" s="289">
        <v>2</v>
      </c>
      <c r="B18" s="287" t="s">
        <v>104</v>
      </c>
      <c r="C18" s="171" t="s">
        <v>100</v>
      </c>
      <c r="D18" s="133" t="s">
        <v>66</v>
      </c>
      <c r="E18" s="133" t="s">
        <v>77</v>
      </c>
      <c r="F18" s="133" t="s">
        <v>78</v>
      </c>
      <c r="G18" s="133" t="s">
        <v>70</v>
      </c>
      <c r="H18" s="11"/>
      <c r="I18" s="9"/>
      <c r="J18" s="137" t="s">
        <v>7</v>
      </c>
      <c r="K18" s="12" t="s">
        <v>7</v>
      </c>
    </row>
    <row r="19" spans="1:11" s="13" customFormat="1" x14ac:dyDescent="0.35">
      <c r="A19" s="290"/>
      <c r="B19" s="288"/>
      <c r="C19" s="171" t="s">
        <v>101</v>
      </c>
      <c r="D19" s="133" t="s">
        <v>66</v>
      </c>
      <c r="E19" s="133" t="s">
        <v>102</v>
      </c>
      <c r="F19" s="133" t="s">
        <v>103</v>
      </c>
      <c r="G19" s="133" t="s">
        <v>73</v>
      </c>
      <c r="H19" s="11"/>
      <c r="I19" s="9"/>
      <c r="J19" s="137"/>
      <c r="K19" s="12"/>
    </row>
    <row r="20" spans="1:11" s="13" customFormat="1" x14ac:dyDescent="0.35">
      <c r="A20" s="169">
        <v>3</v>
      </c>
      <c r="B20" s="172" t="s">
        <v>94</v>
      </c>
      <c r="C20" s="171" t="s">
        <v>105</v>
      </c>
      <c r="D20" s="133" t="s">
        <v>66</v>
      </c>
      <c r="E20" s="133" t="s">
        <v>74</v>
      </c>
      <c r="F20" s="133" t="s">
        <v>76</v>
      </c>
      <c r="G20" s="133" t="s">
        <v>70</v>
      </c>
      <c r="H20" s="11"/>
      <c r="I20" s="9"/>
      <c r="J20" s="137" t="s">
        <v>65</v>
      </c>
      <c r="K20" s="12" t="s">
        <v>7</v>
      </c>
    </row>
    <row r="21" spans="1:11" s="13" customFormat="1" x14ac:dyDescent="0.35">
      <c r="A21" s="169">
        <v>4</v>
      </c>
      <c r="B21" s="170" t="s">
        <v>95</v>
      </c>
      <c r="C21" s="171" t="s">
        <v>106</v>
      </c>
      <c r="D21" s="133" t="s">
        <v>66</v>
      </c>
      <c r="E21" s="133" t="s">
        <v>74</v>
      </c>
      <c r="F21" s="133" t="s">
        <v>76</v>
      </c>
      <c r="G21" s="133" t="s">
        <v>72</v>
      </c>
      <c r="H21" s="11"/>
      <c r="I21" s="9"/>
      <c r="J21" s="137" t="s">
        <v>65</v>
      </c>
      <c r="K21" s="12" t="s">
        <v>7</v>
      </c>
    </row>
    <row r="22" spans="1:11" s="13" customFormat="1" x14ac:dyDescent="0.35">
      <c r="A22" s="175">
        <v>5</v>
      </c>
      <c r="B22" s="172" t="s">
        <v>96</v>
      </c>
      <c r="C22" s="171" t="s">
        <v>107</v>
      </c>
      <c r="D22" s="133" t="s">
        <v>66</v>
      </c>
      <c r="E22" s="133" t="s">
        <v>71</v>
      </c>
      <c r="F22" s="133" t="s">
        <v>108</v>
      </c>
      <c r="G22" s="133" t="s">
        <v>72</v>
      </c>
      <c r="H22" s="11"/>
      <c r="I22" s="9"/>
      <c r="J22" s="137" t="s">
        <v>65</v>
      </c>
      <c r="K22" s="12" t="s">
        <v>7</v>
      </c>
    </row>
    <row r="23" spans="1:11" s="13" customFormat="1" ht="25" x14ac:dyDescent="0.35">
      <c r="A23" s="169">
        <v>6</v>
      </c>
      <c r="B23" s="138" t="s">
        <v>97</v>
      </c>
      <c r="C23" s="171" t="s">
        <v>111</v>
      </c>
      <c r="D23" s="133" t="s">
        <v>66</v>
      </c>
      <c r="E23" s="133" t="s">
        <v>109</v>
      </c>
      <c r="F23" s="133" t="s">
        <v>110</v>
      </c>
      <c r="G23" s="133" t="s">
        <v>73</v>
      </c>
      <c r="H23" s="11"/>
      <c r="I23" s="9"/>
      <c r="J23" s="137" t="s">
        <v>65</v>
      </c>
      <c r="K23" s="12" t="s">
        <v>7</v>
      </c>
    </row>
    <row r="24" spans="1:11" s="10" customFormat="1" x14ac:dyDescent="0.35">
      <c r="A24" s="125"/>
      <c r="B24" s="138"/>
      <c r="C24" s="127"/>
      <c r="D24" s="127"/>
      <c r="E24" s="127"/>
      <c r="F24" s="127"/>
      <c r="G24" s="127"/>
      <c r="H24" s="16"/>
      <c r="I24" s="16"/>
      <c r="J24" s="137"/>
    </row>
    <row r="25" spans="1:11" x14ac:dyDescent="0.35">
      <c r="B25" s="17"/>
      <c r="J25" s="137"/>
    </row>
    <row r="26" spans="1:11" x14ac:dyDescent="0.35">
      <c r="J26" s="137"/>
    </row>
    <row r="27" spans="1:11" x14ac:dyDescent="0.35">
      <c r="A27" s="17" t="s">
        <v>8</v>
      </c>
      <c r="B27" s="141" t="s">
        <v>68</v>
      </c>
      <c r="J27" s="137"/>
    </row>
    <row r="28" spans="1:11" x14ac:dyDescent="0.35">
      <c r="B28" s="141" t="s">
        <v>69</v>
      </c>
      <c r="J28" s="137"/>
    </row>
    <row r="29" spans="1:11" x14ac:dyDescent="0.35">
      <c r="J29" s="137"/>
    </row>
  </sheetData>
  <autoFilter ref="A16:F23" xr:uid="{00000000-0009-0000-0000-000000000000}">
    <sortState xmlns:xlrd2="http://schemas.microsoft.com/office/spreadsheetml/2017/richdata2" ref="A47:M48">
      <sortCondition ref="A14:A32"/>
    </sortState>
  </autoFilter>
  <mergeCells count="14">
    <mergeCell ref="B18:B19"/>
    <mergeCell ref="A18:A19"/>
    <mergeCell ref="A6:G6"/>
    <mergeCell ref="A8:G8"/>
    <mergeCell ref="A11:G11"/>
    <mergeCell ref="A13:G13"/>
    <mergeCell ref="A15:A16"/>
    <mergeCell ref="B15:B16"/>
    <mergeCell ref="C15:C16"/>
    <mergeCell ref="D15:D16"/>
    <mergeCell ref="E15:E16"/>
    <mergeCell ref="F15:F16"/>
    <mergeCell ref="G15:G16"/>
    <mergeCell ref="A10:G10"/>
  </mergeCells>
  <conditionalFormatting sqref="C24:G24">
    <cfRule type="cellIs" dxfId="249" priority="1" operator="equal">
      <formula>"NO CUMPLE"</formula>
    </cfRule>
  </conditionalFormatting>
  <dataValidations count="1">
    <dataValidation type="list" allowBlank="1" showInputMessage="1" showErrorMessage="1" sqref="G17:G23" xr:uid="{00000000-0002-0000-0000-000000000000}">
      <formula1>"MICRO EMPRESA,PEQUEÑA EMPRESA,MEDIANA EMPRESA,GRAN EMPRESA"</formula1>
    </dataValidation>
  </dataValidations>
  <printOptions horizontalCentered="1"/>
  <pageMargins left="0.19685039370078741" right="0.19685039370078741" top="0.59055118110236227" bottom="0.78740157480314965" header="0" footer="0"/>
  <pageSetup paperSize="3" scale="64" orientation="landscape" r:id="rId1"/>
  <headerFooter alignWithMargins="0">
    <oddFooter>&amp;CPágina &amp;P de &amp;N</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7"/>
  <dimension ref="A6:AD93"/>
  <sheetViews>
    <sheetView tabSelected="1" zoomScale="80" zoomScaleNormal="80" zoomScaleSheetLayoutView="110" workbookViewId="0">
      <selection activeCell="G21" sqref="G21"/>
    </sheetView>
  </sheetViews>
  <sheetFormatPr baseColWidth="10" defaultColWidth="11.453125" defaultRowHeight="12.5" outlineLevelRow="1" x14ac:dyDescent="0.35"/>
  <cols>
    <col min="1" max="1" width="8.453125" style="19" customWidth="1"/>
    <col min="2" max="2" width="10.453125" style="19" customWidth="1"/>
    <col min="3" max="3" width="56.26953125" style="19" customWidth="1"/>
    <col min="4" max="4" width="20.54296875" style="19" customWidth="1"/>
    <col min="5" max="5" width="17.26953125" style="19" customWidth="1"/>
    <col min="6" max="6" width="13.453125" style="19" customWidth="1"/>
    <col min="7" max="7" width="17.1796875" style="19" customWidth="1"/>
    <col min="8" max="8" width="15.1796875" style="19" customWidth="1"/>
    <col min="9" max="9" width="21" style="19" customWidth="1"/>
    <col min="10" max="10" width="14.81640625" style="19" customWidth="1"/>
    <col min="11" max="11" width="19.81640625" style="19" customWidth="1"/>
    <col min="12" max="12" width="20.453125" style="19" customWidth="1"/>
    <col min="13" max="13" width="18" style="19" customWidth="1"/>
    <col min="14" max="14" width="22" style="19" bestFit="1" customWidth="1"/>
    <col min="15" max="15" width="23.1796875" style="19" customWidth="1"/>
    <col min="16" max="16" width="15.81640625" style="19" customWidth="1"/>
    <col min="17" max="17" width="15.81640625" style="20" customWidth="1"/>
    <col min="18" max="20" width="11.453125" style="19"/>
    <col min="21" max="21" width="25.81640625" style="19" bestFit="1" customWidth="1"/>
    <col min="22" max="22" width="12.26953125" style="19" customWidth="1"/>
    <col min="23" max="16384" width="11.453125" style="19"/>
  </cols>
  <sheetData>
    <row r="6" spans="1:21" ht="14" x14ac:dyDescent="0.35">
      <c r="A6" s="295" t="s">
        <v>9</v>
      </c>
      <c r="B6" s="296"/>
      <c r="C6" s="296"/>
      <c r="D6" s="296"/>
      <c r="E6" s="296"/>
      <c r="F6" s="296"/>
      <c r="G6" s="296"/>
      <c r="H6" s="296"/>
      <c r="I6" s="296"/>
      <c r="J6" s="296"/>
      <c r="K6" s="296"/>
      <c r="L6" s="296"/>
      <c r="M6" s="296"/>
      <c r="N6" s="296"/>
      <c r="O6" s="296"/>
    </row>
    <row r="7" spans="1:21" s="23" customFormat="1" ht="17.25" customHeight="1" x14ac:dyDescent="0.35">
      <c r="A7" s="296" t="str">
        <f>+PROPONENTES!A8</f>
        <v>SELECCIÓN ABREVIADA DE MENOR CUANTÍA No. 9015314</v>
      </c>
      <c r="B7" s="296"/>
      <c r="C7" s="296"/>
      <c r="D7" s="296"/>
      <c r="E7" s="296"/>
      <c r="F7" s="296"/>
      <c r="G7" s="296"/>
      <c r="H7" s="296"/>
      <c r="I7" s="296"/>
      <c r="J7" s="296"/>
      <c r="K7" s="296"/>
      <c r="L7" s="296"/>
      <c r="M7" s="296"/>
      <c r="N7" s="296"/>
      <c r="O7" s="296"/>
      <c r="P7" s="21"/>
      <c r="Q7" s="22"/>
    </row>
    <row r="8" spans="1:21" s="27" customFormat="1" ht="7.5" customHeight="1" x14ac:dyDescent="0.35">
      <c r="A8" s="24"/>
      <c r="B8" s="25"/>
      <c r="C8" s="25"/>
      <c r="D8" s="24"/>
      <c r="E8" s="24"/>
      <c r="F8" s="24"/>
      <c r="G8" s="24"/>
      <c r="H8" s="24"/>
      <c r="I8" s="24"/>
      <c r="J8" s="24"/>
      <c r="K8" s="24"/>
      <c r="L8" s="24"/>
      <c r="M8" s="24"/>
      <c r="N8" s="24"/>
      <c r="O8" s="24"/>
      <c r="P8" s="24"/>
      <c r="Q8" s="26"/>
    </row>
    <row r="9" spans="1:21" s="23" customFormat="1" ht="15" customHeight="1" x14ac:dyDescent="0.35">
      <c r="A9" s="295" t="str">
        <f>+PROPONENTES!A11</f>
        <v>"Construir obras complementarias del alcantarillado de la centralidad del corregimiento San Sebastián de Palmitas"</v>
      </c>
      <c r="B9" s="295"/>
      <c r="C9" s="295"/>
      <c r="D9" s="295"/>
      <c r="E9" s="295"/>
      <c r="F9" s="295"/>
      <c r="G9" s="295"/>
      <c r="H9" s="295"/>
      <c r="I9" s="295"/>
      <c r="J9" s="295"/>
      <c r="K9" s="295"/>
      <c r="L9" s="295"/>
      <c r="M9" s="295"/>
      <c r="N9" s="295"/>
      <c r="O9" s="295"/>
      <c r="P9" s="28"/>
      <c r="Q9" s="22"/>
    </row>
    <row r="10" spans="1:21" s="27" customFormat="1" ht="7.5" customHeight="1" x14ac:dyDescent="0.35">
      <c r="A10" s="24"/>
      <c r="B10" s="25"/>
      <c r="C10" s="25"/>
      <c r="D10" s="24"/>
      <c r="E10" s="24"/>
      <c r="F10" s="24"/>
      <c r="G10" s="24"/>
      <c r="H10" s="24"/>
      <c r="I10" s="24"/>
      <c r="J10" s="24"/>
      <c r="K10" s="24"/>
      <c r="L10" s="24"/>
      <c r="M10" s="24"/>
      <c r="N10" s="24"/>
      <c r="O10" s="24"/>
      <c r="P10" s="24"/>
      <c r="Q10" s="26"/>
    </row>
    <row r="11" spans="1:21" s="30" customFormat="1" ht="17.25" customHeight="1" x14ac:dyDescent="0.35">
      <c r="A11" s="296" t="s">
        <v>11</v>
      </c>
      <c r="B11" s="296"/>
      <c r="C11" s="296"/>
      <c r="D11" s="296"/>
      <c r="E11" s="296"/>
      <c r="F11" s="296"/>
      <c r="G11" s="296"/>
      <c r="H11" s="296"/>
      <c r="I11" s="296"/>
      <c r="J11" s="296"/>
      <c r="K11" s="296"/>
      <c r="L11" s="296"/>
      <c r="M11" s="296"/>
      <c r="N11" s="296"/>
      <c r="O11" s="296"/>
      <c r="P11" s="21"/>
      <c r="Q11" s="29"/>
      <c r="S11" s="31"/>
    </row>
    <row r="12" spans="1:21" s="30" customFormat="1" ht="6.75" customHeight="1" thickBot="1" x14ac:dyDescent="0.4">
      <c r="A12" s="32"/>
      <c r="B12" s="32"/>
      <c r="C12" s="32"/>
      <c r="D12" s="32"/>
      <c r="E12" s="32"/>
      <c r="F12" s="32"/>
      <c r="G12" s="32"/>
      <c r="H12" s="32"/>
      <c r="I12" s="32"/>
      <c r="J12" s="32"/>
      <c r="K12" s="32"/>
      <c r="L12" s="32"/>
      <c r="M12" s="32"/>
      <c r="N12" s="32"/>
      <c r="O12" s="32"/>
      <c r="Q12" s="29"/>
    </row>
    <row r="13" spans="1:21" s="30" customFormat="1" ht="23" thickBot="1" x14ac:dyDescent="0.4">
      <c r="A13" s="297" t="s">
        <v>83</v>
      </c>
      <c r="B13" s="298"/>
      <c r="C13" s="298"/>
      <c r="D13" s="298"/>
      <c r="E13" s="298"/>
      <c r="F13" s="298"/>
      <c r="G13" s="298"/>
      <c r="H13" s="298"/>
      <c r="I13" s="298"/>
      <c r="J13" s="299"/>
      <c r="K13" s="33" t="s">
        <v>12</v>
      </c>
      <c r="L13" s="34">
        <v>721029</v>
      </c>
      <c r="M13" s="34">
        <v>721411</v>
      </c>
      <c r="N13" s="35">
        <v>721415</v>
      </c>
      <c r="O13" s="35">
        <v>811015</v>
      </c>
      <c r="P13" s="35">
        <v>831015</v>
      </c>
      <c r="Q13" s="29"/>
      <c r="R13" s="29"/>
      <c r="S13" s="31"/>
      <c r="T13" s="31"/>
      <c r="U13" s="31"/>
    </row>
    <row r="14" spans="1:21" s="30" customFormat="1" ht="23" thickBot="1" x14ac:dyDescent="0.4">
      <c r="A14" s="300"/>
      <c r="B14" s="301"/>
      <c r="C14" s="301"/>
      <c r="D14" s="301"/>
      <c r="E14" s="301"/>
      <c r="F14" s="301"/>
      <c r="G14" s="301"/>
      <c r="H14" s="301"/>
      <c r="I14" s="301"/>
      <c r="J14" s="302"/>
      <c r="K14" s="306" t="s">
        <v>13</v>
      </c>
      <c r="L14" s="307"/>
      <c r="M14" s="307"/>
      <c r="N14" s="308"/>
      <c r="O14" s="36">
        <v>5</v>
      </c>
      <c r="P14" s="29"/>
      <c r="Q14" s="29"/>
    </row>
    <row r="15" spans="1:21" s="30" customFormat="1" ht="60" customHeight="1" x14ac:dyDescent="0.35">
      <c r="A15" s="300"/>
      <c r="B15" s="301"/>
      <c r="C15" s="301"/>
      <c r="D15" s="301"/>
      <c r="E15" s="301"/>
      <c r="F15" s="301"/>
      <c r="G15" s="301"/>
      <c r="H15" s="301"/>
      <c r="I15" s="301"/>
      <c r="J15" s="302"/>
      <c r="K15" s="309" t="s">
        <v>14</v>
      </c>
      <c r="L15" s="311" t="s">
        <v>84</v>
      </c>
      <c r="M15" s="311"/>
      <c r="N15" s="311"/>
      <c r="O15" s="312"/>
      <c r="Q15" s="29"/>
    </row>
    <row r="16" spans="1:21" s="30" customFormat="1" ht="71.25" customHeight="1" thickBot="1" x14ac:dyDescent="0.4">
      <c r="A16" s="300"/>
      <c r="B16" s="301"/>
      <c r="C16" s="301"/>
      <c r="D16" s="301"/>
      <c r="E16" s="301"/>
      <c r="F16" s="301"/>
      <c r="G16" s="301"/>
      <c r="H16" s="301"/>
      <c r="I16" s="301"/>
      <c r="J16" s="302"/>
      <c r="K16" s="310"/>
      <c r="L16" s="313"/>
      <c r="M16" s="313"/>
      <c r="N16" s="313"/>
      <c r="O16" s="314"/>
      <c r="Q16" s="29"/>
    </row>
    <row r="17" spans="1:30" s="30" customFormat="1" ht="60" customHeight="1" thickBot="1" x14ac:dyDescent="0.4">
      <c r="A17" s="303"/>
      <c r="B17" s="304"/>
      <c r="C17" s="304"/>
      <c r="D17" s="304"/>
      <c r="E17" s="304"/>
      <c r="F17" s="304"/>
      <c r="G17" s="304"/>
      <c r="H17" s="304"/>
      <c r="I17" s="304"/>
      <c r="J17" s="305"/>
      <c r="K17" s="315" t="s">
        <v>15</v>
      </c>
      <c r="L17" s="316"/>
      <c r="M17" s="317"/>
      <c r="N17" s="37">
        <v>522182486</v>
      </c>
      <c r="O17" s="38">
        <f>N17/LOOKUP(2024,SMML!A:A,SMML!B:B)</f>
        <v>401.67883538461541</v>
      </c>
      <c r="Q17" s="29"/>
    </row>
    <row r="18" spans="1:30" s="39" customFormat="1" ht="12" thickBot="1" x14ac:dyDescent="0.4">
      <c r="B18" s="40"/>
      <c r="C18" s="40"/>
      <c r="D18" s="41"/>
      <c r="E18" s="41"/>
      <c r="F18" s="41"/>
      <c r="G18" s="41"/>
      <c r="H18" s="41"/>
      <c r="I18" s="41"/>
      <c r="J18" s="41"/>
      <c r="K18" s="41"/>
      <c r="L18" s="41"/>
      <c r="M18" s="41"/>
      <c r="N18" s="41"/>
      <c r="O18" s="42"/>
      <c r="Q18" s="43"/>
    </row>
    <row r="19" spans="1:30" s="30" customFormat="1" ht="32.25" customHeight="1" thickBot="1" x14ac:dyDescent="0.4">
      <c r="A19" s="44">
        <v>1</v>
      </c>
      <c r="B19" s="306" t="str">
        <f>LOOKUP(A19,PROPONENTES!$A$16:$A$23,PROPONENTES!$B$16:$B$23)</f>
        <v>C.T. 2 CONSTRUCCIONES S.A.S</v>
      </c>
      <c r="C19" s="307"/>
      <c r="D19" s="307"/>
      <c r="E19" s="307"/>
      <c r="F19" s="307"/>
      <c r="G19" s="333"/>
      <c r="H19" s="334" t="s">
        <v>16</v>
      </c>
      <c r="I19" s="335"/>
      <c r="J19" s="45">
        <f>+COUNTIFS(D22:D28,"&lt;&gt;",M22:M28,"&gt;0")</f>
        <v>4</v>
      </c>
      <c r="K19" s="46" t="s">
        <v>17</v>
      </c>
      <c r="L19" s="47">
        <f>+$O$17</f>
        <v>401.67883538461541</v>
      </c>
      <c r="M19" s="48" t="s">
        <v>18</v>
      </c>
      <c r="N19" s="336" t="str">
        <f>IF(AND(COUNTIFS(E22:E28,"S",M22:M28,"&gt;"&amp;0)&gt;0,R19="ok",AB19&gt;=1,M29&gt;=L19),"CUMPLE","NO CUMPLE")</f>
        <v>CUMPLE</v>
      </c>
      <c r="O19" s="337"/>
      <c r="P19" s="20">
        <f>A19</f>
        <v>1</v>
      </c>
      <c r="Q19" s="20">
        <f>VALUE(LOOKUP(A19,PROPONENTES!A:A,PROPONENTES!J:J))</f>
        <v>1</v>
      </c>
      <c r="R19" s="20" t="str">
        <f>IF(Q19=1,"ok",IF(AND(COUNTIF(U22:U28,"&gt;=0,5")&gt;=1,COUNTIFS(U22:U28,"&gt;=0,05")&gt;=IF(S19=1,Q19,Q19-1),S19&gt;=0.95),"ok","no"))</f>
        <v>ok</v>
      </c>
      <c r="S19" s="49">
        <f>SUM(S22:S28)</f>
        <v>0</v>
      </c>
      <c r="AA19" s="49">
        <v>0.01</v>
      </c>
      <c r="AB19" s="50">
        <f>COUNTIF(AB22:AB28,"&gt;="&amp;$AA$19)</f>
        <v>4</v>
      </c>
    </row>
    <row r="20" spans="1:30" s="52" customFormat="1" ht="24" customHeight="1" outlineLevel="1" x14ac:dyDescent="0.35">
      <c r="A20" s="338" t="s">
        <v>19</v>
      </c>
      <c r="B20" s="340" t="s">
        <v>20</v>
      </c>
      <c r="C20" s="342" t="s">
        <v>21</v>
      </c>
      <c r="D20" s="340" t="s">
        <v>22</v>
      </c>
      <c r="E20" s="340" t="s">
        <v>23</v>
      </c>
      <c r="F20" s="327" t="s">
        <v>24</v>
      </c>
      <c r="G20" s="344" t="s">
        <v>25</v>
      </c>
      <c r="H20" s="340" t="s">
        <v>26</v>
      </c>
      <c r="I20" s="344" t="s">
        <v>27</v>
      </c>
      <c r="J20" s="340" t="s">
        <v>28</v>
      </c>
      <c r="K20" s="344" t="s">
        <v>29</v>
      </c>
      <c r="L20" s="344" t="s">
        <v>30</v>
      </c>
      <c r="M20" s="327" t="s">
        <v>31</v>
      </c>
      <c r="N20" s="327" t="s">
        <v>32</v>
      </c>
      <c r="O20" s="328"/>
      <c r="P20" s="51"/>
      <c r="Q20" s="51"/>
      <c r="R20" s="51"/>
      <c r="S20" s="51"/>
      <c r="T20" s="51"/>
      <c r="U20" s="51"/>
      <c r="V20" s="51"/>
      <c r="W20" s="51"/>
      <c r="X20" s="51"/>
      <c r="Y20" s="51"/>
      <c r="Z20" s="51"/>
      <c r="AA20" s="51"/>
      <c r="AB20" s="51"/>
      <c r="AC20" s="51"/>
      <c r="AD20" s="51"/>
    </row>
    <row r="21" spans="1:30" s="52" customFormat="1" ht="24" customHeight="1" outlineLevel="1" thickBot="1" x14ac:dyDescent="0.4">
      <c r="A21" s="339"/>
      <c r="B21" s="341"/>
      <c r="C21" s="341"/>
      <c r="D21" s="343"/>
      <c r="E21" s="341"/>
      <c r="F21" s="329"/>
      <c r="G21" s="344"/>
      <c r="H21" s="343"/>
      <c r="I21" s="345"/>
      <c r="J21" s="343"/>
      <c r="K21" s="345"/>
      <c r="L21" s="345"/>
      <c r="M21" s="329"/>
      <c r="N21" s="329"/>
      <c r="O21" s="330"/>
      <c r="P21" s="51"/>
      <c r="R21" s="53"/>
    </row>
    <row r="22" spans="1:30" ht="25" outlineLevel="1" x14ac:dyDescent="0.35">
      <c r="A22" s="54"/>
      <c r="B22" s="144">
        <v>11</v>
      </c>
      <c r="C22" s="139" t="s">
        <v>112</v>
      </c>
      <c r="D22" s="145" t="s">
        <v>113</v>
      </c>
      <c r="E22" s="146" t="s">
        <v>79</v>
      </c>
      <c r="F22" s="188" t="s">
        <v>119</v>
      </c>
      <c r="G22" s="194"/>
      <c r="H22" s="189"/>
      <c r="I22" s="57">
        <v>70179350</v>
      </c>
      <c r="J22" s="142">
        <v>1</v>
      </c>
      <c r="K22" s="179">
        <v>41943</v>
      </c>
      <c r="L22" s="180">
        <f>IFERROR(IF(I22="","",ROUND(I22/LOOKUP(YEAR(K22),SMML!$A$2:$A$48,SMML!$B$2:$B$48),2)),"")</f>
        <v>113.93</v>
      </c>
      <c r="M22" s="181">
        <v>114</v>
      </c>
      <c r="N22" s="331"/>
      <c r="O22" s="332"/>
      <c r="P22" s="134"/>
      <c r="Q22" s="19"/>
      <c r="R22" s="20">
        <f>IF(M22&lt;&gt;0,G22,0)</f>
        <v>0</v>
      </c>
      <c r="S22" s="49" t="str">
        <f>IFERROR(INDEX(G22:H28,MATCH(R22,G22:G28,0),2),"")</f>
        <v/>
      </c>
      <c r="T22" s="59">
        <f>SUMIF(G22:G28,R22,M22:M28)</f>
        <v>0</v>
      </c>
      <c r="U22" s="49">
        <f>T22/L19</f>
        <v>0</v>
      </c>
      <c r="V22" s="20">
        <f>G22</f>
        <v>0</v>
      </c>
      <c r="W22" s="19">
        <f>IFERROR(IF(SUMIF(G22:G28,V22,H22:H28)/COUNTIF(G22:G28,V22)=INDEX(R22:S28,MATCH(G22,R22:R28,0),2),1,2),1)</f>
        <v>1</v>
      </c>
      <c r="Y22" s="20" t="str">
        <f>IF(R22=0,"",P19&amp;"-"&amp;COUNTIF(R22:R22,"&lt;&gt;0")*1)</f>
        <v/>
      </c>
      <c r="Z22" s="19" t="str">
        <f>IF(M22&gt;0,IF(D22="",D21,D22),"")</f>
        <v>161-SO-2014</v>
      </c>
      <c r="AA22" s="60">
        <f t="shared" ref="AA22:AA27" si="0">IF(Z23=Z22,IF(M22="",0,M22)+AA23,IF(M22="",0,M22))</f>
        <v>114</v>
      </c>
      <c r="AB22" s="61">
        <f>AA22/$O$17</f>
        <v>0.28380882923752443</v>
      </c>
    </row>
    <row r="23" spans="1:30" outlineLevel="1" x14ac:dyDescent="0.35">
      <c r="A23" s="62"/>
      <c r="B23" s="55">
        <v>31</v>
      </c>
      <c r="C23" s="63" t="s">
        <v>114</v>
      </c>
      <c r="D23" s="55" t="s">
        <v>115</v>
      </c>
      <c r="E23" s="64" t="s">
        <v>79</v>
      </c>
      <c r="F23" s="190" t="s">
        <v>120</v>
      </c>
      <c r="G23" s="195"/>
      <c r="H23" s="192"/>
      <c r="I23" s="67">
        <v>45441989</v>
      </c>
      <c r="J23" s="66">
        <v>1</v>
      </c>
      <c r="K23" s="68">
        <v>42360</v>
      </c>
      <c r="L23" s="58">
        <f>IFERROR(IF(I23="","",ROUND(I23/LOOKUP(YEAR(K23),SMML!$A$2:$A$48,SMML!$B$2:$B$48),2)),"")</f>
        <v>70.52</v>
      </c>
      <c r="M23" s="182">
        <v>71</v>
      </c>
      <c r="N23" s="318"/>
      <c r="O23" s="319"/>
      <c r="P23" s="20"/>
      <c r="Q23" s="19"/>
      <c r="R23" s="20">
        <f>IF(AND(COUNTIF(R22:R22,G23)&lt;1,M23&gt;0),G23,0)</f>
        <v>0</v>
      </c>
      <c r="S23" s="49" t="str">
        <f>IFERROR(INDEX(G22:H28,MATCH(R23,G22:G28,0),2),"")</f>
        <v/>
      </c>
      <c r="T23" s="59">
        <f>SUMIF(G22:G28,R23,M22:M28)</f>
        <v>0</v>
      </c>
      <c r="U23" s="49">
        <f>T23/L19</f>
        <v>0</v>
      </c>
      <c r="V23" s="20">
        <f t="shared" ref="V23:V28" si="1">G23</f>
        <v>0</v>
      </c>
      <c r="W23" s="19">
        <f>IFERROR(IF(SUMIF(G22:G28,V23,H22:H28)/COUNTIF(G22:G28,V23)=INDEX(R22:S28,MATCH(G23,R22:R28,0),2),1,2),1)</f>
        <v>1</v>
      </c>
      <c r="Y23" s="20" t="str">
        <f>IF(R23=0,"",P19&amp;"-"&amp;COUNTIF(R22:R23,"&lt;&gt;0")*1)</f>
        <v/>
      </c>
      <c r="Z23" s="19" t="str">
        <f t="shared" ref="Z23:Z28" si="2">IF(M23&gt;0,IF(D23="",D22,D23),"")</f>
        <v>012 DE 2015</v>
      </c>
      <c r="AA23" s="60">
        <f t="shared" si="0"/>
        <v>71</v>
      </c>
      <c r="AB23" s="61">
        <f t="shared" ref="AB23:AB28" si="3">AA23/$O$17</f>
        <v>0.17675813049003714</v>
      </c>
    </row>
    <row r="24" spans="1:30" ht="25" outlineLevel="1" x14ac:dyDescent="0.35">
      <c r="A24" s="62"/>
      <c r="B24" s="55">
        <v>42</v>
      </c>
      <c r="C24" s="63" t="s">
        <v>116</v>
      </c>
      <c r="D24" s="55" t="s">
        <v>118</v>
      </c>
      <c r="E24" s="64" t="s">
        <v>143</v>
      </c>
      <c r="F24" s="190" t="s">
        <v>121</v>
      </c>
      <c r="G24" s="196"/>
      <c r="H24" s="192"/>
      <c r="I24" s="67">
        <v>27144000</v>
      </c>
      <c r="J24" s="66">
        <v>1</v>
      </c>
      <c r="K24" s="68">
        <v>40624</v>
      </c>
      <c r="L24" s="58">
        <f>IFERROR(IF(I24="","",ROUND(I24/LOOKUP(YEAR(K24),SMML!$A$2:$A$48,SMML!$B$2:$B$48),2)),"")</f>
        <v>50.68</v>
      </c>
      <c r="M24" s="182">
        <v>51</v>
      </c>
      <c r="N24" s="318" t="s">
        <v>144</v>
      </c>
      <c r="O24" s="319"/>
      <c r="P24" s="20"/>
      <c r="Q24" s="19"/>
      <c r="R24" s="20">
        <f>IF(AND(COUNTIF(R22:R23,G24)&lt;1,M24&gt;0),G24,0)</f>
        <v>0</v>
      </c>
      <c r="S24" s="49" t="str">
        <f>IFERROR(INDEX(G22:H28,MATCH(R24,G22:G28,0),2),"")</f>
        <v/>
      </c>
      <c r="T24" s="59">
        <f>SUMIF(G22:G28,R24,M22:M28)</f>
        <v>0</v>
      </c>
      <c r="U24" s="49">
        <f>T24/L19</f>
        <v>0</v>
      </c>
      <c r="V24" s="20">
        <f t="shared" si="1"/>
        <v>0</v>
      </c>
      <c r="W24" s="19">
        <f>IFERROR(IF(SUMIF(G22:G28,V24,H22:H28)/COUNTIF(G22:G28,V24)=INDEX(R22:S28,MATCH(G24,R22:R28,0),2),1,2),1)</f>
        <v>1</v>
      </c>
      <c r="Y24" s="20" t="str">
        <f>IF(R24=0,"",P19&amp;"-"&amp;COUNTIF(R22:R24,"&lt;&gt;0")*1)</f>
        <v/>
      </c>
      <c r="Z24" s="19" t="str">
        <f t="shared" si="2"/>
        <v>0S-022 DE 2011</v>
      </c>
      <c r="AA24" s="60">
        <f t="shared" si="0"/>
        <v>51</v>
      </c>
      <c r="AB24" s="61">
        <f t="shared" si="3"/>
        <v>0.12696710781678724</v>
      </c>
    </row>
    <row r="25" spans="1:30" ht="25" outlineLevel="1" x14ac:dyDescent="0.35">
      <c r="A25" s="62"/>
      <c r="B25" s="55">
        <v>67</v>
      </c>
      <c r="C25" s="63" t="s">
        <v>116</v>
      </c>
      <c r="D25" s="55" t="s">
        <v>117</v>
      </c>
      <c r="E25" s="64" t="s">
        <v>79</v>
      </c>
      <c r="F25" s="190" t="s">
        <v>122</v>
      </c>
      <c r="G25" s="196"/>
      <c r="H25" s="192"/>
      <c r="I25" s="67">
        <v>193957570</v>
      </c>
      <c r="J25" s="66">
        <v>1</v>
      </c>
      <c r="K25" s="68">
        <v>43764</v>
      </c>
      <c r="L25" s="58">
        <f>IFERROR(IF(I25="","",ROUND(I25/LOOKUP(YEAR(K25),SMML!$A$2:$A$48,SMML!$B$2:$B$48),2)),"")</f>
        <v>234.22</v>
      </c>
      <c r="M25" s="182">
        <v>234.21</v>
      </c>
      <c r="N25" s="318"/>
      <c r="O25" s="319"/>
      <c r="P25" s="20"/>
      <c r="Q25" s="19"/>
      <c r="R25" s="20">
        <f>IF(AND(COUNTIF(R22:R24,G25)&lt;1,M25&gt;0),G25,0)</f>
        <v>0</v>
      </c>
      <c r="S25" s="49" t="str">
        <f>IFERROR(INDEX(G22:H28,MATCH(R25,G22:G28,0),2),"")</f>
        <v/>
      </c>
      <c r="T25" s="59">
        <f>SUMIF(G22:G28,R25,M22:M28)</f>
        <v>0</v>
      </c>
      <c r="U25" s="49">
        <f>T25/L19</f>
        <v>0</v>
      </c>
      <c r="V25" s="20">
        <f t="shared" si="1"/>
        <v>0</v>
      </c>
      <c r="W25" s="19">
        <f>IFERROR(IF(SUMIF(G22:G28,V25,H22:H28)/COUNTIF(G22:G28,V25)=INDEX(R22:S28,MATCH(G25,R22:R28,0),2),1,2),1)</f>
        <v>1</v>
      </c>
      <c r="Y25" s="20" t="str">
        <f>IF(R25=0,"",P19&amp;"-"&amp;COUNTIF(R22:R25,"&lt;&gt;0")*1)</f>
        <v/>
      </c>
      <c r="Z25" s="19" t="str">
        <f t="shared" si="2"/>
        <v>CONTRATO CW-69851 DE 2019</v>
      </c>
      <c r="AA25" s="60">
        <f t="shared" si="0"/>
        <v>234.21</v>
      </c>
      <c r="AB25" s="61">
        <f t="shared" si="3"/>
        <v>0.58307777101509295</v>
      </c>
    </row>
    <row r="26" spans="1:30" ht="42" customHeight="1" outlineLevel="1" x14ac:dyDescent="0.35">
      <c r="A26" s="62"/>
      <c r="B26" s="55"/>
      <c r="C26" s="63"/>
      <c r="D26" s="55"/>
      <c r="E26" s="64"/>
      <c r="F26" s="190"/>
      <c r="G26" s="196"/>
      <c r="H26" s="192"/>
      <c r="I26" s="67"/>
      <c r="J26" s="66"/>
      <c r="K26" s="68"/>
      <c r="L26" s="58" t="str">
        <f>IFERROR(IF(I26="","",ROUND(I26/LOOKUP(YEAR(K26),SMML!$A$2:$A$48,SMML!$B$2:$B$48),2)),"")</f>
        <v/>
      </c>
      <c r="M26" s="182" t="str">
        <f>IFERROR(IF(AND(E26="S",COUNTIF($L$13:$R$13,F26)&gt;=1),L26*J26,""),"")</f>
        <v/>
      </c>
      <c r="N26" s="318" t="s">
        <v>148</v>
      </c>
      <c r="O26" s="319"/>
      <c r="P26" s="20"/>
      <c r="Q26" s="19"/>
      <c r="R26" s="20">
        <f>IF(AND(COUNTIF(R22:R25,G26)&lt;1,M26&gt;0),G26,0)</f>
        <v>0</v>
      </c>
      <c r="S26" s="49" t="str">
        <f>IFERROR(INDEX(G22:H28,MATCH(R26,G22:G28,0),2),"")</f>
        <v/>
      </c>
      <c r="T26" s="59">
        <f>SUMIF(G22:G28,R26,M22:M28)</f>
        <v>0</v>
      </c>
      <c r="U26" s="49">
        <f>T26/L19</f>
        <v>0</v>
      </c>
      <c r="V26" s="20">
        <f t="shared" si="1"/>
        <v>0</v>
      </c>
      <c r="W26" s="19">
        <f>IFERROR(IF(SUMIF(G22:G28,V26,H22:H28)/COUNTIF(G22:G28,V26)=INDEX(R22:S28,MATCH(G26,R22:R28,0),2),1,2),1)</f>
        <v>1</v>
      </c>
      <c r="Y26" s="20" t="str">
        <f>IF(R26=0,"",P19&amp;"-"&amp;COUNTIF(R22:R26,"&lt;&gt;0")*1)</f>
        <v/>
      </c>
      <c r="Z26" s="19" t="str">
        <f t="shared" si="2"/>
        <v>CONTRATO CW-69851 DE 2019</v>
      </c>
      <c r="AA26" s="60">
        <f t="shared" si="0"/>
        <v>0</v>
      </c>
      <c r="AB26" s="61">
        <f t="shared" si="3"/>
        <v>0</v>
      </c>
    </row>
    <row r="27" spans="1:30" outlineLevel="1" x14ac:dyDescent="0.35">
      <c r="A27" s="62"/>
      <c r="B27" s="55"/>
      <c r="C27" s="63"/>
      <c r="D27" s="55"/>
      <c r="E27" s="64"/>
      <c r="F27" s="190"/>
      <c r="G27" s="196"/>
      <c r="H27" s="192"/>
      <c r="I27" s="67"/>
      <c r="J27" s="66"/>
      <c r="K27" s="68"/>
      <c r="L27" s="58" t="str">
        <f>IFERROR(IF(I27="","",ROUND(I27/LOOKUP(YEAR(K27),SMML!$A$2:$A$48,SMML!$B$2:$B$48),2)),"")</f>
        <v/>
      </c>
      <c r="M27" s="182" t="str">
        <f>IFERROR(IF(AND(E27="S",COUNTIF($L$13:$R$13,F27)&gt;=1),L27*J27,""),"")</f>
        <v/>
      </c>
      <c r="N27" s="318"/>
      <c r="O27" s="319"/>
      <c r="P27" s="20"/>
      <c r="Q27" s="19"/>
      <c r="R27" s="20">
        <f>IF(AND(COUNTIF(R22:R26,G27)&lt;1,M27&gt;0),G27,0)</f>
        <v>0</v>
      </c>
      <c r="S27" s="49" t="str">
        <f>IFERROR(INDEX(G22:H28,MATCH(R27,G22:G28,0),2),"")</f>
        <v/>
      </c>
      <c r="T27" s="59">
        <f>SUMIF(G22:G28,R27,M22:M28)</f>
        <v>0</v>
      </c>
      <c r="U27" s="49">
        <f>T27/L19</f>
        <v>0</v>
      </c>
      <c r="V27" s="20">
        <f t="shared" si="1"/>
        <v>0</v>
      </c>
      <c r="W27" s="19">
        <f>IFERROR(IF(SUMIF(G22:G28,V27,H22:H28)/COUNTIF(G22:G28,V27)=INDEX(R22:S28,MATCH(G27,R22:R28,0),2),1,2),1)</f>
        <v>1</v>
      </c>
      <c r="Y27" s="20" t="str">
        <f>IF(R27=0,"",P19&amp;"-"&amp;COUNTIF(R22:R27,"&lt;&gt;0")*1)</f>
        <v/>
      </c>
      <c r="Z27" s="19">
        <f t="shared" si="2"/>
        <v>0</v>
      </c>
      <c r="AA27" s="60">
        <f t="shared" si="0"/>
        <v>0</v>
      </c>
      <c r="AB27" s="61">
        <f t="shared" si="3"/>
        <v>0</v>
      </c>
    </row>
    <row r="28" spans="1:30" ht="13" outlineLevel="1" thickBot="1" x14ac:dyDescent="0.4">
      <c r="A28" s="69"/>
      <c r="B28" s="70"/>
      <c r="C28" s="71"/>
      <c r="D28" s="70"/>
      <c r="E28" s="72"/>
      <c r="F28" s="191"/>
      <c r="G28" s="197"/>
      <c r="H28" s="193"/>
      <c r="I28" s="75"/>
      <c r="J28" s="74"/>
      <c r="K28" s="76"/>
      <c r="L28" s="77" t="str">
        <f>IFERROR(IF(I28="","",ROUND(I28/LOOKUP(YEAR(K28),SMML!$A$2:$A$48,SMML!$B$2:$B$48),2)),"")</f>
        <v/>
      </c>
      <c r="M28" s="183" t="str">
        <f>IFERROR(IF(AND(E28="S",COUNTIF($L$13:$R$13,F28)&gt;=1),L28*J28,""),"")</f>
        <v/>
      </c>
      <c r="N28" s="320"/>
      <c r="O28" s="321"/>
      <c r="P28" s="20"/>
      <c r="Q28" s="19"/>
      <c r="R28" s="20">
        <f>IF(AND(COUNTIF(R22:R27,G28)&lt;1,M28&gt;0),G28,0)</f>
        <v>0</v>
      </c>
      <c r="S28" s="49" t="str">
        <f>IFERROR(INDEX(G22:H28,MATCH(R28,G22:G28,0),2),"")</f>
        <v/>
      </c>
      <c r="T28" s="59">
        <f>SUMIF(G22:G28,R28,M22:M28)</f>
        <v>0</v>
      </c>
      <c r="U28" s="49">
        <f>T28/L19</f>
        <v>0</v>
      </c>
      <c r="V28" s="20">
        <f t="shared" si="1"/>
        <v>0</v>
      </c>
      <c r="W28" s="19">
        <f>IFERROR(IF(SUMIF(G22:G28,V28,H22:H28)/COUNTIF(G22:G28,V28)=INDEX(R22:S28,MATCH(G28,R22:R28,0),2),1,2),1)</f>
        <v>1</v>
      </c>
      <c r="Y28" s="20" t="str">
        <f>IF(R28=0,"",P19&amp;"-"&amp;COUNTIF(R22:R28,"&lt;&gt;0")*1)</f>
        <v/>
      </c>
      <c r="Z28" s="19">
        <f t="shared" si="2"/>
        <v>0</v>
      </c>
      <c r="AA28" s="60">
        <f>IF(M28="",0,M28)</f>
        <v>0</v>
      </c>
      <c r="AB28" s="61">
        <f t="shared" si="3"/>
        <v>0</v>
      </c>
    </row>
    <row r="29" spans="1:30" ht="25.5" customHeight="1" thickBot="1" x14ac:dyDescent="0.4">
      <c r="E29" s="176"/>
      <c r="H29" s="177">
        <f>S19</f>
        <v>0</v>
      </c>
      <c r="I29" s="322"/>
      <c r="J29" s="323"/>
      <c r="K29" s="324"/>
      <c r="L29" s="78" t="s">
        <v>33</v>
      </c>
      <c r="M29" s="79">
        <f>SUM(M22:M28)</f>
        <v>470.21000000000004</v>
      </c>
      <c r="N29" s="325" t="str">
        <f>IF(R19="no","NO CUMPLE CONDICIÓN DEL CONSORCIO","")</f>
        <v/>
      </c>
      <c r="O29" s="326"/>
      <c r="Q29" s="19"/>
    </row>
    <row r="30" spans="1:30" s="39" customFormat="1" ht="12" thickBot="1" x14ac:dyDescent="0.4">
      <c r="B30" s="40"/>
      <c r="C30" s="40"/>
      <c r="D30" s="41"/>
      <c r="E30" s="41"/>
      <c r="F30" s="41"/>
      <c r="G30" s="41"/>
      <c r="H30" s="41"/>
      <c r="I30" s="41"/>
      <c r="J30" s="41"/>
      <c r="K30" s="41"/>
      <c r="L30" s="41"/>
      <c r="M30" s="41"/>
      <c r="N30" s="41"/>
      <c r="O30" s="42"/>
      <c r="Q30" s="43"/>
    </row>
    <row r="31" spans="1:30" s="30" customFormat="1" ht="32.25" customHeight="1" thickBot="1" x14ac:dyDescent="0.4">
      <c r="A31" s="44">
        <f>+A19+1</f>
        <v>2</v>
      </c>
      <c r="B31" s="306" t="str">
        <f>LOOKUP(A31,PROPONENTES!$A$16:$A$23,PROPONENTES!$B$16:$B$23)</f>
        <v>CONSORCIO OBRAS MC (COINAR - CONSULTORES INGENIEROS Y ARQUITECTOS LTDA (70%) y MATMAR CONSTRUCCIONES S.A.S. (30%))</v>
      </c>
      <c r="C31" s="307"/>
      <c r="D31" s="307"/>
      <c r="E31" s="307"/>
      <c r="F31" s="307"/>
      <c r="G31" s="333"/>
      <c r="H31" s="334" t="s">
        <v>16</v>
      </c>
      <c r="I31" s="335"/>
      <c r="J31" s="45">
        <f>+COUNTIFS(D34:D40,"&lt;&gt;",M34:M40,"&gt;0")</f>
        <v>2</v>
      </c>
      <c r="K31" s="46" t="s">
        <v>17</v>
      </c>
      <c r="L31" s="47">
        <f>+$O$17</f>
        <v>401.67883538461541</v>
      </c>
      <c r="M31" s="48" t="s">
        <v>18</v>
      </c>
      <c r="N31" s="336" t="str">
        <f>IF(AND(COUNTIFS(E34:E40,"S",M34:M40,"&gt;"&amp;0)&gt;0,R31="ok",AB31&gt;=1,M41&gt;=L31),"CUMPLE","NO CUMPLE")</f>
        <v>CUMPLE</v>
      </c>
      <c r="O31" s="337"/>
      <c r="P31" s="20">
        <f>A31</f>
        <v>2</v>
      </c>
      <c r="Q31" s="20">
        <f>VALUE(LOOKUP(A31,PROPONENTES!A:A,PROPONENTES!J:J))</f>
        <v>2</v>
      </c>
      <c r="R31" s="20" t="str">
        <f>IF(Q31=1,"ok",IF(AND(COUNTIF(U34:U40,"&gt;=0,5")&gt;=1,COUNTIFS(U34:U40,"&gt;=0,05")&gt;=IF(S31=1,Q31,Q31-1),S31&gt;=0.95),"ok","no"))</f>
        <v>ok</v>
      </c>
      <c r="S31" s="49">
        <f>SUM(S34:S40)</f>
        <v>1</v>
      </c>
      <c r="AA31" s="49">
        <v>0.01</v>
      </c>
      <c r="AB31" s="50">
        <f>COUNTIF(AB34:AB40,"&gt;="&amp;$AA$19)</f>
        <v>2</v>
      </c>
    </row>
    <row r="32" spans="1:30" s="52" customFormat="1" ht="24" customHeight="1" outlineLevel="1" x14ac:dyDescent="0.35">
      <c r="A32" s="338" t="s">
        <v>19</v>
      </c>
      <c r="B32" s="340" t="s">
        <v>20</v>
      </c>
      <c r="C32" s="342" t="s">
        <v>21</v>
      </c>
      <c r="D32" s="340" t="s">
        <v>22</v>
      </c>
      <c r="E32" s="340" t="s">
        <v>23</v>
      </c>
      <c r="F32" s="327" t="s">
        <v>24</v>
      </c>
      <c r="G32" s="344" t="s">
        <v>25</v>
      </c>
      <c r="H32" s="340" t="s">
        <v>26</v>
      </c>
      <c r="I32" s="344" t="s">
        <v>27</v>
      </c>
      <c r="J32" s="340" t="s">
        <v>28</v>
      </c>
      <c r="K32" s="344" t="s">
        <v>29</v>
      </c>
      <c r="L32" s="344" t="s">
        <v>30</v>
      </c>
      <c r="M32" s="327" t="s">
        <v>31</v>
      </c>
      <c r="N32" s="327" t="s">
        <v>32</v>
      </c>
      <c r="O32" s="328"/>
      <c r="P32" s="51"/>
      <c r="Q32" s="51"/>
      <c r="R32" s="51"/>
      <c r="S32" s="51"/>
      <c r="T32" s="51"/>
      <c r="U32" s="51"/>
      <c r="V32" s="51"/>
      <c r="W32" s="51"/>
      <c r="X32" s="51"/>
      <c r="Y32" s="51"/>
      <c r="Z32" s="51"/>
      <c r="AA32" s="51"/>
      <c r="AB32" s="51"/>
      <c r="AC32" s="51"/>
      <c r="AD32" s="51"/>
    </row>
    <row r="33" spans="1:30" s="52" customFormat="1" ht="24" customHeight="1" outlineLevel="1" thickBot="1" x14ac:dyDescent="0.4">
      <c r="A33" s="339"/>
      <c r="B33" s="341"/>
      <c r="C33" s="341"/>
      <c r="D33" s="343"/>
      <c r="E33" s="341"/>
      <c r="F33" s="329"/>
      <c r="G33" s="345"/>
      <c r="H33" s="343"/>
      <c r="I33" s="345"/>
      <c r="J33" s="343"/>
      <c r="K33" s="345"/>
      <c r="L33" s="345"/>
      <c r="M33" s="329"/>
      <c r="N33" s="329"/>
      <c r="O33" s="330"/>
      <c r="P33" s="51"/>
      <c r="R33" s="53"/>
    </row>
    <row r="34" spans="1:30" ht="37.5" outlineLevel="1" x14ac:dyDescent="0.35">
      <c r="A34" s="54"/>
      <c r="B34" s="144">
        <v>4</v>
      </c>
      <c r="C34" s="139" t="s">
        <v>123</v>
      </c>
      <c r="D34" s="145" t="s">
        <v>124</v>
      </c>
      <c r="E34" s="146" t="s">
        <v>79</v>
      </c>
      <c r="F34" s="178" t="s">
        <v>122</v>
      </c>
      <c r="G34" s="56" t="s">
        <v>126</v>
      </c>
      <c r="H34" s="142">
        <v>0.7</v>
      </c>
      <c r="I34" s="57">
        <v>3955722834</v>
      </c>
      <c r="J34" s="142">
        <v>0.35</v>
      </c>
      <c r="K34" s="179">
        <v>45169</v>
      </c>
      <c r="L34" s="180">
        <f>IFERROR(IF(I34="","",ROUND(I34/LOOKUP(YEAR(K34),SMML!$A$2:$A$48,SMML!$B$2:$B$48),2)),"")</f>
        <v>3410.11</v>
      </c>
      <c r="M34" s="181">
        <f>3410.1*0.35</f>
        <v>1193.5349999999999</v>
      </c>
      <c r="N34" s="331"/>
      <c r="O34" s="332"/>
      <c r="P34" s="134"/>
      <c r="Q34" s="19"/>
      <c r="R34" s="20" t="str">
        <f>IF(M34&lt;&gt;0,G34,0)</f>
        <v>MATMAR CONSTRUCCIONES S.A.S.</v>
      </c>
      <c r="S34" s="49">
        <f>IFERROR(INDEX(G34:H40,MATCH(R34,G34:G40,0),2),"")</f>
        <v>0.7</v>
      </c>
      <c r="T34" s="59">
        <f>SUMIF(G34:G40,R34,M34:M40)</f>
        <v>1193.5349999999999</v>
      </c>
      <c r="U34" s="49">
        <f>T34/L31</f>
        <v>2.9713664123158656</v>
      </c>
      <c r="V34" s="20" t="str">
        <f>G34</f>
        <v>MATMAR CONSTRUCCIONES S.A.S.</v>
      </c>
      <c r="W34" s="19">
        <f>IFERROR(IF(SUMIF(G34:G40,V34,H34:H40)/COUNTIF(G34:G40,V34)=INDEX(R34:S40,MATCH(G34,R34:R40,0),2),1,2),1)</f>
        <v>1</v>
      </c>
      <c r="Y34" s="20" t="str">
        <f>IF(R34=0,"",P31&amp;"-"&amp;COUNTIF(R34:R34,"&lt;&gt;0")*1)</f>
        <v>2-1</v>
      </c>
      <c r="Z34" s="19" t="str">
        <f>IF(M34&gt;0,IF(D34="",D33,D34),"")</f>
        <v>072-2022</v>
      </c>
      <c r="AA34" s="60">
        <f t="shared" ref="AA34:AA39" si="4">IF(Z35=Z34,IF(M34="",0,M34)+AA35,IF(M34="",0,M34))</f>
        <v>1193.5349999999999</v>
      </c>
      <c r="AB34" s="61">
        <f>AA34/$O$17</f>
        <v>2.9713664123158656</v>
      </c>
    </row>
    <row r="35" spans="1:30" ht="62.5" outlineLevel="1" x14ac:dyDescent="0.35">
      <c r="A35" s="62"/>
      <c r="B35" s="55">
        <v>40</v>
      </c>
      <c r="C35" s="63" t="s">
        <v>123</v>
      </c>
      <c r="D35" s="55" t="s">
        <v>125</v>
      </c>
      <c r="E35" s="64" t="s">
        <v>79</v>
      </c>
      <c r="F35" s="55" t="s">
        <v>122</v>
      </c>
      <c r="G35" s="65" t="s">
        <v>127</v>
      </c>
      <c r="H35" s="66">
        <v>0.3</v>
      </c>
      <c r="I35" s="67">
        <v>419429415</v>
      </c>
      <c r="J35" s="66">
        <v>0.98</v>
      </c>
      <c r="K35" s="68">
        <v>39633</v>
      </c>
      <c r="L35" s="58">
        <f>IFERROR(IF(I35="","",ROUND(I35/LOOKUP(YEAR(K35),SMML!$A$2:$A$48,SMML!$B$2:$B$48),2)),"")</f>
        <v>908.84</v>
      </c>
      <c r="M35" s="182">
        <f>908.83*0.98</f>
        <v>890.65340000000003</v>
      </c>
      <c r="N35" s="318" t="s">
        <v>144</v>
      </c>
      <c r="O35" s="319"/>
      <c r="P35" s="20"/>
      <c r="Q35" s="19"/>
      <c r="R35" s="20" t="str">
        <f>IF(AND(COUNTIF(R34:R34,G35)&lt;1,M35&gt;0),G35,0)</f>
        <v>COINAR . CONSULTORES  INGENIEROS Y ARQUITECTOS LTDA</v>
      </c>
      <c r="S35" s="49">
        <f>IFERROR(INDEX(G34:H40,MATCH(R35,G34:G40,0),2),"")</f>
        <v>0.3</v>
      </c>
      <c r="T35" s="59">
        <f>SUMIF(G34:G40,R35,M34:M40)</f>
        <v>890.65340000000003</v>
      </c>
      <c r="U35" s="49">
        <f>T35/L31</f>
        <v>2.2173271816703557</v>
      </c>
      <c r="V35" s="20" t="str">
        <f t="shared" ref="V35:V40" si="5">G35</f>
        <v>COINAR . CONSULTORES  INGENIEROS Y ARQUITECTOS LTDA</v>
      </c>
      <c r="W35" s="19">
        <f>IFERROR(IF(SUMIF(G34:G40,V35,H34:H40)/COUNTIF(G34:G40,V35)=INDEX(R34:S40,MATCH(G35,R34:R40,0),2),1,2),1)</f>
        <v>1</v>
      </c>
      <c r="Y35" s="20" t="str">
        <f>IF(R35=0,"",P31&amp;"-"&amp;COUNTIF(R34:R35,"&lt;&gt;0")*1)</f>
        <v>2-2</v>
      </c>
      <c r="Z35" s="19" t="str">
        <f t="shared" ref="Z35:Z40" si="6">IF(M35&gt;0,IF(D35="",D34,D35),"")</f>
        <v>150-2007</v>
      </c>
      <c r="AA35" s="60">
        <f t="shared" si="4"/>
        <v>890.65340000000003</v>
      </c>
      <c r="AB35" s="61">
        <f t="shared" ref="AB35:AB40" si="7">AA35/$O$17</f>
        <v>2.2173271816703557</v>
      </c>
    </row>
    <row r="36" spans="1:30" outlineLevel="1" x14ac:dyDescent="0.35">
      <c r="A36" s="62"/>
      <c r="B36" s="55"/>
      <c r="C36" s="63"/>
      <c r="D36" s="55"/>
      <c r="E36" s="64"/>
      <c r="F36" s="55"/>
      <c r="G36" s="65"/>
      <c r="H36" s="66"/>
      <c r="I36" s="67"/>
      <c r="J36" s="66"/>
      <c r="K36" s="68"/>
      <c r="L36" s="58" t="str">
        <f>IFERROR(IF(I36="","",ROUND(I36/LOOKUP(YEAR(K36),SMML!$A$2:$A$48,SMML!$B$2:$B$48),2)),"")</f>
        <v/>
      </c>
      <c r="M36" s="182" t="str">
        <f>IFERROR(IF(AND(E36="S",COUNTIF($L$13:$R$13,F36)&gt;=1),L36*J36,""),"")</f>
        <v/>
      </c>
      <c r="N36" s="346"/>
      <c r="O36" s="347"/>
      <c r="P36" s="20"/>
      <c r="Q36" s="19"/>
      <c r="R36" s="20">
        <f>IF(AND(COUNTIF(R34:R35,G36)&lt;1,M36&gt;0),G36,0)</f>
        <v>0</v>
      </c>
      <c r="S36" s="49" t="str">
        <f>IFERROR(INDEX(G34:H40,MATCH(R36,G34:G40,0),2),"")</f>
        <v/>
      </c>
      <c r="T36" s="59">
        <f>SUMIF(G34:G40,R36,M34:M40)</f>
        <v>0</v>
      </c>
      <c r="U36" s="49">
        <f>T36/L31</f>
        <v>0</v>
      </c>
      <c r="V36" s="20">
        <f t="shared" si="5"/>
        <v>0</v>
      </c>
      <c r="W36" s="19">
        <f>IFERROR(IF(SUMIF(G34:G40,V36,H34:H40)/COUNTIF(G34:G40,V36)=INDEX(R34:S40,MATCH(G36,R34:R40,0),2),1,2),1)</f>
        <v>1</v>
      </c>
      <c r="Y36" s="20" t="str">
        <f>IF(R36=0,"",P31&amp;"-"&amp;COUNTIF(R34:R36,"&lt;&gt;0")*1)</f>
        <v/>
      </c>
      <c r="Z36" s="19" t="str">
        <f t="shared" si="6"/>
        <v>150-2007</v>
      </c>
      <c r="AA36" s="60">
        <f t="shared" si="4"/>
        <v>0</v>
      </c>
      <c r="AB36" s="61">
        <f t="shared" si="7"/>
        <v>0</v>
      </c>
    </row>
    <row r="37" spans="1:30" outlineLevel="1" x14ac:dyDescent="0.35">
      <c r="A37" s="62"/>
      <c r="B37" s="55"/>
      <c r="C37" s="63"/>
      <c r="D37" s="55"/>
      <c r="E37" s="64"/>
      <c r="F37" s="55"/>
      <c r="G37" s="65"/>
      <c r="H37" s="66"/>
      <c r="I37" s="67"/>
      <c r="J37" s="66"/>
      <c r="K37" s="68"/>
      <c r="L37" s="58" t="str">
        <f>IFERROR(IF(I37="","",ROUND(I37/LOOKUP(YEAR(K37),SMML!$A$2:$A$48,SMML!$B$2:$B$48),2)),"")</f>
        <v/>
      </c>
      <c r="M37" s="182" t="str">
        <f>IFERROR(IF(AND(E37="S",COUNTIF($L$13:$R$13,F37)&gt;=1),L37*J37,""),"")</f>
        <v/>
      </c>
      <c r="N37" s="318"/>
      <c r="O37" s="319"/>
      <c r="P37" s="20"/>
      <c r="Q37" s="19"/>
      <c r="R37" s="20">
        <f>IF(AND(COUNTIF(R34:R36,G37)&lt;1,M37&gt;0),G37,0)</f>
        <v>0</v>
      </c>
      <c r="S37" s="49" t="str">
        <f>IFERROR(INDEX(G34:H40,MATCH(R37,G34:G40,0),2),"")</f>
        <v/>
      </c>
      <c r="T37" s="59">
        <f>SUMIF(G34:G40,R37,M34:M40)</f>
        <v>0</v>
      </c>
      <c r="U37" s="49">
        <f>T37/L31</f>
        <v>0</v>
      </c>
      <c r="V37" s="20">
        <f t="shared" si="5"/>
        <v>0</v>
      </c>
      <c r="W37" s="19">
        <f>IFERROR(IF(SUMIF(G34:G40,V37,H34:H40)/COUNTIF(G34:G40,V37)=INDEX(R34:S40,MATCH(G37,R34:R40,0),2),1,2),1)</f>
        <v>1</v>
      </c>
      <c r="Y37" s="20" t="str">
        <f>IF(R37=0,"",P31&amp;"-"&amp;COUNTIF(R34:R37,"&lt;&gt;0")*1)</f>
        <v/>
      </c>
      <c r="Z37" s="19">
        <f t="shared" si="6"/>
        <v>0</v>
      </c>
      <c r="AA37" s="60">
        <f t="shared" si="4"/>
        <v>0</v>
      </c>
      <c r="AB37" s="61">
        <f t="shared" si="7"/>
        <v>0</v>
      </c>
    </row>
    <row r="38" spans="1:30" outlineLevel="1" x14ac:dyDescent="0.35">
      <c r="A38" s="62"/>
      <c r="B38" s="55"/>
      <c r="C38" s="63"/>
      <c r="D38" s="55"/>
      <c r="E38" s="64"/>
      <c r="F38" s="55"/>
      <c r="G38" s="65"/>
      <c r="H38" s="66"/>
      <c r="I38" s="67"/>
      <c r="J38" s="66"/>
      <c r="K38" s="68"/>
      <c r="L38" s="58" t="str">
        <f>IFERROR(IF(I38="","",ROUND(I38/LOOKUP(YEAR(K38),SMML!$A$2:$A$48,SMML!$B$2:$B$48),2)),"")</f>
        <v/>
      </c>
      <c r="M38" s="182" t="str">
        <f>IFERROR(IF(AND(E38="S",COUNTIF($L$13:$R$13,F38)&gt;=1),L38*J38,""),"")</f>
        <v/>
      </c>
      <c r="N38" s="318"/>
      <c r="O38" s="319"/>
      <c r="P38" s="20"/>
      <c r="Q38" s="19"/>
      <c r="R38" s="20">
        <f>IF(AND(COUNTIF(R34:R37,G38)&lt;1,M38&gt;0),G38,0)</f>
        <v>0</v>
      </c>
      <c r="S38" s="49" t="str">
        <f>IFERROR(INDEX(G34:H40,MATCH(R38,G34:G40,0),2),"")</f>
        <v/>
      </c>
      <c r="T38" s="59">
        <f>SUMIF(G34:G40,R38,M34:M40)</f>
        <v>0</v>
      </c>
      <c r="U38" s="49">
        <f>T38/L31</f>
        <v>0</v>
      </c>
      <c r="V38" s="20">
        <f t="shared" si="5"/>
        <v>0</v>
      </c>
      <c r="W38" s="19">
        <f>IFERROR(IF(SUMIF(G34:G40,V38,H34:H40)/COUNTIF(G34:G40,V38)=INDEX(R34:S40,MATCH(G38,R34:R40,0),2),1,2),1)</f>
        <v>1</v>
      </c>
      <c r="Y38" s="20" t="str">
        <f>IF(R38=0,"",P31&amp;"-"&amp;COUNTIF(R34:R38,"&lt;&gt;0")*1)</f>
        <v/>
      </c>
      <c r="Z38" s="19">
        <f t="shared" si="6"/>
        <v>0</v>
      </c>
      <c r="AA38" s="60">
        <f t="shared" si="4"/>
        <v>0</v>
      </c>
      <c r="AB38" s="61">
        <f t="shared" si="7"/>
        <v>0</v>
      </c>
    </row>
    <row r="39" spans="1:30" outlineLevel="1" x14ac:dyDescent="0.35">
      <c r="A39" s="62"/>
      <c r="B39" s="55"/>
      <c r="C39" s="63"/>
      <c r="D39" s="55"/>
      <c r="E39" s="64"/>
      <c r="F39" s="55"/>
      <c r="G39" s="65"/>
      <c r="H39" s="66"/>
      <c r="I39" s="67"/>
      <c r="J39" s="66"/>
      <c r="K39" s="68"/>
      <c r="L39" s="58" t="str">
        <f>IFERROR(IF(I39="","",ROUND(I39/LOOKUP(YEAR(K39),SMML!$A$2:$A$48,SMML!$B$2:$B$48),2)),"")</f>
        <v/>
      </c>
      <c r="M39" s="182" t="str">
        <f>IFERROR(IF(AND(E39="S",COUNTIF($L$13:$R$13,F39)&gt;=1),L39*J39,""),"")</f>
        <v/>
      </c>
      <c r="N39" s="318"/>
      <c r="O39" s="319"/>
      <c r="P39" s="20"/>
      <c r="Q39" s="19"/>
      <c r="R39" s="20">
        <f>IF(AND(COUNTIF(R34:R38,G39)&lt;1,M39&gt;0),G39,0)</f>
        <v>0</v>
      </c>
      <c r="S39" s="49" t="str">
        <f>IFERROR(INDEX(G34:H40,MATCH(R39,G34:G40,0),2),"")</f>
        <v/>
      </c>
      <c r="T39" s="59">
        <f>SUMIF(G34:G40,R39,M34:M40)</f>
        <v>0</v>
      </c>
      <c r="U39" s="49">
        <f>T39/L31</f>
        <v>0</v>
      </c>
      <c r="V39" s="20">
        <f t="shared" si="5"/>
        <v>0</v>
      </c>
      <c r="W39" s="19">
        <f>IFERROR(IF(SUMIF(G34:G40,V39,H34:H40)/COUNTIF(G34:G40,V39)=INDEX(R34:S40,MATCH(G39,R34:R40,0),2),1,2),1)</f>
        <v>1</v>
      </c>
      <c r="Y39" s="20" t="str">
        <f>IF(R39=0,"",P31&amp;"-"&amp;COUNTIF(R34:R39,"&lt;&gt;0")*1)</f>
        <v/>
      </c>
      <c r="Z39" s="19">
        <f t="shared" si="6"/>
        <v>0</v>
      </c>
      <c r="AA39" s="60">
        <f t="shared" si="4"/>
        <v>0</v>
      </c>
      <c r="AB39" s="61">
        <f t="shared" si="7"/>
        <v>0</v>
      </c>
    </row>
    <row r="40" spans="1:30" ht="13" outlineLevel="1" thickBot="1" x14ac:dyDescent="0.4">
      <c r="A40" s="69"/>
      <c r="B40" s="70"/>
      <c r="C40" s="71"/>
      <c r="D40" s="70"/>
      <c r="E40" s="72"/>
      <c r="F40" s="70"/>
      <c r="G40" s="73"/>
      <c r="H40" s="74"/>
      <c r="I40" s="75"/>
      <c r="J40" s="74"/>
      <c r="K40" s="76"/>
      <c r="L40" s="77" t="str">
        <f>IFERROR(IF(I40="","",ROUND(I40/LOOKUP(YEAR(K40),SMML!$A$2:$A$48,SMML!$B$2:$B$48),2)),"")</f>
        <v/>
      </c>
      <c r="M40" s="183" t="str">
        <f>IFERROR(IF(AND(E40="S",COUNTIF($L$13:$R$13,F40)&gt;=1),L40*J40,""),"")</f>
        <v/>
      </c>
      <c r="N40" s="320"/>
      <c r="O40" s="321"/>
      <c r="P40" s="20"/>
      <c r="Q40" s="19"/>
      <c r="R40" s="20">
        <f>IF(AND(COUNTIF(R34:R39,G40)&lt;1,M40&gt;0),G40,0)</f>
        <v>0</v>
      </c>
      <c r="S40" s="49" t="str">
        <f>IFERROR(INDEX(G34:H40,MATCH(R40,G34:G40,0),2),"")</f>
        <v/>
      </c>
      <c r="T40" s="59">
        <f>SUMIF(G34:G40,R40,M34:M40)</f>
        <v>0</v>
      </c>
      <c r="U40" s="49">
        <f>T40/L31</f>
        <v>0</v>
      </c>
      <c r="V40" s="20">
        <f t="shared" si="5"/>
        <v>0</v>
      </c>
      <c r="W40" s="19">
        <f>IFERROR(IF(SUMIF(G34:G40,V40,H34:H40)/COUNTIF(G34:G40,V40)=INDEX(R34:S40,MATCH(G40,R34:R40,0),2),1,2),1)</f>
        <v>1</v>
      </c>
      <c r="Y40" s="20" t="str">
        <f>IF(R40=0,"",P31&amp;"-"&amp;COUNTIF(R34:R40,"&lt;&gt;0")*1)</f>
        <v/>
      </c>
      <c r="Z40" s="19">
        <f t="shared" si="6"/>
        <v>0</v>
      </c>
      <c r="AA40" s="60">
        <f>IF(M40="",0,M40)</f>
        <v>0</v>
      </c>
      <c r="AB40" s="61">
        <f t="shared" si="7"/>
        <v>0</v>
      </c>
    </row>
    <row r="41" spans="1:30" ht="25.5" customHeight="1" thickBot="1" x14ac:dyDescent="0.4">
      <c r="E41" s="176"/>
      <c r="H41" s="177">
        <f>S31</f>
        <v>1</v>
      </c>
      <c r="I41" s="322"/>
      <c r="J41" s="323"/>
      <c r="K41" s="324"/>
      <c r="L41" s="78" t="s">
        <v>33</v>
      </c>
      <c r="M41" s="79">
        <f>SUM(M34:M40)</f>
        <v>2084.1884</v>
      </c>
      <c r="N41" s="325" t="str">
        <f>IF(R31="no","NO CUMPLE CONDICIÓN DEL CONSORCIO","")</f>
        <v/>
      </c>
      <c r="O41" s="326"/>
      <c r="Q41" s="19"/>
    </row>
    <row r="42" spans="1:30" s="39" customFormat="1" ht="12" thickBot="1" x14ac:dyDescent="0.4">
      <c r="B42" s="40"/>
      <c r="C42" s="40"/>
      <c r="D42" s="41"/>
      <c r="E42" s="41"/>
      <c r="F42" s="41"/>
      <c r="G42" s="41"/>
      <c r="H42" s="41"/>
      <c r="I42" s="41"/>
      <c r="J42" s="41"/>
      <c r="K42" s="41"/>
      <c r="L42" s="41"/>
      <c r="M42" s="41"/>
      <c r="N42" s="41"/>
      <c r="O42" s="42"/>
      <c r="Q42" s="43"/>
    </row>
    <row r="43" spans="1:30" s="30" customFormat="1" ht="32.25" customHeight="1" thickBot="1" x14ac:dyDescent="0.4">
      <c r="A43" s="44">
        <f>+A31+1</f>
        <v>3</v>
      </c>
      <c r="B43" s="306" t="str">
        <f>LOOKUP(A43,PROPONENTES!$A$16:$A$23,PROPONENTES!$B$16:$B$23)</f>
        <v>MEGACONSTRUCCIONES Y EQUIPOS S.A.S</v>
      </c>
      <c r="C43" s="307"/>
      <c r="D43" s="307"/>
      <c r="E43" s="307"/>
      <c r="F43" s="307"/>
      <c r="G43" s="333"/>
      <c r="H43" s="334" t="s">
        <v>16</v>
      </c>
      <c r="I43" s="335"/>
      <c r="J43" s="45">
        <f>+COUNTIFS(D46:D52,"&lt;&gt;",M46:M52,"&gt;0")</f>
        <v>2</v>
      </c>
      <c r="K43" s="46" t="s">
        <v>17</v>
      </c>
      <c r="L43" s="47">
        <f>+$O$17</f>
        <v>401.67883538461541</v>
      </c>
      <c r="M43" s="48" t="s">
        <v>18</v>
      </c>
      <c r="N43" s="336" t="str">
        <f>IF(AND(COUNTIFS(E46:E52,"S",M46:M52,"&gt;"&amp;0)&gt;0,R43="ok",AB43&gt;=1,M53&gt;=L43),"CUMPLE","NO CUMPLE")</f>
        <v>CUMPLE</v>
      </c>
      <c r="O43" s="337"/>
      <c r="P43" s="20">
        <f>A43</f>
        <v>3</v>
      </c>
      <c r="Q43" s="20">
        <f>VALUE(LOOKUP(A43,PROPONENTES!A:A,PROPONENTES!J:J))</f>
        <v>1</v>
      </c>
      <c r="R43" s="20" t="str">
        <f>IF(Q43=1,"ok",IF(AND(COUNTIF(U46:U52,"&gt;=0,5")&gt;=1,COUNTIFS(U46:U52,"&gt;=0,05")&gt;=IF(S43=1,Q43,Q43-1),S43&gt;=0.95),"ok","no"))</f>
        <v>ok</v>
      </c>
      <c r="S43" s="49">
        <f>SUM(S46:S52)</f>
        <v>0</v>
      </c>
      <c r="AA43" s="49">
        <v>0.01</v>
      </c>
      <c r="AB43" s="50">
        <f>COUNTIF(AB46:AB52,"&gt;="&amp;$AA$19)</f>
        <v>2</v>
      </c>
    </row>
    <row r="44" spans="1:30" s="52" customFormat="1" ht="24" customHeight="1" outlineLevel="1" x14ac:dyDescent="0.35">
      <c r="A44" s="338" t="s">
        <v>19</v>
      </c>
      <c r="B44" s="340" t="s">
        <v>20</v>
      </c>
      <c r="C44" s="342" t="s">
        <v>21</v>
      </c>
      <c r="D44" s="340" t="s">
        <v>22</v>
      </c>
      <c r="E44" s="340" t="s">
        <v>23</v>
      </c>
      <c r="F44" s="327" t="s">
        <v>24</v>
      </c>
      <c r="G44" s="344" t="s">
        <v>25</v>
      </c>
      <c r="H44" s="340" t="s">
        <v>26</v>
      </c>
      <c r="I44" s="344" t="s">
        <v>27</v>
      </c>
      <c r="J44" s="340" t="s">
        <v>28</v>
      </c>
      <c r="K44" s="344" t="s">
        <v>29</v>
      </c>
      <c r="L44" s="344" t="s">
        <v>30</v>
      </c>
      <c r="M44" s="327" t="s">
        <v>31</v>
      </c>
      <c r="N44" s="327" t="s">
        <v>32</v>
      </c>
      <c r="O44" s="328"/>
      <c r="P44" s="51"/>
      <c r="Q44" s="51"/>
      <c r="R44" s="51"/>
      <c r="S44" s="51"/>
      <c r="T44" s="51"/>
      <c r="U44" s="51"/>
      <c r="V44" s="51"/>
      <c r="W44" s="51"/>
      <c r="X44" s="51"/>
      <c r="Y44" s="51"/>
      <c r="Z44" s="51"/>
      <c r="AA44" s="51"/>
      <c r="AB44" s="51"/>
      <c r="AC44" s="51"/>
      <c r="AD44" s="51"/>
    </row>
    <row r="45" spans="1:30" s="52" customFormat="1" ht="24" customHeight="1" outlineLevel="1" thickBot="1" x14ac:dyDescent="0.4">
      <c r="A45" s="339"/>
      <c r="B45" s="341"/>
      <c r="C45" s="341"/>
      <c r="D45" s="343"/>
      <c r="E45" s="341"/>
      <c r="F45" s="329"/>
      <c r="G45" s="345"/>
      <c r="H45" s="343"/>
      <c r="I45" s="345"/>
      <c r="J45" s="343"/>
      <c r="K45" s="345"/>
      <c r="L45" s="345"/>
      <c r="M45" s="329"/>
      <c r="N45" s="329"/>
      <c r="O45" s="330"/>
      <c r="P45" s="51"/>
      <c r="R45" s="53"/>
    </row>
    <row r="46" spans="1:30" ht="25" outlineLevel="1" x14ac:dyDescent="0.35">
      <c r="A46" s="54"/>
      <c r="B46" s="144">
        <v>52</v>
      </c>
      <c r="C46" s="139" t="s">
        <v>128</v>
      </c>
      <c r="D46" s="145" t="s">
        <v>130</v>
      </c>
      <c r="E46" s="146" t="s">
        <v>79</v>
      </c>
      <c r="F46" s="178" t="s">
        <v>133</v>
      </c>
      <c r="G46" s="56"/>
      <c r="H46" s="142"/>
      <c r="I46" s="57">
        <v>4870231470</v>
      </c>
      <c r="J46" s="142">
        <v>1</v>
      </c>
      <c r="K46" s="179">
        <v>44927</v>
      </c>
      <c r="L46" s="180">
        <f>IFERROR(IF(I46="","",ROUND(I46/LOOKUP(YEAR(K46),SMML!$A$2:$A$48,SMML!$B$2:$B$48),2)),"")</f>
        <v>4198.4799999999996</v>
      </c>
      <c r="M46" s="181">
        <v>4198.47</v>
      </c>
      <c r="N46" s="331"/>
      <c r="O46" s="332"/>
      <c r="P46" s="134"/>
      <c r="Q46" s="19"/>
      <c r="R46" s="20">
        <f>IF(M46&lt;&gt;0,G46,0)</f>
        <v>0</v>
      </c>
      <c r="S46" s="49" t="str">
        <f>IFERROR(INDEX(G46:H52,MATCH(R46,G46:G52,0),2),"")</f>
        <v/>
      </c>
      <c r="T46" s="59">
        <f>SUMIF(G46:G52,R46,M46:M52)</f>
        <v>0</v>
      </c>
      <c r="U46" s="49">
        <f>T46/L43</f>
        <v>0</v>
      </c>
      <c r="V46" s="20">
        <f>G46</f>
        <v>0</v>
      </c>
      <c r="W46" s="19">
        <f>IFERROR(IF(SUMIF(G46:G52,V46,H46:H52)/COUNTIF(G46:G52,V46)=INDEX(R46:S52,MATCH(G46,R46:R52,0),2),1,2),1)</f>
        <v>1</v>
      </c>
      <c r="Y46" s="20" t="str">
        <f>IF(R46=0,"",P43&amp;"-"&amp;COUNTIF(R46:R46,"&lt;&gt;0")*1)</f>
        <v/>
      </c>
      <c r="Z46" s="19" t="str">
        <f>IF(M46&gt;0,IF(D46="",D45,D46),"")</f>
        <v>CO-2021-083</v>
      </c>
      <c r="AA46" s="60">
        <f t="shared" ref="AA46:AA51" si="8">IF(Z47=Z46,IF(M46="",0,M46)+AA47,IF(M46="",0,M46))</f>
        <v>4198.47</v>
      </c>
      <c r="AB46" s="61">
        <f>AA46/$O$17</f>
        <v>10.452305748147976</v>
      </c>
    </row>
    <row r="47" spans="1:30" ht="25.5" customHeight="1" outlineLevel="1" x14ac:dyDescent="0.35">
      <c r="A47" s="62"/>
      <c r="B47" s="55">
        <v>4</v>
      </c>
      <c r="C47" s="63" t="s">
        <v>129</v>
      </c>
      <c r="D47" s="55" t="s">
        <v>131</v>
      </c>
      <c r="E47" s="64" t="s">
        <v>79</v>
      </c>
      <c r="F47" s="55" t="s">
        <v>132</v>
      </c>
      <c r="G47" s="65"/>
      <c r="H47" s="66"/>
      <c r="I47" s="67">
        <v>2029786717</v>
      </c>
      <c r="J47" s="66">
        <v>0.5</v>
      </c>
      <c r="K47" s="68">
        <v>41883</v>
      </c>
      <c r="L47" s="58">
        <f>IFERROR(IF(I47="","",ROUND(I47/LOOKUP(YEAR(K47),SMML!$A$2:$A$48,SMML!$B$2:$B$48),2)),"")</f>
        <v>3295.11</v>
      </c>
      <c r="M47" s="182">
        <f>3295.11*0.5</f>
        <v>1647.5550000000001</v>
      </c>
      <c r="N47" s="318" t="s">
        <v>144</v>
      </c>
      <c r="O47" s="319"/>
      <c r="P47" s="20"/>
      <c r="Q47" s="19"/>
      <c r="R47" s="20">
        <f>IF(AND(COUNTIF(R46:R46,G47)&lt;1,M47&gt;0),G47,0)</f>
        <v>0</v>
      </c>
      <c r="S47" s="49" t="str">
        <f>IFERROR(INDEX(G46:H52,MATCH(R47,G46:G52,0),2),"")</f>
        <v/>
      </c>
      <c r="T47" s="59">
        <f>SUMIF(G46:G52,R47,M46:M52)</f>
        <v>0</v>
      </c>
      <c r="U47" s="49">
        <f>T47/L43</f>
        <v>0</v>
      </c>
      <c r="V47" s="20">
        <f t="shared" ref="V47:V52" si="9">G47</f>
        <v>0</v>
      </c>
      <c r="W47" s="19">
        <f>IFERROR(IF(SUMIF(G46:G52,V47,H46:H52)/COUNTIF(G46:G52,V47)=INDEX(R46:S52,MATCH(G47,R46:R52,0),2),1,2),1)</f>
        <v>1</v>
      </c>
      <c r="Y47" s="20" t="str">
        <f>IF(R47=0,"",P43&amp;"-"&amp;COUNTIF(R46:R47,"&lt;&gt;0")*1)</f>
        <v/>
      </c>
      <c r="Z47" s="19" t="str">
        <f t="shared" ref="Z47:Z52" si="10">IF(M47&gt;0,IF(D47="",D46,D47),"")</f>
        <v>2013-OO-37-0012</v>
      </c>
      <c r="AA47" s="60">
        <f t="shared" si="8"/>
        <v>1647.5550000000001</v>
      </c>
      <c r="AB47" s="61">
        <f t="shared" ref="AB47:AB52" si="11">AA47/$O$17</f>
        <v>4.1016724180213124</v>
      </c>
    </row>
    <row r="48" spans="1:30" outlineLevel="1" x14ac:dyDescent="0.35">
      <c r="A48" s="62"/>
      <c r="B48" s="55"/>
      <c r="C48" s="63"/>
      <c r="D48" s="55"/>
      <c r="E48" s="64"/>
      <c r="F48" s="55"/>
      <c r="G48" s="65"/>
      <c r="H48" s="66"/>
      <c r="I48" s="67"/>
      <c r="J48" s="66"/>
      <c r="K48" s="68"/>
      <c r="L48" s="58" t="str">
        <f>IFERROR(IF(I48="","",ROUND(I48/LOOKUP(YEAR(K48),SMML!$A$2:$A$48,SMML!$B$2:$B$48),2)),"")</f>
        <v/>
      </c>
      <c r="M48" s="182" t="str">
        <f>IFERROR(IF(AND(E48="S",COUNTIF($L$13:$R$13,F48)&gt;=1),L48*J48,""),"")</f>
        <v/>
      </c>
      <c r="N48" s="318"/>
      <c r="O48" s="319"/>
      <c r="P48" s="20"/>
      <c r="Q48" s="19"/>
      <c r="R48" s="20">
        <f>IF(AND(COUNTIF(R46:R47,G48)&lt;1,M48&gt;0),G48,0)</f>
        <v>0</v>
      </c>
      <c r="S48" s="49" t="str">
        <f>IFERROR(INDEX(G46:H52,MATCH(R48,G46:G52,0),2),"")</f>
        <v/>
      </c>
      <c r="T48" s="59">
        <f>SUMIF(G46:G52,R48,M46:M52)</f>
        <v>0</v>
      </c>
      <c r="U48" s="49">
        <f>T48/L43</f>
        <v>0</v>
      </c>
      <c r="V48" s="20">
        <f t="shared" si="9"/>
        <v>0</v>
      </c>
      <c r="W48" s="19">
        <f>IFERROR(IF(SUMIF(G46:G52,V48,H46:H52)/COUNTIF(G46:G52,V48)=INDEX(R46:S52,MATCH(G48,R46:R52,0),2),1,2),1)</f>
        <v>1</v>
      </c>
      <c r="Y48" s="20" t="str">
        <f>IF(R48=0,"",P43&amp;"-"&amp;COUNTIF(R46:R48,"&lt;&gt;0")*1)</f>
        <v/>
      </c>
      <c r="Z48" s="19" t="str">
        <f t="shared" si="10"/>
        <v>2013-OO-37-0012</v>
      </c>
      <c r="AA48" s="60">
        <f t="shared" si="8"/>
        <v>0</v>
      </c>
      <c r="AB48" s="61">
        <f t="shared" si="11"/>
        <v>0</v>
      </c>
    </row>
    <row r="49" spans="1:30" outlineLevel="1" x14ac:dyDescent="0.35">
      <c r="A49" s="62"/>
      <c r="B49" s="55"/>
      <c r="C49" s="63"/>
      <c r="D49" s="55"/>
      <c r="E49" s="64"/>
      <c r="F49" s="55"/>
      <c r="G49" s="65"/>
      <c r="H49" s="66"/>
      <c r="I49" s="67"/>
      <c r="J49" s="66"/>
      <c r="K49" s="68"/>
      <c r="L49" s="58" t="str">
        <f>IFERROR(IF(I49="","",ROUND(I49/LOOKUP(YEAR(K49),SMML!$A$2:$A$48,SMML!$B$2:$B$48),2)),"")</f>
        <v/>
      </c>
      <c r="M49" s="182" t="str">
        <f>IFERROR(IF(AND(E49="S",COUNTIF($L$13:$R$13,F49)&gt;=1),L49*J49,""),"")</f>
        <v/>
      </c>
      <c r="N49" s="318"/>
      <c r="O49" s="319"/>
      <c r="P49" s="20"/>
      <c r="Q49" s="19"/>
      <c r="R49" s="20">
        <f>IF(AND(COUNTIF(R46:R48,G49)&lt;1,M49&gt;0),G49,0)</f>
        <v>0</v>
      </c>
      <c r="S49" s="49" t="str">
        <f>IFERROR(INDEX(G46:H52,MATCH(R49,G46:G52,0),2),"")</f>
        <v/>
      </c>
      <c r="T49" s="59">
        <f>SUMIF(G46:G52,R49,M46:M52)</f>
        <v>0</v>
      </c>
      <c r="U49" s="49">
        <f>T49/L43</f>
        <v>0</v>
      </c>
      <c r="V49" s="20">
        <f t="shared" si="9"/>
        <v>0</v>
      </c>
      <c r="W49" s="19">
        <f>IFERROR(IF(SUMIF(G46:G52,V49,H46:H52)/COUNTIF(G46:G52,V49)=INDEX(R46:S52,MATCH(G49,R46:R52,0),2),1,2),1)</f>
        <v>1</v>
      </c>
      <c r="Y49" s="20" t="str">
        <f>IF(R49=0,"",P43&amp;"-"&amp;COUNTIF(R46:R49,"&lt;&gt;0")*1)</f>
        <v/>
      </c>
      <c r="Z49" s="19">
        <f t="shared" si="10"/>
        <v>0</v>
      </c>
      <c r="AA49" s="60">
        <f t="shared" si="8"/>
        <v>0</v>
      </c>
      <c r="AB49" s="61">
        <f t="shared" si="11"/>
        <v>0</v>
      </c>
    </row>
    <row r="50" spans="1:30" outlineLevel="1" x14ac:dyDescent="0.35">
      <c r="A50" s="62"/>
      <c r="B50" s="55"/>
      <c r="C50" s="63"/>
      <c r="D50" s="55"/>
      <c r="E50" s="64"/>
      <c r="F50" s="55"/>
      <c r="G50" s="65"/>
      <c r="H50" s="66"/>
      <c r="I50" s="67"/>
      <c r="J50" s="66"/>
      <c r="K50" s="68"/>
      <c r="L50" s="58" t="str">
        <f>IFERROR(IF(I50="","",ROUND(I50/LOOKUP(YEAR(K50),SMML!$A$2:$A$48,SMML!$B$2:$B$48),2)),"")</f>
        <v/>
      </c>
      <c r="M50" s="182" t="str">
        <f>IFERROR(IF(AND(E50="S",COUNTIF($L$13:$R$13,F50)&gt;=1),L50*J50,""),"")</f>
        <v/>
      </c>
      <c r="N50" s="318"/>
      <c r="O50" s="319"/>
      <c r="P50" s="20"/>
      <c r="Q50" s="19"/>
      <c r="R50" s="20">
        <f>IF(AND(COUNTIF(R46:R49,G50)&lt;1,M50&gt;0),G50,0)</f>
        <v>0</v>
      </c>
      <c r="S50" s="49" t="str">
        <f>IFERROR(INDEX(G46:H52,MATCH(R50,G46:G52,0),2),"")</f>
        <v/>
      </c>
      <c r="T50" s="59">
        <f>SUMIF(G46:G52,R50,M46:M52)</f>
        <v>0</v>
      </c>
      <c r="U50" s="49">
        <f>T50/L43</f>
        <v>0</v>
      </c>
      <c r="V50" s="20">
        <f t="shared" si="9"/>
        <v>0</v>
      </c>
      <c r="W50" s="19">
        <f>IFERROR(IF(SUMIF(G46:G52,V50,H46:H52)/COUNTIF(G46:G52,V50)=INDEX(R46:S52,MATCH(G50,R46:R52,0),2),1,2),1)</f>
        <v>1</v>
      </c>
      <c r="Y50" s="20" t="str">
        <f>IF(R50=0,"",P43&amp;"-"&amp;COUNTIF(R46:R50,"&lt;&gt;0")*1)</f>
        <v/>
      </c>
      <c r="Z50" s="19">
        <f t="shared" si="10"/>
        <v>0</v>
      </c>
      <c r="AA50" s="60">
        <f t="shared" si="8"/>
        <v>0</v>
      </c>
      <c r="AB50" s="61">
        <f t="shared" si="11"/>
        <v>0</v>
      </c>
    </row>
    <row r="51" spans="1:30" outlineLevel="1" x14ac:dyDescent="0.35">
      <c r="A51" s="62"/>
      <c r="B51" s="55"/>
      <c r="C51" s="63"/>
      <c r="D51" s="55"/>
      <c r="E51" s="64"/>
      <c r="F51" s="55"/>
      <c r="G51" s="65"/>
      <c r="H51" s="66"/>
      <c r="I51" s="67"/>
      <c r="J51" s="66"/>
      <c r="K51" s="68"/>
      <c r="L51" s="58" t="str">
        <f>IFERROR(IF(I51="","",ROUND(I51/LOOKUP(YEAR(K51),SMML!$A$2:$A$48,SMML!$B$2:$B$48),2)),"")</f>
        <v/>
      </c>
      <c r="M51" s="182" t="str">
        <f>IFERROR(IF(AND(E51="S",COUNTIF($L$13:$R$13,F51)&gt;=1),L51*J51,""),"")</f>
        <v/>
      </c>
      <c r="N51" s="318"/>
      <c r="O51" s="319"/>
      <c r="P51" s="20"/>
      <c r="Q51" s="19"/>
      <c r="R51" s="20">
        <f>IF(AND(COUNTIF(R46:R50,G51)&lt;1,M51&gt;0),G51,0)</f>
        <v>0</v>
      </c>
      <c r="S51" s="49" t="str">
        <f>IFERROR(INDEX(G46:H52,MATCH(R51,G46:G52,0),2),"")</f>
        <v/>
      </c>
      <c r="T51" s="59">
        <f>SUMIF(G46:G52,R51,M46:M52)</f>
        <v>0</v>
      </c>
      <c r="U51" s="49">
        <f>T51/L43</f>
        <v>0</v>
      </c>
      <c r="V51" s="20">
        <f t="shared" si="9"/>
        <v>0</v>
      </c>
      <c r="W51" s="19">
        <f>IFERROR(IF(SUMIF(G46:G52,V51,H46:H52)/COUNTIF(G46:G52,V51)=INDEX(R46:S52,MATCH(G51,R46:R52,0),2),1,2),1)</f>
        <v>1</v>
      </c>
      <c r="Y51" s="20" t="str">
        <f>IF(R51=0,"",P43&amp;"-"&amp;COUNTIF(R46:R51,"&lt;&gt;0")*1)</f>
        <v/>
      </c>
      <c r="Z51" s="19">
        <f t="shared" si="10"/>
        <v>0</v>
      </c>
      <c r="AA51" s="60">
        <f t="shared" si="8"/>
        <v>0</v>
      </c>
      <c r="AB51" s="61">
        <f t="shared" si="11"/>
        <v>0</v>
      </c>
    </row>
    <row r="52" spans="1:30" ht="13" outlineLevel="1" thickBot="1" x14ac:dyDescent="0.4">
      <c r="A52" s="69"/>
      <c r="B52" s="70"/>
      <c r="C52" s="71"/>
      <c r="D52" s="70"/>
      <c r="E52" s="72"/>
      <c r="F52" s="70"/>
      <c r="G52" s="73"/>
      <c r="H52" s="74"/>
      <c r="I52" s="75"/>
      <c r="J52" s="74"/>
      <c r="K52" s="76"/>
      <c r="L52" s="77" t="str">
        <f>IFERROR(IF(I52="","",ROUND(I52/LOOKUP(YEAR(K52),SMML!$A$2:$A$48,SMML!$B$2:$B$48),2)),"")</f>
        <v/>
      </c>
      <c r="M52" s="183" t="str">
        <f>IFERROR(IF(AND(E52="S",COUNTIF($L$13:$R$13,F52)&gt;=1),L52*J52,""),"")</f>
        <v/>
      </c>
      <c r="N52" s="320"/>
      <c r="O52" s="321"/>
      <c r="P52" s="20"/>
      <c r="Q52" s="19"/>
      <c r="R52" s="20">
        <f>IF(AND(COUNTIF(R46:R51,G52)&lt;1,M52&gt;0),G52,0)</f>
        <v>0</v>
      </c>
      <c r="S52" s="49" t="str">
        <f>IFERROR(INDEX(G46:H52,MATCH(R52,G46:G52,0),2),"")</f>
        <v/>
      </c>
      <c r="T52" s="59">
        <f>SUMIF(G46:G52,R52,M46:M52)</f>
        <v>0</v>
      </c>
      <c r="U52" s="49">
        <f>T52/L43</f>
        <v>0</v>
      </c>
      <c r="V52" s="20">
        <f t="shared" si="9"/>
        <v>0</v>
      </c>
      <c r="W52" s="19">
        <f>IFERROR(IF(SUMIF(G46:G52,V52,H46:H52)/COUNTIF(G46:G52,V52)=INDEX(R46:S52,MATCH(G52,R46:R52,0),2),1,2),1)</f>
        <v>1</v>
      </c>
      <c r="Y52" s="20" t="str">
        <f>IF(R52=0,"",P43&amp;"-"&amp;COUNTIF(R46:R52,"&lt;&gt;0")*1)</f>
        <v/>
      </c>
      <c r="Z52" s="19">
        <f t="shared" si="10"/>
        <v>0</v>
      </c>
      <c r="AA52" s="60">
        <f>IF(M52="",0,M52)</f>
        <v>0</v>
      </c>
      <c r="AB52" s="61">
        <f t="shared" si="11"/>
        <v>0</v>
      </c>
    </row>
    <row r="53" spans="1:30" ht="25.5" customHeight="1" thickBot="1" x14ac:dyDescent="0.4">
      <c r="E53" s="176"/>
      <c r="H53" s="177">
        <f>S43</f>
        <v>0</v>
      </c>
      <c r="I53" s="322"/>
      <c r="J53" s="323"/>
      <c r="K53" s="324"/>
      <c r="L53" s="78" t="s">
        <v>33</v>
      </c>
      <c r="M53" s="79">
        <f>SUM(M46:M52)</f>
        <v>5846.0250000000005</v>
      </c>
      <c r="N53" s="325" t="str">
        <f>IF(R43="no","NO CUMPLE CONDICIÓN DEL CONSORCIO","")</f>
        <v/>
      </c>
      <c r="O53" s="326"/>
      <c r="Q53" s="19"/>
    </row>
    <row r="54" spans="1:30" s="39" customFormat="1" ht="12" thickBot="1" x14ac:dyDescent="0.4">
      <c r="B54" s="40"/>
      <c r="C54" s="40"/>
      <c r="D54" s="41"/>
      <c r="E54" s="41"/>
      <c r="F54" s="41"/>
      <c r="G54" s="41"/>
      <c r="H54" s="41"/>
      <c r="I54" s="41"/>
      <c r="J54" s="41"/>
      <c r="K54" s="41"/>
      <c r="L54" s="41"/>
      <c r="M54" s="41"/>
      <c r="N54" s="41"/>
      <c r="O54" s="42"/>
      <c r="Q54" s="43"/>
    </row>
    <row r="55" spans="1:30" s="30" customFormat="1" ht="32.25" customHeight="1" thickBot="1" x14ac:dyDescent="0.4">
      <c r="A55" s="44">
        <f>+A43+1</f>
        <v>4</v>
      </c>
      <c r="B55" s="306" t="str">
        <f>LOOKUP(A55,PROPONENTES!$A$16:$A$23,PROPONENTES!$B$16:$B$23)</f>
        <v>EMPRESA ASOCIATIVA DE TRABAJO UNIDOS AL FUTURO</v>
      </c>
      <c r="C55" s="307"/>
      <c r="D55" s="307"/>
      <c r="E55" s="307"/>
      <c r="F55" s="307"/>
      <c r="G55" s="333"/>
      <c r="H55" s="334" t="s">
        <v>16</v>
      </c>
      <c r="I55" s="335"/>
      <c r="J55" s="45">
        <f>+COUNTIFS(D58:D64,"&lt;&gt;",M58:M64,"&gt;0")</f>
        <v>3</v>
      </c>
      <c r="K55" s="46" t="s">
        <v>17</v>
      </c>
      <c r="L55" s="47">
        <f>+$O$17</f>
        <v>401.67883538461541</v>
      </c>
      <c r="M55" s="48" t="s">
        <v>18</v>
      </c>
      <c r="N55" s="336" t="str">
        <f>IF(AND(COUNTIFS(E58:E64,"S",M58:M64,"&gt;"&amp;0)&gt;0,R55="ok",AB55&gt;=1,M65&gt;=L55),"CUMPLE","NO CUMPLE")</f>
        <v>CUMPLE</v>
      </c>
      <c r="O55" s="337"/>
      <c r="P55" s="20">
        <f>A55</f>
        <v>4</v>
      </c>
      <c r="Q55" s="20">
        <f>VALUE(LOOKUP(A55,PROPONENTES!A:A,PROPONENTES!J:J))</f>
        <v>1</v>
      </c>
      <c r="R55" s="20" t="str">
        <f>IF(Q55=1,"ok",IF(AND(COUNTIF(U58:U64,"&gt;=0,5")&gt;=1,COUNTIFS(U58:U64,"&gt;=0,05")&gt;=IF(S55=1,Q55,Q55-1),S55&gt;=0.95),"ok","no"))</f>
        <v>ok</v>
      </c>
      <c r="S55" s="49">
        <f>SUM(S58:S64)</f>
        <v>0</v>
      </c>
      <c r="AA55" s="49">
        <v>0.01</v>
      </c>
      <c r="AB55" s="50">
        <f>COUNTIF(AB58:AB64,"&gt;="&amp;$AA$19)</f>
        <v>3</v>
      </c>
    </row>
    <row r="56" spans="1:30" s="52" customFormat="1" ht="24" customHeight="1" outlineLevel="1" x14ac:dyDescent="0.35">
      <c r="A56" s="338" t="s">
        <v>19</v>
      </c>
      <c r="B56" s="340" t="s">
        <v>20</v>
      </c>
      <c r="C56" s="342" t="s">
        <v>21</v>
      </c>
      <c r="D56" s="340" t="s">
        <v>22</v>
      </c>
      <c r="E56" s="340" t="s">
        <v>23</v>
      </c>
      <c r="F56" s="327" t="s">
        <v>24</v>
      </c>
      <c r="G56" s="344" t="s">
        <v>25</v>
      </c>
      <c r="H56" s="340" t="s">
        <v>26</v>
      </c>
      <c r="I56" s="344" t="s">
        <v>27</v>
      </c>
      <c r="J56" s="340" t="s">
        <v>28</v>
      </c>
      <c r="K56" s="344" t="s">
        <v>29</v>
      </c>
      <c r="L56" s="344" t="s">
        <v>30</v>
      </c>
      <c r="M56" s="327" t="s">
        <v>31</v>
      </c>
      <c r="N56" s="327" t="s">
        <v>32</v>
      </c>
      <c r="O56" s="328"/>
      <c r="P56" s="51"/>
      <c r="Q56" s="51"/>
      <c r="R56" s="51"/>
      <c r="S56" s="51"/>
      <c r="T56" s="51"/>
      <c r="U56" s="51"/>
      <c r="V56" s="51"/>
      <c r="W56" s="51"/>
      <c r="X56" s="51"/>
      <c r="Y56" s="51"/>
      <c r="Z56" s="51"/>
      <c r="AA56" s="51"/>
      <c r="AB56" s="51"/>
      <c r="AC56" s="51"/>
      <c r="AD56" s="51"/>
    </row>
    <row r="57" spans="1:30" s="52" customFormat="1" ht="24" customHeight="1" outlineLevel="1" thickBot="1" x14ac:dyDescent="0.4">
      <c r="A57" s="339"/>
      <c r="B57" s="341"/>
      <c r="C57" s="341"/>
      <c r="D57" s="343"/>
      <c r="E57" s="341"/>
      <c r="F57" s="329"/>
      <c r="G57" s="345"/>
      <c r="H57" s="343"/>
      <c r="I57" s="345"/>
      <c r="J57" s="343"/>
      <c r="K57" s="345"/>
      <c r="L57" s="345"/>
      <c r="M57" s="329"/>
      <c r="N57" s="329"/>
      <c r="O57" s="330"/>
      <c r="P57" s="51"/>
      <c r="R57" s="53"/>
    </row>
    <row r="58" spans="1:30" ht="25" outlineLevel="1" x14ac:dyDescent="0.35">
      <c r="A58" s="54"/>
      <c r="B58" s="144">
        <v>26</v>
      </c>
      <c r="C58" s="139" t="s">
        <v>134</v>
      </c>
      <c r="D58" s="145" t="s">
        <v>135</v>
      </c>
      <c r="E58" s="146" t="s">
        <v>79</v>
      </c>
      <c r="F58" s="178" t="s">
        <v>139</v>
      </c>
      <c r="G58" s="56"/>
      <c r="H58" s="142"/>
      <c r="I58" s="57">
        <v>106444424</v>
      </c>
      <c r="J58" s="142">
        <v>0.3</v>
      </c>
      <c r="K58" s="179">
        <v>40483</v>
      </c>
      <c r="L58" s="180">
        <f>IFERROR(IF(I58="","",ROUND(I58/LOOKUP(YEAR(K58),SMML!$A$2:$A$48,SMML!$B$2:$B$48),2)),"")</f>
        <v>206.69</v>
      </c>
      <c r="M58" s="181">
        <f>206.68*0.3</f>
        <v>62.003999999999998</v>
      </c>
      <c r="N58" s="331"/>
      <c r="O58" s="332"/>
      <c r="P58" s="134"/>
      <c r="Q58" s="19"/>
      <c r="R58" s="20">
        <f>IF(M58&lt;&gt;0,G58,0)</f>
        <v>0</v>
      </c>
      <c r="S58" s="49" t="str">
        <f>IFERROR(INDEX(G58:H64,MATCH(R58,G58:G64,0),2),"")</f>
        <v/>
      </c>
      <c r="T58" s="59">
        <f>SUMIF(G58:G64,R58,M58:M64)</f>
        <v>0</v>
      </c>
      <c r="U58" s="49">
        <f>T58/L55</f>
        <v>0</v>
      </c>
      <c r="V58" s="20">
        <f>G58</f>
        <v>0</v>
      </c>
      <c r="W58" s="19">
        <f>IFERROR(IF(SUMIF(G58:G64,V58,H58:H64)/COUNTIF(G58:G64,V58)=INDEX(R58:S64,MATCH(G58,R58:R64,0),2),1,2),1)</f>
        <v>1</v>
      </c>
      <c r="Y58" s="20" t="str">
        <f>IF(R58=0,"",P55&amp;"-"&amp;COUNTIF(R58:R58,"&lt;&gt;0")*1)</f>
        <v/>
      </c>
      <c r="Z58" s="19" t="str">
        <f>IF(M58&gt;0,IF(D58="",D57,D58),"")</f>
        <v>4600026733 DE 2010</v>
      </c>
      <c r="AA58" s="60">
        <f t="shared" ref="AA58:AA63" si="12">IF(Z59=Z58,IF(M58="",0,M58)+AA59,IF(M58="",0,M58))</f>
        <v>62.003999999999998</v>
      </c>
      <c r="AB58" s="61">
        <f>AA58/$O$17</f>
        <v>0.15436212849160932</v>
      </c>
    </row>
    <row r="59" spans="1:30" ht="25" outlineLevel="1" x14ac:dyDescent="0.35">
      <c r="A59" s="62"/>
      <c r="B59" s="55">
        <v>25</v>
      </c>
      <c r="C59" s="63" t="s">
        <v>134</v>
      </c>
      <c r="D59" s="55" t="s">
        <v>136</v>
      </c>
      <c r="E59" s="64" t="s">
        <v>79</v>
      </c>
      <c r="F59" s="55" t="s">
        <v>140</v>
      </c>
      <c r="G59" s="65"/>
      <c r="H59" s="66"/>
      <c r="I59" s="67">
        <v>564096733</v>
      </c>
      <c r="J59" s="66">
        <v>0.5</v>
      </c>
      <c r="K59" s="68">
        <v>42036</v>
      </c>
      <c r="L59" s="58">
        <f>IFERROR(IF(I59="","",ROUND(I59/LOOKUP(YEAR(K59),SMML!$A$2:$A$48,SMML!$B$2:$B$48),2)),"")</f>
        <v>875.45</v>
      </c>
      <c r="M59" s="182">
        <f>837.18*0.5</f>
        <v>418.59</v>
      </c>
      <c r="N59" s="318"/>
      <c r="O59" s="319"/>
      <c r="P59" s="20"/>
      <c r="Q59" s="19"/>
      <c r="R59" s="20">
        <f>IF(AND(COUNTIF(R58:R58,G59)&lt;1,M59&gt;0),G59,0)</f>
        <v>0</v>
      </c>
      <c r="S59" s="49" t="str">
        <f>IFERROR(INDEX(G58:H64,MATCH(R59,G58:G64,0),2),"")</f>
        <v/>
      </c>
      <c r="T59" s="59">
        <f>SUMIF(G58:G64,R59,M58:M64)</f>
        <v>0</v>
      </c>
      <c r="U59" s="49">
        <f>T59/L55</f>
        <v>0</v>
      </c>
      <c r="V59" s="20">
        <f t="shared" ref="V59:V64" si="13">G59</f>
        <v>0</v>
      </c>
      <c r="W59" s="19">
        <f>IFERROR(IF(SUMIF(G58:G64,V59,H58:H64)/COUNTIF(G58:G64,V59)=INDEX(R58:S64,MATCH(G59,R58:R64,0),2),1,2),1)</f>
        <v>1</v>
      </c>
      <c r="Y59" s="20" t="str">
        <f>IF(R59=0,"",P55&amp;"-"&amp;COUNTIF(R58:R59,"&lt;&gt;0")*1)</f>
        <v/>
      </c>
      <c r="Z59" s="19" t="str">
        <f t="shared" ref="Z59:Z64" si="14">IF(M59&gt;0,IF(D59="",D58,D59),"")</f>
        <v>4600056474 DE 2014</v>
      </c>
      <c r="AA59" s="60">
        <f t="shared" si="12"/>
        <v>418.59</v>
      </c>
      <c r="AB59" s="61">
        <f t="shared" ref="AB59:AB64" si="15">AA59/$O$17</f>
        <v>1.0421012090397836</v>
      </c>
    </row>
    <row r="60" spans="1:30" ht="25" outlineLevel="1" x14ac:dyDescent="0.35">
      <c r="A60" s="62"/>
      <c r="B60" s="55">
        <v>76</v>
      </c>
      <c r="C60" s="63" t="s">
        <v>137</v>
      </c>
      <c r="D60" s="55" t="s">
        <v>138</v>
      </c>
      <c r="E60" s="64" t="s">
        <v>143</v>
      </c>
      <c r="F60" s="55" t="s">
        <v>141</v>
      </c>
      <c r="G60" s="65"/>
      <c r="H60" s="66"/>
      <c r="I60" s="67">
        <v>254371559</v>
      </c>
      <c r="J60" s="66">
        <v>1</v>
      </c>
      <c r="K60" s="68">
        <v>44743</v>
      </c>
      <c r="L60" s="58">
        <f>IFERROR(IF(I60="","",ROUND(I60/LOOKUP(YEAR(K60),SMML!$A$2:$A$48,SMML!$B$2:$B$48),2)),"")</f>
        <v>254.37</v>
      </c>
      <c r="M60" s="182">
        <v>254.37</v>
      </c>
      <c r="N60" s="318" t="s">
        <v>144</v>
      </c>
      <c r="O60" s="319"/>
      <c r="P60" s="20"/>
      <c r="Q60" s="19"/>
      <c r="R60" s="20">
        <f>IF(AND(COUNTIF(R58:R59,G60)&lt;1,M60&gt;0),G60,0)</f>
        <v>0</v>
      </c>
      <c r="S60" s="49" t="str">
        <f>IFERROR(INDEX(G58:H64,MATCH(R60,G58:G64,0),2),"")</f>
        <v/>
      </c>
      <c r="T60" s="59">
        <f>SUMIF(G58:G64,R60,M58:M64)</f>
        <v>0</v>
      </c>
      <c r="U60" s="49">
        <f>T60/L55</f>
        <v>0</v>
      </c>
      <c r="V60" s="20">
        <f t="shared" si="13"/>
        <v>0</v>
      </c>
      <c r="W60" s="19">
        <f>IFERROR(IF(SUMIF(G58:G64,V60,H58:H64)/COUNTIF(G58:G64,V60)=INDEX(R58:S64,MATCH(G60,R58:R64,0),2),1,2),1)</f>
        <v>1</v>
      </c>
      <c r="Y60" s="20" t="str">
        <f>IF(R60=0,"",P55&amp;"-"&amp;COUNTIF(R58:R60,"&lt;&gt;0")*1)</f>
        <v/>
      </c>
      <c r="Z60" s="19" t="str">
        <f t="shared" si="14"/>
        <v>SPDT-331-2021</v>
      </c>
      <c r="AA60" s="60">
        <f t="shared" si="12"/>
        <v>254.37</v>
      </c>
      <c r="AB60" s="61">
        <f t="shared" si="15"/>
        <v>0.63326712186972889</v>
      </c>
    </row>
    <row r="61" spans="1:30" outlineLevel="1" x14ac:dyDescent="0.35">
      <c r="A61" s="62"/>
      <c r="B61" s="55"/>
      <c r="C61" s="63"/>
      <c r="D61" s="55"/>
      <c r="E61" s="64"/>
      <c r="F61" s="55"/>
      <c r="G61" s="65"/>
      <c r="H61" s="66"/>
      <c r="I61" s="67"/>
      <c r="J61" s="66"/>
      <c r="K61" s="68"/>
      <c r="L61" s="58" t="str">
        <f>IFERROR(IF(I61="","",ROUND(I61/LOOKUP(YEAR(K61),SMML!$A$2:$A$48,SMML!$B$2:$B$48),2)),"")</f>
        <v/>
      </c>
      <c r="M61" s="182" t="str">
        <f>IFERROR(IF(AND(E61="S",COUNTIF($L$13:$R$13,F61)&gt;=1),L61*J61,""),"")</f>
        <v/>
      </c>
      <c r="N61" s="318"/>
      <c r="O61" s="319"/>
      <c r="P61" s="20"/>
      <c r="Q61" s="19"/>
      <c r="R61" s="20">
        <f>IF(AND(COUNTIF(R58:R60,G61)&lt;1,M61&gt;0),G61,0)</f>
        <v>0</v>
      </c>
      <c r="S61" s="49" t="str">
        <f>IFERROR(INDEX(G58:H64,MATCH(R61,G58:G64,0),2),"")</f>
        <v/>
      </c>
      <c r="T61" s="59">
        <f>SUMIF(G58:G64,R61,M58:M64)</f>
        <v>0</v>
      </c>
      <c r="U61" s="49">
        <f>T61/L55</f>
        <v>0</v>
      </c>
      <c r="V61" s="20">
        <f t="shared" si="13"/>
        <v>0</v>
      </c>
      <c r="W61" s="19">
        <f>IFERROR(IF(SUMIF(G58:G64,V61,H58:H64)/COUNTIF(G58:G64,V61)=INDEX(R58:S64,MATCH(G61,R58:R64,0),2),1,2),1)</f>
        <v>1</v>
      </c>
      <c r="Y61" s="20" t="str">
        <f>IF(R61=0,"",P55&amp;"-"&amp;COUNTIF(R58:R61,"&lt;&gt;0")*1)</f>
        <v/>
      </c>
      <c r="Z61" s="19" t="str">
        <f t="shared" si="14"/>
        <v>SPDT-331-2021</v>
      </c>
      <c r="AA61" s="60">
        <f t="shared" si="12"/>
        <v>0</v>
      </c>
      <c r="AB61" s="61">
        <f t="shared" si="15"/>
        <v>0</v>
      </c>
    </row>
    <row r="62" spans="1:30" outlineLevel="1" x14ac:dyDescent="0.35">
      <c r="A62" s="62"/>
      <c r="B62" s="55"/>
      <c r="C62" s="63"/>
      <c r="D62" s="55"/>
      <c r="E62" s="64"/>
      <c r="F62" s="55"/>
      <c r="G62" s="65"/>
      <c r="H62" s="66"/>
      <c r="I62" s="67"/>
      <c r="J62" s="66"/>
      <c r="K62" s="68"/>
      <c r="L62" s="58" t="str">
        <f>IFERROR(IF(I62="","",ROUND(I62/LOOKUP(YEAR(K62),SMML!$A$2:$A$48,SMML!$B$2:$B$48),2)),"")</f>
        <v/>
      </c>
      <c r="M62" s="182" t="str">
        <f>IFERROR(IF(AND(E62="S",COUNTIF($L$13:$R$13,F62)&gt;=1),L62*J62,""),"")</f>
        <v/>
      </c>
      <c r="N62" s="318"/>
      <c r="O62" s="319"/>
      <c r="P62" s="20"/>
      <c r="Q62" s="19"/>
      <c r="R62" s="20">
        <f>IF(AND(COUNTIF(R58:R61,G62)&lt;1,M62&gt;0),G62,0)</f>
        <v>0</v>
      </c>
      <c r="S62" s="49" t="str">
        <f>IFERROR(INDEX(G58:H64,MATCH(R62,G58:G64,0),2),"")</f>
        <v/>
      </c>
      <c r="T62" s="59">
        <f>SUMIF(G58:G64,R62,M58:M64)</f>
        <v>0</v>
      </c>
      <c r="U62" s="49">
        <f>T62/L55</f>
        <v>0</v>
      </c>
      <c r="V62" s="20">
        <f t="shared" si="13"/>
        <v>0</v>
      </c>
      <c r="W62" s="19">
        <f>IFERROR(IF(SUMIF(G58:G64,V62,H58:H64)/COUNTIF(G58:G64,V62)=INDEX(R58:S64,MATCH(G62,R58:R64,0),2),1,2),1)</f>
        <v>1</v>
      </c>
      <c r="Y62" s="20" t="str">
        <f>IF(R62=0,"",P55&amp;"-"&amp;COUNTIF(R58:R62,"&lt;&gt;0")*1)</f>
        <v/>
      </c>
      <c r="Z62" s="19">
        <f t="shared" si="14"/>
        <v>0</v>
      </c>
      <c r="AA62" s="60">
        <f t="shared" si="12"/>
        <v>0</v>
      </c>
      <c r="AB62" s="61">
        <f t="shared" si="15"/>
        <v>0</v>
      </c>
    </row>
    <row r="63" spans="1:30" outlineLevel="1" x14ac:dyDescent="0.35">
      <c r="A63" s="62"/>
      <c r="B63" s="55"/>
      <c r="C63" s="63"/>
      <c r="D63" s="55"/>
      <c r="E63" s="64"/>
      <c r="F63" s="55"/>
      <c r="G63" s="65"/>
      <c r="H63" s="66"/>
      <c r="I63" s="67"/>
      <c r="J63" s="66"/>
      <c r="K63" s="68"/>
      <c r="L63" s="58" t="str">
        <f>IFERROR(IF(I63="","",ROUND(I63/LOOKUP(YEAR(K63),SMML!$A$2:$A$48,SMML!$B$2:$B$48),2)),"")</f>
        <v/>
      </c>
      <c r="M63" s="182" t="str">
        <f>IFERROR(IF(AND(E63="S",COUNTIF($L$13:$R$13,F63)&gt;=1),L63*J63,""),"")</f>
        <v/>
      </c>
      <c r="N63" s="318"/>
      <c r="O63" s="319"/>
      <c r="P63" s="20"/>
      <c r="Q63" s="19"/>
      <c r="R63" s="20">
        <f>IF(AND(COUNTIF(R58:R62,G63)&lt;1,M63&gt;0),G63,0)</f>
        <v>0</v>
      </c>
      <c r="S63" s="49" t="str">
        <f>IFERROR(INDEX(G58:H64,MATCH(R63,G58:G64,0),2),"")</f>
        <v/>
      </c>
      <c r="T63" s="59">
        <f>SUMIF(G58:G64,R63,M58:M64)</f>
        <v>0</v>
      </c>
      <c r="U63" s="49">
        <f>T63/L55</f>
        <v>0</v>
      </c>
      <c r="V63" s="20">
        <f t="shared" si="13"/>
        <v>0</v>
      </c>
      <c r="W63" s="19">
        <f>IFERROR(IF(SUMIF(G58:G64,V63,H58:H64)/COUNTIF(G58:G64,V63)=INDEX(R58:S64,MATCH(G63,R58:R64,0),2),1,2),1)</f>
        <v>1</v>
      </c>
      <c r="Y63" s="20" t="str">
        <f>IF(R63=0,"",P55&amp;"-"&amp;COUNTIF(R58:R63,"&lt;&gt;0")*1)</f>
        <v/>
      </c>
      <c r="Z63" s="19">
        <f t="shared" si="14"/>
        <v>0</v>
      </c>
      <c r="AA63" s="60">
        <f t="shared" si="12"/>
        <v>0</v>
      </c>
      <c r="AB63" s="61">
        <f t="shared" si="15"/>
        <v>0</v>
      </c>
    </row>
    <row r="64" spans="1:30" ht="13" outlineLevel="1" thickBot="1" x14ac:dyDescent="0.4">
      <c r="A64" s="69"/>
      <c r="B64" s="70"/>
      <c r="C64" s="71"/>
      <c r="D64" s="70"/>
      <c r="E64" s="72"/>
      <c r="F64" s="70"/>
      <c r="G64" s="73"/>
      <c r="H64" s="74"/>
      <c r="I64" s="75"/>
      <c r="J64" s="74"/>
      <c r="K64" s="76"/>
      <c r="L64" s="77" t="str">
        <f>IFERROR(IF(I64="","",ROUND(I64/LOOKUP(YEAR(K64),SMML!$A$2:$A$48,SMML!$B$2:$B$48),2)),"")</f>
        <v/>
      </c>
      <c r="M64" s="183" t="str">
        <f>IFERROR(IF(AND(E64="S",COUNTIF($L$13:$R$13,F64)&gt;=1),L64*J64,""),"")</f>
        <v/>
      </c>
      <c r="N64" s="320"/>
      <c r="O64" s="321"/>
      <c r="P64" s="20"/>
      <c r="Q64" s="19"/>
      <c r="R64" s="20">
        <f>IF(AND(COUNTIF(R58:R63,G64)&lt;1,M64&gt;0),G64,0)</f>
        <v>0</v>
      </c>
      <c r="S64" s="49" t="str">
        <f>IFERROR(INDEX(G58:H64,MATCH(R64,G58:G64,0),2),"")</f>
        <v/>
      </c>
      <c r="T64" s="59">
        <f>SUMIF(G58:G64,R64,M58:M64)</f>
        <v>0</v>
      </c>
      <c r="U64" s="49">
        <f>T64/L55</f>
        <v>0</v>
      </c>
      <c r="V64" s="20">
        <f t="shared" si="13"/>
        <v>0</v>
      </c>
      <c r="W64" s="19">
        <f>IFERROR(IF(SUMIF(G58:G64,V64,H58:H64)/COUNTIF(G58:G64,V64)=INDEX(R58:S64,MATCH(G64,R58:R64,0),2),1,2),1)</f>
        <v>1</v>
      </c>
      <c r="Y64" s="20" t="str">
        <f>IF(R64=0,"",P55&amp;"-"&amp;COUNTIF(R58:R64,"&lt;&gt;0")*1)</f>
        <v/>
      </c>
      <c r="Z64" s="19">
        <f t="shared" si="14"/>
        <v>0</v>
      </c>
      <c r="AA64" s="60">
        <f>IF(M64="",0,M64)</f>
        <v>0</v>
      </c>
      <c r="AB64" s="61">
        <f t="shared" si="15"/>
        <v>0</v>
      </c>
    </row>
    <row r="65" spans="1:30" ht="25.5" customHeight="1" thickBot="1" x14ac:dyDescent="0.4">
      <c r="E65" s="176"/>
      <c r="H65" s="177">
        <f>S55</f>
        <v>0</v>
      </c>
      <c r="I65" s="322"/>
      <c r="J65" s="323"/>
      <c r="K65" s="324"/>
      <c r="L65" s="78" t="s">
        <v>33</v>
      </c>
      <c r="M65" s="79">
        <f>SUM(M58:M64)</f>
        <v>734.96399999999994</v>
      </c>
      <c r="N65" s="325" t="str">
        <f>IF(R55="no","NO CUMPLE CONDICIÓN DEL CONSORCIO","")</f>
        <v/>
      </c>
      <c r="O65" s="326"/>
      <c r="Q65" s="19"/>
    </row>
    <row r="66" spans="1:30" s="39" customFormat="1" ht="12" thickBot="1" x14ac:dyDescent="0.4">
      <c r="B66" s="40"/>
      <c r="C66" s="40"/>
      <c r="D66" s="41"/>
      <c r="E66" s="41"/>
      <c r="F66" s="41"/>
      <c r="G66" s="41"/>
      <c r="H66" s="41"/>
      <c r="I66" s="41"/>
      <c r="J66" s="41"/>
      <c r="K66" s="41"/>
      <c r="L66" s="41"/>
      <c r="M66" s="41"/>
      <c r="N66" s="41"/>
      <c r="O66" s="42"/>
      <c r="Q66" s="43"/>
    </row>
    <row r="67" spans="1:30" s="30" customFormat="1" ht="32.25" customHeight="1" thickBot="1" x14ac:dyDescent="0.4">
      <c r="A67" s="44">
        <f>+A55+1</f>
        <v>5</v>
      </c>
      <c r="B67" s="306" t="str">
        <f>LOOKUP(A67,PROPONENTES!$A$16:$A$23,PROPONENTES!$B$16:$B$23)</f>
        <v>DYA INGENIERIA SAS</v>
      </c>
      <c r="C67" s="307"/>
      <c r="D67" s="307"/>
      <c r="E67" s="307"/>
      <c r="F67" s="307"/>
      <c r="G67" s="333"/>
      <c r="H67" s="334" t="s">
        <v>16</v>
      </c>
      <c r="I67" s="335"/>
      <c r="J67" s="45">
        <f>+COUNTIFS(D70:D76,"&lt;&gt;",M70:M76,"&gt;0")</f>
        <v>2</v>
      </c>
      <c r="K67" s="46" t="s">
        <v>17</v>
      </c>
      <c r="L67" s="47">
        <f>+$O$17</f>
        <v>401.67883538461541</v>
      </c>
      <c r="M67" s="48" t="s">
        <v>18</v>
      </c>
      <c r="N67" s="336" t="str">
        <f>IF(AND(COUNTIFS(E70:E76,"S",M70:M76,"&gt;"&amp;0)&gt;0,R67="ok",AB67&gt;=1,M77&gt;=L67),"CUMPLE","NO CUMPLE")</f>
        <v>NO CUMPLE</v>
      </c>
      <c r="O67" s="337"/>
      <c r="P67" s="20">
        <f>A67</f>
        <v>5</v>
      </c>
      <c r="Q67" s="20">
        <f>VALUE(LOOKUP(A67,PROPONENTES!A:A,PROPONENTES!J:J))</f>
        <v>1</v>
      </c>
      <c r="R67" s="20" t="str">
        <f>IF(Q67=1,"ok",IF(AND(COUNTIF(U70:U76,"&gt;=0,5")&gt;=1,COUNTIFS(U70:U76,"&gt;=0,05")&gt;=IF(S67=1,Q67,Q67-1),S67&gt;=0.95),"ok","no"))</f>
        <v>ok</v>
      </c>
      <c r="S67" s="49">
        <f>SUM(S70:S76)</f>
        <v>0</v>
      </c>
      <c r="AA67" s="49">
        <v>0.01</v>
      </c>
      <c r="AB67" s="50">
        <f>COUNTIF(AB70:AB76,"&gt;="&amp;$AA$19)</f>
        <v>2</v>
      </c>
    </row>
    <row r="68" spans="1:30" s="52" customFormat="1" ht="24" customHeight="1" outlineLevel="1" x14ac:dyDescent="0.35">
      <c r="A68" s="338" t="s">
        <v>19</v>
      </c>
      <c r="B68" s="340" t="s">
        <v>20</v>
      </c>
      <c r="C68" s="342" t="s">
        <v>21</v>
      </c>
      <c r="D68" s="340" t="s">
        <v>22</v>
      </c>
      <c r="E68" s="340" t="s">
        <v>23</v>
      </c>
      <c r="F68" s="327" t="s">
        <v>24</v>
      </c>
      <c r="G68" s="344" t="s">
        <v>25</v>
      </c>
      <c r="H68" s="340" t="s">
        <v>26</v>
      </c>
      <c r="I68" s="344" t="s">
        <v>27</v>
      </c>
      <c r="J68" s="340" t="s">
        <v>28</v>
      </c>
      <c r="K68" s="344" t="s">
        <v>29</v>
      </c>
      <c r="L68" s="344" t="s">
        <v>30</v>
      </c>
      <c r="M68" s="327" t="s">
        <v>31</v>
      </c>
      <c r="N68" s="327" t="s">
        <v>32</v>
      </c>
      <c r="O68" s="328"/>
      <c r="P68" s="51"/>
      <c r="Q68" s="51"/>
      <c r="R68" s="51"/>
      <c r="S68" s="51"/>
      <c r="T68" s="51"/>
      <c r="U68" s="51"/>
      <c r="V68" s="51"/>
      <c r="W68" s="51"/>
      <c r="X68" s="51"/>
      <c r="Y68" s="51"/>
      <c r="Z68" s="51"/>
      <c r="AA68" s="51"/>
      <c r="AB68" s="51"/>
      <c r="AC68" s="51"/>
      <c r="AD68" s="51"/>
    </row>
    <row r="69" spans="1:30" s="52" customFormat="1" ht="24" customHeight="1" outlineLevel="1" thickBot="1" x14ac:dyDescent="0.4">
      <c r="A69" s="339"/>
      <c r="B69" s="341"/>
      <c r="C69" s="341"/>
      <c r="D69" s="343"/>
      <c r="E69" s="341"/>
      <c r="F69" s="329"/>
      <c r="G69" s="345"/>
      <c r="H69" s="343"/>
      <c r="I69" s="345"/>
      <c r="J69" s="343"/>
      <c r="K69" s="345"/>
      <c r="L69" s="345"/>
      <c r="M69" s="329"/>
      <c r="N69" s="329"/>
      <c r="O69" s="330"/>
      <c r="P69" s="51"/>
      <c r="R69" s="53"/>
    </row>
    <row r="70" spans="1:30" ht="80.25" customHeight="1" outlineLevel="1" x14ac:dyDescent="0.35">
      <c r="A70" s="54"/>
      <c r="B70" s="144">
        <v>30</v>
      </c>
      <c r="C70" s="139" t="s">
        <v>142</v>
      </c>
      <c r="D70" s="145">
        <v>3</v>
      </c>
      <c r="E70" s="146" t="s">
        <v>79</v>
      </c>
      <c r="F70" s="185">
        <v>811015</v>
      </c>
      <c r="G70" s="56"/>
      <c r="H70" s="142"/>
      <c r="I70" s="57">
        <v>250000000</v>
      </c>
      <c r="J70" s="142">
        <v>1</v>
      </c>
      <c r="K70" s="179">
        <v>42277</v>
      </c>
      <c r="L70" s="180">
        <f>IFERROR(IF(I70="","",ROUND(I70/LOOKUP(YEAR(K70),SMML!$A$2:$A$48,SMML!$B$2:$B$48),2)),"")</f>
        <v>387.99</v>
      </c>
      <c r="M70" s="181">
        <v>0</v>
      </c>
      <c r="N70" s="348" t="s">
        <v>155</v>
      </c>
      <c r="O70" s="332"/>
      <c r="P70" s="134"/>
      <c r="Q70" s="19"/>
      <c r="R70" s="20">
        <f>IF(M70&lt;&gt;0,G70,0)</f>
        <v>0</v>
      </c>
      <c r="S70" s="49" t="str">
        <f>IFERROR(INDEX(G70:H76,MATCH(R70,G70:G76,0),2),"")</f>
        <v/>
      </c>
      <c r="T70" s="59">
        <f>SUMIF(G70:G76,R70,M70:M76)</f>
        <v>0</v>
      </c>
      <c r="U70" s="49">
        <f>T70/L67</f>
        <v>0</v>
      </c>
      <c r="V70" s="20">
        <f>G70</f>
        <v>0</v>
      </c>
      <c r="W70" s="19">
        <f>IFERROR(IF(SUMIF(G70:G76,V70,H70:H76)/COUNTIF(G70:G76,V70)=INDEX(R70:S76,MATCH(G70,R70:R76,0),2),1,2),1)</f>
        <v>1</v>
      </c>
      <c r="Y70" s="20" t="str">
        <f>IF(R70=0,"",P67&amp;"-"&amp;COUNTIF(R70:R70,"&lt;&gt;0")*1)</f>
        <v/>
      </c>
      <c r="Z70" s="19" t="str">
        <f>IF(M70&gt;0,IF(D70="",D69,D70),"")</f>
        <v/>
      </c>
      <c r="AA70" s="60">
        <f t="shared" ref="AA70:AA75" si="16">IF(Z71=Z70,IF(M70="",0,M70)+AA71,IF(M70="",0,M70))</f>
        <v>0</v>
      </c>
      <c r="AB70" s="61">
        <f>AA70/$O$17</f>
        <v>0</v>
      </c>
    </row>
    <row r="71" spans="1:30" ht="25.5" customHeight="1" outlineLevel="1" x14ac:dyDescent="0.35">
      <c r="A71" s="62"/>
      <c r="B71" s="55">
        <v>73</v>
      </c>
      <c r="C71" s="63" t="s">
        <v>149</v>
      </c>
      <c r="D71" s="55" t="s">
        <v>150</v>
      </c>
      <c r="E71" s="64" t="s">
        <v>79</v>
      </c>
      <c r="F71" s="55" t="s">
        <v>139</v>
      </c>
      <c r="G71" s="65"/>
      <c r="H71" s="66"/>
      <c r="I71" s="67">
        <v>134416964</v>
      </c>
      <c r="J71" s="66">
        <v>1</v>
      </c>
      <c r="K71" s="68">
        <v>45077</v>
      </c>
      <c r="L71" s="58">
        <f>IFERROR(IF(I71="","",ROUND(I71/LOOKUP(YEAR(K71),SMML!$A$2:$A$48,SMML!$B$2:$B$48),2)),"")</f>
        <v>115.88</v>
      </c>
      <c r="M71" s="182">
        <v>115.87</v>
      </c>
      <c r="N71" s="346"/>
      <c r="O71" s="347"/>
      <c r="P71" s="20"/>
      <c r="Q71" s="19"/>
      <c r="R71" s="20">
        <f>IF(AND(COUNTIF(R70:R70,G71)&lt;1,M71&gt;0),G71,0)</f>
        <v>0</v>
      </c>
      <c r="S71" s="49" t="str">
        <f>IFERROR(INDEX(G70:H76,MATCH(R71,G70:G76,0),2),"")</f>
        <v/>
      </c>
      <c r="T71" s="59">
        <f>SUMIF(G70:G76,R71,M70:M76)</f>
        <v>0</v>
      </c>
      <c r="U71" s="49">
        <f>T71/L67</f>
        <v>0</v>
      </c>
      <c r="V71" s="20">
        <f t="shared" ref="V71:V76" si="17">G71</f>
        <v>0</v>
      </c>
      <c r="W71" s="19">
        <f>IFERROR(IF(SUMIF(G70:G76,V71,H70:H76)/COUNTIF(G70:G76,V71)=INDEX(R70:S76,MATCH(G71,R70:R76,0),2),1,2),1)</f>
        <v>1</v>
      </c>
      <c r="Y71" s="20" t="str">
        <f>IF(R71=0,"",P67&amp;"-"&amp;COUNTIF(R70:R71,"&lt;&gt;0")*1)</f>
        <v/>
      </c>
      <c r="Z71" s="19" t="str">
        <f t="shared" ref="Z71:Z76" si="18">IF(M71&gt;0,IF(D71="",D70,D71),"")</f>
        <v>134.1 2022</v>
      </c>
      <c r="AA71" s="60">
        <f t="shared" si="16"/>
        <v>115.87</v>
      </c>
      <c r="AB71" s="61">
        <f t="shared" ref="AB71:AB76" si="19">AA71/$O$17</f>
        <v>0.2884642898574733</v>
      </c>
    </row>
    <row r="72" spans="1:30" ht="25" outlineLevel="1" x14ac:dyDescent="0.35">
      <c r="A72" s="62"/>
      <c r="B72" s="55">
        <v>76</v>
      </c>
      <c r="C72" s="63" t="s">
        <v>151</v>
      </c>
      <c r="D72" s="55" t="s">
        <v>152</v>
      </c>
      <c r="E72" s="64" t="s">
        <v>79</v>
      </c>
      <c r="F72" s="55" t="s">
        <v>139</v>
      </c>
      <c r="G72" s="65"/>
      <c r="H72" s="66"/>
      <c r="I72" s="67">
        <v>120871639</v>
      </c>
      <c r="J72" s="66">
        <v>1</v>
      </c>
      <c r="K72" s="68">
        <v>44550</v>
      </c>
      <c r="L72" s="58">
        <f>IFERROR(IF(I72="","",ROUND(I72/LOOKUP(YEAR(K72),SMML!$A$2:$A$48,SMML!$B$2:$B$48),2)),"")</f>
        <v>133.04</v>
      </c>
      <c r="M72" s="182">
        <v>133.04</v>
      </c>
      <c r="N72" s="318"/>
      <c r="O72" s="319"/>
      <c r="P72" s="20"/>
      <c r="Q72" s="19"/>
      <c r="R72" s="20">
        <f>IF(AND(COUNTIF(R70:R71,G72)&lt;1,M72&gt;0),G72,0)</f>
        <v>0</v>
      </c>
      <c r="S72" s="49" t="str">
        <f>IFERROR(INDEX(G70:H76,MATCH(R72,G70:G76,0),2),"")</f>
        <v/>
      </c>
      <c r="T72" s="59">
        <f>SUMIF(G70:G76,R72,M70:M76)</f>
        <v>0</v>
      </c>
      <c r="U72" s="49">
        <f>T72/L67</f>
        <v>0</v>
      </c>
      <c r="V72" s="20">
        <f t="shared" si="17"/>
        <v>0</v>
      </c>
      <c r="W72" s="19">
        <f>IFERROR(IF(SUMIF(G70:G76,V72,H70:H76)/COUNTIF(G70:G76,V72)=INDEX(R70:S76,MATCH(G72,R70:R76,0),2),1,2),1)</f>
        <v>1</v>
      </c>
      <c r="Y72" s="20" t="str">
        <f>IF(R72=0,"",P67&amp;"-"&amp;COUNTIF(R70:R72,"&lt;&gt;0")*1)</f>
        <v/>
      </c>
      <c r="Z72" s="19" t="str">
        <f t="shared" si="18"/>
        <v>N.A</v>
      </c>
      <c r="AA72" s="60">
        <f t="shared" si="16"/>
        <v>133.04</v>
      </c>
      <c r="AB72" s="61">
        <f t="shared" si="19"/>
        <v>0.33120988282245833</v>
      </c>
    </row>
    <row r="73" spans="1:30" ht="33" customHeight="1" outlineLevel="1" x14ac:dyDescent="0.35">
      <c r="A73" s="62"/>
      <c r="B73" s="55"/>
      <c r="C73" s="63"/>
      <c r="D73" s="55"/>
      <c r="E73" s="64"/>
      <c r="F73" s="55"/>
      <c r="G73" s="65"/>
      <c r="H73" s="66"/>
      <c r="I73" s="67"/>
      <c r="J73" s="66"/>
      <c r="K73" s="68"/>
      <c r="L73" s="58" t="str">
        <f>IFERROR(IF(I73="","",ROUND(I73/LOOKUP(YEAR(K73),SMML!$A$2:$A$48,SMML!$B$2:$B$48),2)),"")</f>
        <v/>
      </c>
      <c r="M73" s="182" t="str">
        <f t="shared" ref="M73:M76" si="20">IFERROR(IF(AND(E73="S",COUNTIF($L$13:$R$13,F73)&gt;=1),L73*J73,""),"")</f>
        <v/>
      </c>
      <c r="N73" s="346" t="s">
        <v>147</v>
      </c>
      <c r="O73" s="347"/>
      <c r="P73" s="20"/>
      <c r="Q73" s="19"/>
      <c r="R73" s="20">
        <f>IF(AND(COUNTIF(R70:R72,G73)&lt;1,M73&gt;0),G73,0)</f>
        <v>0</v>
      </c>
      <c r="S73" s="49" t="str">
        <f>IFERROR(INDEX(G70:H76,MATCH(R73,G70:G76,0),2),"")</f>
        <v/>
      </c>
      <c r="T73" s="59">
        <f>SUMIF(G70:G76,R73,M70:M76)</f>
        <v>0</v>
      </c>
      <c r="U73" s="49">
        <f>T73/L67</f>
        <v>0</v>
      </c>
      <c r="V73" s="20">
        <f t="shared" si="17"/>
        <v>0</v>
      </c>
      <c r="W73" s="19">
        <f>IFERROR(IF(SUMIF(G70:G76,V73,H70:H76)/COUNTIF(G70:G76,V73)=INDEX(R70:S76,MATCH(G73,R70:R76,0),2),1,2),1)</f>
        <v>1</v>
      </c>
      <c r="Y73" s="20" t="str">
        <f>IF(R73=0,"",P67&amp;"-"&amp;COUNTIF(R70:R73,"&lt;&gt;0")*1)</f>
        <v/>
      </c>
      <c r="Z73" s="19" t="str">
        <f t="shared" si="18"/>
        <v>N.A</v>
      </c>
      <c r="AA73" s="60">
        <f t="shared" si="16"/>
        <v>0</v>
      </c>
      <c r="AB73" s="61">
        <f t="shared" si="19"/>
        <v>0</v>
      </c>
    </row>
    <row r="74" spans="1:30" outlineLevel="1" x14ac:dyDescent="0.35">
      <c r="A74" s="62"/>
      <c r="B74" s="55"/>
      <c r="C74" s="63"/>
      <c r="D74" s="55"/>
      <c r="E74" s="64"/>
      <c r="F74" s="55"/>
      <c r="G74" s="65"/>
      <c r="H74" s="66"/>
      <c r="I74" s="67"/>
      <c r="J74" s="66"/>
      <c r="K74" s="68"/>
      <c r="L74" s="58" t="str">
        <f>IFERROR(IF(I74="","",ROUND(I74/LOOKUP(YEAR(K74),SMML!$A$2:$A$48,SMML!$B$2:$B$48),2)),"")</f>
        <v/>
      </c>
      <c r="M74" s="182" t="str">
        <f t="shared" si="20"/>
        <v/>
      </c>
      <c r="N74" s="318"/>
      <c r="O74" s="319"/>
      <c r="P74" s="20"/>
      <c r="Q74" s="19"/>
      <c r="R74" s="20">
        <f>IF(AND(COUNTIF(R70:R73,G74)&lt;1,M74&gt;0),G74,0)</f>
        <v>0</v>
      </c>
      <c r="S74" s="49" t="str">
        <f>IFERROR(INDEX(G70:H76,MATCH(R74,G70:G76,0),2),"")</f>
        <v/>
      </c>
      <c r="T74" s="59">
        <f>SUMIF(G70:G76,R74,M70:M76)</f>
        <v>0</v>
      </c>
      <c r="U74" s="49">
        <f>T74/L67</f>
        <v>0</v>
      </c>
      <c r="V74" s="20">
        <f t="shared" si="17"/>
        <v>0</v>
      </c>
      <c r="W74" s="19">
        <f>IFERROR(IF(SUMIF(G70:G76,V74,H70:H76)/COUNTIF(G70:G76,V74)=INDEX(R70:S76,MATCH(G74,R70:R76,0),2),1,2),1)</f>
        <v>1</v>
      </c>
      <c r="Y74" s="20" t="str">
        <f>IF(R74=0,"",P67&amp;"-"&amp;COUNTIF(R70:R74,"&lt;&gt;0")*1)</f>
        <v/>
      </c>
      <c r="Z74" s="19">
        <f t="shared" si="18"/>
        <v>0</v>
      </c>
      <c r="AA74" s="60">
        <f t="shared" si="16"/>
        <v>0</v>
      </c>
      <c r="AB74" s="61">
        <f t="shared" si="19"/>
        <v>0</v>
      </c>
    </row>
    <row r="75" spans="1:30" outlineLevel="1" x14ac:dyDescent="0.35">
      <c r="A75" s="62"/>
      <c r="B75" s="55"/>
      <c r="C75" s="63"/>
      <c r="D75" s="55"/>
      <c r="E75" s="64"/>
      <c r="F75" s="55"/>
      <c r="G75" s="65"/>
      <c r="H75" s="66"/>
      <c r="I75" s="67"/>
      <c r="J75" s="66"/>
      <c r="K75" s="68"/>
      <c r="L75" s="58" t="str">
        <f>IFERROR(IF(I75="","",ROUND(I75/LOOKUP(YEAR(K75),SMML!$A$2:$A$48,SMML!$B$2:$B$48),2)),"")</f>
        <v/>
      </c>
      <c r="M75" s="182" t="str">
        <f t="shared" si="20"/>
        <v/>
      </c>
      <c r="N75" s="318"/>
      <c r="O75" s="319"/>
      <c r="P75" s="20"/>
      <c r="Q75" s="19"/>
      <c r="R75" s="20">
        <f>IF(AND(COUNTIF(R70:R74,G75)&lt;1,M75&gt;0),G75,0)</f>
        <v>0</v>
      </c>
      <c r="S75" s="49" t="str">
        <f>IFERROR(INDEX(G70:H76,MATCH(R75,G70:G76,0),2),"")</f>
        <v/>
      </c>
      <c r="T75" s="59">
        <f>SUMIF(G70:G76,R75,M70:M76)</f>
        <v>0</v>
      </c>
      <c r="U75" s="49">
        <f>T75/L67</f>
        <v>0</v>
      </c>
      <c r="V75" s="20">
        <f t="shared" si="17"/>
        <v>0</v>
      </c>
      <c r="W75" s="19">
        <f>IFERROR(IF(SUMIF(G70:G76,V75,H70:H76)/COUNTIF(G70:G76,V75)=INDEX(R70:S76,MATCH(G75,R70:R76,0),2),1,2),1)</f>
        <v>1</v>
      </c>
      <c r="Y75" s="20" t="str">
        <f>IF(R75=0,"",P67&amp;"-"&amp;COUNTIF(R70:R75,"&lt;&gt;0")*1)</f>
        <v/>
      </c>
      <c r="Z75" s="19">
        <f t="shared" si="18"/>
        <v>0</v>
      </c>
      <c r="AA75" s="60">
        <f t="shared" si="16"/>
        <v>0</v>
      </c>
      <c r="AB75" s="61">
        <f t="shared" si="19"/>
        <v>0</v>
      </c>
    </row>
    <row r="76" spans="1:30" ht="13" outlineLevel="1" thickBot="1" x14ac:dyDescent="0.4">
      <c r="A76" s="69"/>
      <c r="B76" s="70"/>
      <c r="C76" s="71"/>
      <c r="D76" s="70"/>
      <c r="E76" s="72"/>
      <c r="F76" s="70"/>
      <c r="G76" s="73"/>
      <c r="H76" s="74"/>
      <c r="I76" s="75"/>
      <c r="J76" s="74"/>
      <c r="K76" s="76"/>
      <c r="L76" s="77" t="str">
        <f>IFERROR(IF(I76="","",ROUND(I76/LOOKUP(YEAR(K76),SMML!$A$2:$A$48,SMML!$B$2:$B$48),2)),"")</f>
        <v/>
      </c>
      <c r="M76" s="183" t="str">
        <f t="shared" si="20"/>
        <v/>
      </c>
      <c r="N76" s="320"/>
      <c r="O76" s="321"/>
      <c r="P76" s="20"/>
      <c r="Q76" s="19"/>
      <c r="R76" s="20">
        <f>IF(AND(COUNTIF(R70:R75,G76)&lt;1,M76&gt;0),G76,0)</f>
        <v>0</v>
      </c>
      <c r="S76" s="49" t="str">
        <f>IFERROR(INDEX(G70:H76,MATCH(R76,G70:G76,0),2),"")</f>
        <v/>
      </c>
      <c r="T76" s="59">
        <f>SUMIF(G70:G76,R76,M70:M76)</f>
        <v>0</v>
      </c>
      <c r="U76" s="49">
        <f>T76/L67</f>
        <v>0</v>
      </c>
      <c r="V76" s="20">
        <f t="shared" si="17"/>
        <v>0</v>
      </c>
      <c r="W76" s="19">
        <f>IFERROR(IF(SUMIF(G70:G76,V76,H70:H76)/COUNTIF(G70:G76,V76)=INDEX(R70:S76,MATCH(G76,R70:R76,0),2),1,2),1)</f>
        <v>1</v>
      </c>
      <c r="Y76" s="20" t="str">
        <f>IF(R76=0,"",P67&amp;"-"&amp;COUNTIF(R70:R76,"&lt;&gt;0")*1)</f>
        <v/>
      </c>
      <c r="Z76" s="19">
        <f t="shared" si="18"/>
        <v>0</v>
      </c>
      <c r="AA76" s="60">
        <f>IF(M76="",0,M76)</f>
        <v>0</v>
      </c>
      <c r="AB76" s="61">
        <f t="shared" si="19"/>
        <v>0</v>
      </c>
    </row>
    <row r="77" spans="1:30" ht="25.5" customHeight="1" thickBot="1" x14ac:dyDescent="0.4">
      <c r="E77" s="176"/>
      <c r="H77" s="177">
        <f>S67</f>
        <v>0</v>
      </c>
      <c r="I77" s="322"/>
      <c r="J77" s="323"/>
      <c r="K77" s="324"/>
      <c r="L77" s="78" t="s">
        <v>33</v>
      </c>
      <c r="M77" s="79">
        <f>SUM(M70:M76)</f>
        <v>248.91</v>
      </c>
      <c r="N77" s="325" t="str">
        <f>IF(R67="no","NO CUMPLE CONDICIÓN DEL CONSORCIO","")</f>
        <v/>
      </c>
      <c r="O77" s="326"/>
      <c r="Q77" s="19"/>
    </row>
    <row r="78" spans="1:30" s="39" customFormat="1" ht="12" thickBot="1" x14ac:dyDescent="0.4">
      <c r="B78" s="40"/>
      <c r="C78" s="40"/>
      <c r="D78" s="41"/>
      <c r="E78" s="41"/>
      <c r="F78" s="41"/>
      <c r="G78" s="41"/>
      <c r="H78" s="41"/>
      <c r="I78" s="41"/>
      <c r="J78" s="41"/>
      <c r="K78" s="41"/>
      <c r="L78" s="41"/>
      <c r="M78" s="41"/>
      <c r="N78" s="41"/>
      <c r="O78" s="42"/>
      <c r="Q78" s="43"/>
    </row>
    <row r="79" spans="1:30" s="30" customFormat="1" ht="32.25" customHeight="1" thickBot="1" x14ac:dyDescent="0.4">
      <c r="A79" s="44">
        <f>+A67+1</f>
        <v>6</v>
      </c>
      <c r="B79" s="306" t="str">
        <f>LOOKUP(A79,PROPONENTES!$A$16:$A$23,PROPONENTES!$B$16:$B$23)</f>
        <v>ESTORAQUES 20 SAS</v>
      </c>
      <c r="C79" s="307"/>
      <c r="D79" s="307"/>
      <c r="E79" s="307"/>
      <c r="F79" s="307"/>
      <c r="G79" s="333"/>
      <c r="H79" s="334" t="s">
        <v>16</v>
      </c>
      <c r="I79" s="335"/>
      <c r="J79" s="45">
        <f>+COUNTIFS(D82:D88,"&lt;&gt;",M82:M88,"&gt;0")</f>
        <v>1</v>
      </c>
      <c r="K79" s="46" t="s">
        <v>17</v>
      </c>
      <c r="L79" s="47">
        <f>+$O$17</f>
        <v>401.67883538461541</v>
      </c>
      <c r="M79" s="48" t="s">
        <v>18</v>
      </c>
      <c r="N79" s="336" t="s">
        <v>154</v>
      </c>
      <c r="O79" s="337"/>
      <c r="P79" s="20">
        <f>A79</f>
        <v>6</v>
      </c>
      <c r="Q79" s="20">
        <f>VALUE(LOOKUP(A79,PROPONENTES!A:A,PROPONENTES!J:J))</f>
        <v>1</v>
      </c>
      <c r="R79" s="20" t="str">
        <f>IF(Q79=1,"ok",IF(AND(COUNTIF(U82:U88,"&gt;=0,5")&gt;=1,COUNTIFS(U82:U88,"&gt;=0,05")&gt;=IF(S79=1,Q79,Q79-1),S79&gt;=0.95),"ok","no"))</f>
        <v>ok</v>
      </c>
      <c r="S79" s="49">
        <f>SUM(S82:S88)</f>
        <v>0</v>
      </c>
      <c r="AA79" s="49">
        <v>0.01</v>
      </c>
      <c r="AB79" s="50">
        <f>COUNTIF(AB82:AB88,"&gt;="&amp;$AA$19)</f>
        <v>1</v>
      </c>
    </row>
    <row r="80" spans="1:30" s="52" customFormat="1" ht="24" customHeight="1" outlineLevel="1" x14ac:dyDescent="0.35">
      <c r="A80" s="338" t="s">
        <v>19</v>
      </c>
      <c r="B80" s="340" t="s">
        <v>20</v>
      </c>
      <c r="C80" s="342" t="s">
        <v>21</v>
      </c>
      <c r="D80" s="340" t="s">
        <v>22</v>
      </c>
      <c r="E80" s="340" t="s">
        <v>23</v>
      </c>
      <c r="F80" s="327" t="s">
        <v>24</v>
      </c>
      <c r="G80" s="344" t="s">
        <v>25</v>
      </c>
      <c r="H80" s="340" t="s">
        <v>26</v>
      </c>
      <c r="I80" s="344" t="s">
        <v>27</v>
      </c>
      <c r="J80" s="340" t="s">
        <v>28</v>
      </c>
      <c r="K80" s="344" t="s">
        <v>29</v>
      </c>
      <c r="L80" s="344" t="s">
        <v>30</v>
      </c>
      <c r="M80" s="327" t="s">
        <v>31</v>
      </c>
      <c r="N80" s="327" t="s">
        <v>32</v>
      </c>
      <c r="O80" s="328"/>
      <c r="P80" s="51"/>
      <c r="Q80" s="51"/>
      <c r="R80" s="51"/>
      <c r="S80" s="51"/>
      <c r="T80" s="51"/>
      <c r="U80" s="51"/>
      <c r="V80" s="51"/>
      <c r="W80" s="51"/>
      <c r="X80" s="51"/>
      <c r="Y80" s="51"/>
      <c r="Z80" s="51"/>
      <c r="AA80" s="51"/>
      <c r="AB80" s="51"/>
      <c r="AC80" s="51"/>
      <c r="AD80" s="51"/>
    </row>
    <row r="81" spans="1:28" s="52" customFormat="1" ht="24" customHeight="1" outlineLevel="1" thickBot="1" x14ac:dyDescent="0.4">
      <c r="A81" s="339"/>
      <c r="B81" s="341"/>
      <c r="C81" s="341"/>
      <c r="D81" s="343"/>
      <c r="E81" s="341"/>
      <c r="F81" s="329"/>
      <c r="G81" s="345"/>
      <c r="H81" s="343"/>
      <c r="I81" s="345"/>
      <c r="J81" s="343"/>
      <c r="K81" s="345"/>
      <c r="L81" s="345"/>
      <c r="M81" s="329"/>
      <c r="N81" s="329"/>
      <c r="O81" s="330"/>
      <c r="P81" s="51"/>
      <c r="R81" s="53"/>
    </row>
    <row r="82" spans="1:28" ht="25" outlineLevel="1" x14ac:dyDescent="0.35">
      <c r="A82" s="54"/>
      <c r="B82" s="144">
        <v>13</v>
      </c>
      <c r="C82" s="139" t="s">
        <v>156</v>
      </c>
      <c r="D82" s="145" t="s">
        <v>145</v>
      </c>
      <c r="E82" s="146" t="s">
        <v>79</v>
      </c>
      <c r="F82" s="178" t="s">
        <v>122</v>
      </c>
      <c r="G82" s="56"/>
      <c r="H82" s="142"/>
      <c r="I82" s="57">
        <v>1457906259</v>
      </c>
      <c r="J82" s="142">
        <v>1</v>
      </c>
      <c r="K82" s="179">
        <v>45020</v>
      </c>
      <c r="L82" s="180">
        <f>IFERROR(IF(I82="","",ROUND(I82/LOOKUP(YEAR(K82),SMML!$A$2:$A$48,SMML!$B$2:$B$48),2)),"")</f>
        <v>1256.82</v>
      </c>
      <c r="M82" s="181">
        <v>1256.81</v>
      </c>
      <c r="N82" s="331"/>
      <c r="O82" s="332"/>
      <c r="P82" s="134"/>
      <c r="Q82" s="19"/>
      <c r="R82" s="20">
        <f>IF(M82&lt;&gt;0,G82,0)</f>
        <v>0</v>
      </c>
      <c r="S82" s="49" t="str">
        <f>IFERROR(INDEX(G82:H88,MATCH(R82,G82:G88,0),2),"")</f>
        <v/>
      </c>
      <c r="T82" s="59">
        <f>SUMIF(G82:G88,R82,M82:M88)</f>
        <v>0</v>
      </c>
      <c r="U82" s="49">
        <f>T82/L79</f>
        <v>0</v>
      </c>
      <c r="V82" s="20">
        <f>G82</f>
        <v>0</v>
      </c>
      <c r="W82" s="19">
        <f>IFERROR(IF(SUMIF(G82:G88,V82,H82:H88)/COUNTIF(G82:G88,V82)=INDEX(R82:S88,MATCH(G82,R82:R88,0),2),1,2),1)</f>
        <v>1</v>
      </c>
      <c r="Y82" s="20" t="str">
        <f>IF(R82=0,"",P79&amp;"-"&amp;COUNTIF(R82:R82,"&lt;&gt;0")*1)</f>
        <v/>
      </c>
      <c r="Z82" s="19" t="str">
        <f>IF(M82&gt;0,IF(D82="",D81,D82),"")</f>
        <v>14-2022-ALAMEDA</v>
      </c>
      <c r="AA82" s="60">
        <f t="shared" ref="AA82:AA87" si="21">IF(Z83=Z82,IF(M82="",0,M82)+AA83,IF(M82="",0,M82))</f>
        <v>1256.81</v>
      </c>
      <c r="AB82" s="61">
        <f>AA82/$O$17</f>
        <v>3.1288927602983603</v>
      </c>
    </row>
    <row r="83" spans="1:28" outlineLevel="1" x14ac:dyDescent="0.35">
      <c r="A83" s="62"/>
      <c r="B83" s="184"/>
      <c r="C83" s="63" t="s">
        <v>156</v>
      </c>
      <c r="D83" s="55" t="s">
        <v>146</v>
      </c>
      <c r="E83" s="64" t="s">
        <v>79</v>
      </c>
      <c r="F83" s="184"/>
      <c r="G83" s="65"/>
      <c r="H83" s="66"/>
      <c r="I83" s="67">
        <v>700000000</v>
      </c>
      <c r="J83" s="66">
        <v>1</v>
      </c>
      <c r="K83" s="68">
        <v>44209</v>
      </c>
      <c r="L83" s="58">
        <f>IFERROR(IF(I83="","",ROUND(I83/LOOKUP(YEAR(K83),SMML!$A$2:$A$48,SMML!$B$2:$B$48),2)),"")</f>
        <v>770.48</v>
      </c>
      <c r="M83" s="182" t="str">
        <f t="shared" ref="M83:M88" si="22">IFERROR(IF(AND(E83="S",COUNTIF($L$13:$R$13,F83)&gt;=1),L83*J83,""),"")</f>
        <v/>
      </c>
      <c r="N83" s="318" t="s">
        <v>153</v>
      </c>
      <c r="O83" s="319"/>
      <c r="P83" s="20"/>
      <c r="Q83" s="19"/>
      <c r="R83" s="20">
        <f>IF(AND(COUNTIF(R82:R82,G83)&lt;1,M83&gt;0),G83,0)</f>
        <v>0</v>
      </c>
      <c r="S83" s="49" t="str">
        <f>IFERROR(INDEX(G82:H88,MATCH(R83,G82:G88,0),2),"")</f>
        <v/>
      </c>
      <c r="T83" s="59">
        <f>SUMIF(G82:G88,R83,M82:M88)</f>
        <v>0</v>
      </c>
      <c r="U83" s="49">
        <f>T83/L79</f>
        <v>0</v>
      </c>
      <c r="V83" s="20">
        <f t="shared" ref="V83:V88" si="23">G83</f>
        <v>0</v>
      </c>
      <c r="W83" s="19">
        <f>IFERROR(IF(SUMIF(G82:G88,V83,H82:H88)/COUNTIF(G82:G88,V83)=INDEX(R82:S88,MATCH(G83,R82:R88,0),2),1,2),1)</f>
        <v>1</v>
      </c>
      <c r="Y83" s="20" t="str">
        <f>IF(R83=0,"",P79&amp;"-"&amp;COUNTIF(R82:R83,"&lt;&gt;0")*1)</f>
        <v/>
      </c>
      <c r="Z83" s="19" t="str">
        <f t="shared" ref="Z83:Z88" si="24">IF(M83&gt;0,IF(D83="",D82,D83),"")</f>
        <v>RSVM-01-2020</v>
      </c>
      <c r="AA83" s="60">
        <f t="shared" si="21"/>
        <v>0</v>
      </c>
      <c r="AB83" s="61">
        <f t="shared" ref="AB83:AB88" si="25">AA83/$O$17</f>
        <v>0</v>
      </c>
    </row>
    <row r="84" spans="1:28" ht="43.5" customHeight="1" outlineLevel="1" x14ac:dyDescent="0.35">
      <c r="A84" s="62"/>
      <c r="B84" s="55"/>
      <c r="C84" s="63"/>
      <c r="D84" s="55"/>
      <c r="E84" s="64"/>
      <c r="F84" s="55"/>
      <c r="G84" s="65"/>
      <c r="H84" s="66"/>
      <c r="I84" s="67"/>
      <c r="J84" s="66"/>
      <c r="K84" s="68"/>
      <c r="L84" s="58" t="str">
        <f>IFERROR(IF(I84="","",ROUND(I84/LOOKUP(YEAR(K84),SMML!$A$2:$A$48,SMML!$B$2:$B$48),2)),"")</f>
        <v/>
      </c>
      <c r="M84" s="182" t="str">
        <f t="shared" si="22"/>
        <v/>
      </c>
      <c r="N84" s="346" t="s">
        <v>157</v>
      </c>
      <c r="O84" s="347"/>
      <c r="P84" s="20"/>
      <c r="Q84" s="19"/>
      <c r="R84" s="20">
        <f>IF(AND(COUNTIF(R82:R83,G84)&lt;1,M84&gt;0),G84,0)</f>
        <v>0</v>
      </c>
      <c r="S84" s="49" t="str">
        <f>IFERROR(INDEX(G82:H88,MATCH(R84,G82:G88,0),2),"")</f>
        <v/>
      </c>
      <c r="T84" s="59">
        <f>SUMIF(G82:G88,R84,M82:M88)</f>
        <v>0</v>
      </c>
      <c r="U84" s="49">
        <f>T84/L79</f>
        <v>0</v>
      </c>
      <c r="V84" s="20">
        <f t="shared" si="23"/>
        <v>0</v>
      </c>
      <c r="W84" s="19">
        <f>IFERROR(IF(SUMIF(G82:G88,V84,H82:H88)/COUNTIF(G82:G88,V84)=INDEX(R82:S88,MATCH(G84,R82:R88,0),2),1,2),1)</f>
        <v>1</v>
      </c>
      <c r="Y84" s="20" t="str">
        <f>IF(R84=0,"",P79&amp;"-"&amp;COUNTIF(R82:R84,"&lt;&gt;0")*1)</f>
        <v/>
      </c>
      <c r="Z84" s="19" t="str">
        <f t="shared" si="24"/>
        <v>RSVM-01-2020</v>
      </c>
      <c r="AA84" s="60">
        <f t="shared" si="21"/>
        <v>0</v>
      </c>
      <c r="AB84" s="61">
        <f t="shared" si="25"/>
        <v>0</v>
      </c>
    </row>
    <row r="85" spans="1:28" ht="28.5" customHeight="1" outlineLevel="1" x14ac:dyDescent="0.35">
      <c r="A85" s="62"/>
      <c r="B85" s="55"/>
      <c r="C85" s="63"/>
      <c r="D85" s="55"/>
      <c r="E85" s="64"/>
      <c r="F85" s="55"/>
      <c r="G85" s="65"/>
      <c r="H85" s="66"/>
      <c r="I85" s="67"/>
      <c r="J85" s="66"/>
      <c r="K85" s="68"/>
      <c r="L85" s="58" t="str">
        <f>IFERROR(IF(I85="","",ROUND(I85/LOOKUP(YEAR(K85),SMML!$A$2:$A$48,SMML!$B$2:$B$48),2)),"")</f>
        <v/>
      </c>
      <c r="M85" s="182" t="str">
        <f t="shared" si="22"/>
        <v/>
      </c>
      <c r="N85" s="346" t="s">
        <v>147</v>
      </c>
      <c r="O85" s="347"/>
      <c r="P85" s="20"/>
      <c r="Q85" s="19"/>
      <c r="R85" s="20">
        <f>IF(AND(COUNTIF(R82:R84,G85)&lt;1,M85&gt;0),G85,0)</f>
        <v>0</v>
      </c>
      <c r="S85" s="49" t="str">
        <f>IFERROR(INDEX(G82:H88,MATCH(R85,G82:G88,0),2),"")</f>
        <v/>
      </c>
      <c r="T85" s="59">
        <f>SUMIF(G82:G88,R85,M82:M88)</f>
        <v>0</v>
      </c>
      <c r="U85" s="49">
        <f>T85/L79</f>
        <v>0</v>
      </c>
      <c r="V85" s="20">
        <f t="shared" si="23"/>
        <v>0</v>
      </c>
      <c r="W85" s="19">
        <f>IFERROR(IF(SUMIF(G82:G88,V85,H82:H88)/COUNTIF(G82:G88,V85)=INDEX(R82:S88,MATCH(G85,R82:R88,0),2),1,2),1)</f>
        <v>1</v>
      </c>
      <c r="Y85" s="20" t="str">
        <f>IF(R85=0,"",P79&amp;"-"&amp;COUNTIF(R82:R85,"&lt;&gt;0")*1)</f>
        <v/>
      </c>
      <c r="Z85" s="19">
        <f t="shared" si="24"/>
        <v>0</v>
      </c>
      <c r="AA85" s="60">
        <f t="shared" si="21"/>
        <v>0</v>
      </c>
      <c r="AB85" s="61">
        <f t="shared" si="25"/>
        <v>0</v>
      </c>
    </row>
    <row r="86" spans="1:28" outlineLevel="1" x14ac:dyDescent="0.35">
      <c r="A86" s="62"/>
      <c r="B86" s="55"/>
      <c r="C86" s="63"/>
      <c r="D86" s="55"/>
      <c r="E86" s="64"/>
      <c r="F86" s="55"/>
      <c r="G86" s="65"/>
      <c r="H86" s="66"/>
      <c r="I86" s="67"/>
      <c r="J86" s="66"/>
      <c r="K86" s="68"/>
      <c r="L86" s="58" t="str">
        <f>IFERROR(IF(I86="","",ROUND(I86/LOOKUP(YEAR(K86),SMML!$A$2:$A$48,SMML!$B$2:$B$48),2)),"")</f>
        <v/>
      </c>
      <c r="M86" s="182" t="str">
        <f t="shared" si="22"/>
        <v/>
      </c>
      <c r="N86" s="318"/>
      <c r="O86" s="319"/>
      <c r="P86" s="20"/>
      <c r="Q86" s="19"/>
      <c r="R86" s="20">
        <f>IF(AND(COUNTIF(R82:R85,G86)&lt;1,M86&gt;0),G86,0)</f>
        <v>0</v>
      </c>
      <c r="S86" s="49" t="str">
        <f>IFERROR(INDEX(G82:H88,MATCH(R86,G82:G88,0),2),"")</f>
        <v/>
      </c>
      <c r="T86" s="59">
        <f>SUMIF(G82:G88,R86,M82:M88)</f>
        <v>0</v>
      </c>
      <c r="U86" s="49">
        <f>T86/L79</f>
        <v>0</v>
      </c>
      <c r="V86" s="20">
        <f t="shared" si="23"/>
        <v>0</v>
      </c>
      <c r="W86" s="19">
        <f>IFERROR(IF(SUMIF(G82:G88,V86,H82:H88)/COUNTIF(G82:G88,V86)=INDEX(R82:S88,MATCH(G86,R82:R88,0),2),1,2),1)</f>
        <v>1</v>
      </c>
      <c r="Y86" s="20" t="str">
        <f>IF(R86=0,"",P79&amp;"-"&amp;COUNTIF(R82:R86,"&lt;&gt;0")*1)</f>
        <v/>
      </c>
      <c r="Z86" s="19">
        <f t="shared" si="24"/>
        <v>0</v>
      </c>
      <c r="AA86" s="60">
        <f t="shared" si="21"/>
        <v>0</v>
      </c>
      <c r="AB86" s="61">
        <f t="shared" si="25"/>
        <v>0</v>
      </c>
    </row>
    <row r="87" spans="1:28" outlineLevel="1" x14ac:dyDescent="0.35">
      <c r="A87" s="62"/>
      <c r="B87" s="55"/>
      <c r="C87" s="63"/>
      <c r="D87" s="55"/>
      <c r="E87" s="64"/>
      <c r="F87" s="55"/>
      <c r="G87" s="65"/>
      <c r="H87" s="66"/>
      <c r="I87" s="67"/>
      <c r="J87" s="66"/>
      <c r="K87" s="68"/>
      <c r="L87" s="58" t="str">
        <f>IFERROR(IF(I87="","",ROUND(I87/LOOKUP(YEAR(K87),SMML!$A$2:$A$48,SMML!$B$2:$B$48),2)),"")</f>
        <v/>
      </c>
      <c r="M87" s="182" t="str">
        <f t="shared" si="22"/>
        <v/>
      </c>
      <c r="N87" s="318"/>
      <c r="O87" s="319"/>
      <c r="P87" s="20"/>
      <c r="Q87" s="19"/>
      <c r="R87" s="20">
        <f>IF(AND(COUNTIF(R82:R86,G87)&lt;1,M87&gt;0),G87,0)</f>
        <v>0</v>
      </c>
      <c r="S87" s="49" t="str">
        <f>IFERROR(INDEX(G82:H88,MATCH(R87,G82:G88,0),2),"")</f>
        <v/>
      </c>
      <c r="T87" s="59">
        <f>SUMIF(G82:G88,R87,M82:M88)</f>
        <v>0</v>
      </c>
      <c r="U87" s="49">
        <f>T87/L79</f>
        <v>0</v>
      </c>
      <c r="V87" s="20">
        <f t="shared" si="23"/>
        <v>0</v>
      </c>
      <c r="W87" s="19">
        <f>IFERROR(IF(SUMIF(G82:G88,V87,H82:H88)/COUNTIF(G82:G88,V87)=INDEX(R82:S88,MATCH(G87,R82:R88,0),2),1,2),1)</f>
        <v>1</v>
      </c>
      <c r="Y87" s="20" t="str">
        <f>IF(R87=0,"",P79&amp;"-"&amp;COUNTIF(R82:R87,"&lt;&gt;0")*1)</f>
        <v/>
      </c>
      <c r="Z87" s="19">
        <f t="shared" si="24"/>
        <v>0</v>
      </c>
      <c r="AA87" s="60">
        <f t="shared" si="21"/>
        <v>0</v>
      </c>
      <c r="AB87" s="61">
        <f t="shared" si="25"/>
        <v>0</v>
      </c>
    </row>
    <row r="88" spans="1:28" ht="13" outlineLevel="1" thickBot="1" x14ac:dyDescent="0.4">
      <c r="A88" s="69"/>
      <c r="B88" s="70"/>
      <c r="C88" s="71"/>
      <c r="D88" s="70"/>
      <c r="E88" s="72"/>
      <c r="F88" s="70"/>
      <c r="G88" s="73"/>
      <c r="H88" s="74"/>
      <c r="I88" s="75"/>
      <c r="J88" s="74"/>
      <c r="K88" s="76"/>
      <c r="L88" s="77" t="str">
        <f>IFERROR(IF(I88="","",ROUND(I88/LOOKUP(YEAR(K88),SMML!$A$2:$A$48,SMML!$B$2:$B$48),2)),"")</f>
        <v/>
      </c>
      <c r="M88" s="183" t="str">
        <f t="shared" si="22"/>
        <v/>
      </c>
      <c r="N88" s="320"/>
      <c r="O88" s="321"/>
      <c r="P88" s="20"/>
      <c r="Q88" s="19"/>
      <c r="R88" s="20">
        <f>IF(AND(COUNTIF(R82:R87,G88)&lt;1,M88&gt;0),G88,0)</f>
        <v>0</v>
      </c>
      <c r="S88" s="49" t="str">
        <f>IFERROR(INDEX(G82:H88,MATCH(R88,G82:G88,0),2),"")</f>
        <v/>
      </c>
      <c r="T88" s="59">
        <f>SUMIF(G82:G88,R88,M82:M88)</f>
        <v>0</v>
      </c>
      <c r="U88" s="49">
        <f>T88/L79</f>
        <v>0</v>
      </c>
      <c r="V88" s="20">
        <f t="shared" si="23"/>
        <v>0</v>
      </c>
      <c r="W88" s="19">
        <f>IFERROR(IF(SUMIF(G82:G88,V88,H82:H88)/COUNTIF(G82:G88,V88)=INDEX(R82:S88,MATCH(G88,R82:R88,0),2),1,2),1)</f>
        <v>1</v>
      </c>
      <c r="Y88" s="20" t="str">
        <f>IF(R88=0,"",P79&amp;"-"&amp;COUNTIF(R82:R88,"&lt;&gt;0")*1)</f>
        <v/>
      </c>
      <c r="Z88" s="19">
        <f t="shared" si="24"/>
        <v>0</v>
      </c>
      <c r="AA88" s="60">
        <f>IF(M88="",0,M88)</f>
        <v>0</v>
      </c>
      <c r="AB88" s="61">
        <f t="shared" si="25"/>
        <v>0</v>
      </c>
    </row>
    <row r="89" spans="1:28" ht="25.5" customHeight="1" thickBot="1" x14ac:dyDescent="0.4">
      <c r="E89" s="176"/>
      <c r="H89" s="177">
        <f>S79</f>
        <v>0</v>
      </c>
      <c r="I89" s="322"/>
      <c r="J89" s="323"/>
      <c r="K89" s="324"/>
      <c r="L89" s="78" t="s">
        <v>33</v>
      </c>
      <c r="M89" s="79">
        <f>SUM(M82:M88)</f>
        <v>1256.81</v>
      </c>
      <c r="N89" s="325" t="str">
        <f>IF(R79="no","NO CUMPLE CONDICIÓN DEL CONSORCIO","")</f>
        <v/>
      </c>
      <c r="O89" s="326"/>
      <c r="Q89" s="19"/>
    </row>
    <row r="90" spans="1:28" s="39" customFormat="1" ht="11.5" x14ac:dyDescent="0.35">
      <c r="B90" s="40"/>
      <c r="C90" s="40"/>
      <c r="D90" s="41"/>
      <c r="E90" s="41"/>
      <c r="F90" s="41"/>
      <c r="G90" s="41"/>
      <c r="H90" s="41"/>
      <c r="I90" s="41"/>
      <c r="J90" s="41"/>
      <c r="K90" s="41"/>
      <c r="L90" s="41"/>
      <c r="M90" s="41"/>
      <c r="N90" s="41"/>
      <c r="O90" s="42"/>
      <c r="Q90" s="43"/>
    </row>
    <row r="91" spans="1:28" x14ac:dyDescent="0.35">
      <c r="B91" s="19" t="str">
        <f>+PROPONENTES!B27</f>
        <v>Elaboró: Diego Alberto Acosta Betancur - Natalia Zapata Puerta</v>
      </c>
    </row>
    <row r="92" spans="1:28" x14ac:dyDescent="0.35">
      <c r="A92" s="18"/>
      <c r="B92" s="19" t="str">
        <f>+PROPONENTES!B28</f>
        <v xml:space="preserve">Cargo: Profesional Universitario - Ingeniero Contratista </v>
      </c>
    </row>
    <row r="93" spans="1:28" x14ac:dyDescent="0.35">
      <c r="A93" s="18"/>
      <c r="B93" s="80"/>
    </row>
  </sheetData>
  <sheetProtection algorithmName="SHA-512" hashValue="LW0JnM5jzHJROh300xEfmokK/VFOInz3qUrXtlHDh4oTjBIrX19jhm3fsMYfaz769pOdBe9GYdykS+L4gzryIQ==" saltValue="i0bfN5uvrKXkqBJmjsVPWg==" spinCount="100000" sheet="1" objects="1" scenarios="1"/>
  <autoFilter ref="A18:O90" xr:uid="{00000000-0009-0000-0000-000001000000}"/>
  <mergeCells count="165">
    <mergeCell ref="B79:G79"/>
    <mergeCell ref="H79:I79"/>
    <mergeCell ref="N79:O79"/>
    <mergeCell ref="B67:G67"/>
    <mergeCell ref="A80:A81"/>
    <mergeCell ref="B80:B81"/>
    <mergeCell ref="C80:C81"/>
    <mergeCell ref="D80:D81"/>
    <mergeCell ref="E80:E81"/>
    <mergeCell ref="F80:F81"/>
    <mergeCell ref="G80:G81"/>
    <mergeCell ref="H80:H81"/>
    <mergeCell ref="I80:I81"/>
    <mergeCell ref="J80:J81"/>
    <mergeCell ref="K80:K81"/>
    <mergeCell ref="L80:L81"/>
    <mergeCell ref="M80:M81"/>
    <mergeCell ref="H67:I67"/>
    <mergeCell ref="N67:O67"/>
    <mergeCell ref="A68:A69"/>
    <mergeCell ref="B68:B69"/>
    <mergeCell ref="C68:C69"/>
    <mergeCell ref="D68:D69"/>
    <mergeCell ref="E68:E69"/>
    <mergeCell ref="N86:O86"/>
    <mergeCell ref="N87:O87"/>
    <mergeCell ref="N88:O88"/>
    <mergeCell ref="I89:K89"/>
    <mergeCell ref="N89:O89"/>
    <mergeCell ref="N80:O81"/>
    <mergeCell ref="N82:O82"/>
    <mergeCell ref="N83:O83"/>
    <mergeCell ref="N84:O84"/>
    <mergeCell ref="N85:O85"/>
    <mergeCell ref="F68:F69"/>
    <mergeCell ref="G68:G69"/>
    <mergeCell ref="H68:H69"/>
    <mergeCell ref="I68:I69"/>
    <mergeCell ref="J68:J69"/>
    <mergeCell ref="K68:K69"/>
    <mergeCell ref="L68:L69"/>
    <mergeCell ref="M68:M69"/>
    <mergeCell ref="N74:O74"/>
    <mergeCell ref="N75:O75"/>
    <mergeCell ref="N76:O76"/>
    <mergeCell ref="I77:K77"/>
    <mergeCell ref="N77:O77"/>
    <mergeCell ref="N68:O69"/>
    <mergeCell ref="N70:O70"/>
    <mergeCell ref="N71:O71"/>
    <mergeCell ref="N72:O72"/>
    <mergeCell ref="N73:O73"/>
    <mergeCell ref="H55:I55"/>
    <mergeCell ref="N55:O55"/>
    <mergeCell ref="A56:A57"/>
    <mergeCell ref="B56:B57"/>
    <mergeCell ref="C56:C57"/>
    <mergeCell ref="D56:D57"/>
    <mergeCell ref="E56:E57"/>
    <mergeCell ref="F56:F57"/>
    <mergeCell ref="G56:G57"/>
    <mergeCell ref="H56:H57"/>
    <mergeCell ref="I56:I57"/>
    <mergeCell ref="J56:J57"/>
    <mergeCell ref="K56:K57"/>
    <mergeCell ref="L56:L57"/>
    <mergeCell ref="M56:M57"/>
    <mergeCell ref="B55:G55"/>
    <mergeCell ref="N62:O62"/>
    <mergeCell ref="N63:O63"/>
    <mergeCell ref="N64:O64"/>
    <mergeCell ref="I65:K65"/>
    <mergeCell ref="N65:O65"/>
    <mergeCell ref="N56:O57"/>
    <mergeCell ref="N58:O58"/>
    <mergeCell ref="N59:O59"/>
    <mergeCell ref="N60:O60"/>
    <mergeCell ref="N61:O61"/>
    <mergeCell ref="B43:G43"/>
    <mergeCell ref="H43:I43"/>
    <mergeCell ref="N43:O43"/>
    <mergeCell ref="A44:A45"/>
    <mergeCell ref="B44:B45"/>
    <mergeCell ref="C44:C45"/>
    <mergeCell ref="D44:D45"/>
    <mergeCell ref="E44:E45"/>
    <mergeCell ref="F44:F45"/>
    <mergeCell ref="G44:G45"/>
    <mergeCell ref="H44:H45"/>
    <mergeCell ref="I44:I45"/>
    <mergeCell ref="J44:J45"/>
    <mergeCell ref="K44:K45"/>
    <mergeCell ref="L44:L45"/>
    <mergeCell ref="M44:M45"/>
    <mergeCell ref="N50:O50"/>
    <mergeCell ref="N51:O51"/>
    <mergeCell ref="N52:O52"/>
    <mergeCell ref="I53:K53"/>
    <mergeCell ref="N53:O53"/>
    <mergeCell ref="N44:O45"/>
    <mergeCell ref="N46:O46"/>
    <mergeCell ref="N47:O47"/>
    <mergeCell ref="N48:O48"/>
    <mergeCell ref="N49:O49"/>
    <mergeCell ref="B31:G31"/>
    <mergeCell ref="H31:I31"/>
    <mergeCell ref="N31:O31"/>
    <mergeCell ref="A32:A33"/>
    <mergeCell ref="B32:B33"/>
    <mergeCell ref="C32:C33"/>
    <mergeCell ref="D32:D33"/>
    <mergeCell ref="E32:E33"/>
    <mergeCell ref="F32:F33"/>
    <mergeCell ref="G32:G33"/>
    <mergeCell ref="H32:H33"/>
    <mergeCell ref="I32:I33"/>
    <mergeCell ref="J32:J33"/>
    <mergeCell ref="K32:K33"/>
    <mergeCell ref="L32:L33"/>
    <mergeCell ref="M32:M33"/>
    <mergeCell ref="N38:O38"/>
    <mergeCell ref="N39:O39"/>
    <mergeCell ref="N40:O40"/>
    <mergeCell ref="I41:K41"/>
    <mergeCell ref="N41:O41"/>
    <mergeCell ref="N32:O33"/>
    <mergeCell ref="N34:O34"/>
    <mergeCell ref="N35:O35"/>
    <mergeCell ref="N36:O36"/>
    <mergeCell ref="N37:O37"/>
    <mergeCell ref="B19:G19"/>
    <mergeCell ref="H19:I19"/>
    <mergeCell ref="N19:O19"/>
    <mergeCell ref="A20:A21"/>
    <mergeCell ref="B20:B21"/>
    <mergeCell ref="C20:C21"/>
    <mergeCell ref="D20:D21"/>
    <mergeCell ref="E20:E21"/>
    <mergeCell ref="F20:F21"/>
    <mergeCell ref="G20:G21"/>
    <mergeCell ref="H20:H21"/>
    <mergeCell ref="I20:I21"/>
    <mergeCell ref="J20:J21"/>
    <mergeCell ref="K20:K21"/>
    <mergeCell ref="L20:L21"/>
    <mergeCell ref="N27:O27"/>
    <mergeCell ref="N28:O28"/>
    <mergeCell ref="I29:K29"/>
    <mergeCell ref="N29:O29"/>
    <mergeCell ref="N20:O21"/>
    <mergeCell ref="N22:O22"/>
    <mergeCell ref="N23:O23"/>
    <mergeCell ref="N24:O24"/>
    <mergeCell ref="N25:O25"/>
    <mergeCell ref="N26:O26"/>
    <mergeCell ref="M20:M21"/>
    <mergeCell ref="A6:O6"/>
    <mergeCell ref="A7:O7"/>
    <mergeCell ref="A9:O9"/>
    <mergeCell ref="A11:O11"/>
    <mergeCell ref="A13:J17"/>
    <mergeCell ref="K14:N14"/>
    <mergeCell ref="K15:K16"/>
    <mergeCell ref="L15:O16"/>
    <mergeCell ref="K17:M17"/>
  </mergeCells>
  <phoneticPr fontId="29" type="noConversion"/>
  <conditionalFormatting sqref="E29">
    <cfRule type="containsText" dxfId="248" priority="4063" operator="containsText" text="NO">
      <formula>NOT(ISERROR(SEARCH("NO",E29)))</formula>
    </cfRule>
  </conditionalFormatting>
  <conditionalFormatting sqref="E41">
    <cfRule type="containsText" dxfId="247" priority="193" operator="containsText" text="NO">
      <formula>NOT(ISERROR(SEARCH("NO",E41)))</formula>
    </cfRule>
  </conditionalFormatting>
  <conditionalFormatting sqref="E53">
    <cfRule type="containsText" dxfId="246" priority="154" operator="containsText" text="NO">
      <formula>NOT(ISERROR(SEARCH("NO",E53)))</formula>
    </cfRule>
  </conditionalFormatting>
  <conditionalFormatting sqref="E65">
    <cfRule type="containsText" dxfId="245" priority="115" operator="containsText" text="NO">
      <formula>NOT(ISERROR(SEARCH("NO",E65)))</formula>
    </cfRule>
  </conditionalFormatting>
  <conditionalFormatting sqref="E77">
    <cfRule type="containsText" dxfId="244" priority="76" operator="containsText" text="NO">
      <formula>NOT(ISERROR(SEARCH("NO",E77)))</formula>
    </cfRule>
  </conditionalFormatting>
  <conditionalFormatting sqref="E89">
    <cfRule type="containsText" dxfId="243" priority="37" operator="containsText" text="NO">
      <formula>NOT(ISERROR(SEARCH("NO",E89)))</formula>
    </cfRule>
  </conditionalFormatting>
  <conditionalFormatting sqref="G22">
    <cfRule type="expression" dxfId="242" priority="2">
      <formula>V22&gt;1</formula>
    </cfRule>
    <cfRule type="expression" dxfId="241" priority="3">
      <formula>G29&gt;1</formula>
    </cfRule>
  </conditionalFormatting>
  <conditionalFormatting sqref="G23">
    <cfRule type="expression" dxfId="240" priority="5">
      <formula>Q20=1</formula>
    </cfRule>
  </conditionalFormatting>
  <conditionalFormatting sqref="G24">
    <cfRule type="expression" dxfId="239" priority="4053">
      <formula>Q19=1</formula>
    </cfRule>
  </conditionalFormatting>
  <conditionalFormatting sqref="G25">
    <cfRule type="expression" dxfId="238" priority="4052">
      <formula>Q19=1</formula>
    </cfRule>
  </conditionalFormatting>
  <conditionalFormatting sqref="G26">
    <cfRule type="expression" dxfId="237" priority="4051">
      <formula>Q19=1</formula>
    </cfRule>
  </conditionalFormatting>
  <conditionalFormatting sqref="G27">
    <cfRule type="expression" dxfId="236" priority="4050">
      <formula>Q19=1</formula>
    </cfRule>
  </conditionalFormatting>
  <conditionalFormatting sqref="G28">
    <cfRule type="expression" dxfId="235" priority="4049">
      <formula>Q19=1</formula>
    </cfRule>
  </conditionalFormatting>
  <conditionalFormatting sqref="G34">
    <cfRule type="expression" dxfId="234" priority="163">
      <formula>Q31=1</formula>
    </cfRule>
  </conditionalFormatting>
  <conditionalFormatting sqref="G35">
    <cfRule type="expression" dxfId="233" priority="165">
      <formula>Q31=1</formula>
    </cfRule>
  </conditionalFormatting>
  <conditionalFormatting sqref="G36">
    <cfRule type="expression" dxfId="232" priority="190">
      <formula>Q31=1</formula>
    </cfRule>
  </conditionalFormatting>
  <conditionalFormatting sqref="G37">
    <cfRule type="expression" dxfId="231" priority="189">
      <formula>Q31=1</formula>
    </cfRule>
  </conditionalFormatting>
  <conditionalFormatting sqref="G38">
    <cfRule type="expression" dxfId="230" priority="188">
      <formula>Q31=1</formula>
    </cfRule>
  </conditionalFormatting>
  <conditionalFormatting sqref="G39">
    <cfRule type="expression" dxfId="229" priority="187">
      <formula>Q31=1</formula>
    </cfRule>
  </conditionalFormatting>
  <conditionalFormatting sqref="G40">
    <cfRule type="expression" dxfId="228" priority="186">
      <formula>Q31=1</formula>
    </cfRule>
  </conditionalFormatting>
  <conditionalFormatting sqref="G46">
    <cfRule type="expression" dxfId="227" priority="124">
      <formula>Q43=1</formula>
    </cfRule>
  </conditionalFormatting>
  <conditionalFormatting sqref="G47">
    <cfRule type="expression" dxfId="226" priority="126">
      <formula>Q43=1</formula>
    </cfRule>
  </conditionalFormatting>
  <conditionalFormatting sqref="G48">
    <cfRule type="expression" dxfId="225" priority="151">
      <formula>Q43=1</formula>
    </cfRule>
  </conditionalFormatting>
  <conditionalFormatting sqref="G49">
    <cfRule type="expression" dxfId="224" priority="150">
      <formula>Q43=1</formula>
    </cfRule>
  </conditionalFormatting>
  <conditionalFormatting sqref="G50">
    <cfRule type="expression" dxfId="223" priority="149">
      <formula>Q43=1</formula>
    </cfRule>
  </conditionalFormatting>
  <conditionalFormatting sqref="G51">
    <cfRule type="expression" dxfId="222" priority="148">
      <formula>Q43=1</formula>
    </cfRule>
  </conditionalFormatting>
  <conditionalFormatting sqref="G52">
    <cfRule type="expression" dxfId="221" priority="147">
      <formula>Q43=1</formula>
    </cfRule>
  </conditionalFormatting>
  <conditionalFormatting sqref="G58">
    <cfRule type="expression" dxfId="220" priority="85">
      <formula>Q55=1</formula>
    </cfRule>
  </conditionalFormatting>
  <conditionalFormatting sqref="G59">
    <cfRule type="expression" dxfId="219" priority="87">
      <formula>Q55=1</formula>
    </cfRule>
  </conditionalFormatting>
  <conditionalFormatting sqref="G60">
    <cfRule type="expression" dxfId="218" priority="112">
      <formula>Q55=1</formula>
    </cfRule>
  </conditionalFormatting>
  <conditionalFormatting sqref="G61">
    <cfRule type="expression" dxfId="217" priority="111">
      <formula>Q55=1</formula>
    </cfRule>
  </conditionalFormatting>
  <conditionalFormatting sqref="G62">
    <cfRule type="expression" dxfId="216" priority="110">
      <formula>Q55=1</formula>
    </cfRule>
  </conditionalFormatting>
  <conditionalFormatting sqref="G63">
    <cfRule type="expression" dxfId="215" priority="109">
      <formula>Q55=1</formula>
    </cfRule>
  </conditionalFormatting>
  <conditionalFormatting sqref="G64">
    <cfRule type="expression" dxfId="214" priority="108">
      <formula>Q55=1</formula>
    </cfRule>
  </conditionalFormatting>
  <conditionalFormatting sqref="G70">
    <cfRule type="expression" dxfId="213" priority="46">
      <formula>Q67=1</formula>
    </cfRule>
  </conditionalFormatting>
  <conditionalFormatting sqref="G71">
    <cfRule type="expression" dxfId="212" priority="48">
      <formula>Q67=1</formula>
    </cfRule>
  </conditionalFormatting>
  <conditionalFormatting sqref="G72">
    <cfRule type="expression" dxfId="211" priority="73">
      <formula>Q67=1</formula>
    </cfRule>
  </conditionalFormatting>
  <conditionalFormatting sqref="G73">
    <cfRule type="expression" dxfId="210" priority="72">
      <formula>Q67=1</formula>
    </cfRule>
  </conditionalFormatting>
  <conditionalFormatting sqref="G74">
    <cfRule type="expression" dxfId="209" priority="71">
      <formula>Q67=1</formula>
    </cfRule>
  </conditionalFormatting>
  <conditionalFormatting sqref="G75">
    <cfRule type="expression" dxfId="208" priority="70">
      <formula>Q67=1</formula>
    </cfRule>
  </conditionalFormatting>
  <conditionalFormatting sqref="G76">
    <cfRule type="expression" dxfId="207" priority="69">
      <formula>Q67=1</formula>
    </cfRule>
  </conditionalFormatting>
  <conditionalFormatting sqref="G82">
    <cfRule type="expression" dxfId="206" priority="7">
      <formula>Q79=1</formula>
    </cfRule>
  </conditionalFormatting>
  <conditionalFormatting sqref="G83">
    <cfRule type="expression" dxfId="205" priority="9">
      <formula>Q79=1</formula>
    </cfRule>
  </conditionalFormatting>
  <conditionalFormatting sqref="G84">
    <cfRule type="expression" dxfId="204" priority="34">
      <formula>Q79=1</formula>
    </cfRule>
  </conditionalFormatting>
  <conditionalFormatting sqref="G85">
    <cfRule type="expression" dxfId="203" priority="33">
      <formula>Q79=1</formula>
    </cfRule>
  </conditionalFormatting>
  <conditionalFormatting sqref="G86">
    <cfRule type="expression" dxfId="202" priority="32">
      <formula>Q79=1</formula>
    </cfRule>
  </conditionalFormatting>
  <conditionalFormatting sqref="G87">
    <cfRule type="expression" dxfId="201" priority="31">
      <formula>Q79=1</formula>
    </cfRule>
  </conditionalFormatting>
  <conditionalFormatting sqref="G88">
    <cfRule type="expression" dxfId="200" priority="30">
      <formula>Q79=1</formula>
    </cfRule>
  </conditionalFormatting>
  <conditionalFormatting sqref="G22:H22">
    <cfRule type="expression" dxfId="199" priority="1">
      <formula>P19=1</formula>
    </cfRule>
  </conditionalFormatting>
  <conditionalFormatting sqref="H19">
    <cfRule type="expression" dxfId="198" priority="4070">
      <formula>M29&gt;=L19</formula>
    </cfRule>
  </conditionalFormatting>
  <conditionalFormatting sqref="H22">
    <cfRule type="expression" dxfId="197" priority="1320">
      <formula>H29&gt;1</formula>
    </cfRule>
  </conditionalFormatting>
  <conditionalFormatting sqref="H22:H23">
    <cfRule type="expression" dxfId="196" priority="1317">
      <formula>W22&gt;1</formula>
    </cfRule>
  </conditionalFormatting>
  <conditionalFormatting sqref="H23">
    <cfRule type="expression" dxfId="195" priority="1319">
      <formula>H29&gt;1</formula>
    </cfRule>
    <cfRule type="expression" dxfId="194" priority="1314">
      <formula>Q19=1</formula>
    </cfRule>
  </conditionalFormatting>
  <conditionalFormatting sqref="H24">
    <cfRule type="expression" dxfId="193" priority="4045">
      <formula>Q19=1</formula>
    </cfRule>
    <cfRule type="expression" dxfId="192" priority="4047">
      <formula>H29&gt;1</formula>
    </cfRule>
    <cfRule type="expression" dxfId="191" priority="4046">
      <formula>W24&gt;1</formula>
    </cfRule>
  </conditionalFormatting>
  <conditionalFormatting sqref="H25">
    <cfRule type="expression" dxfId="190" priority="4043">
      <formula>W25&gt;1</formula>
    </cfRule>
    <cfRule type="expression" dxfId="189" priority="4042">
      <formula>Q19=1</formula>
    </cfRule>
    <cfRule type="expression" dxfId="188" priority="4044">
      <formula>H29&gt;1</formula>
    </cfRule>
  </conditionalFormatting>
  <conditionalFormatting sqref="H26">
    <cfRule type="expression" dxfId="187" priority="4041">
      <formula>H29&gt;1</formula>
    </cfRule>
    <cfRule type="expression" dxfId="186" priority="4039">
      <formula>Q19=1</formula>
    </cfRule>
    <cfRule type="expression" dxfId="185" priority="4040">
      <formula>W26&gt;1</formula>
    </cfRule>
  </conditionalFormatting>
  <conditionalFormatting sqref="H27">
    <cfRule type="expression" dxfId="184" priority="4038">
      <formula>H29&gt;1</formula>
    </cfRule>
    <cfRule type="expression" dxfId="183" priority="4037">
      <formula>W27&gt;1</formula>
    </cfRule>
    <cfRule type="expression" dxfId="182" priority="4036">
      <formula>Q19=1</formula>
    </cfRule>
  </conditionalFormatting>
  <conditionalFormatting sqref="H28">
    <cfRule type="expression" dxfId="181" priority="4035">
      <formula>H29&gt;1</formula>
    </cfRule>
    <cfRule type="expression" dxfId="180" priority="4034">
      <formula>W28&gt;1</formula>
    </cfRule>
    <cfRule type="expression" dxfId="179" priority="4033">
      <formula>Q19=1</formula>
    </cfRule>
  </conditionalFormatting>
  <conditionalFormatting sqref="H29">
    <cfRule type="cellIs" dxfId="178" priority="4064" operator="greaterThan">
      <formula>1</formula>
    </cfRule>
  </conditionalFormatting>
  <conditionalFormatting sqref="H31">
    <cfRule type="expression" dxfId="177" priority="199">
      <formula>M41&gt;=L31</formula>
    </cfRule>
  </conditionalFormatting>
  <conditionalFormatting sqref="H34">
    <cfRule type="expression" dxfId="176" priority="170">
      <formula>H41&gt;1</formula>
    </cfRule>
    <cfRule type="expression" dxfId="175" priority="166">
      <formula>Q31=1</formula>
    </cfRule>
  </conditionalFormatting>
  <conditionalFormatting sqref="H34:H35">
    <cfRule type="expression" dxfId="174" priority="167">
      <formula>W34&gt;1</formula>
    </cfRule>
  </conditionalFormatting>
  <conditionalFormatting sqref="H35">
    <cfRule type="expression" dxfId="173" priority="164">
      <formula>Q31=1</formula>
    </cfRule>
    <cfRule type="expression" dxfId="172" priority="169">
      <formula>H41&gt;1</formula>
    </cfRule>
  </conditionalFormatting>
  <conditionalFormatting sqref="H36">
    <cfRule type="expression" dxfId="171" priority="185">
      <formula>H41&gt;1</formula>
    </cfRule>
    <cfRule type="expression" dxfId="170" priority="184">
      <formula>W36&gt;1</formula>
    </cfRule>
    <cfRule type="expression" dxfId="169" priority="183">
      <formula>Q31=1</formula>
    </cfRule>
  </conditionalFormatting>
  <conditionalFormatting sqref="H37">
    <cfRule type="expression" dxfId="168" priority="180">
      <formula>Q31=1</formula>
    </cfRule>
    <cfRule type="expression" dxfId="167" priority="182">
      <formula>H41&gt;1</formula>
    </cfRule>
    <cfRule type="expression" dxfId="166" priority="181">
      <formula>W37&gt;1</formula>
    </cfRule>
  </conditionalFormatting>
  <conditionalFormatting sqref="H38">
    <cfRule type="expression" dxfId="165" priority="179">
      <formula>H41&gt;1</formula>
    </cfRule>
    <cfRule type="expression" dxfId="164" priority="178">
      <formula>W38&gt;1</formula>
    </cfRule>
    <cfRule type="expression" dxfId="163" priority="177">
      <formula>Q31=1</formula>
    </cfRule>
  </conditionalFormatting>
  <conditionalFormatting sqref="H39">
    <cfRule type="expression" dxfId="162" priority="174">
      <formula>Q31=1</formula>
    </cfRule>
    <cfRule type="expression" dxfId="161" priority="175">
      <formula>W39&gt;1</formula>
    </cfRule>
    <cfRule type="expression" dxfId="160" priority="176">
      <formula>H41&gt;1</formula>
    </cfRule>
  </conditionalFormatting>
  <conditionalFormatting sqref="H40">
    <cfRule type="expression" dxfId="159" priority="171">
      <formula>Q31=1</formula>
    </cfRule>
    <cfRule type="expression" dxfId="158" priority="172">
      <formula>W40&gt;1</formula>
    </cfRule>
    <cfRule type="expression" dxfId="157" priority="173">
      <formula>H41&gt;1</formula>
    </cfRule>
  </conditionalFormatting>
  <conditionalFormatting sqref="H41">
    <cfRule type="cellIs" dxfId="156" priority="194" operator="greaterThan">
      <formula>1</formula>
    </cfRule>
  </conditionalFormatting>
  <conditionalFormatting sqref="H43">
    <cfRule type="expression" dxfId="155" priority="160">
      <formula>M53&gt;=L43</formula>
    </cfRule>
  </conditionalFormatting>
  <conditionalFormatting sqref="H46">
    <cfRule type="expression" dxfId="154" priority="127">
      <formula>Q43=1</formula>
    </cfRule>
    <cfRule type="expression" dxfId="153" priority="131">
      <formula>H53&gt;1</formula>
    </cfRule>
  </conditionalFormatting>
  <conditionalFormatting sqref="H46:H47">
    <cfRule type="expression" dxfId="152" priority="128">
      <formula>W46&gt;1</formula>
    </cfRule>
  </conditionalFormatting>
  <conditionalFormatting sqref="H47">
    <cfRule type="expression" dxfId="151" priority="125">
      <formula>Q43=1</formula>
    </cfRule>
    <cfRule type="expression" dxfId="150" priority="130">
      <formula>H53&gt;1</formula>
    </cfRule>
  </conditionalFormatting>
  <conditionalFormatting sqref="H48">
    <cfRule type="expression" dxfId="149" priority="146">
      <formula>H53&gt;1</formula>
    </cfRule>
    <cfRule type="expression" dxfId="148" priority="144">
      <formula>Q43=1</formula>
    </cfRule>
    <cfRule type="expression" dxfId="147" priority="145">
      <formula>W48&gt;1</formula>
    </cfRule>
  </conditionalFormatting>
  <conditionalFormatting sqref="H49">
    <cfRule type="expression" dxfId="146" priority="143">
      <formula>H53&gt;1</formula>
    </cfRule>
    <cfRule type="expression" dxfId="145" priority="142">
      <formula>W49&gt;1</formula>
    </cfRule>
    <cfRule type="expression" dxfId="144" priority="141">
      <formula>Q43=1</formula>
    </cfRule>
  </conditionalFormatting>
  <conditionalFormatting sqref="H50">
    <cfRule type="expression" dxfId="143" priority="140">
      <formula>H53&gt;1</formula>
    </cfRule>
    <cfRule type="expression" dxfId="142" priority="139">
      <formula>W50&gt;1</formula>
    </cfRule>
    <cfRule type="expression" dxfId="141" priority="138">
      <formula>Q43=1</formula>
    </cfRule>
  </conditionalFormatting>
  <conditionalFormatting sqref="H51">
    <cfRule type="expression" dxfId="140" priority="137">
      <formula>H53&gt;1</formula>
    </cfRule>
    <cfRule type="expression" dxfId="139" priority="136">
      <formula>W51&gt;1</formula>
    </cfRule>
    <cfRule type="expression" dxfId="138" priority="135">
      <formula>Q43=1</formula>
    </cfRule>
  </conditionalFormatting>
  <conditionalFormatting sqref="H52">
    <cfRule type="expression" dxfId="137" priority="134">
      <formula>H53&gt;1</formula>
    </cfRule>
    <cfRule type="expression" dxfId="136" priority="133">
      <formula>W52&gt;1</formula>
    </cfRule>
    <cfRule type="expression" dxfId="135" priority="132">
      <formula>Q43=1</formula>
    </cfRule>
  </conditionalFormatting>
  <conditionalFormatting sqref="H53">
    <cfRule type="cellIs" dxfId="134" priority="155" operator="greaterThan">
      <formula>1</formula>
    </cfRule>
  </conditionalFormatting>
  <conditionalFormatting sqref="H55">
    <cfRule type="expression" dxfId="133" priority="121">
      <formula>M65&gt;=L55</formula>
    </cfRule>
  </conditionalFormatting>
  <conditionalFormatting sqref="H58">
    <cfRule type="expression" dxfId="132" priority="92">
      <formula>H65&gt;1</formula>
    </cfRule>
    <cfRule type="expression" dxfId="131" priority="88">
      <formula>Q55=1</formula>
    </cfRule>
  </conditionalFormatting>
  <conditionalFormatting sqref="H58:H59">
    <cfRule type="expression" dxfId="130" priority="89">
      <formula>W58&gt;1</formula>
    </cfRule>
  </conditionalFormatting>
  <conditionalFormatting sqref="H59">
    <cfRule type="expression" dxfId="129" priority="91">
      <formula>H65&gt;1</formula>
    </cfRule>
    <cfRule type="expression" dxfId="128" priority="86">
      <formula>Q55=1</formula>
    </cfRule>
  </conditionalFormatting>
  <conditionalFormatting sqref="H60">
    <cfRule type="expression" dxfId="127" priority="106">
      <formula>W60&gt;1</formula>
    </cfRule>
    <cfRule type="expression" dxfId="126" priority="107">
      <formula>H65&gt;1</formula>
    </cfRule>
    <cfRule type="expression" dxfId="125" priority="105">
      <formula>Q55=1</formula>
    </cfRule>
  </conditionalFormatting>
  <conditionalFormatting sqref="H61">
    <cfRule type="expression" dxfId="124" priority="103">
      <formula>W61&gt;1</formula>
    </cfRule>
    <cfRule type="expression" dxfId="123" priority="102">
      <formula>Q55=1</formula>
    </cfRule>
    <cfRule type="expression" dxfId="122" priority="104">
      <formula>H65&gt;1</formula>
    </cfRule>
  </conditionalFormatting>
  <conditionalFormatting sqref="H62">
    <cfRule type="expression" dxfId="121" priority="100">
      <formula>W62&gt;1</formula>
    </cfRule>
    <cfRule type="expression" dxfId="120" priority="99">
      <formula>Q55=1</formula>
    </cfRule>
    <cfRule type="expression" dxfId="119" priority="101">
      <formula>H65&gt;1</formula>
    </cfRule>
  </conditionalFormatting>
  <conditionalFormatting sqref="H63">
    <cfRule type="expression" dxfId="118" priority="98">
      <formula>H65&gt;1</formula>
    </cfRule>
    <cfRule type="expression" dxfId="117" priority="97">
      <formula>W63&gt;1</formula>
    </cfRule>
    <cfRule type="expression" dxfId="116" priority="96">
      <formula>Q55=1</formula>
    </cfRule>
  </conditionalFormatting>
  <conditionalFormatting sqref="H64">
    <cfRule type="expression" dxfId="115" priority="95">
      <formula>H65&gt;1</formula>
    </cfRule>
    <cfRule type="expression" dxfId="114" priority="94">
      <formula>W64&gt;1</formula>
    </cfRule>
    <cfRule type="expression" dxfId="113" priority="93">
      <formula>Q55=1</formula>
    </cfRule>
  </conditionalFormatting>
  <conditionalFormatting sqref="H65">
    <cfRule type="cellIs" dxfId="112" priority="116" operator="greaterThan">
      <formula>1</formula>
    </cfRule>
  </conditionalFormatting>
  <conditionalFormatting sqref="H67">
    <cfRule type="expression" dxfId="111" priority="82">
      <formula>M77&gt;=L67</formula>
    </cfRule>
  </conditionalFormatting>
  <conditionalFormatting sqref="H70">
    <cfRule type="expression" dxfId="110" priority="53">
      <formula>H77&gt;1</formula>
    </cfRule>
    <cfRule type="expression" dxfId="109" priority="49">
      <formula>Q67=1</formula>
    </cfRule>
  </conditionalFormatting>
  <conditionalFormatting sqref="H70:H71">
    <cfRule type="expression" dxfId="108" priority="50">
      <formula>W70&gt;1</formula>
    </cfRule>
  </conditionalFormatting>
  <conditionalFormatting sqref="H71">
    <cfRule type="expression" dxfId="107" priority="52">
      <formula>H77&gt;1</formula>
    </cfRule>
    <cfRule type="expression" dxfId="106" priority="47">
      <formula>Q67=1</formula>
    </cfRule>
  </conditionalFormatting>
  <conditionalFormatting sqref="H72">
    <cfRule type="expression" dxfId="105" priority="67">
      <formula>W72&gt;1</formula>
    </cfRule>
    <cfRule type="expression" dxfId="104" priority="66">
      <formula>Q67=1</formula>
    </cfRule>
    <cfRule type="expression" dxfId="103" priority="68">
      <formula>H77&gt;1</formula>
    </cfRule>
  </conditionalFormatting>
  <conditionalFormatting sqref="H73">
    <cfRule type="expression" dxfId="102" priority="65">
      <formula>H77&gt;1</formula>
    </cfRule>
    <cfRule type="expression" dxfId="101" priority="64">
      <formula>W73&gt;1</formula>
    </cfRule>
    <cfRule type="expression" dxfId="100" priority="63">
      <formula>Q67=1</formula>
    </cfRule>
  </conditionalFormatting>
  <conditionalFormatting sqref="H74">
    <cfRule type="expression" dxfId="99" priority="62">
      <formula>H77&gt;1</formula>
    </cfRule>
    <cfRule type="expression" dxfId="98" priority="61">
      <formula>W74&gt;1</formula>
    </cfRule>
    <cfRule type="expression" dxfId="97" priority="60">
      <formula>Q67=1</formula>
    </cfRule>
  </conditionalFormatting>
  <conditionalFormatting sqref="H75">
    <cfRule type="expression" dxfId="96" priority="59">
      <formula>H77&gt;1</formula>
    </cfRule>
    <cfRule type="expression" dxfId="95" priority="58">
      <formula>W75&gt;1</formula>
    </cfRule>
    <cfRule type="expression" dxfId="94" priority="57">
      <formula>Q67=1</formula>
    </cfRule>
  </conditionalFormatting>
  <conditionalFormatting sqref="H76">
    <cfRule type="expression" dxfId="93" priority="56">
      <formula>H77&gt;1</formula>
    </cfRule>
    <cfRule type="expression" dxfId="92" priority="55">
      <formula>W76&gt;1</formula>
    </cfRule>
    <cfRule type="expression" dxfId="91" priority="54">
      <formula>Q67=1</formula>
    </cfRule>
  </conditionalFormatting>
  <conditionalFormatting sqref="H77">
    <cfRule type="cellIs" dxfId="90" priority="77" operator="greaterThan">
      <formula>1</formula>
    </cfRule>
  </conditionalFormatting>
  <conditionalFormatting sqref="H79">
    <cfRule type="expression" dxfId="89" priority="43">
      <formula>M89&gt;=L79</formula>
    </cfRule>
  </conditionalFormatting>
  <conditionalFormatting sqref="H82">
    <cfRule type="expression" dxfId="88" priority="10">
      <formula>Q79=1</formula>
    </cfRule>
    <cfRule type="expression" dxfId="87" priority="14">
      <formula>H89&gt;1</formula>
    </cfRule>
  </conditionalFormatting>
  <conditionalFormatting sqref="H82:H83">
    <cfRule type="expression" dxfId="86" priority="11">
      <formula>W82&gt;1</formula>
    </cfRule>
  </conditionalFormatting>
  <conditionalFormatting sqref="H83">
    <cfRule type="expression" dxfId="85" priority="13">
      <formula>H89&gt;1</formula>
    </cfRule>
    <cfRule type="expression" dxfId="84" priority="8">
      <formula>Q79=1</formula>
    </cfRule>
  </conditionalFormatting>
  <conditionalFormatting sqref="H84">
    <cfRule type="expression" dxfId="83" priority="28">
      <formula>W84&gt;1</formula>
    </cfRule>
    <cfRule type="expression" dxfId="82" priority="29">
      <formula>H89&gt;1</formula>
    </cfRule>
    <cfRule type="expression" dxfId="81" priority="27">
      <formula>Q79=1</formula>
    </cfRule>
  </conditionalFormatting>
  <conditionalFormatting sqref="H85">
    <cfRule type="expression" dxfId="80" priority="24">
      <formula>Q79=1</formula>
    </cfRule>
    <cfRule type="expression" dxfId="79" priority="26">
      <formula>H89&gt;1</formula>
    </cfRule>
    <cfRule type="expression" dxfId="78" priority="25">
      <formula>W85&gt;1</formula>
    </cfRule>
  </conditionalFormatting>
  <conditionalFormatting sqref="H86">
    <cfRule type="expression" dxfId="77" priority="21">
      <formula>Q79=1</formula>
    </cfRule>
    <cfRule type="expression" dxfId="76" priority="22">
      <formula>W86&gt;1</formula>
    </cfRule>
    <cfRule type="expression" dxfId="75" priority="23">
      <formula>H89&gt;1</formula>
    </cfRule>
  </conditionalFormatting>
  <conditionalFormatting sqref="H87">
    <cfRule type="expression" dxfId="74" priority="19">
      <formula>W87&gt;1</formula>
    </cfRule>
    <cfRule type="expression" dxfId="73" priority="20">
      <formula>H89&gt;1</formula>
    </cfRule>
    <cfRule type="expression" dxfId="72" priority="18">
      <formula>Q79=1</formula>
    </cfRule>
  </conditionalFormatting>
  <conditionalFormatting sqref="H88">
    <cfRule type="expression" dxfId="71" priority="15">
      <formula>Q79=1</formula>
    </cfRule>
    <cfRule type="expression" dxfId="70" priority="16">
      <formula>W88&gt;1</formula>
    </cfRule>
    <cfRule type="expression" dxfId="69" priority="17">
      <formula>H89&gt;1</formula>
    </cfRule>
  </conditionalFormatting>
  <conditionalFormatting sqref="H89">
    <cfRule type="cellIs" dxfId="68" priority="38" operator="greaterThan">
      <formula>1</formula>
    </cfRule>
  </conditionalFormatting>
  <conditionalFormatting sqref="I29:K29">
    <cfRule type="containsText" dxfId="67" priority="4061" operator="containsText" text="EN">
      <formula>NOT(ISERROR(SEARCH("EN",I29)))</formula>
    </cfRule>
  </conditionalFormatting>
  <conditionalFormatting sqref="I41:K41">
    <cfRule type="containsText" dxfId="66" priority="191" operator="containsText" text="EN">
      <formula>NOT(ISERROR(SEARCH("EN",I41)))</formula>
    </cfRule>
  </conditionalFormatting>
  <conditionalFormatting sqref="I53:K53">
    <cfRule type="containsText" dxfId="65" priority="152" operator="containsText" text="EN">
      <formula>NOT(ISERROR(SEARCH("EN",I53)))</formula>
    </cfRule>
  </conditionalFormatting>
  <conditionalFormatting sqref="I65:K65">
    <cfRule type="containsText" dxfId="64" priority="113" operator="containsText" text="EN">
      <formula>NOT(ISERROR(SEARCH("EN",I65)))</formula>
    </cfRule>
  </conditionalFormatting>
  <conditionalFormatting sqref="I77:K77">
    <cfRule type="containsText" dxfId="63" priority="74" operator="containsText" text="EN">
      <formula>NOT(ISERROR(SEARCH("EN",I77)))</formula>
    </cfRule>
  </conditionalFormatting>
  <conditionalFormatting sqref="I89:K89">
    <cfRule type="containsText" dxfId="62" priority="35" operator="containsText" text="EN">
      <formula>NOT(ISERROR(SEARCH("EN",I89)))</formula>
    </cfRule>
  </conditionalFormatting>
  <conditionalFormatting sqref="J19">
    <cfRule type="expression" dxfId="61" priority="4069">
      <formula>M29&gt;=L19</formula>
    </cfRule>
  </conditionalFormatting>
  <conditionalFormatting sqref="J31">
    <cfRule type="expression" dxfId="60" priority="198">
      <formula>M41&gt;=L31</formula>
    </cfRule>
  </conditionalFormatting>
  <conditionalFormatting sqref="J43">
    <cfRule type="expression" dxfId="59" priority="159">
      <formula>M53&gt;=L43</formula>
    </cfRule>
  </conditionalFormatting>
  <conditionalFormatting sqref="J55">
    <cfRule type="expression" dxfId="58" priority="120">
      <formula>M65&gt;=L55</formula>
    </cfRule>
  </conditionalFormatting>
  <conditionalFormatting sqref="J67">
    <cfRule type="expression" dxfId="57" priority="81">
      <formula>M77&gt;=L67</formula>
    </cfRule>
  </conditionalFormatting>
  <conditionalFormatting sqref="J79">
    <cfRule type="expression" dxfId="56" priority="42">
      <formula>M89&gt;=L79</formula>
    </cfRule>
  </conditionalFormatting>
  <conditionalFormatting sqref="K19">
    <cfRule type="expression" dxfId="55" priority="4068">
      <formula>M29&gt;=L19</formula>
    </cfRule>
  </conditionalFormatting>
  <conditionalFormatting sqref="K31">
    <cfRule type="expression" dxfId="54" priority="197">
      <formula>M41&gt;=L31</formula>
    </cfRule>
  </conditionalFormatting>
  <conditionalFormatting sqref="K43">
    <cfRule type="expression" dxfId="53" priority="158">
      <formula>M53&gt;=L43</formula>
    </cfRule>
  </conditionalFormatting>
  <conditionalFormatting sqref="K55">
    <cfRule type="expression" dxfId="52" priority="119">
      <formula>M65&gt;=L55</formula>
    </cfRule>
  </conditionalFormatting>
  <conditionalFormatting sqref="K67">
    <cfRule type="expression" dxfId="51" priority="80">
      <formula>M77&gt;=L67</formula>
    </cfRule>
  </conditionalFormatting>
  <conditionalFormatting sqref="K79">
    <cfRule type="expression" dxfId="50" priority="41">
      <formula>M89&gt;=L79</formula>
    </cfRule>
  </conditionalFormatting>
  <conditionalFormatting sqref="L19">
    <cfRule type="expression" dxfId="49" priority="4067">
      <formula>M29&gt;=L19</formula>
    </cfRule>
  </conditionalFormatting>
  <conditionalFormatting sqref="L31">
    <cfRule type="expression" dxfId="48" priority="196">
      <formula>M41&gt;=L31</formula>
    </cfRule>
  </conditionalFormatting>
  <conditionalFormatting sqref="L43">
    <cfRule type="expression" dxfId="47" priority="157">
      <formula>M53&gt;=L43</formula>
    </cfRule>
  </conditionalFormatting>
  <conditionalFormatting sqref="L55">
    <cfRule type="expression" dxfId="46" priority="118">
      <formula>M65&gt;=L55</formula>
    </cfRule>
  </conditionalFormatting>
  <conditionalFormatting sqref="L67">
    <cfRule type="expression" dxfId="45" priority="79">
      <formula>M77&gt;=L67</formula>
    </cfRule>
  </conditionalFormatting>
  <conditionalFormatting sqref="L79">
    <cfRule type="expression" dxfId="44" priority="40">
      <formula>M89&gt;=L79</formula>
    </cfRule>
  </conditionalFormatting>
  <conditionalFormatting sqref="M29">
    <cfRule type="expression" dxfId="43" priority="4066">
      <formula>M29&lt;L19</formula>
    </cfRule>
  </conditionalFormatting>
  <conditionalFormatting sqref="M41">
    <cfRule type="expression" dxfId="42" priority="195">
      <formula>M41&lt;L31</formula>
    </cfRule>
  </conditionalFormatting>
  <conditionalFormatting sqref="M53">
    <cfRule type="expression" dxfId="41" priority="156">
      <formula>M53&lt;L43</formula>
    </cfRule>
  </conditionalFormatting>
  <conditionalFormatting sqref="M65">
    <cfRule type="expression" dxfId="40" priority="117">
      <formula>M65&lt;L55</formula>
    </cfRule>
  </conditionalFormatting>
  <conditionalFormatting sqref="M77">
    <cfRule type="expression" dxfId="39" priority="78">
      <formula>M77&lt;L67</formula>
    </cfRule>
  </conditionalFormatting>
  <conditionalFormatting sqref="M89">
    <cfRule type="expression" dxfId="38" priority="39">
      <formula>M89&lt;L79</formula>
    </cfRule>
  </conditionalFormatting>
  <conditionalFormatting sqref="N29">
    <cfRule type="expression" dxfId="37" priority="4072">
      <formula>N29&gt;#REF!*2</formula>
    </cfRule>
  </conditionalFormatting>
  <conditionalFormatting sqref="N41">
    <cfRule type="expression" dxfId="36" priority="201">
      <formula>N41&gt;#REF!*2</formula>
    </cfRule>
  </conditionalFormatting>
  <conditionalFormatting sqref="N53">
    <cfRule type="expression" dxfId="35" priority="162">
      <formula>N53&gt;#REF!*2</formula>
    </cfRule>
  </conditionalFormatting>
  <conditionalFormatting sqref="N65">
    <cfRule type="expression" dxfId="34" priority="123">
      <formula>N65&gt;#REF!*2</formula>
    </cfRule>
  </conditionalFormatting>
  <conditionalFormatting sqref="N77">
    <cfRule type="expression" dxfId="33" priority="84">
      <formula>N77&gt;#REF!*2</formula>
    </cfRule>
  </conditionalFormatting>
  <conditionalFormatting sqref="N89">
    <cfRule type="expression" dxfId="32" priority="45">
      <formula>N89&gt;#REF!*2</formula>
    </cfRule>
  </conditionalFormatting>
  <conditionalFormatting sqref="N19:O19">
    <cfRule type="cellIs" dxfId="31" priority="4062" operator="equal">
      <formula>"NO CUMPLE"</formula>
    </cfRule>
  </conditionalFormatting>
  <conditionalFormatting sqref="N29:O29">
    <cfRule type="containsText" dxfId="30" priority="4071" operator="containsText" text="NO CUMPLE CONDICIÓN DEL CONSORCIO">
      <formula>NOT(ISERROR(SEARCH("NO CUMPLE CONDICIÓN DEL CONSORCIO",N29)))</formula>
    </cfRule>
  </conditionalFormatting>
  <conditionalFormatting sqref="N31:O31">
    <cfRule type="cellIs" dxfId="29" priority="192" operator="equal">
      <formula>"NO CUMPLE"</formula>
    </cfRule>
  </conditionalFormatting>
  <conditionalFormatting sqref="N41:O41">
    <cfRule type="containsText" dxfId="28" priority="200" operator="containsText" text="NO CUMPLE CONDICIÓN DEL CONSORCIO">
      <formula>NOT(ISERROR(SEARCH("NO CUMPLE CONDICIÓN DEL CONSORCIO",N41)))</formula>
    </cfRule>
  </conditionalFormatting>
  <conditionalFormatting sqref="N43:O43">
    <cfRule type="cellIs" dxfId="27" priority="153" operator="equal">
      <formula>"NO CUMPLE"</formula>
    </cfRule>
  </conditionalFormatting>
  <conditionalFormatting sqref="N53:O53">
    <cfRule type="containsText" dxfId="26" priority="161" operator="containsText" text="NO CUMPLE CONDICIÓN DEL CONSORCIO">
      <formula>NOT(ISERROR(SEARCH("NO CUMPLE CONDICIÓN DEL CONSORCIO",N53)))</formula>
    </cfRule>
  </conditionalFormatting>
  <conditionalFormatting sqref="N55:O55">
    <cfRule type="cellIs" dxfId="25" priority="114" operator="equal">
      <formula>"NO CUMPLE"</formula>
    </cfRule>
  </conditionalFormatting>
  <conditionalFormatting sqref="N65:O65">
    <cfRule type="containsText" dxfId="24" priority="122" operator="containsText" text="NO CUMPLE CONDICIÓN DEL CONSORCIO">
      <formula>NOT(ISERROR(SEARCH("NO CUMPLE CONDICIÓN DEL CONSORCIO",N65)))</formula>
    </cfRule>
  </conditionalFormatting>
  <conditionalFormatting sqref="N67:O67">
    <cfRule type="cellIs" dxfId="23" priority="75" operator="equal">
      <formula>"NO CUMPLE"</formula>
    </cfRule>
  </conditionalFormatting>
  <conditionalFormatting sqref="N77:O77">
    <cfRule type="containsText" dxfId="22" priority="83" operator="containsText" text="NO CUMPLE CONDICIÓN DEL CONSORCIO">
      <formula>NOT(ISERROR(SEARCH("NO CUMPLE CONDICIÓN DEL CONSORCIO",N77)))</formula>
    </cfRule>
  </conditionalFormatting>
  <conditionalFormatting sqref="N79:O79">
    <cfRule type="cellIs" dxfId="21" priority="36" operator="equal">
      <formula>"NO CUMPLE"</formula>
    </cfRule>
  </conditionalFormatting>
  <conditionalFormatting sqref="N89:O89">
    <cfRule type="containsText" dxfId="20" priority="44" operator="containsText" text="NO CUMPLE CONDICIÓN DEL CONSORCIO">
      <formula>NOT(ISERROR(SEARCH("NO CUMPLE CONDICIÓN DEL CONSORCIO",N89)))</formula>
    </cfRule>
  </conditionalFormatting>
  <conditionalFormatting sqref="O17">
    <cfRule type="cellIs" dxfId="19" priority="4065" operator="lessThan">
      <formula>$O$17</formula>
    </cfRule>
  </conditionalFormatting>
  <dataValidations count="1">
    <dataValidation type="list" allowBlank="1" showInputMessage="1" showErrorMessage="1" sqref="E22:E28 E70:E76 E34:E40 E58:E64 E46:E52 E82:E88" xr:uid="{00000000-0002-0000-0100-000000000000}">
      <formula1>"S,N"</formula1>
    </dataValidation>
  </dataValidations>
  <printOptions horizontalCentered="1"/>
  <pageMargins left="0.19685039370078741" right="0.19685039370078741" top="0.59055118110236227" bottom="0.78740157480314965" header="0" footer="0"/>
  <pageSetup paperSize="3" scale="64" orientation="landscape" r:id="rId1"/>
  <headerFooter alignWithMargins="0">
    <oddFooter>&amp;CPágina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358"/>
  <sheetViews>
    <sheetView tabSelected="1" zoomScaleNormal="100" zoomScaleSheetLayoutView="40" workbookViewId="0">
      <selection activeCell="G21" sqref="G21"/>
    </sheetView>
  </sheetViews>
  <sheetFormatPr baseColWidth="10" defaultColWidth="11.453125" defaultRowHeight="11.5" outlineLevelRow="1" x14ac:dyDescent="0.35"/>
  <cols>
    <col min="1" max="1" width="4.7265625" style="18" customWidth="1"/>
    <col min="2" max="2" width="8.54296875" style="18" customWidth="1"/>
    <col min="3" max="7" width="18" style="18" customWidth="1"/>
    <col min="8" max="12" width="16.1796875" style="18" customWidth="1"/>
    <col min="13" max="13" width="19.1796875" style="18" customWidth="1"/>
    <col min="14" max="14" width="3.1796875" style="18" customWidth="1"/>
    <col min="15" max="15" width="8.26953125" style="18" customWidth="1"/>
    <col min="16" max="16" width="11.453125" style="43"/>
    <col min="17" max="19" width="11.453125" style="18"/>
    <col min="20" max="20" width="17" style="18" customWidth="1"/>
    <col min="21" max="16384" width="11.453125" style="18"/>
  </cols>
  <sheetData>
    <row r="1" spans="1:18" s="39" customFormat="1" ht="12.75" customHeight="1" x14ac:dyDescent="0.35">
      <c r="C1" s="198"/>
      <c r="D1" s="199"/>
      <c r="E1" s="199"/>
      <c r="N1" s="200"/>
      <c r="O1" s="200"/>
      <c r="P1" s="43"/>
    </row>
    <row r="2" spans="1:18" s="39" customFormat="1" ht="12.75" customHeight="1" x14ac:dyDescent="0.35">
      <c r="C2" s="198"/>
      <c r="D2" s="199"/>
      <c r="E2" s="199"/>
      <c r="N2" s="200"/>
      <c r="O2" s="200"/>
      <c r="P2" s="43"/>
    </row>
    <row r="3" spans="1:18" s="39" customFormat="1" ht="12.75" customHeight="1" x14ac:dyDescent="0.35">
      <c r="C3" s="201"/>
      <c r="D3" s="202"/>
      <c r="E3" s="203"/>
      <c r="N3" s="200"/>
      <c r="O3" s="200"/>
      <c r="P3" s="43"/>
    </row>
    <row r="4" spans="1:18" s="39" customFormat="1" ht="12.75" customHeight="1" x14ac:dyDescent="0.35">
      <c r="C4" s="201"/>
      <c r="D4" s="202"/>
      <c r="E4" s="203"/>
      <c r="N4" s="200"/>
      <c r="O4" s="200"/>
      <c r="P4" s="43"/>
    </row>
    <row r="5" spans="1:18" s="39" customFormat="1" ht="12.75" customHeight="1" x14ac:dyDescent="0.35">
      <c r="C5" s="201"/>
      <c r="D5" s="202"/>
      <c r="E5" s="203"/>
      <c r="N5" s="200"/>
      <c r="O5" s="200"/>
      <c r="P5" s="43"/>
    </row>
    <row r="6" spans="1:18" s="39" customFormat="1" ht="12.75" customHeight="1" x14ac:dyDescent="0.35">
      <c r="A6" s="359" t="s">
        <v>9</v>
      </c>
      <c r="B6" s="360"/>
      <c r="C6" s="360"/>
      <c r="D6" s="360"/>
      <c r="E6" s="360"/>
      <c r="F6" s="360"/>
      <c r="G6" s="360"/>
      <c r="H6" s="360"/>
      <c r="I6" s="360"/>
      <c r="J6" s="360"/>
      <c r="K6" s="360"/>
      <c r="L6" s="360"/>
      <c r="M6" s="360"/>
      <c r="N6" s="200"/>
      <c r="O6" s="200"/>
      <c r="P6" s="43"/>
    </row>
    <row r="7" spans="1:18" s="39" customFormat="1" ht="12.75" customHeight="1" x14ac:dyDescent="0.35">
      <c r="A7" s="359" t="s">
        <v>81</v>
      </c>
      <c r="B7" s="359"/>
      <c r="C7" s="359"/>
      <c r="D7" s="359"/>
      <c r="E7" s="359"/>
      <c r="F7" s="359"/>
      <c r="G7" s="359"/>
      <c r="H7" s="359"/>
      <c r="I7" s="359"/>
      <c r="J7" s="359"/>
      <c r="K7" s="359"/>
      <c r="L7" s="359"/>
      <c r="M7" s="359"/>
      <c r="N7" s="200"/>
      <c r="O7" s="200"/>
      <c r="P7" s="43"/>
    </row>
    <row r="8" spans="1:18" s="39" customFormat="1" ht="5.25" customHeight="1" x14ac:dyDescent="0.35">
      <c r="A8" s="204"/>
      <c r="B8" s="40"/>
      <c r="C8" s="40"/>
      <c r="D8" s="40"/>
      <c r="E8" s="40"/>
      <c r="F8" s="40"/>
      <c r="G8" s="40"/>
      <c r="H8" s="40"/>
      <c r="I8" s="40"/>
      <c r="J8" s="40"/>
      <c r="K8" s="40"/>
      <c r="L8" s="40"/>
      <c r="M8" s="205"/>
      <c r="N8" s="40"/>
      <c r="O8" s="43"/>
      <c r="P8" s="41"/>
      <c r="Q8" s="41"/>
      <c r="R8" s="41"/>
    </row>
    <row r="9" spans="1:18" s="39" customFormat="1" x14ac:dyDescent="0.35">
      <c r="A9" s="360" t="s">
        <v>82</v>
      </c>
      <c r="B9" s="360"/>
      <c r="C9" s="360"/>
      <c r="D9" s="360"/>
      <c r="E9" s="360"/>
      <c r="F9" s="360"/>
      <c r="G9" s="360"/>
      <c r="H9" s="360"/>
      <c r="I9" s="360"/>
      <c r="J9" s="360"/>
      <c r="K9" s="360"/>
      <c r="L9" s="360"/>
      <c r="M9" s="360"/>
      <c r="N9" s="200"/>
      <c r="O9" s="200"/>
      <c r="P9" s="43"/>
    </row>
    <row r="10" spans="1:18" s="39" customFormat="1" ht="5.25" customHeight="1" x14ac:dyDescent="0.35">
      <c r="A10" s="204"/>
      <c r="B10" s="40"/>
      <c r="C10" s="40"/>
      <c r="D10" s="40"/>
      <c r="E10" s="40"/>
      <c r="F10" s="40"/>
      <c r="G10" s="40"/>
      <c r="H10" s="40"/>
      <c r="I10" s="40"/>
      <c r="J10" s="40"/>
      <c r="K10" s="40"/>
      <c r="L10" s="40"/>
      <c r="M10" s="205"/>
      <c r="N10" s="40"/>
      <c r="O10" s="43"/>
      <c r="P10" s="41"/>
      <c r="Q10" s="41"/>
      <c r="R10" s="41"/>
    </row>
    <row r="11" spans="1:18" s="39" customFormat="1" ht="12.75" customHeight="1" x14ac:dyDescent="0.35">
      <c r="A11" s="359" t="s">
        <v>10</v>
      </c>
      <c r="B11" s="359"/>
      <c r="C11" s="359"/>
      <c r="D11" s="359"/>
      <c r="E11" s="359"/>
      <c r="F11" s="359"/>
      <c r="G11" s="359"/>
      <c r="H11" s="359"/>
      <c r="I11" s="359"/>
      <c r="J11" s="359"/>
      <c r="K11" s="359"/>
      <c r="L11" s="359"/>
      <c r="M11" s="359"/>
      <c r="N11" s="200"/>
      <c r="O11" s="200"/>
      <c r="P11" s="43"/>
    </row>
    <row r="12" spans="1:18" s="39" customFormat="1" ht="12" thickBot="1" x14ac:dyDescent="0.4">
      <c r="A12" s="41"/>
      <c r="B12" s="41"/>
      <c r="C12" s="41"/>
      <c r="D12" s="41"/>
      <c r="E12" s="41"/>
      <c r="F12" s="41"/>
      <c r="G12" s="41"/>
      <c r="H12" s="41"/>
      <c r="I12" s="41"/>
      <c r="J12" s="41"/>
      <c r="K12" s="41"/>
      <c r="L12" s="41"/>
      <c r="M12" s="41"/>
      <c r="N12" s="41"/>
      <c r="O12" s="41"/>
      <c r="P12" s="43"/>
    </row>
    <row r="13" spans="1:18" s="39" customFormat="1" ht="15.75" customHeight="1" x14ac:dyDescent="0.35">
      <c r="A13" s="361" t="s">
        <v>158</v>
      </c>
      <c r="B13" s="362"/>
      <c r="C13" s="362"/>
      <c r="D13" s="362"/>
      <c r="E13" s="206">
        <v>522182486</v>
      </c>
      <c r="F13" s="363"/>
      <c r="G13" s="364"/>
      <c r="H13" s="369" t="s">
        <v>159</v>
      </c>
      <c r="I13" s="370"/>
      <c r="J13" s="370"/>
      <c r="K13" s="373" t="s">
        <v>160</v>
      </c>
      <c r="L13" s="374"/>
      <c r="M13" s="207" t="s">
        <v>161</v>
      </c>
      <c r="N13" s="41"/>
      <c r="O13" s="39" t="s">
        <v>162</v>
      </c>
    </row>
    <row r="14" spans="1:18" s="39" customFormat="1" ht="15.75" customHeight="1" x14ac:dyDescent="0.35">
      <c r="A14" s="349" t="s">
        <v>163</v>
      </c>
      <c r="B14" s="350"/>
      <c r="C14" s="350"/>
      <c r="D14" s="350"/>
      <c r="E14" s="208">
        <v>45512</v>
      </c>
      <c r="F14" s="365"/>
      <c r="G14" s="366"/>
      <c r="H14" s="371"/>
      <c r="I14" s="371"/>
      <c r="J14" s="371"/>
      <c r="K14" s="351" t="s">
        <v>164</v>
      </c>
      <c r="L14" s="352"/>
      <c r="M14" s="209">
        <v>120</v>
      </c>
      <c r="N14" s="41"/>
      <c r="O14" s="39" t="s">
        <v>165</v>
      </c>
    </row>
    <row r="15" spans="1:18" s="39" customFormat="1" ht="15.75" customHeight="1" x14ac:dyDescent="0.35">
      <c r="A15" s="349" t="s">
        <v>166</v>
      </c>
      <c r="B15" s="350"/>
      <c r="C15" s="350"/>
      <c r="D15" s="350"/>
      <c r="E15" s="210">
        <v>0</v>
      </c>
      <c r="F15" s="365"/>
      <c r="G15" s="366"/>
      <c r="H15" s="371"/>
      <c r="I15" s="371"/>
      <c r="J15" s="371"/>
      <c r="K15" s="351" t="s">
        <v>167</v>
      </c>
      <c r="L15" s="352"/>
      <c r="M15" s="209">
        <v>40</v>
      </c>
      <c r="N15" s="41"/>
      <c r="O15" s="43"/>
    </row>
    <row r="16" spans="1:18" s="39" customFormat="1" ht="15.75" customHeight="1" x14ac:dyDescent="0.35">
      <c r="A16" s="353" t="s">
        <v>168</v>
      </c>
      <c r="B16" s="354"/>
      <c r="C16" s="354"/>
      <c r="D16" s="354"/>
      <c r="E16" s="211">
        <v>3</v>
      </c>
      <c r="F16" s="365"/>
      <c r="G16" s="366"/>
      <c r="H16" s="371"/>
      <c r="I16" s="371"/>
      <c r="J16" s="371"/>
      <c r="K16" s="351" t="s">
        <v>169</v>
      </c>
      <c r="L16" s="352"/>
      <c r="M16" s="209">
        <v>40</v>
      </c>
      <c r="N16" s="41"/>
      <c r="O16" s="43"/>
    </row>
    <row r="17" spans="1:23" s="39" customFormat="1" ht="15.75" customHeight="1" thickBot="1" x14ac:dyDescent="0.4">
      <c r="A17" s="355" t="s">
        <v>170</v>
      </c>
      <c r="B17" s="356"/>
      <c r="C17" s="356"/>
      <c r="D17" s="356"/>
      <c r="E17" s="212">
        <f>IF(E16&lt;12,E13-E15*E13,(E13-E15*E13)/E16*12)</f>
        <v>522182486</v>
      </c>
      <c r="F17" s="367"/>
      <c r="G17" s="368"/>
      <c r="H17" s="372"/>
      <c r="I17" s="372"/>
      <c r="J17" s="372"/>
      <c r="K17" s="357" t="s">
        <v>171</v>
      </c>
      <c r="L17" s="358"/>
      <c r="M17" s="213">
        <v>200</v>
      </c>
      <c r="N17" s="41"/>
      <c r="O17" s="43"/>
    </row>
    <row r="18" spans="1:23" s="39" customFormat="1" x14ac:dyDescent="0.35">
      <c r="A18" s="41"/>
      <c r="B18" s="41"/>
      <c r="C18" s="41"/>
      <c r="D18" s="41"/>
      <c r="E18" s="214"/>
      <c r="F18" s="41"/>
      <c r="G18" s="41"/>
      <c r="H18" s="41"/>
      <c r="I18" s="41"/>
      <c r="J18" s="41"/>
      <c r="K18" s="41"/>
      <c r="O18" s="41"/>
      <c r="P18" s="43"/>
    </row>
    <row r="19" spans="1:23" s="39" customFormat="1" ht="12" customHeight="1" x14ac:dyDescent="0.35">
      <c r="A19" s="385" t="str">
        <f>"Se considerará HÁBIL el proponente que presente una Cr igual o superior a "&amp;TEXT(E17,"$#.##0")</f>
        <v>Se considerará HÁBIL el proponente que presente una Cr igual o superior a $522.182.486</v>
      </c>
      <c r="B19" s="386"/>
      <c r="C19" s="386"/>
      <c r="D19" s="386"/>
      <c r="E19" s="386"/>
      <c r="F19" s="386"/>
      <c r="G19" s="386"/>
      <c r="H19" s="386"/>
      <c r="I19" s="386"/>
      <c r="J19" s="386"/>
      <c r="K19" s="386"/>
    </row>
    <row r="20" spans="1:23" s="39" customFormat="1" ht="15" customHeight="1" thickBot="1" x14ac:dyDescent="0.4">
      <c r="A20" s="387"/>
      <c r="B20" s="388"/>
      <c r="C20" s="388"/>
      <c r="D20" s="388"/>
      <c r="E20" s="388"/>
      <c r="F20" s="388"/>
      <c r="G20" s="388"/>
      <c r="H20" s="388"/>
      <c r="I20" s="388"/>
      <c r="J20" s="388"/>
      <c r="K20" s="388"/>
    </row>
    <row r="21" spans="1:23" s="39" customFormat="1" ht="15.75" customHeight="1" thickBot="1" x14ac:dyDescent="0.4">
      <c r="A21" s="215">
        <v>1</v>
      </c>
      <c r="B21" s="389" t="s">
        <v>98</v>
      </c>
      <c r="C21" s="390"/>
      <c r="D21" s="390"/>
      <c r="E21" s="390"/>
      <c r="F21" s="390"/>
      <c r="G21" s="390"/>
      <c r="H21" s="390"/>
      <c r="I21" s="391"/>
      <c r="J21" s="216" t="s">
        <v>172</v>
      </c>
      <c r="K21" s="392">
        <f>G30*(H41+H47+H52)/100-M63</f>
        <v>2693590007.6333332</v>
      </c>
      <c r="L21" s="392"/>
      <c r="M21" s="217" t="str">
        <f>IF(K21&gt;$E$17,"CUMPLE","NO CUMPLE")</f>
        <v>CUMPLE</v>
      </c>
      <c r="N21" s="39">
        <v>1</v>
      </c>
      <c r="O21" s="43"/>
      <c r="P21" s="41"/>
      <c r="Q21" s="218" t="str">
        <f>B21</f>
        <v>C.T. 2 CONSTRUCCIONES S.A.S</v>
      </c>
      <c r="R21" s="41"/>
      <c r="W21" s="219">
        <v>1</v>
      </c>
    </row>
    <row r="22" spans="1:23" s="39" customFormat="1" ht="5.25" customHeight="1" outlineLevel="1" thickBot="1" x14ac:dyDescent="0.4">
      <c r="A22" s="204"/>
      <c r="B22" s="40"/>
      <c r="C22" s="40"/>
      <c r="D22" s="40"/>
      <c r="E22" s="40"/>
      <c r="F22" s="40"/>
      <c r="G22" s="40"/>
      <c r="H22" s="40"/>
      <c r="I22" s="40"/>
      <c r="J22" s="40"/>
      <c r="K22" s="40"/>
      <c r="L22" s="40"/>
      <c r="M22" s="205"/>
      <c r="N22" s="40"/>
      <c r="O22" s="43"/>
      <c r="P22" s="41"/>
      <c r="Q22" s="41"/>
      <c r="R22" s="41"/>
      <c r="W22" s="220">
        <v>1</v>
      </c>
    </row>
    <row r="23" spans="1:23" s="39" customFormat="1" outlineLevel="1" x14ac:dyDescent="0.35">
      <c r="A23" s="393"/>
      <c r="B23" s="360"/>
      <c r="C23" s="394" t="s">
        <v>173</v>
      </c>
      <c r="D23" s="395"/>
      <c r="E23" s="395"/>
      <c r="F23" s="395"/>
      <c r="G23" s="395"/>
      <c r="H23" s="396"/>
      <c r="I23" s="397" t="s">
        <v>174</v>
      </c>
      <c r="J23" s="398"/>
      <c r="K23" s="398" t="s">
        <v>175</v>
      </c>
      <c r="L23" s="398"/>
      <c r="M23" s="399"/>
      <c r="O23" s="43"/>
      <c r="P23" s="41"/>
      <c r="Q23" s="41"/>
      <c r="R23" s="41"/>
      <c r="W23" s="220">
        <v>1</v>
      </c>
    </row>
    <row r="24" spans="1:23" s="39" customFormat="1" ht="12.75" customHeight="1" outlineLevel="1" x14ac:dyDescent="0.35">
      <c r="A24" s="221"/>
      <c r="B24" s="41"/>
      <c r="C24" s="351" t="s">
        <v>176</v>
      </c>
      <c r="D24" s="375"/>
      <c r="E24" s="352"/>
      <c r="F24" s="352"/>
      <c r="G24" s="376" t="s">
        <v>165</v>
      </c>
      <c r="H24" s="377"/>
      <c r="I24" s="378" t="s">
        <v>177</v>
      </c>
      <c r="J24" s="379"/>
      <c r="K24" s="379" t="s">
        <v>178</v>
      </c>
      <c r="L24" s="379"/>
      <c r="M24" s="380"/>
      <c r="O24" s="43"/>
      <c r="P24" s="41"/>
      <c r="Q24" s="41"/>
      <c r="R24" s="41"/>
      <c r="W24" s="220">
        <v>1</v>
      </c>
    </row>
    <row r="25" spans="1:23" s="39" customFormat="1" ht="12.75" customHeight="1" outlineLevel="1" x14ac:dyDescent="0.35">
      <c r="A25" s="221"/>
      <c r="B25" s="41"/>
      <c r="C25" s="381" t="s">
        <v>179</v>
      </c>
      <c r="D25" s="382"/>
      <c r="E25" s="382"/>
      <c r="F25" s="375"/>
      <c r="G25" s="383">
        <v>2023</v>
      </c>
      <c r="H25" s="384"/>
      <c r="I25" s="378" t="s">
        <v>180</v>
      </c>
      <c r="J25" s="379"/>
      <c r="K25" s="379" t="s">
        <v>181</v>
      </c>
      <c r="L25" s="379"/>
      <c r="M25" s="380"/>
      <c r="O25" s="43"/>
      <c r="P25" s="41"/>
      <c r="Q25" s="41"/>
      <c r="R25" s="41"/>
      <c r="W25" s="220">
        <v>1</v>
      </c>
    </row>
    <row r="26" spans="1:23" s="39" customFormat="1" ht="12.75" customHeight="1" outlineLevel="1" thickBot="1" x14ac:dyDescent="0.4">
      <c r="A26" s="221"/>
      <c r="B26" s="41"/>
      <c r="C26" s="349" t="str">
        <f>IF(G24="","",IF(G24=$O$13,"Valor umbral Mipyme.","Total Ingresos Operacionales Acreditados"))</f>
        <v>Total Ingresos Operacionales Acreditados</v>
      </c>
      <c r="D26" s="412"/>
      <c r="E26" s="350"/>
      <c r="F26" s="350"/>
      <c r="G26" s="413">
        <v>1502426000</v>
      </c>
      <c r="H26" s="414"/>
      <c r="I26" s="415" t="s">
        <v>182</v>
      </c>
      <c r="J26" s="416"/>
      <c r="K26" s="222" t="s">
        <v>183</v>
      </c>
      <c r="L26" s="417">
        <f>4048*125000</f>
        <v>506000000</v>
      </c>
      <c r="M26" s="418"/>
      <c r="O26" s="43"/>
      <c r="P26" s="41"/>
      <c r="Q26" s="41"/>
      <c r="R26" s="41"/>
      <c r="W26" s="220">
        <v>1</v>
      </c>
    </row>
    <row r="27" spans="1:23" s="39" customFormat="1" ht="12.75" customHeight="1" outlineLevel="1" x14ac:dyDescent="0.35">
      <c r="A27" s="221"/>
      <c r="B27" s="41"/>
      <c r="C27" s="419" t="s">
        <v>184</v>
      </c>
      <c r="D27" s="420"/>
      <c r="E27" s="420"/>
      <c r="F27" s="420"/>
      <c r="G27" s="420"/>
      <c r="H27" s="421"/>
      <c r="I27" s="223"/>
      <c r="J27" s="223"/>
      <c r="K27" s="224"/>
      <c r="L27" s="225"/>
      <c r="M27" s="225"/>
      <c r="O27" s="43"/>
      <c r="P27" s="41"/>
      <c r="Q27" s="41"/>
      <c r="R27" s="41"/>
      <c r="W27" s="220">
        <v>1</v>
      </c>
    </row>
    <row r="28" spans="1:23" s="39" customFormat="1" ht="12.75" customHeight="1" outlineLevel="1" x14ac:dyDescent="0.35">
      <c r="A28" s="221"/>
      <c r="B28" s="41"/>
      <c r="C28" s="226" t="s">
        <v>185</v>
      </c>
      <c r="D28" s="400" t="s">
        <v>186</v>
      </c>
      <c r="E28" s="401"/>
      <c r="F28" s="402" t="s">
        <v>187</v>
      </c>
      <c r="G28" s="403"/>
      <c r="H28" s="227" t="s">
        <v>188</v>
      </c>
      <c r="I28" s="404" t="str">
        <f>IF(OR(H28="Vigente",H28=""),"",IF(H28="no aporta","No aporta el certificado de antecedentes disciplinarios del "&amp;PROPER(C28)&amp;" ("&amp;PROPER(D28)&amp;") quien suscribe los estados de resultados de "&amp;B21&amp;". Debe subsanar ese documento.","El certificado de antecedentes disciplinarios del "&amp;PROPER(C28)&amp;" ("&amp;PROPER(D28)&amp;") quien suscribe los estados de resultados de "&amp;B21&amp;", no se encuentran vigentes a la fecha de cierre del proceso. Debe subsanar ese documento."))</f>
        <v/>
      </c>
      <c r="J28" s="405"/>
      <c r="K28" s="405"/>
      <c r="L28" s="405"/>
      <c r="M28" s="406"/>
      <c r="O28" s="43"/>
      <c r="P28" s="41"/>
      <c r="Q28" s="41"/>
      <c r="R28" s="41"/>
      <c r="W28" s="220">
        <v>1</v>
      </c>
    </row>
    <row r="29" spans="1:23" s="39" customFormat="1" ht="12.75" customHeight="1" outlineLevel="1" x14ac:dyDescent="0.35">
      <c r="A29" s="221"/>
      <c r="B29" s="41"/>
      <c r="C29" s="226" t="s">
        <v>189</v>
      </c>
      <c r="D29" s="400" t="s">
        <v>190</v>
      </c>
      <c r="E29" s="401"/>
      <c r="F29" s="402" t="s">
        <v>187</v>
      </c>
      <c r="G29" s="403"/>
      <c r="H29" s="227" t="s">
        <v>188</v>
      </c>
      <c r="I29" s="404" t="str">
        <f>IF(OR(H29="Vigente",H29=""),"",IF(H29="no aporta","No aporta el certificado de antecedentes disciplinarios del "&amp;PROPER(C29)&amp;" ("&amp;PROPER(D29)&amp;") quien suscribe los estados de resultados de "&amp;B21&amp;" Debe subsanar ese documento.","El certificado de antecedentes disciplinarios del "&amp;PROPER(C29)&amp;" ("&amp;PROPER(D29)&amp;") quien suscribe los estados de resultados de "&amp;B21&amp;", no se encuentran vigentes a la fecha de cierre del proceso. Debe subsanar ese documento."))</f>
        <v/>
      </c>
      <c r="J29" s="405"/>
      <c r="K29" s="405"/>
      <c r="L29" s="405"/>
      <c r="M29" s="406"/>
      <c r="O29" s="43"/>
      <c r="P29" s="41"/>
      <c r="Q29" s="41"/>
      <c r="R29" s="41"/>
      <c r="W29" s="220">
        <v>1</v>
      </c>
    </row>
    <row r="30" spans="1:23" s="39" customFormat="1" ht="13.5" customHeight="1" outlineLevel="1" thickBot="1" x14ac:dyDescent="0.4">
      <c r="A30" s="221"/>
      <c r="B30" s="41"/>
      <c r="C30" s="228" t="s">
        <v>191</v>
      </c>
      <c r="D30" s="229"/>
      <c r="E30" s="230"/>
      <c r="F30" s="230"/>
      <c r="G30" s="407">
        <f>IF(OR(H28="SIN VIGENCIA",H28="NO APORTA",H29="SIN VIGENCIA",H29="NO APORTA"),0,IF(G24="",0,IF(G24=$O$13,L26,IF(G26&lt;L26,L26,G26))))</f>
        <v>1502426000</v>
      </c>
      <c r="H30" s="408"/>
      <c r="M30" s="231"/>
      <c r="O30" s="43"/>
      <c r="P30" s="41"/>
      <c r="Q30" s="41"/>
      <c r="R30" s="41"/>
      <c r="W30" s="220">
        <v>1</v>
      </c>
    </row>
    <row r="31" spans="1:23" s="39" customFormat="1" ht="5.25" customHeight="1" outlineLevel="1" thickBot="1" x14ac:dyDescent="0.4">
      <c r="A31" s="204"/>
      <c r="B31" s="40"/>
      <c r="C31" s="40"/>
      <c r="D31" s="40"/>
      <c r="E31" s="40"/>
      <c r="F31" s="40"/>
      <c r="G31" s="40"/>
      <c r="H31" s="40"/>
      <c r="I31" s="40"/>
      <c r="J31" s="40"/>
      <c r="K31" s="40"/>
      <c r="L31" s="40"/>
      <c r="M31" s="205"/>
      <c r="N31" s="40"/>
      <c r="O31" s="43"/>
      <c r="P31" s="41"/>
      <c r="Q31" s="41"/>
      <c r="R31" s="41"/>
      <c r="W31" s="220">
        <v>1</v>
      </c>
    </row>
    <row r="32" spans="1:23" s="39" customFormat="1" outlineLevel="1" x14ac:dyDescent="0.35">
      <c r="A32" s="221"/>
      <c r="B32" s="41"/>
      <c r="C32" s="409" t="s">
        <v>164</v>
      </c>
      <c r="D32" s="395"/>
      <c r="E32" s="395"/>
      <c r="F32" s="395"/>
      <c r="G32" s="395"/>
      <c r="H32" s="396"/>
      <c r="I32" s="232" t="s">
        <v>192</v>
      </c>
      <c r="J32" s="233" t="s">
        <v>193</v>
      </c>
      <c r="K32" s="207" t="s">
        <v>194</v>
      </c>
      <c r="L32" s="234"/>
      <c r="M32" s="234"/>
      <c r="O32" s="43"/>
      <c r="P32" s="41"/>
      <c r="Q32" s="41"/>
      <c r="R32" s="41"/>
      <c r="S32" s="41"/>
      <c r="W32" s="220">
        <v>1</v>
      </c>
    </row>
    <row r="33" spans="1:23" s="39" customFormat="1" outlineLevel="1" x14ac:dyDescent="0.35">
      <c r="A33" s="221"/>
      <c r="B33" s="41"/>
      <c r="C33" s="351" t="s">
        <v>195</v>
      </c>
      <c r="D33" s="375"/>
      <c r="E33" s="352"/>
      <c r="F33" s="352"/>
      <c r="G33" s="410">
        <v>1</v>
      </c>
      <c r="H33" s="411"/>
      <c r="I33" s="235">
        <v>0</v>
      </c>
      <c r="J33" s="236">
        <v>3</v>
      </c>
      <c r="K33" s="209">
        <v>60</v>
      </c>
      <c r="M33" s="234"/>
      <c r="O33" s="43"/>
      <c r="P33" s="41"/>
      <c r="Q33" s="41"/>
      <c r="R33" s="41"/>
      <c r="S33" s="41"/>
      <c r="W33" s="220">
        <v>1</v>
      </c>
    </row>
    <row r="34" spans="1:23" s="39" customFormat="1" ht="12" outlineLevel="1" thickBot="1" x14ac:dyDescent="0.4">
      <c r="A34" s="221"/>
      <c r="B34" s="41"/>
      <c r="C34" s="430" t="s">
        <v>158</v>
      </c>
      <c r="D34" s="431"/>
      <c r="E34" s="432"/>
      <c r="F34" s="432"/>
      <c r="G34" s="433">
        <f>$E$13</f>
        <v>522182486</v>
      </c>
      <c r="H34" s="434"/>
      <c r="I34" s="235">
        <v>3</v>
      </c>
      <c r="J34" s="236">
        <v>6</v>
      </c>
      <c r="K34" s="209">
        <v>80</v>
      </c>
      <c r="M34" s="234"/>
      <c r="O34" s="43"/>
      <c r="P34" s="41"/>
      <c r="Q34" s="41"/>
      <c r="R34" s="41"/>
      <c r="S34" s="41"/>
      <c r="W34" s="220">
        <v>1</v>
      </c>
    </row>
    <row r="35" spans="1:23" s="39" customFormat="1" ht="12" outlineLevel="1" thickBot="1" x14ac:dyDescent="0.4">
      <c r="A35" s="221"/>
      <c r="B35" s="41"/>
      <c r="C35" s="435" t="s">
        <v>196</v>
      </c>
      <c r="D35" s="436"/>
      <c r="E35" s="437"/>
      <c r="F35" s="437"/>
      <c r="G35" s="437"/>
      <c r="H35" s="438"/>
      <c r="I35" s="235">
        <v>6</v>
      </c>
      <c r="J35" s="236">
        <v>10</v>
      </c>
      <c r="K35" s="209">
        <v>100</v>
      </c>
      <c r="M35" s="234"/>
      <c r="O35" s="43"/>
      <c r="P35" s="41"/>
      <c r="Q35" s="41"/>
      <c r="R35" s="41"/>
      <c r="S35" s="41"/>
      <c r="W35" s="220">
        <v>1</v>
      </c>
    </row>
    <row r="36" spans="1:23" s="39" customFormat="1" ht="15.75" customHeight="1" outlineLevel="1" thickBot="1" x14ac:dyDescent="0.4">
      <c r="A36" s="221"/>
      <c r="B36" s="41"/>
      <c r="C36" s="439" t="s">
        <v>197</v>
      </c>
      <c r="D36" s="440"/>
      <c r="E36" s="440"/>
      <c r="F36" s="440"/>
      <c r="G36" s="363" t="s">
        <v>198</v>
      </c>
      <c r="H36" s="364"/>
      <c r="I36" s="237">
        <v>10</v>
      </c>
      <c r="J36" s="238" t="s">
        <v>199</v>
      </c>
      <c r="K36" s="239">
        <v>120</v>
      </c>
      <c r="M36" s="234"/>
      <c r="O36" s="43"/>
      <c r="P36" s="41"/>
      <c r="Q36" s="41"/>
      <c r="R36" s="41"/>
      <c r="S36" s="41"/>
      <c r="W36" s="220">
        <v>1</v>
      </c>
    </row>
    <row r="37" spans="1:23" s="39" customFormat="1" ht="15" customHeight="1" outlineLevel="1" x14ac:dyDescent="0.35">
      <c r="A37" s="221"/>
      <c r="B37" s="41"/>
      <c r="C37" s="441" t="s">
        <v>200</v>
      </c>
      <c r="D37" s="352"/>
      <c r="E37" s="352"/>
      <c r="F37" s="352"/>
      <c r="G37" s="442">
        <v>38902584825.760002</v>
      </c>
      <c r="H37" s="443"/>
      <c r="M37" s="234"/>
      <c r="O37" s="43"/>
      <c r="P37" s="41"/>
      <c r="Q37" s="41"/>
      <c r="R37" s="41"/>
      <c r="S37" s="41"/>
      <c r="W37" s="220">
        <v>1</v>
      </c>
    </row>
    <row r="38" spans="1:23" s="39" customFormat="1" ht="10.5" customHeight="1" outlineLevel="1" x14ac:dyDescent="0.35">
      <c r="A38" s="221"/>
      <c r="B38" s="41"/>
      <c r="C38" s="351"/>
      <c r="D38" s="352"/>
      <c r="E38" s="352"/>
      <c r="F38" s="352"/>
      <c r="G38" s="422"/>
      <c r="H38" s="423"/>
      <c r="M38" s="234"/>
      <c r="O38" s="43"/>
      <c r="P38" s="41"/>
      <c r="Q38" s="41"/>
      <c r="R38" s="41"/>
      <c r="S38" s="41"/>
      <c r="W38" s="220">
        <v>1</v>
      </c>
    </row>
    <row r="39" spans="1:23" s="39" customFormat="1" ht="13.5" customHeight="1" outlineLevel="1" thickBot="1" x14ac:dyDescent="0.4">
      <c r="A39" s="221"/>
      <c r="B39" s="41"/>
      <c r="C39" s="355" t="s">
        <v>201</v>
      </c>
      <c r="D39" s="356"/>
      <c r="E39" s="356"/>
      <c r="F39" s="356"/>
      <c r="G39" s="424">
        <f>SUM(G36:H38)</f>
        <v>38902584825.760002</v>
      </c>
      <c r="H39" s="425"/>
      <c r="M39" s="234"/>
      <c r="O39" s="43"/>
      <c r="P39" s="41"/>
      <c r="Q39" s="41"/>
      <c r="R39" s="41"/>
      <c r="S39" s="41"/>
      <c r="W39" s="220">
        <v>1</v>
      </c>
    </row>
    <row r="40" spans="1:23" s="39" customFormat="1" outlineLevel="1" x14ac:dyDescent="0.35">
      <c r="A40" s="221"/>
      <c r="B40" s="41"/>
      <c r="C40" s="426" t="s">
        <v>202</v>
      </c>
      <c r="D40" s="427"/>
      <c r="E40" s="428"/>
      <c r="F40" s="428"/>
      <c r="G40" s="428"/>
      <c r="H40" s="240">
        <f>IF(OR(G33="",G33=0,G39=0),0,G39/(G34*G33))</f>
        <v>74.499980119517076</v>
      </c>
      <c r="M40" s="234"/>
      <c r="O40" s="43"/>
      <c r="P40" s="41"/>
      <c r="Q40" s="41"/>
      <c r="R40" s="41"/>
      <c r="S40" s="41"/>
      <c r="W40" s="220">
        <v>1</v>
      </c>
    </row>
    <row r="41" spans="1:23" s="39" customFormat="1" ht="13.5" customHeight="1" outlineLevel="1" thickBot="1" x14ac:dyDescent="0.4">
      <c r="A41" s="221"/>
      <c r="B41" s="41"/>
      <c r="C41" s="355" t="s">
        <v>203</v>
      </c>
      <c r="D41" s="429"/>
      <c r="E41" s="356"/>
      <c r="F41" s="356"/>
      <c r="G41" s="356"/>
      <c r="H41" s="241">
        <f>IF(H40&lt;=3,60,IF(H40&lt;=6,80,IF(H40&lt;=10,100,120)))</f>
        <v>120</v>
      </c>
      <c r="J41" s="242"/>
      <c r="M41" s="234"/>
      <c r="O41" s="43"/>
      <c r="P41" s="41"/>
      <c r="Q41" s="41"/>
      <c r="R41" s="41"/>
      <c r="S41" s="41"/>
      <c r="W41" s="220">
        <v>1</v>
      </c>
    </row>
    <row r="42" spans="1:23" s="39" customFormat="1" ht="5.25" customHeight="1" outlineLevel="1" thickBot="1" x14ac:dyDescent="0.4">
      <c r="A42" s="204"/>
      <c r="B42" s="40"/>
      <c r="C42" s="40"/>
      <c r="D42" s="40"/>
      <c r="E42" s="40"/>
      <c r="F42" s="40"/>
      <c r="G42" s="40"/>
      <c r="H42" s="40"/>
      <c r="I42" s="40"/>
      <c r="J42" s="40"/>
      <c r="K42" s="40"/>
      <c r="L42" s="40"/>
      <c r="M42" s="205"/>
      <c r="N42" s="40"/>
      <c r="O42" s="43"/>
      <c r="P42" s="41"/>
      <c r="Q42" s="41"/>
      <c r="R42" s="41"/>
      <c r="W42" s="220">
        <v>1</v>
      </c>
    </row>
    <row r="43" spans="1:23" s="39" customFormat="1" ht="15" customHeight="1" outlineLevel="1" x14ac:dyDescent="0.35">
      <c r="A43" s="221"/>
      <c r="B43" s="41"/>
      <c r="C43" s="394" t="s">
        <v>204</v>
      </c>
      <c r="D43" s="395"/>
      <c r="E43" s="395"/>
      <c r="F43" s="395"/>
      <c r="G43" s="395"/>
      <c r="H43" s="396"/>
      <c r="I43" s="232" t="s">
        <v>205</v>
      </c>
      <c r="J43" s="233" t="s">
        <v>206</v>
      </c>
      <c r="K43" s="207" t="s">
        <v>194</v>
      </c>
      <c r="M43" s="234"/>
      <c r="O43" s="43"/>
      <c r="P43" s="41"/>
      <c r="Q43" s="41"/>
      <c r="R43" s="41"/>
      <c r="S43" s="41"/>
      <c r="W43" s="220">
        <v>1</v>
      </c>
    </row>
    <row r="44" spans="1:23" s="39" customFormat="1" outlineLevel="1" x14ac:dyDescent="0.35">
      <c r="A44" s="221"/>
      <c r="B44" s="41"/>
      <c r="C44" s="349" t="s">
        <v>207</v>
      </c>
      <c r="D44" s="350"/>
      <c r="E44" s="350"/>
      <c r="F44" s="350"/>
      <c r="G44" s="350" t="s">
        <v>165</v>
      </c>
      <c r="H44" s="243">
        <v>318382000</v>
      </c>
      <c r="I44" s="244">
        <v>0</v>
      </c>
      <c r="J44" s="245">
        <v>0.5</v>
      </c>
      <c r="K44" s="209">
        <v>20</v>
      </c>
      <c r="M44" s="234"/>
      <c r="O44" s="43"/>
      <c r="P44" s="41"/>
      <c r="Q44" s="41"/>
      <c r="R44" s="41"/>
      <c r="S44" s="41"/>
      <c r="W44" s="220">
        <v>1</v>
      </c>
    </row>
    <row r="45" spans="1:23" s="39" customFormat="1" outlineLevel="1" x14ac:dyDescent="0.35">
      <c r="A45" s="221"/>
      <c r="B45" s="41"/>
      <c r="C45" s="349" t="s">
        <v>208</v>
      </c>
      <c r="D45" s="350"/>
      <c r="E45" s="350"/>
      <c r="F45" s="350"/>
      <c r="G45" s="350"/>
      <c r="H45" s="243">
        <v>17449000</v>
      </c>
      <c r="I45" s="244">
        <v>0.5</v>
      </c>
      <c r="J45" s="245">
        <v>0.75</v>
      </c>
      <c r="K45" s="209">
        <v>25</v>
      </c>
      <c r="M45" s="234"/>
      <c r="O45" s="43"/>
      <c r="P45" s="41"/>
      <c r="Q45" s="41"/>
      <c r="R45" s="41"/>
      <c r="S45" s="41"/>
      <c r="W45" s="220">
        <v>1</v>
      </c>
    </row>
    <row r="46" spans="1:23" s="39" customFormat="1" outlineLevel="1" x14ac:dyDescent="0.35">
      <c r="A46" s="221"/>
      <c r="B46" s="41"/>
      <c r="C46" s="349" t="s">
        <v>209</v>
      </c>
      <c r="D46" s="350"/>
      <c r="E46" s="350"/>
      <c r="F46" s="350"/>
      <c r="G46" s="350"/>
      <c r="H46" s="246">
        <f>IF(H44="",0,H44/H45)</f>
        <v>18.246432460312914</v>
      </c>
      <c r="I46" s="244">
        <v>0.75</v>
      </c>
      <c r="J46" s="245">
        <v>1</v>
      </c>
      <c r="K46" s="209">
        <v>30</v>
      </c>
      <c r="M46" s="234"/>
      <c r="O46" s="43"/>
      <c r="P46" s="41"/>
      <c r="Q46" s="41"/>
      <c r="R46" s="41"/>
      <c r="S46" s="41"/>
      <c r="W46" s="220">
        <v>1</v>
      </c>
    </row>
    <row r="47" spans="1:23" s="39" customFormat="1" ht="13.5" customHeight="1" outlineLevel="1" thickBot="1" x14ac:dyDescent="0.4">
      <c r="A47" s="221"/>
      <c r="B47" s="41"/>
      <c r="C47" s="355" t="s">
        <v>210</v>
      </c>
      <c r="D47" s="356"/>
      <c r="E47" s="356"/>
      <c r="F47" s="356"/>
      <c r="G47" s="356"/>
      <c r="H47" s="241">
        <f>IF(H46="",0,IF(H46&lt;0.5,20,IF(H46&lt;0.75,25,IF(H46&lt;1,30,IF(H46&lt;1.5,35,40)))))</f>
        <v>40</v>
      </c>
      <c r="I47" s="244">
        <v>1</v>
      </c>
      <c r="J47" s="245">
        <v>1.5</v>
      </c>
      <c r="K47" s="209">
        <v>35</v>
      </c>
      <c r="M47" s="234"/>
      <c r="O47" s="43"/>
      <c r="P47" s="41"/>
      <c r="Q47" s="41"/>
      <c r="R47" s="41"/>
      <c r="S47" s="41"/>
      <c r="W47" s="220">
        <v>1</v>
      </c>
    </row>
    <row r="48" spans="1:23" s="39" customFormat="1" ht="12" outlineLevel="1" thickBot="1" x14ac:dyDescent="0.4">
      <c r="A48" s="221"/>
      <c r="B48" s="41"/>
      <c r="I48" s="247">
        <v>1.5</v>
      </c>
      <c r="J48" s="248" t="s">
        <v>199</v>
      </c>
      <c r="K48" s="239">
        <v>40</v>
      </c>
      <c r="M48" s="234"/>
      <c r="O48" s="43"/>
      <c r="P48" s="41"/>
      <c r="Q48" s="41"/>
      <c r="R48" s="41"/>
      <c r="S48" s="41"/>
      <c r="W48" s="220">
        <v>1</v>
      </c>
    </row>
    <row r="49" spans="1:27" s="39" customFormat="1" ht="5.25" customHeight="1" outlineLevel="1" thickBot="1" x14ac:dyDescent="0.4">
      <c r="A49" s="204"/>
      <c r="B49" s="40"/>
      <c r="C49" s="40"/>
      <c r="D49" s="40"/>
      <c r="E49" s="40"/>
      <c r="F49" s="40"/>
      <c r="G49" s="40"/>
      <c r="H49" s="40"/>
      <c r="I49" s="40"/>
      <c r="J49" s="40"/>
      <c r="K49" s="40"/>
      <c r="L49" s="40"/>
      <c r="M49" s="205"/>
      <c r="N49" s="40"/>
      <c r="O49" s="43"/>
      <c r="P49" s="41"/>
      <c r="Q49" s="41"/>
      <c r="R49" s="41"/>
      <c r="W49" s="220">
        <v>1</v>
      </c>
    </row>
    <row r="50" spans="1:27" s="39" customFormat="1" outlineLevel="1" x14ac:dyDescent="0.35">
      <c r="A50" s="221"/>
      <c r="B50" s="41"/>
      <c r="C50" s="394" t="s">
        <v>211</v>
      </c>
      <c r="D50" s="395"/>
      <c r="E50" s="395"/>
      <c r="F50" s="395"/>
      <c r="G50" s="395"/>
      <c r="H50" s="396"/>
      <c r="I50" s="232" t="s">
        <v>212</v>
      </c>
      <c r="J50" s="233" t="s">
        <v>213</v>
      </c>
      <c r="K50" s="207" t="s">
        <v>194</v>
      </c>
      <c r="M50" s="234"/>
      <c r="O50" s="43"/>
      <c r="P50" s="41"/>
      <c r="Q50" s="41"/>
      <c r="R50" s="41"/>
      <c r="S50" s="41"/>
      <c r="W50" s="220">
        <v>1</v>
      </c>
    </row>
    <row r="51" spans="1:27" s="39" customFormat="1" ht="12.75" customHeight="1" outlineLevel="1" x14ac:dyDescent="0.35">
      <c r="A51" s="221"/>
      <c r="B51" s="41"/>
      <c r="C51" s="349" t="s">
        <v>214</v>
      </c>
      <c r="D51" s="350"/>
      <c r="E51" s="350"/>
      <c r="F51" s="350"/>
      <c r="G51" s="350" t="s">
        <v>165</v>
      </c>
      <c r="H51" s="249">
        <v>1</v>
      </c>
      <c r="I51" s="250">
        <v>1</v>
      </c>
      <c r="J51" s="251">
        <v>5</v>
      </c>
      <c r="K51" s="209">
        <v>20</v>
      </c>
      <c r="M51" s="234"/>
      <c r="O51" s="43"/>
      <c r="P51" s="41"/>
      <c r="Q51" s="41"/>
      <c r="R51" s="41"/>
      <c r="S51" s="41"/>
      <c r="W51" s="220">
        <v>1</v>
      </c>
    </row>
    <row r="52" spans="1:27" s="39" customFormat="1" ht="13.5" customHeight="1" outlineLevel="1" thickBot="1" x14ac:dyDescent="0.4">
      <c r="A52" s="221"/>
      <c r="B52" s="41"/>
      <c r="C52" s="355" t="s">
        <v>215</v>
      </c>
      <c r="D52" s="356"/>
      <c r="E52" s="356"/>
      <c r="F52" s="356"/>
      <c r="G52" s="356"/>
      <c r="H52" s="241">
        <f>IF(H51&lt;1,0,IF(H51&lt;=5,20,IF(H51&lt;=10,30,40)))</f>
        <v>20</v>
      </c>
      <c r="I52" s="250">
        <v>6</v>
      </c>
      <c r="J52" s="251">
        <v>10</v>
      </c>
      <c r="K52" s="209">
        <v>30</v>
      </c>
      <c r="M52" s="234"/>
      <c r="O52" s="43"/>
      <c r="P52" s="41"/>
      <c r="Q52" s="41"/>
      <c r="R52" s="41"/>
      <c r="S52" s="41"/>
      <c r="W52" s="220">
        <v>1</v>
      </c>
    </row>
    <row r="53" spans="1:27" s="39" customFormat="1" ht="13.5" customHeight="1" outlineLevel="1" thickBot="1" x14ac:dyDescent="0.4">
      <c r="A53" s="221"/>
      <c r="B53" s="41"/>
      <c r="I53" s="252">
        <v>11</v>
      </c>
      <c r="J53" s="248" t="s">
        <v>199</v>
      </c>
      <c r="K53" s="239">
        <v>40</v>
      </c>
      <c r="M53" s="234"/>
      <c r="O53" s="43"/>
      <c r="P53" s="41"/>
      <c r="Q53" s="41"/>
      <c r="R53" s="41"/>
      <c r="S53" s="41"/>
      <c r="W53" s="220">
        <v>1</v>
      </c>
    </row>
    <row r="54" spans="1:27" s="39" customFormat="1" ht="5.25" customHeight="1" outlineLevel="1" thickBot="1" x14ac:dyDescent="0.4">
      <c r="A54" s="204"/>
      <c r="B54" s="40"/>
      <c r="C54" s="40"/>
      <c r="D54" s="40"/>
      <c r="E54" s="40"/>
      <c r="F54" s="40"/>
      <c r="G54" s="40"/>
      <c r="H54" s="40"/>
      <c r="I54" s="40"/>
      <c r="J54" s="40"/>
      <c r="K54" s="40"/>
      <c r="L54" s="40"/>
      <c r="M54" s="205"/>
      <c r="N54" s="40"/>
      <c r="O54" s="43"/>
      <c r="P54" s="41"/>
      <c r="Q54" s="41"/>
      <c r="R54" s="41"/>
      <c r="W54" s="220">
        <v>1</v>
      </c>
    </row>
    <row r="55" spans="1:27" s="39" customFormat="1" ht="15.75" customHeight="1" outlineLevel="1" thickBot="1" x14ac:dyDescent="0.4">
      <c r="A55" s="221"/>
      <c r="B55" s="41"/>
      <c r="C55" s="444" t="s">
        <v>216</v>
      </c>
      <c r="D55" s="445"/>
      <c r="E55" s="445"/>
      <c r="F55" s="445"/>
      <c r="G55" s="445"/>
      <c r="H55" s="445"/>
      <c r="I55" s="445"/>
      <c r="J55" s="445"/>
      <c r="K55" s="445"/>
      <c r="L55" s="445"/>
      <c r="M55" s="446"/>
      <c r="O55" s="43"/>
      <c r="P55" s="41"/>
      <c r="Q55" s="41"/>
      <c r="R55" s="41"/>
      <c r="S55" s="41"/>
      <c r="W55" s="220">
        <v>1</v>
      </c>
    </row>
    <row r="56" spans="1:27" ht="12.75" customHeight="1" outlineLevel="1" thickBot="1" x14ac:dyDescent="0.4">
      <c r="A56" s="253"/>
      <c r="B56" s="254"/>
      <c r="C56" s="447" t="s">
        <v>217</v>
      </c>
      <c r="D56" s="448"/>
      <c r="E56" s="448"/>
      <c r="F56" s="448"/>
      <c r="G56" s="448"/>
      <c r="H56" s="448"/>
      <c r="I56" s="448"/>
      <c r="J56" s="448"/>
      <c r="K56" s="448"/>
      <c r="L56" s="448"/>
      <c r="M56" s="449"/>
      <c r="O56" s="43"/>
      <c r="P56" s="41"/>
      <c r="W56" s="220">
        <v>1</v>
      </c>
    </row>
    <row r="57" spans="1:27" ht="23" outlineLevel="1" x14ac:dyDescent="0.35">
      <c r="A57" s="255"/>
      <c r="B57" s="254"/>
      <c r="C57" s="256" t="s">
        <v>218</v>
      </c>
      <c r="D57" s="257" t="s">
        <v>219</v>
      </c>
      <c r="E57" s="258" t="s">
        <v>198</v>
      </c>
      <c r="F57" s="258" t="s">
        <v>220</v>
      </c>
      <c r="G57" s="258" t="s">
        <v>221</v>
      </c>
      <c r="H57" s="258" t="s">
        <v>222</v>
      </c>
      <c r="I57" s="258" t="s">
        <v>223</v>
      </c>
      <c r="J57" s="258" t="s">
        <v>224</v>
      </c>
      <c r="K57" s="258" t="s">
        <v>225</v>
      </c>
      <c r="L57" s="259" t="s">
        <v>226</v>
      </c>
      <c r="M57" s="260" t="s">
        <v>227</v>
      </c>
      <c r="O57" s="43"/>
      <c r="P57" s="41"/>
      <c r="W57" s="220">
        <v>1</v>
      </c>
    </row>
    <row r="58" spans="1:27" outlineLevel="1" x14ac:dyDescent="0.35">
      <c r="A58" s="255"/>
      <c r="B58" s="254"/>
      <c r="C58" s="261">
        <v>1</v>
      </c>
      <c r="D58" s="262">
        <v>1</v>
      </c>
      <c r="E58" s="263">
        <v>46186253</v>
      </c>
      <c r="F58" s="264">
        <v>1</v>
      </c>
      <c r="G58" s="265">
        <v>45489</v>
      </c>
      <c r="H58" s="265"/>
      <c r="I58" s="265"/>
      <c r="J58" s="265"/>
      <c r="K58" s="265"/>
      <c r="L58" s="236">
        <f>IF(C58="","",IF(IF(H58&lt;&gt;"",IF(I58&lt;&gt;"",IF(J58&lt;&gt;"",IF(K58&lt;&gt;"",G58+F58*30+(I58-H58)+(K58-J58)-$E$14,G58+#REF!*30+(I58-H58)-J58),G58+F58*30+(I58-H58)-$E$14),G58+F58*30-H58),G58+F58*30-$E$14)&lt;0,0,IF(H58&lt;&gt;"",IF(I58&lt;&gt;"",IF(J58&lt;&gt;"",IF(K58&lt;&gt;"",G58+F58*30+(I58-H58)+(K58-J58)-$E$14,G58+F58*30+(I58-H58)-J58),G58+F58*30+(I58-H58)-$E$14),G58+F58*30-H58),G58+F58*30-$E$14)))</f>
        <v>7</v>
      </c>
      <c r="M58" s="266">
        <f>+IF(C58="","",IF(L58&lt;360,D58*E58*L58/(F58*30),D58*E58*360/(F58*30)))</f>
        <v>10776792.366666667</v>
      </c>
      <c r="O58" s="43"/>
      <c r="P58" s="41"/>
      <c r="W58" s="220">
        <v>1</v>
      </c>
    </row>
    <row r="59" spans="1:27" outlineLevel="1" x14ac:dyDescent="0.35">
      <c r="A59" s="255"/>
      <c r="B59" s="254"/>
      <c r="C59" s="261"/>
      <c r="D59" s="262"/>
      <c r="E59" s="263"/>
      <c r="F59" s="264"/>
      <c r="G59" s="265"/>
      <c r="H59" s="265"/>
      <c r="I59" s="265"/>
      <c r="J59" s="265"/>
      <c r="K59" s="265"/>
      <c r="L59" s="236"/>
      <c r="M59" s="266" t="str">
        <f>IF(C59="","",IF(L59&lt;360,D59*E59*L59/(F59*30),D59*E59*360/(F59*30)))</f>
        <v/>
      </c>
      <c r="O59" s="43"/>
      <c r="P59" s="265">
        <v>43693</v>
      </c>
      <c r="Q59" s="265">
        <v>43914</v>
      </c>
      <c r="R59" s="265">
        <v>44025</v>
      </c>
      <c r="S59" s="265">
        <v>44132</v>
      </c>
      <c r="T59" s="265">
        <v>44298</v>
      </c>
      <c r="U59" s="267">
        <v>44323</v>
      </c>
      <c r="V59" s="267">
        <v>44403</v>
      </c>
      <c r="W59" s="220">
        <v>1</v>
      </c>
      <c r="X59" s="267">
        <v>44442</v>
      </c>
      <c r="Y59" s="267">
        <v>44578</v>
      </c>
      <c r="Z59" s="267">
        <v>44650</v>
      </c>
    </row>
    <row r="60" spans="1:27" outlineLevel="1" x14ac:dyDescent="0.35">
      <c r="A60" s="255"/>
      <c r="B60" s="254"/>
      <c r="C60" s="261"/>
      <c r="D60" s="262"/>
      <c r="E60" s="263"/>
      <c r="F60" s="264"/>
      <c r="G60" s="265"/>
      <c r="H60" s="265"/>
      <c r="I60" s="265"/>
      <c r="J60" s="265"/>
      <c r="K60" s="265"/>
      <c r="L60" s="236" t="str">
        <f>IF(C60="","",IF(IF(H60&lt;&gt;"",IF(I60&lt;&gt;"",IF(J60&lt;&gt;"",IF(K60&lt;&gt;"",G60+F60*30+(I60-H60)+(K60-J60)-$E$14,G60+F60*30+(I60-H60)-J60),G60+F60*30+(I60-H60)-$E$14),G60+F60*30-H60),G60+F60*30-$E$14)&lt;0,0,IF(H60&lt;&gt;"",IF(I60&lt;&gt;"",IF(J60&lt;&gt;"",IF(K60&lt;&gt;"",G60+F60*30+(I60-H60)+(K60-J60)-$E$14,G60+F60*30+(I60-H60)-J60),G60+F60*30+(I60-H60)-$E$14),G60+F60*30-H60),G60+F60*30-$E$14)))</f>
        <v/>
      </c>
      <c r="M60" s="266" t="str">
        <f>IF(C60="","",IF(L60&lt;360,D60*E60*L60/(F60*30),D60*E60*360/(F60*30)))</f>
        <v/>
      </c>
      <c r="O60" s="43"/>
      <c r="P60" s="268">
        <f>+Q59-P59</f>
        <v>221</v>
      </c>
      <c r="Q60" s="267"/>
      <c r="R60" s="267">
        <f>+S59-R59</f>
        <v>107</v>
      </c>
      <c r="S60" s="267"/>
      <c r="T60" s="267">
        <f>+U59-T59</f>
        <v>25</v>
      </c>
      <c r="U60" s="267"/>
      <c r="V60" s="267">
        <f>+X59-V59</f>
        <v>39</v>
      </c>
      <c r="W60" s="220">
        <v>1</v>
      </c>
      <c r="X60" s="267"/>
      <c r="Y60" s="267">
        <f>+Z59-Y59</f>
        <v>72</v>
      </c>
      <c r="AA60" s="18">
        <f>+P60+R60+T60+V60+Y60</f>
        <v>464</v>
      </c>
    </row>
    <row r="61" spans="1:27" outlineLevel="1" x14ac:dyDescent="0.35">
      <c r="A61" s="255"/>
      <c r="B61" s="254"/>
      <c r="C61" s="261"/>
      <c r="D61" s="262"/>
      <c r="E61" s="263"/>
      <c r="F61" s="264"/>
      <c r="G61" s="265"/>
      <c r="H61" s="265"/>
      <c r="I61" s="265"/>
      <c r="J61" s="265"/>
      <c r="K61" s="265"/>
      <c r="L61" s="236" t="str">
        <f>IF(C61="","",IF(IF(H61&lt;&gt;"",IF(I61&lt;&gt;"",IF(J61&lt;&gt;"",IF(K61&lt;&gt;"",G61+F61*30+(I61-H61)+(K61-J61)-$E$14,G61+F61*30+(I61-H61)-J61),G61+F61*30+(I61-H61)-$E$14),G61+F61*30-H61),G61+F61*30-$E$14)&lt;0,0,IF(H61&lt;&gt;"",IF(I61&lt;&gt;"",IF(J61&lt;&gt;"",IF(K61&lt;&gt;"",G61+F61*30+(I61-H61)+(K61-J61)-$E$14,G61+F61*30+(I61-H61)-J61),G61+F61*30+(I61-H61)-$E$14),G61+F61*30-H61),G61+F61*30-$E$14)))</f>
        <v/>
      </c>
      <c r="M61" s="266" t="str">
        <f>IF(C61="","",IF(L61&lt;360,D61*E61*L61/(F61*30),D61*E61*360/(F61*30)))</f>
        <v/>
      </c>
      <c r="O61" s="43"/>
      <c r="P61" s="41"/>
      <c r="W61" s="220">
        <v>1</v>
      </c>
    </row>
    <row r="62" spans="1:27" outlineLevel="1" x14ac:dyDescent="0.35">
      <c r="A62" s="255"/>
      <c r="B62" s="254"/>
      <c r="C62" s="261"/>
      <c r="D62" s="262"/>
      <c r="E62" s="263"/>
      <c r="F62" s="264"/>
      <c r="G62" s="265"/>
      <c r="H62" s="265"/>
      <c r="I62" s="265"/>
      <c r="J62" s="265"/>
      <c r="K62" s="265"/>
      <c r="L62" s="236" t="str">
        <f>IF(C62="","",IF(IF(H62&lt;&gt;"",IF(I62&lt;&gt;"",IF(J62&lt;&gt;"",IF(K62&lt;&gt;"",G62+F62*30+(I62-H62)+(K62-J62)-$E$14,G62+F62*30+(I62-H62)-J62),G62+F62*30+(I62-H62)-$E$14),G62+F62*30-H62),G62+F62*30-$E$14)&lt;0,0,IF(H62&lt;&gt;"",IF(I62&lt;&gt;"",IF(J62&lt;&gt;"",IF(K62&lt;&gt;"",G62+F62*30+(I62-H62)+(K62-J62)-$E$14,G62+F62*30+(I62-H62)-J62),G62+F62*30+(I62-H62)-$E$14),G62+F62*30-H62),G62+F62*30-$E$14)))</f>
        <v/>
      </c>
      <c r="M62" s="266" t="str">
        <f>IF(C62="","",IF(L62&lt;360,D62*E62*L62/(F62*30),D62*E62*360/(F62*30)))</f>
        <v/>
      </c>
      <c r="O62" s="43"/>
      <c r="P62" s="41"/>
      <c r="W62" s="220">
        <v>1</v>
      </c>
    </row>
    <row r="63" spans="1:27" ht="13.5" customHeight="1" outlineLevel="1" thickBot="1" x14ac:dyDescent="0.4">
      <c r="A63" s="255"/>
      <c r="C63" s="450" t="s">
        <v>228</v>
      </c>
      <c r="D63" s="451"/>
      <c r="E63" s="451"/>
      <c r="F63" s="451"/>
      <c r="G63" s="451"/>
      <c r="H63" s="451"/>
      <c r="I63" s="451"/>
      <c r="J63" s="451"/>
      <c r="K63" s="451"/>
      <c r="L63" s="429"/>
      <c r="M63" s="269">
        <f>SUM(M57:M62)</f>
        <v>10776792.366666667</v>
      </c>
      <c r="O63" s="43"/>
      <c r="P63" s="41"/>
      <c r="W63" s="220">
        <v>1</v>
      </c>
    </row>
    <row r="64" spans="1:27" s="39" customFormat="1" ht="12" outlineLevel="1" thickBot="1" x14ac:dyDescent="0.4">
      <c r="A64" s="270"/>
      <c r="B64" s="271"/>
      <c r="C64" s="272"/>
      <c r="D64" s="272"/>
      <c r="E64" s="272"/>
      <c r="F64" s="272"/>
      <c r="G64" s="272"/>
      <c r="H64" s="272"/>
      <c r="I64" s="272"/>
      <c r="J64" s="271"/>
      <c r="K64" s="271"/>
      <c r="L64" s="271"/>
      <c r="M64" s="273"/>
      <c r="N64" s="43"/>
      <c r="O64" s="43"/>
      <c r="P64" s="41"/>
      <c r="W64" s="220">
        <v>1</v>
      </c>
    </row>
    <row r="65" spans="1:23" s="39" customFormat="1" ht="12" outlineLevel="1" thickBot="1" x14ac:dyDescent="0.4">
      <c r="A65" s="18"/>
      <c r="B65" s="18"/>
      <c r="C65" s="41"/>
      <c r="D65" s="41"/>
      <c r="E65" s="41"/>
      <c r="F65" s="41"/>
      <c r="G65" s="41"/>
      <c r="H65" s="41"/>
      <c r="I65" s="41"/>
      <c r="J65" s="18"/>
      <c r="K65" s="18"/>
      <c r="L65" s="18"/>
      <c r="M65" s="18"/>
      <c r="N65" s="43"/>
      <c r="O65" s="43"/>
      <c r="P65" s="41"/>
      <c r="W65" s="43"/>
    </row>
    <row r="66" spans="1:23" s="39" customFormat="1" ht="21.75" customHeight="1" thickBot="1" x14ac:dyDescent="0.4">
      <c r="A66" s="215">
        <v>2</v>
      </c>
      <c r="B66" s="452" t="s">
        <v>229</v>
      </c>
      <c r="C66" s="390"/>
      <c r="D66" s="390"/>
      <c r="E66" s="390"/>
      <c r="F66" s="390"/>
      <c r="G66" s="390"/>
      <c r="H66" s="390"/>
      <c r="I66" s="391"/>
      <c r="J66" s="216" t="s">
        <v>172</v>
      </c>
      <c r="K66" s="392">
        <f>IF(OR(G77=0,G125=0,),0,K68+K116)</f>
        <v>13494347129.200001</v>
      </c>
      <c r="L66" s="392"/>
      <c r="M66" s="217" t="str">
        <f>IF(K66&gt;$E$17,"CUMPLE","NO CUMPLE")</f>
        <v>CUMPLE</v>
      </c>
      <c r="N66" s="39">
        <v>3</v>
      </c>
      <c r="O66" s="43"/>
      <c r="P66" s="41"/>
      <c r="Q66" s="218" t="str">
        <f>B66</f>
        <v>CONSORCIO OBRAS MC</v>
      </c>
      <c r="R66" s="41"/>
      <c r="W66" s="219">
        <v>3</v>
      </c>
    </row>
    <row r="67" spans="1:23" s="39" customFormat="1" ht="5.25" customHeight="1" outlineLevel="1" thickBot="1" x14ac:dyDescent="0.4">
      <c r="A67" s="204"/>
      <c r="B67" s="40"/>
      <c r="C67" s="40"/>
      <c r="D67" s="40"/>
      <c r="E67" s="40"/>
      <c r="F67" s="40"/>
      <c r="G67" s="40"/>
      <c r="H67" s="40"/>
      <c r="I67" s="40"/>
      <c r="J67" s="40"/>
      <c r="K67" s="40"/>
      <c r="L67" s="40"/>
      <c r="M67" s="205"/>
      <c r="N67" s="40"/>
      <c r="O67" s="43"/>
      <c r="P67" s="41"/>
      <c r="Q67" s="41"/>
      <c r="R67" s="41"/>
      <c r="W67" s="220">
        <v>3</v>
      </c>
    </row>
    <row r="68" spans="1:23" ht="12" outlineLevel="1" thickBot="1" x14ac:dyDescent="0.4">
      <c r="A68" s="221"/>
      <c r="B68" s="274" t="s">
        <v>230</v>
      </c>
      <c r="C68" s="275"/>
      <c r="D68" s="275"/>
      <c r="E68" s="275"/>
      <c r="F68" s="275"/>
      <c r="G68" s="275"/>
      <c r="H68" s="275"/>
      <c r="I68" s="275"/>
      <c r="J68" s="216" t="s">
        <v>231</v>
      </c>
      <c r="K68" s="392">
        <f>G77*(H88+H94+H99)/100-M114</f>
        <v>9433793135.2000008</v>
      </c>
      <c r="L68" s="392"/>
      <c r="M68" s="217" t="str">
        <f>IF(K68&gt;$E$17,"CUMPLE","NO CUMPLE")</f>
        <v>CUMPLE</v>
      </c>
      <c r="O68" s="43"/>
      <c r="W68" s="220">
        <v>3</v>
      </c>
    </row>
    <row r="69" spans="1:23" s="39" customFormat="1" ht="5.25" customHeight="1" outlineLevel="1" thickBot="1" x14ac:dyDescent="0.4">
      <c r="A69" s="204"/>
      <c r="B69" s="40"/>
      <c r="C69" s="40"/>
      <c r="D69" s="40"/>
      <c r="E69" s="40"/>
      <c r="F69" s="40"/>
      <c r="G69" s="40"/>
      <c r="H69" s="40"/>
      <c r="I69" s="40"/>
      <c r="J69" s="40"/>
      <c r="K69" s="40"/>
      <c r="L69" s="40"/>
      <c r="M69" s="205"/>
      <c r="N69" s="40"/>
      <c r="O69" s="43"/>
      <c r="P69" s="41"/>
      <c r="Q69" s="41"/>
      <c r="R69" s="41"/>
      <c r="W69" s="220">
        <v>3</v>
      </c>
    </row>
    <row r="70" spans="1:23" outlineLevel="1" x14ac:dyDescent="0.35">
      <c r="A70" s="393"/>
      <c r="B70" s="360"/>
      <c r="C70" s="394" t="s">
        <v>173</v>
      </c>
      <c r="D70" s="395"/>
      <c r="E70" s="395"/>
      <c r="F70" s="395"/>
      <c r="G70" s="395"/>
      <c r="H70" s="396"/>
      <c r="I70" s="453" t="s">
        <v>174</v>
      </c>
      <c r="J70" s="398"/>
      <c r="K70" s="398" t="s">
        <v>175</v>
      </c>
      <c r="L70" s="398"/>
      <c r="M70" s="399"/>
      <c r="O70" s="43"/>
      <c r="W70" s="220">
        <v>3</v>
      </c>
    </row>
    <row r="71" spans="1:23" outlineLevel="1" x14ac:dyDescent="0.35">
      <c r="A71" s="221"/>
      <c r="B71" s="41"/>
      <c r="C71" s="351" t="s">
        <v>176</v>
      </c>
      <c r="D71" s="375"/>
      <c r="E71" s="352"/>
      <c r="F71" s="352"/>
      <c r="G71" s="376" t="s">
        <v>165</v>
      </c>
      <c r="H71" s="377"/>
      <c r="I71" s="454" t="s">
        <v>177</v>
      </c>
      <c r="J71" s="379"/>
      <c r="K71" s="379" t="s">
        <v>178</v>
      </c>
      <c r="L71" s="379"/>
      <c r="M71" s="380"/>
      <c r="O71" s="43"/>
      <c r="W71" s="220">
        <v>3</v>
      </c>
    </row>
    <row r="72" spans="1:23" ht="12" customHeight="1" outlineLevel="1" x14ac:dyDescent="0.35">
      <c r="A72" s="221"/>
      <c r="B72" s="41"/>
      <c r="C72" s="381" t="s">
        <v>179</v>
      </c>
      <c r="D72" s="382"/>
      <c r="E72" s="382"/>
      <c r="F72" s="375"/>
      <c r="G72" s="383">
        <v>2023</v>
      </c>
      <c r="H72" s="384"/>
      <c r="I72" s="454" t="s">
        <v>180</v>
      </c>
      <c r="J72" s="379"/>
      <c r="K72" s="379" t="s">
        <v>181</v>
      </c>
      <c r="L72" s="379"/>
      <c r="M72" s="380"/>
      <c r="O72" s="43"/>
      <c r="W72" s="220">
        <v>3</v>
      </c>
    </row>
    <row r="73" spans="1:23" ht="12.75" customHeight="1" outlineLevel="1" thickBot="1" x14ac:dyDescent="0.4">
      <c r="A73" s="221"/>
      <c r="B73" s="41"/>
      <c r="C73" s="349" t="str">
        <f>IF(G71="","",IF(G71=$O$13,"Valor umbral Mipyme.","Total Ingresos Operacionales Acreditados"))</f>
        <v>Total Ingresos Operacionales Acreditados</v>
      </c>
      <c r="D73" s="412"/>
      <c r="E73" s="350"/>
      <c r="F73" s="350"/>
      <c r="G73" s="413">
        <v>8706500964</v>
      </c>
      <c r="H73" s="414"/>
      <c r="I73" s="455" t="s">
        <v>182</v>
      </c>
      <c r="J73" s="416"/>
      <c r="K73" s="222" t="s">
        <v>183</v>
      </c>
      <c r="L73" s="417">
        <f>4048*125000</f>
        <v>506000000</v>
      </c>
      <c r="M73" s="418"/>
      <c r="O73" s="43"/>
      <c r="W73" s="220">
        <v>3</v>
      </c>
    </row>
    <row r="74" spans="1:23" outlineLevel="1" x14ac:dyDescent="0.35">
      <c r="A74" s="221"/>
      <c r="B74" s="41"/>
      <c r="C74" s="419" t="s">
        <v>184</v>
      </c>
      <c r="D74" s="420"/>
      <c r="E74" s="420"/>
      <c r="F74" s="420"/>
      <c r="G74" s="420"/>
      <c r="H74" s="421"/>
      <c r="I74" s="223"/>
      <c r="J74" s="223"/>
      <c r="K74" s="224"/>
      <c r="L74" s="225"/>
      <c r="M74" s="276"/>
      <c r="O74" s="43"/>
      <c r="W74" s="220">
        <v>3</v>
      </c>
    </row>
    <row r="75" spans="1:23" ht="50.25" customHeight="1" outlineLevel="1" x14ac:dyDescent="0.35">
      <c r="A75" s="221"/>
      <c r="B75" s="41"/>
      <c r="C75" s="226" t="s">
        <v>185</v>
      </c>
      <c r="D75" s="400" t="s">
        <v>232</v>
      </c>
      <c r="E75" s="401"/>
      <c r="F75" s="402" t="s">
        <v>187</v>
      </c>
      <c r="G75" s="403"/>
      <c r="H75" s="227" t="s">
        <v>188</v>
      </c>
      <c r="I75" s="404" t="str">
        <f>IF(OR(H75="Vigente",H75=""),"",IF(H75="no aporta","No aporta el certificado de antecedentes disciplinarios del "&amp;PROPER(C75)&amp;" ("&amp;PROPER(D75)&amp;") quien suscribe los estados de resultados de "&amp;B68&amp;". Debe subsanar ese documento.","El certificado de antecedentes disciplinarios del "&amp;PROPER(C75)&amp;" ("&amp;PROPER(D75)&amp;") quien suscribe los estados de resultados de "&amp;B68&amp;", no se encuentran vigentes a la fecha de cierre del proceso. Debe subsanar ese documento."))</f>
        <v/>
      </c>
      <c r="J75" s="405"/>
      <c r="K75" s="405"/>
      <c r="L75" s="405"/>
      <c r="M75" s="406"/>
      <c r="O75" s="43"/>
      <c r="W75" s="220">
        <v>3</v>
      </c>
    </row>
    <row r="76" spans="1:23" outlineLevel="1" x14ac:dyDescent="0.35">
      <c r="A76" s="221"/>
      <c r="B76" s="41"/>
      <c r="C76" s="226" t="s">
        <v>189</v>
      </c>
      <c r="D76" s="400" t="s">
        <v>233</v>
      </c>
      <c r="E76" s="401"/>
      <c r="F76" s="402" t="s">
        <v>187</v>
      </c>
      <c r="G76" s="403"/>
      <c r="H76" s="227" t="s">
        <v>188</v>
      </c>
      <c r="I76" s="404" t="str">
        <f>IF(OR(H76="Vigente",H76=""),"",IF(H76="no aporta","No aporta el certificado de antecedentes disciplinarios del "&amp;PROPER(C76)&amp;" ("&amp;PROPER(D76)&amp;") RESUMEN! de "&amp;B68&amp;" Debe subsanar ese documento.","El certificado de antecedentes disciplinarios del "&amp;PROPER(C76)&amp;" ("&amp;PROPER(D76)&amp;") quien suscribe los estados de resultados de "&amp;B68&amp;", no se encuentran vigentes a la fecha de cierre del proceso. Debe subsanar ese documento."))</f>
        <v/>
      </c>
      <c r="J76" s="405"/>
      <c r="K76" s="405"/>
      <c r="L76" s="405"/>
      <c r="M76" s="406"/>
      <c r="O76" s="43"/>
      <c r="W76" s="220">
        <v>3</v>
      </c>
    </row>
    <row r="77" spans="1:23" ht="12" outlineLevel="1" thickBot="1" x14ac:dyDescent="0.4">
      <c r="A77" s="221"/>
      <c r="B77" s="41"/>
      <c r="C77" s="228" t="s">
        <v>191</v>
      </c>
      <c r="D77" s="229"/>
      <c r="E77" s="230"/>
      <c r="F77" s="230"/>
      <c r="G77" s="456">
        <f>IF(OR(H75="SIN VIGENCIA",H75="NO APORTA",H76="SIN VIGENCIA",H76="NO APORTA"),0,IF(G71="",0,IF(G71=$O$13,L73,IF(G73&lt;L73,L73,G73))))</f>
        <v>8706500964</v>
      </c>
      <c r="H77" s="457"/>
      <c r="I77" s="223"/>
      <c r="J77" s="223"/>
      <c r="K77" s="224"/>
      <c r="L77" s="225"/>
      <c r="M77" s="276"/>
      <c r="O77" s="43"/>
      <c r="W77" s="220">
        <v>3</v>
      </c>
    </row>
    <row r="78" spans="1:23" ht="12" outlineLevel="1" thickBot="1" x14ac:dyDescent="0.4">
      <c r="A78" s="204"/>
      <c r="B78" s="40"/>
      <c r="C78" s="40"/>
      <c r="D78" s="40"/>
      <c r="E78" s="40"/>
      <c r="F78" s="40"/>
      <c r="G78" s="40"/>
      <c r="H78" s="40"/>
      <c r="I78" s="40"/>
      <c r="J78" s="40"/>
      <c r="K78" s="40"/>
      <c r="L78" s="40"/>
      <c r="M78" s="205"/>
      <c r="O78" s="43"/>
      <c r="W78" s="220">
        <v>3</v>
      </c>
    </row>
    <row r="79" spans="1:23" outlineLevel="1" x14ac:dyDescent="0.35">
      <c r="A79" s="221"/>
      <c r="B79" s="41"/>
      <c r="C79" s="409" t="s">
        <v>164</v>
      </c>
      <c r="D79" s="395"/>
      <c r="E79" s="395"/>
      <c r="F79" s="395"/>
      <c r="G79" s="395"/>
      <c r="H79" s="396"/>
      <c r="I79" s="232" t="s">
        <v>192</v>
      </c>
      <c r="J79" s="233" t="s">
        <v>193</v>
      </c>
      <c r="K79" s="207" t="s">
        <v>194</v>
      </c>
      <c r="L79" s="39"/>
      <c r="M79" s="234"/>
      <c r="O79" s="43"/>
      <c r="W79" s="220">
        <v>3</v>
      </c>
    </row>
    <row r="80" spans="1:23" outlineLevel="1" x14ac:dyDescent="0.35">
      <c r="A80" s="221"/>
      <c r="B80" s="41"/>
      <c r="C80" s="351" t="s">
        <v>195</v>
      </c>
      <c r="D80" s="375"/>
      <c r="E80" s="352"/>
      <c r="F80" s="352"/>
      <c r="G80" s="410">
        <v>0.7</v>
      </c>
      <c r="H80" s="411"/>
      <c r="I80" s="235">
        <v>0</v>
      </c>
      <c r="J80" s="236">
        <v>3</v>
      </c>
      <c r="K80" s="209">
        <v>60</v>
      </c>
      <c r="L80" s="39"/>
      <c r="M80" s="234"/>
      <c r="O80" s="43"/>
      <c r="W80" s="220">
        <v>3</v>
      </c>
    </row>
    <row r="81" spans="1:23" ht="12" outlineLevel="1" thickBot="1" x14ac:dyDescent="0.4">
      <c r="A81" s="221"/>
      <c r="B81" s="41"/>
      <c r="C81" s="430" t="s">
        <v>158</v>
      </c>
      <c r="D81" s="431"/>
      <c r="E81" s="432"/>
      <c r="F81" s="432"/>
      <c r="G81" s="433">
        <f>$E$13</f>
        <v>522182486</v>
      </c>
      <c r="H81" s="434"/>
      <c r="I81" s="235">
        <v>3</v>
      </c>
      <c r="J81" s="236">
        <v>6</v>
      </c>
      <c r="K81" s="209">
        <v>80</v>
      </c>
      <c r="L81" s="39"/>
      <c r="M81" s="234"/>
      <c r="O81" s="43"/>
      <c r="W81" s="220">
        <v>3</v>
      </c>
    </row>
    <row r="82" spans="1:23" ht="12" outlineLevel="1" thickBot="1" x14ac:dyDescent="0.4">
      <c r="A82" s="221"/>
      <c r="B82" s="41"/>
      <c r="C82" s="435" t="s">
        <v>196</v>
      </c>
      <c r="D82" s="436"/>
      <c r="E82" s="437"/>
      <c r="F82" s="437"/>
      <c r="G82" s="437"/>
      <c r="H82" s="438"/>
      <c r="I82" s="235">
        <v>6</v>
      </c>
      <c r="J82" s="236">
        <v>10</v>
      </c>
      <c r="K82" s="209">
        <v>100</v>
      </c>
      <c r="L82" s="39"/>
      <c r="M82" s="234"/>
      <c r="O82" s="43"/>
      <c r="W82" s="220">
        <v>3</v>
      </c>
    </row>
    <row r="83" spans="1:23" ht="12" outlineLevel="1" thickBot="1" x14ac:dyDescent="0.4">
      <c r="A83" s="221"/>
      <c r="B83" s="41"/>
      <c r="C83" s="439" t="s">
        <v>197</v>
      </c>
      <c r="D83" s="440"/>
      <c r="E83" s="440"/>
      <c r="F83" s="440"/>
      <c r="G83" s="363" t="s">
        <v>198</v>
      </c>
      <c r="H83" s="364"/>
      <c r="I83" s="237">
        <v>10</v>
      </c>
      <c r="J83" s="238" t="s">
        <v>199</v>
      </c>
      <c r="K83" s="239">
        <v>120</v>
      </c>
      <c r="L83" s="39"/>
      <c r="M83" s="234"/>
      <c r="O83" s="43"/>
      <c r="W83" s="220">
        <v>3</v>
      </c>
    </row>
    <row r="84" spans="1:23" ht="12.75" customHeight="1" outlineLevel="1" x14ac:dyDescent="0.35">
      <c r="A84" s="221"/>
      <c r="B84" s="41"/>
      <c r="C84" s="441" t="s">
        <v>200</v>
      </c>
      <c r="D84" s="352"/>
      <c r="E84" s="352"/>
      <c r="F84" s="352"/>
      <c r="G84" s="442">
        <v>428774905369</v>
      </c>
      <c r="H84" s="443"/>
      <c r="I84" s="39"/>
      <c r="J84" s="39"/>
      <c r="K84" s="39"/>
      <c r="L84" s="39"/>
      <c r="M84" s="234"/>
      <c r="O84" s="43"/>
      <c r="W84" s="220">
        <v>3</v>
      </c>
    </row>
    <row r="85" spans="1:23" s="39" customFormat="1" ht="3" customHeight="1" outlineLevel="1" x14ac:dyDescent="0.35">
      <c r="A85" s="221"/>
      <c r="B85" s="41"/>
      <c r="C85" s="351"/>
      <c r="D85" s="352"/>
      <c r="E85" s="352"/>
      <c r="F85" s="352"/>
      <c r="G85" s="458"/>
      <c r="H85" s="459"/>
      <c r="M85" s="234"/>
      <c r="O85" s="43"/>
      <c r="P85" s="41"/>
      <c r="Q85" s="41"/>
      <c r="R85" s="41"/>
      <c r="S85" s="41"/>
      <c r="W85" s="220">
        <v>3</v>
      </c>
    </row>
    <row r="86" spans="1:23" ht="12.75" customHeight="1" outlineLevel="1" thickBot="1" x14ac:dyDescent="0.4">
      <c r="A86" s="221"/>
      <c r="B86" s="41"/>
      <c r="C86" s="355" t="s">
        <v>201</v>
      </c>
      <c r="D86" s="356"/>
      <c r="E86" s="356"/>
      <c r="F86" s="356"/>
      <c r="G86" s="424">
        <f>SUM(G83:H85)</f>
        <v>428774905369</v>
      </c>
      <c r="H86" s="425"/>
      <c r="I86" s="39"/>
      <c r="J86" s="39"/>
      <c r="K86" s="39"/>
      <c r="L86" s="39"/>
      <c r="M86" s="234"/>
      <c r="O86" s="43"/>
      <c r="W86" s="220">
        <v>3</v>
      </c>
    </row>
    <row r="87" spans="1:23" outlineLevel="1" x14ac:dyDescent="0.35">
      <c r="A87" s="221"/>
      <c r="B87" s="41"/>
      <c r="C87" s="426" t="s">
        <v>202</v>
      </c>
      <c r="D87" s="427"/>
      <c r="E87" s="428"/>
      <c r="F87" s="428"/>
      <c r="G87" s="428"/>
      <c r="H87" s="240">
        <f>IF(OR(G80="",G80=0),0,G86/(G81*G80))</f>
        <v>1173.0297271949703</v>
      </c>
      <c r="I87" s="39"/>
      <c r="J87" s="39"/>
      <c r="K87" s="39"/>
      <c r="L87" s="39"/>
      <c r="M87" s="234"/>
      <c r="O87" s="43"/>
      <c r="W87" s="220">
        <v>3</v>
      </c>
    </row>
    <row r="88" spans="1:23" ht="12.75" customHeight="1" outlineLevel="1" thickBot="1" x14ac:dyDescent="0.4">
      <c r="A88" s="221"/>
      <c r="B88" s="41"/>
      <c r="C88" s="355" t="s">
        <v>203</v>
      </c>
      <c r="D88" s="429"/>
      <c r="E88" s="356"/>
      <c r="F88" s="356"/>
      <c r="G88" s="356"/>
      <c r="H88" s="241">
        <f>IF(H87&lt;=3,60,IF(H87&lt;=6,80,IF(H87&lt;=10,100,120)))</f>
        <v>120</v>
      </c>
      <c r="I88" s="39"/>
      <c r="J88" s="242"/>
      <c r="K88" s="39"/>
      <c r="L88" s="39"/>
      <c r="M88" s="234"/>
      <c r="O88" s="43"/>
      <c r="W88" s="220">
        <v>3</v>
      </c>
    </row>
    <row r="89" spans="1:23" ht="5.25" customHeight="1" outlineLevel="1" thickBot="1" x14ac:dyDescent="0.4">
      <c r="A89" s="204"/>
      <c r="B89" s="40"/>
      <c r="C89" s="40"/>
      <c r="D89" s="40"/>
      <c r="E89" s="40"/>
      <c r="F89" s="40"/>
      <c r="G89" s="40"/>
      <c r="H89" s="40"/>
      <c r="I89" s="40"/>
      <c r="J89" s="40"/>
      <c r="K89" s="40"/>
      <c r="L89" s="40"/>
      <c r="M89" s="205"/>
      <c r="O89" s="43"/>
      <c r="W89" s="220">
        <v>3</v>
      </c>
    </row>
    <row r="90" spans="1:23" outlineLevel="1" x14ac:dyDescent="0.35">
      <c r="A90" s="221"/>
      <c r="B90" s="41"/>
      <c r="C90" s="394" t="s">
        <v>204</v>
      </c>
      <c r="D90" s="395"/>
      <c r="E90" s="395"/>
      <c r="F90" s="395"/>
      <c r="G90" s="395"/>
      <c r="H90" s="396"/>
      <c r="I90" s="232" t="s">
        <v>205</v>
      </c>
      <c r="J90" s="233" t="s">
        <v>206</v>
      </c>
      <c r="K90" s="207" t="s">
        <v>194</v>
      </c>
      <c r="L90" s="39"/>
      <c r="M90" s="234"/>
      <c r="O90" s="43"/>
      <c r="W90" s="220">
        <v>3</v>
      </c>
    </row>
    <row r="91" spans="1:23" outlineLevel="1" x14ac:dyDescent="0.35">
      <c r="A91" s="221"/>
      <c r="B91" s="41"/>
      <c r="C91" s="349" t="s">
        <v>207</v>
      </c>
      <c r="D91" s="350"/>
      <c r="E91" s="350"/>
      <c r="F91" s="350"/>
      <c r="G91" s="350" t="s">
        <v>165</v>
      </c>
      <c r="H91" s="243">
        <v>3443126632</v>
      </c>
      <c r="I91" s="244">
        <v>0</v>
      </c>
      <c r="J91" s="245">
        <v>0.5</v>
      </c>
      <c r="K91" s="209">
        <v>20</v>
      </c>
      <c r="L91" s="39"/>
      <c r="M91" s="234"/>
      <c r="O91" s="43"/>
      <c r="W91" s="220">
        <v>3</v>
      </c>
    </row>
    <row r="92" spans="1:23" outlineLevel="1" x14ac:dyDescent="0.35">
      <c r="A92" s="221"/>
      <c r="B92" s="41"/>
      <c r="C92" s="349" t="s">
        <v>208</v>
      </c>
      <c r="D92" s="350"/>
      <c r="E92" s="350"/>
      <c r="F92" s="350"/>
      <c r="G92" s="350"/>
      <c r="H92" s="243">
        <v>176196886</v>
      </c>
      <c r="I92" s="244">
        <v>0.5</v>
      </c>
      <c r="J92" s="245">
        <v>0.75</v>
      </c>
      <c r="K92" s="209">
        <v>25</v>
      </c>
      <c r="L92" s="39"/>
      <c r="M92" s="234"/>
      <c r="O92" s="43"/>
      <c r="W92" s="220">
        <v>3</v>
      </c>
    </row>
    <row r="93" spans="1:23" outlineLevel="1" x14ac:dyDescent="0.35">
      <c r="A93" s="221"/>
      <c r="B93" s="41"/>
      <c r="C93" s="349" t="s">
        <v>209</v>
      </c>
      <c r="D93" s="350"/>
      <c r="E93" s="350"/>
      <c r="F93" s="350"/>
      <c r="G93" s="350"/>
      <c r="H93" s="246">
        <f>IF(H91="",0,H91/H92)</f>
        <v>19.541359158867316</v>
      </c>
      <c r="I93" s="244">
        <v>0.75</v>
      </c>
      <c r="J93" s="245">
        <v>1</v>
      </c>
      <c r="K93" s="209">
        <v>30</v>
      </c>
      <c r="L93" s="39"/>
      <c r="M93" s="234"/>
      <c r="O93" s="43"/>
      <c r="W93" s="220">
        <v>3</v>
      </c>
    </row>
    <row r="94" spans="1:23" ht="12" outlineLevel="1" thickBot="1" x14ac:dyDescent="0.4">
      <c r="A94" s="221"/>
      <c r="B94" s="41"/>
      <c r="C94" s="355" t="s">
        <v>210</v>
      </c>
      <c r="D94" s="356"/>
      <c r="E94" s="356"/>
      <c r="F94" s="356"/>
      <c r="G94" s="356"/>
      <c r="H94" s="241">
        <f>IF(H93="",0,IF(H93&lt;0.5,20,IF(H93&lt;0.75,25,IF(H93&lt;1,30,IF(H93&lt;1.5,35,40)))))</f>
        <v>40</v>
      </c>
      <c r="I94" s="244">
        <v>1</v>
      </c>
      <c r="J94" s="245">
        <v>1.5</v>
      </c>
      <c r="K94" s="209">
        <v>35</v>
      </c>
      <c r="L94" s="39"/>
      <c r="M94" s="234"/>
      <c r="O94" s="43"/>
      <c r="W94" s="220">
        <v>3</v>
      </c>
    </row>
    <row r="95" spans="1:23" ht="12" outlineLevel="1" thickBot="1" x14ac:dyDescent="0.4">
      <c r="A95" s="221"/>
      <c r="B95" s="41"/>
      <c r="C95" s="39"/>
      <c r="D95" s="39"/>
      <c r="E95" s="39"/>
      <c r="F95" s="39"/>
      <c r="G95" s="39"/>
      <c r="H95" s="39"/>
      <c r="I95" s="247">
        <v>1.5</v>
      </c>
      <c r="J95" s="248" t="s">
        <v>199</v>
      </c>
      <c r="K95" s="239">
        <v>40</v>
      </c>
      <c r="L95" s="39"/>
      <c r="M95" s="234"/>
      <c r="O95" s="43"/>
      <c r="W95" s="220">
        <v>3</v>
      </c>
    </row>
    <row r="96" spans="1:23" ht="12" outlineLevel="1" thickBot="1" x14ac:dyDescent="0.4">
      <c r="A96" s="204"/>
      <c r="B96" s="40"/>
      <c r="C96" s="40"/>
      <c r="D96" s="40"/>
      <c r="E96" s="40"/>
      <c r="F96" s="40"/>
      <c r="G96" s="40"/>
      <c r="H96" s="40"/>
      <c r="I96" s="40"/>
      <c r="J96" s="40"/>
      <c r="K96" s="40"/>
      <c r="L96" s="40"/>
      <c r="M96" s="205"/>
      <c r="O96" s="43"/>
      <c r="W96" s="220">
        <v>3</v>
      </c>
    </row>
    <row r="97" spans="1:23" outlineLevel="1" x14ac:dyDescent="0.35">
      <c r="A97" s="221"/>
      <c r="B97" s="41"/>
      <c r="C97" s="394" t="s">
        <v>211</v>
      </c>
      <c r="D97" s="395"/>
      <c r="E97" s="395"/>
      <c r="F97" s="395"/>
      <c r="G97" s="395"/>
      <c r="H97" s="396"/>
      <c r="I97" s="232" t="s">
        <v>212</v>
      </c>
      <c r="J97" s="233" t="s">
        <v>213</v>
      </c>
      <c r="K97" s="207" t="s">
        <v>194</v>
      </c>
      <c r="L97" s="39"/>
      <c r="M97" s="234"/>
      <c r="O97" s="43"/>
      <c r="W97" s="220">
        <v>3</v>
      </c>
    </row>
    <row r="98" spans="1:23" ht="12" customHeight="1" outlineLevel="1" x14ac:dyDescent="0.35">
      <c r="A98" s="221"/>
      <c r="B98" s="41"/>
      <c r="C98" s="349" t="s">
        <v>214</v>
      </c>
      <c r="D98" s="350"/>
      <c r="E98" s="350"/>
      <c r="F98" s="350"/>
      <c r="G98" s="350" t="s">
        <v>165</v>
      </c>
      <c r="H98" s="249">
        <v>1</v>
      </c>
      <c r="I98" s="250">
        <v>1</v>
      </c>
      <c r="J98" s="251">
        <v>5</v>
      </c>
      <c r="K98" s="209">
        <v>20</v>
      </c>
      <c r="L98" s="39"/>
      <c r="M98" s="234"/>
      <c r="O98" s="43"/>
      <c r="W98" s="220">
        <v>3</v>
      </c>
    </row>
    <row r="99" spans="1:23" ht="12" outlineLevel="1" thickBot="1" x14ac:dyDescent="0.4">
      <c r="A99" s="221"/>
      <c r="B99" s="41"/>
      <c r="C99" s="355" t="s">
        <v>215</v>
      </c>
      <c r="D99" s="356"/>
      <c r="E99" s="356"/>
      <c r="F99" s="356"/>
      <c r="G99" s="356"/>
      <c r="H99" s="241">
        <f>IF(H98&lt;1,0,IF(H98&lt;=5,20,IF(H98&lt;=10,30,40)))</f>
        <v>20</v>
      </c>
      <c r="I99" s="250">
        <v>6</v>
      </c>
      <c r="J99" s="251">
        <v>10</v>
      </c>
      <c r="K99" s="209">
        <v>30</v>
      </c>
      <c r="L99" s="39"/>
      <c r="M99" s="234"/>
      <c r="O99" s="43"/>
      <c r="W99" s="220">
        <v>3</v>
      </c>
    </row>
    <row r="100" spans="1:23" ht="12" outlineLevel="1" thickBot="1" x14ac:dyDescent="0.4">
      <c r="A100" s="221"/>
      <c r="B100" s="41"/>
      <c r="C100" s="39"/>
      <c r="D100" s="39"/>
      <c r="E100" s="39"/>
      <c r="F100" s="39"/>
      <c r="G100" s="39"/>
      <c r="H100" s="39"/>
      <c r="I100" s="252">
        <v>11</v>
      </c>
      <c r="J100" s="248" t="s">
        <v>199</v>
      </c>
      <c r="K100" s="239">
        <v>40</v>
      </c>
      <c r="L100" s="39"/>
      <c r="M100" s="234"/>
      <c r="O100" s="43"/>
      <c r="W100" s="220">
        <v>3</v>
      </c>
    </row>
    <row r="101" spans="1:23" ht="5.25" customHeight="1" outlineLevel="1" thickBot="1" x14ac:dyDescent="0.4">
      <c r="A101" s="204"/>
      <c r="B101" s="40"/>
      <c r="C101" s="40"/>
      <c r="D101" s="40"/>
      <c r="E101" s="40"/>
      <c r="F101" s="40"/>
      <c r="G101" s="40"/>
      <c r="H101" s="40"/>
      <c r="I101" s="40"/>
      <c r="J101" s="40"/>
      <c r="K101" s="40"/>
      <c r="L101" s="40"/>
      <c r="M101" s="205"/>
      <c r="O101" s="43"/>
      <c r="W101" s="220">
        <v>3</v>
      </c>
    </row>
    <row r="102" spans="1:23" ht="12" outlineLevel="1" thickBot="1" x14ac:dyDescent="0.4">
      <c r="A102" s="221"/>
      <c r="B102" s="41"/>
      <c r="C102" s="444" t="s">
        <v>216</v>
      </c>
      <c r="D102" s="445"/>
      <c r="E102" s="445"/>
      <c r="F102" s="445"/>
      <c r="G102" s="445"/>
      <c r="H102" s="445"/>
      <c r="I102" s="445"/>
      <c r="J102" s="445"/>
      <c r="K102" s="445"/>
      <c r="L102" s="445"/>
      <c r="M102" s="446"/>
      <c r="O102" s="43"/>
      <c r="W102" s="220">
        <v>3</v>
      </c>
    </row>
    <row r="103" spans="1:23" ht="12" outlineLevel="1" thickBot="1" x14ac:dyDescent="0.4">
      <c r="A103" s="253"/>
      <c r="B103" s="254"/>
      <c r="C103" s="447" t="s">
        <v>217</v>
      </c>
      <c r="D103" s="448"/>
      <c r="E103" s="448"/>
      <c r="F103" s="448"/>
      <c r="G103" s="448"/>
      <c r="H103" s="448"/>
      <c r="I103" s="448"/>
      <c r="J103" s="448"/>
      <c r="K103" s="448"/>
      <c r="L103" s="448"/>
      <c r="M103" s="449"/>
      <c r="O103" s="43"/>
      <c r="W103" s="220">
        <v>3</v>
      </c>
    </row>
    <row r="104" spans="1:23" ht="23" outlineLevel="1" x14ac:dyDescent="0.35">
      <c r="A104" s="255"/>
      <c r="B104" s="254"/>
      <c r="C104" s="256" t="s">
        <v>218</v>
      </c>
      <c r="D104" s="257" t="s">
        <v>219</v>
      </c>
      <c r="E104" s="258" t="s">
        <v>198</v>
      </c>
      <c r="F104" s="258" t="s">
        <v>220</v>
      </c>
      <c r="G104" s="258" t="s">
        <v>221</v>
      </c>
      <c r="H104" s="258" t="s">
        <v>222</v>
      </c>
      <c r="I104" s="258" t="s">
        <v>223</v>
      </c>
      <c r="J104" s="258" t="s">
        <v>224</v>
      </c>
      <c r="K104" s="258" t="s">
        <v>225</v>
      </c>
      <c r="L104" s="259" t="s">
        <v>226</v>
      </c>
      <c r="M104" s="260" t="s">
        <v>227</v>
      </c>
      <c r="O104" s="43"/>
      <c r="W104" s="220">
        <v>3</v>
      </c>
    </row>
    <row r="105" spans="1:23" outlineLevel="1" x14ac:dyDescent="0.35">
      <c r="A105" s="255"/>
      <c r="B105" s="254"/>
      <c r="C105" s="261">
        <v>1</v>
      </c>
      <c r="D105" s="262">
        <v>0.1</v>
      </c>
      <c r="E105" s="263">
        <v>2158604863</v>
      </c>
      <c r="F105" s="264">
        <v>10</v>
      </c>
      <c r="G105" s="265">
        <v>43801</v>
      </c>
      <c r="H105" s="265">
        <v>45288</v>
      </c>
      <c r="I105" s="265"/>
      <c r="J105" s="265"/>
      <c r="K105" s="265"/>
      <c r="L105" s="236">
        <f>IF(C105="","",IF(IF(H105&lt;&gt;"",IF(I105&lt;&gt;"",IF(J105&lt;&gt;"",IF(K105&lt;&gt;"",G105+F105*30+(I105-H105)+(K105-J105)-$E$14,G105+F105*30+(I105-H105)-J105),G105+F105*30+(I105-H105)-$E$14),G105+F105*30-H105),G105+F105*30-$E$14)&lt;0,0,IF(H105&lt;&gt;"",IF(I105&lt;&gt;"",IF(J105&lt;&gt;"",IF(K105&lt;&gt;"",G105+F105*30+(I105-H105)+(K105-J105)-$E$14,G105+F105*30+(I105-H105)-J105),G105+F105*30+(I105-H105)-$E$14),G105+F105*30-H105),G105+F105*30-$E$14)))</f>
        <v>0</v>
      </c>
      <c r="M105" s="266">
        <v>535717664</v>
      </c>
      <c r="O105" s="43"/>
      <c r="W105" s="220">
        <v>3</v>
      </c>
    </row>
    <row r="106" spans="1:23" outlineLevel="1" x14ac:dyDescent="0.35">
      <c r="A106" s="255"/>
      <c r="B106" s="254"/>
      <c r="C106" s="261">
        <v>2</v>
      </c>
      <c r="D106" s="262">
        <v>0.4</v>
      </c>
      <c r="E106" s="263">
        <v>2043353221.4400001</v>
      </c>
      <c r="F106" s="264">
        <v>40</v>
      </c>
      <c r="G106" s="265">
        <v>44046</v>
      </c>
      <c r="H106" s="265">
        <v>45323</v>
      </c>
      <c r="I106" s="265"/>
      <c r="J106" s="265"/>
      <c r="K106" s="265"/>
      <c r="L106" s="236">
        <f>IF(C106="","",IF(IF(H106&lt;&gt;"",IF(I106&lt;&gt;"",IF(J106&lt;&gt;"",IF(K106&lt;&gt;"",G106+F106*30+(I106-H106)+(K106-J106)-$E$14,G106+F106*30+(I106-H106)-J106),G106+F106*30+(I106-H106)-$E$14),G106+F106*30-H106),G106+F106*30-$E$14)&lt;0,0,IF(H106&lt;&gt;"",IF(I106&lt;&gt;"",IF(J106&lt;&gt;"",IF(K106&lt;&gt;"",G106+F106*30+(I106-H106)+(K106-J106)-$E$14,G106+F106*30+(I106-H106)-J106),G106+F106*30+(I106-H106)-$E$14),G106+F106*30-H106),G106+F106*30-$E$14)))</f>
        <v>0</v>
      </c>
      <c r="M106" s="266">
        <v>712773867</v>
      </c>
      <c r="O106" s="43"/>
      <c r="W106" s="220">
        <v>3</v>
      </c>
    </row>
    <row r="107" spans="1:23" outlineLevel="1" x14ac:dyDescent="0.35">
      <c r="A107" s="255"/>
      <c r="B107" s="254"/>
      <c r="C107" s="261">
        <v>3</v>
      </c>
      <c r="D107" s="262">
        <v>0.3</v>
      </c>
      <c r="E107" s="263">
        <v>11661100859.75</v>
      </c>
      <c r="F107" s="264">
        <v>30</v>
      </c>
      <c r="G107" s="265">
        <v>44676</v>
      </c>
      <c r="H107" s="265">
        <v>45323</v>
      </c>
      <c r="I107" s="265"/>
      <c r="J107" s="265"/>
      <c r="K107" s="265"/>
      <c r="L107" s="236">
        <f t="shared" ref="L107:L113" si="0">IF(C107="","",IF(IF(H107&lt;&gt;"",IF(I107&lt;&gt;"",IF(J107&lt;&gt;"",IF(K107&lt;&gt;"",G107+F107*30+(I107-H107)+(K107-J107)-$E$14,G107+F107*30+(I107-H107)-J107),G107+F107*30+(I107-H107)-$E$14),G107+F107*30-H107),G107+F107*30-$E$14)&lt;0,0,IF(H107&lt;&gt;"",IF(I107&lt;&gt;"",IF(J107&lt;&gt;"",IF(K107&lt;&gt;"",G107+F107*30+(I107-H107)+(K107-J107)-$E$14,G107+F107*30+(I107-H107)-J107),G107+F107*30+(I107-H107)-$E$14),G107+F107*30-H107),G107+F107*30-$E$14)))</f>
        <v>253</v>
      </c>
      <c r="M107" s="266">
        <v>712773867</v>
      </c>
      <c r="O107" s="43"/>
      <c r="W107" s="220">
        <v>3</v>
      </c>
    </row>
    <row r="108" spans="1:23" outlineLevel="1" x14ac:dyDescent="0.35">
      <c r="A108" s="255"/>
      <c r="B108" s="254"/>
      <c r="C108" s="261">
        <v>4</v>
      </c>
      <c r="D108" s="262">
        <v>0.01</v>
      </c>
      <c r="E108" s="263">
        <v>1106816550</v>
      </c>
      <c r="F108" s="264">
        <v>1</v>
      </c>
      <c r="G108" s="265">
        <v>44790</v>
      </c>
      <c r="H108" s="265">
        <v>45323</v>
      </c>
      <c r="I108" s="265"/>
      <c r="J108" s="265"/>
      <c r="K108" s="265"/>
      <c r="L108" s="236">
        <f t="shared" si="0"/>
        <v>0</v>
      </c>
      <c r="M108" s="266">
        <v>712773867</v>
      </c>
      <c r="O108" s="43"/>
      <c r="W108" s="220">
        <v>3</v>
      </c>
    </row>
    <row r="109" spans="1:23" outlineLevel="1" x14ac:dyDescent="0.35">
      <c r="A109" s="255"/>
      <c r="B109" s="254"/>
      <c r="C109" s="261">
        <v>5</v>
      </c>
      <c r="D109" s="262">
        <v>0.2</v>
      </c>
      <c r="E109" s="263">
        <v>85223714732</v>
      </c>
      <c r="F109" s="264">
        <v>20</v>
      </c>
      <c r="G109" s="265">
        <v>45443</v>
      </c>
      <c r="H109" s="265">
        <v>45323</v>
      </c>
      <c r="I109" s="265"/>
      <c r="J109" s="265"/>
      <c r="K109" s="265"/>
      <c r="L109" s="236">
        <f t="shared" si="0"/>
        <v>720</v>
      </c>
      <c r="M109" s="266">
        <v>712773867</v>
      </c>
      <c r="O109" s="43"/>
      <c r="W109" s="220">
        <v>3</v>
      </c>
    </row>
    <row r="110" spans="1:23" outlineLevel="1" x14ac:dyDescent="0.35">
      <c r="A110" s="255"/>
      <c r="B110" s="254"/>
      <c r="C110" s="261">
        <v>6</v>
      </c>
      <c r="D110" s="262">
        <v>0.4</v>
      </c>
      <c r="E110" s="263">
        <v>12483186062.049999</v>
      </c>
      <c r="F110" s="264">
        <v>40</v>
      </c>
      <c r="G110" s="265">
        <v>45323</v>
      </c>
      <c r="H110" s="265">
        <v>45323</v>
      </c>
      <c r="I110" s="265"/>
      <c r="J110" s="265"/>
      <c r="K110" s="265"/>
      <c r="L110" s="236">
        <f t="shared" si="0"/>
        <v>1200</v>
      </c>
      <c r="M110" s="266">
        <v>712773867</v>
      </c>
      <c r="O110" s="43"/>
      <c r="W110" s="220"/>
    </row>
    <row r="111" spans="1:23" outlineLevel="1" x14ac:dyDescent="0.35">
      <c r="A111" s="255"/>
      <c r="B111" s="254"/>
      <c r="C111" s="261">
        <v>7</v>
      </c>
      <c r="D111" s="262">
        <v>0.9</v>
      </c>
      <c r="E111" s="263">
        <v>1632641052</v>
      </c>
      <c r="F111" s="264">
        <v>90</v>
      </c>
      <c r="G111" s="265">
        <v>45364</v>
      </c>
      <c r="H111" s="265">
        <v>45323</v>
      </c>
      <c r="I111" s="265"/>
      <c r="J111" s="265"/>
      <c r="K111" s="265"/>
      <c r="L111" s="236">
        <f t="shared" si="0"/>
        <v>2741</v>
      </c>
      <c r="M111" s="266">
        <v>712773867</v>
      </c>
      <c r="O111" s="43"/>
      <c r="W111" s="220"/>
    </row>
    <row r="112" spans="1:23" outlineLevel="1" x14ac:dyDescent="0.35">
      <c r="A112" s="255"/>
      <c r="B112" s="254"/>
      <c r="C112" s="261">
        <v>8</v>
      </c>
      <c r="D112" s="262">
        <v>0.9</v>
      </c>
      <c r="E112" s="263">
        <v>355739136</v>
      </c>
      <c r="F112" s="264">
        <v>90</v>
      </c>
      <c r="G112" s="265">
        <v>45355</v>
      </c>
      <c r="H112" s="265">
        <v>45323</v>
      </c>
      <c r="I112" s="265"/>
      <c r="J112" s="265"/>
      <c r="K112" s="265"/>
      <c r="L112" s="236">
        <f t="shared" si="0"/>
        <v>2732</v>
      </c>
      <c r="M112" s="266">
        <v>712773867</v>
      </c>
      <c r="O112" s="43"/>
      <c r="W112" s="220"/>
    </row>
    <row r="113" spans="1:23" outlineLevel="1" x14ac:dyDescent="0.35">
      <c r="A113" s="255"/>
      <c r="B113" s="254"/>
      <c r="C113" s="261">
        <v>9</v>
      </c>
      <c r="D113" s="262">
        <v>0.25</v>
      </c>
      <c r="E113" s="263">
        <v>1093549501</v>
      </c>
      <c r="F113" s="264">
        <v>25</v>
      </c>
      <c r="G113" s="265">
        <v>45401</v>
      </c>
      <c r="H113" s="265">
        <v>45323</v>
      </c>
      <c r="I113" s="265"/>
      <c r="J113" s="265"/>
      <c r="K113" s="265"/>
      <c r="L113" s="236">
        <f t="shared" si="0"/>
        <v>828</v>
      </c>
      <c r="M113" s="266">
        <v>712773867</v>
      </c>
      <c r="O113" s="43"/>
      <c r="W113" s="220"/>
    </row>
    <row r="114" spans="1:23" ht="12.75" customHeight="1" outlineLevel="1" thickBot="1" x14ac:dyDescent="0.4">
      <c r="A114" s="255"/>
      <c r="C114" s="450" t="s">
        <v>228</v>
      </c>
      <c r="D114" s="451"/>
      <c r="E114" s="451"/>
      <c r="F114" s="451"/>
      <c r="G114" s="451"/>
      <c r="H114" s="451"/>
      <c r="I114" s="451"/>
      <c r="J114" s="451"/>
      <c r="K114" s="451"/>
      <c r="L114" s="429"/>
      <c r="M114" s="269">
        <f>SUM(M105:M113)</f>
        <v>6237908600</v>
      </c>
      <c r="O114" s="43"/>
      <c r="W114" s="220">
        <v>3</v>
      </c>
    </row>
    <row r="115" spans="1:23" ht="5.25" customHeight="1" outlineLevel="1" thickBot="1" x14ac:dyDescent="0.4">
      <c r="A115" s="204"/>
      <c r="B115" s="40"/>
      <c r="C115" s="40"/>
      <c r="D115" s="40"/>
      <c r="E115" s="40"/>
      <c r="F115" s="40"/>
      <c r="G115" s="40"/>
      <c r="H115" s="40"/>
      <c r="I115" s="40"/>
      <c r="J115" s="40"/>
      <c r="K115" s="40"/>
      <c r="L115" s="40"/>
      <c r="M115" s="205"/>
      <c r="O115" s="43"/>
      <c r="W115" s="220">
        <v>3</v>
      </c>
    </row>
    <row r="116" spans="1:23" ht="12" outlineLevel="1" thickBot="1" x14ac:dyDescent="0.4">
      <c r="A116" s="221"/>
      <c r="B116" s="274" t="s">
        <v>234</v>
      </c>
      <c r="C116" s="275"/>
      <c r="D116" s="275"/>
      <c r="E116" s="275"/>
      <c r="F116" s="275"/>
      <c r="G116" s="275"/>
      <c r="H116" s="275"/>
      <c r="I116" s="275"/>
      <c r="J116" s="216" t="s">
        <v>231</v>
      </c>
      <c r="K116" s="392">
        <f>G125*(H136+H142+H147)/100-M163</f>
        <v>4060553994</v>
      </c>
      <c r="L116" s="392"/>
      <c r="M116" s="217" t="str">
        <f>IF(K116&gt;$E$17,"CUMPLE","NO CUMPLE")</f>
        <v>CUMPLE</v>
      </c>
      <c r="O116" s="43"/>
      <c r="W116" s="220">
        <v>3</v>
      </c>
    </row>
    <row r="117" spans="1:23" ht="5.25" customHeight="1" outlineLevel="1" thickBot="1" x14ac:dyDescent="0.4">
      <c r="A117" s="204"/>
      <c r="B117" s="40"/>
      <c r="C117" s="40"/>
      <c r="D117" s="40"/>
      <c r="E117" s="40"/>
      <c r="F117" s="40"/>
      <c r="G117" s="40"/>
      <c r="H117" s="40"/>
      <c r="I117" s="40"/>
      <c r="J117" s="40"/>
      <c r="K117" s="40"/>
      <c r="L117" s="40"/>
      <c r="M117" s="205"/>
      <c r="O117" s="43"/>
      <c r="W117" s="220">
        <v>3</v>
      </c>
    </row>
    <row r="118" spans="1:23" outlineLevel="1" x14ac:dyDescent="0.35">
      <c r="A118" s="393"/>
      <c r="B118" s="360"/>
      <c r="C118" s="394" t="s">
        <v>173</v>
      </c>
      <c r="D118" s="395"/>
      <c r="E118" s="395"/>
      <c r="F118" s="395"/>
      <c r="G118" s="395"/>
      <c r="H118" s="396"/>
      <c r="I118" s="453" t="s">
        <v>174</v>
      </c>
      <c r="J118" s="398"/>
      <c r="K118" s="398" t="s">
        <v>175</v>
      </c>
      <c r="L118" s="398"/>
      <c r="M118" s="399"/>
      <c r="O118" s="43"/>
      <c r="W118" s="220">
        <v>3</v>
      </c>
    </row>
    <row r="119" spans="1:23" outlineLevel="1" x14ac:dyDescent="0.35">
      <c r="A119" s="221"/>
      <c r="B119" s="41"/>
      <c r="C119" s="351" t="s">
        <v>176</v>
      </c>
      <c r="D119" s="375"/>
      <c r="E119" s="352"/>
      <c r="F119" s="352"/>
      <c r="G119" s="376" t="s">
        <v>165</v>
      </c>
      <c r="H119" s="377"/>
      <c r="I119" s="454" t="s">
        <v>177</v>
      </c>
      <c r="J119" s="379"/>
      <c r="K119" s="379" t="s">
        <v>178</v>
      </c>
      <c r="L119" s="379"/>
      <c r="M119" s="380"/>
      <c r="O119" s="43"/>
      <c r="W119" s="220">
        <v>3</v>
      </c>
    </row>
    <row r="120" spans="1:23" ht="12" customHeight="1" outlineLevel="1" x14ac:dyDescent="0.35">
      <c r="A120" s="221"/>
      <c r="B120" s="41"/>
      <c r="C120" s="381" t="s">
        <v>179</v>
      </c>
      <c r="D120" s="382"/>
      <c r="E120" s="382"/>
      <c r="F120" s="375"/>
      <c r="G120" s="383">
        <v>2023</v>
      </c>
      <c r="H120" s="384"/>
      <c r="I120" s="454" t="s">
        <v>180</v>
      </c>
      <c r="J120" s="379"/>
      <c r="K120" s="379" t="s">
        <v>181</v>
      </c>
      <c r="L120" s="379"/>
      <c r="M120" s="380"/>
      <c r="O120" s="43"/>
      <c r="W120" s="220">
        <v>3</v>
      </c>
    </row>
    <row r="121" spans="1:23" ht="12.75" customHeight="1" outlineLevel="1" thickBot="1" x14ac:dyDescent="0.4">
      <c r="A121" s="221"/>
      <c r="B121" s="41"/>
      <c r="C121" s="349" t="str">
        <f>IF(G119="","",IF(G119=$O$13,"Valor umbral Mipyme.","Total Ingresos Operacionales Acreditados"))</f>
        <v>Total Ingresos Operacionales Acreditados</v>
      </c>
      <c r="D121" s="412"/>
      <c r="E121" s="350"/>
      <c r="F121" s="350"/>
      <c r="G121" s="413">
        <v>2255863330</v>
      </c>
      <c r="H121" s="414"/>
      <c r="I121" s="455" t="s">
        <v>182</v>
      </c>
      <c r="J121" s="416"/>
      <c r="K121" s="222" t="s">
        <v>183</v>
      </c>
      <c r="L121" s="417">
        <f>4048*125000</f>
        <v>506000000</v>
      </c>
      <c r="M121" s="418"/>
      <c r="O121" s="43"/>
      <c r="W121" s="220">
        <v>3</v>
      </c>
    </row>
    <row r="122" spans="1:23" outlineLevel="1" x14ac:dyDescent="0.35">
      <c r="A122" s="221"/>
      <c r="B122" s="41"/>
      <c r="C122" s="419" t="s">
        <v>184</v>
      </c>
      <c r="D122" s="420"/>
      <c r="E122" s="420"/>
      <c r="F122" s="420"/>
      <c r="G122" s="420"/>
      <c r="H122" s="421"/>
      <c r="I122" s="223"/>
      <c r="J122" s="223"/>
      <c r="K122" s="224"/>
      <c r="L122" s="225"/>
      <c r="M122" s="276"/>
      <c r="O122" s="43"/>
      <c r="W122" s="220">
        <v>3</v>
      </c>
    </row>
    <row r="123" spans="1:23" outlineLevel="1" x14ac:dyDescent="0.35">
      <c r="A123" s="221"/>
      <c r="B123" s="41"/>
      <c r="C123" s="226" t="s">
        <v>185</v>
      </c>
      <c r="D123" s="400" t="s">
        <v>235</v>
      </c>
      <c r="E123" s="401"/>
      <c r="F123" s="402" t="s">
        <v>187</v>
      </c>
      <c r="G123" s="403"/>
      <c r="H123" s="227" t="s">
        <v>188</v>
      </c>
      <c r="I123" s="404" t="str">
        <f>IF(OR(H123="Vigente",H123=""),"",IF(H123="no aporta","No aporta el certificado de antecedentes disciplinarios del "&amp;PROPER(C123)&amp;" ("&amp;PROPER(D123)&amp;") quien suscribe los estados de resultados de "&amp;B116&amp;". Debe subsanar ese documento.","El certificado de antecedentes disciplinarios del "&amp;PROPER(C123)&amp;" ("&amp;PROPER(D123)&amp;") quien suscribe los estados de resultados de "&amp;B116&amp;", no se encuentran vigentes a la fecha de cierre del proceso. Debe subsanar ese documento."))</f>
        <v/>
      </c>
      <c r="J123" s="405"/>
      <c r="K123" s="405"/>
      <c r="L123" s="405"/>
      <c r="M123" s="406"/>
      <c r="O123" s="43"/>
      <c r="W123" s="220">
        <v>3</v>
      </c>
    </row>
    <row r="124" spans="1:23" outlineLevel="1" x14ac:dyDescent="0.35">
      <c r="A124" s="221"/>
      <c r="B124" s="41"/>
      <c r="C124" s="226" t="s">
        <v>189</v>
      </c>
      <c r="D124" s="400" t="s">
        <v>236</v>
      </c>
      <c r="E124" s="401"/>
      <c r="F124" s="402" t="s">
        <v>187</v>
      </c>
      <c r="G124" s="403"/>
      <c r="H124" s="227" t="s">
        <v>188</v>
      </c>
      <c r="I124" s="404" t="str">
        <f>IF(OR(H124="Vigente",H124=""),"",IF(H124="no aporta","No aporta el certificado de antecedentes disciplinarios del "&amp;PROPER(C124)&amp;" ("&amp;PROPER(D124)&amp;") quien suscribe los estados de resultados de "&amp;B116&amp;" Debe subsanar ese documento.","El certificado de antecedentes disciplinarios del "&amp;PROPER(C124)&amp;" ("&amp;PROPER(D124)&amp;") quien suscribe los estados de resultados de "&amp;B116&amp;", no se encuentran vigentes a la fecha de cierre del proceso. Debe subsanar ese documento."))</f>
        <v/>
      </c>
      <c r="J124" s="405"/>
      <c r="K124" s="405"/>
      <c r="L124" s="405"/>
      <c r="M124" s="406"/>
      <c r="O124" s="43"/>
      <c r="W124" s="220">
        <v>3</v>
      </c>
    </row>
    <row r="125" spans="1:23" ht="12" outlineLevel="1" thickBot="1" x14ac:dyDescent="0.4">
      <c r="A125" s="221"/>
      <c r="B125" s="41"/>
      <c r="C125" s="228" t="s">
        <v>191</v>
      </c>
      <c r="D125" s="229"/>
      <c r="E125" s="230"/>
      <c r="F125" s="230"/>
      <c r="G125" s="456">
        <f>IF(OR(H123="SIN VIGENCIA",H123="NO APORTA",H124="SIN VIGENCIA",H124="NO APORTA"),0,IF(G119="",0,IF(G119=$O$13,L121,IF(G121&lt;L121,L121,G121))))</f>
        <v>2255863330</v>
      </c>
      <c r="H125" s="457"/>
      <c r="I125" s="223"/>
      <c r="J125" s="223"/>
      <c r="K125" s="224"/>
      <c r="L125" s="225"/>
      <c r="M125" s="276"/>
      <c r="O125" s="43"/>
      <c r="W125" s="220">
        <v>3</v>
      </c>
    </row>
    <row r="126" spans="1:23" ht="5.25" customHeight="1" outlineLevel="1" thickBot="1" x14ac:dyDescent="0.4">
      <c r="A126" s="204"/>
      <c r="B126" s="40"/>
      <c r="C126" s="40"/>
      <c r="D126" s="40"/>
      <c r="E126" s="40"/>
      <c r="F126" s="40"/>
      <c r="G126" s="40"/>
      <c r="H126" s="40"/>
      <c r="I126" s="40"/>
      <c r="J126" s="40"/>
      <c r="K126" s="40"/>
      <c r="L126" s="40"/>
      <c r="M126" s="205"/>
      <c r="O126" s="43"/>
      <c r="W126" s="220">
        <v>3</v>
      </c>
    </row>
    <row r="127" spans="1:23" outlineLevel="1" x14ac:dyDescent="0.35">
      <c r="A127" s="221"/>
      <c r="B127" s="41"/>
      <c r="C127" s="409" t="s">
        <v>164</v>
      </c>
      <c r="D127" s="395"/>
      <c r="E127" s="395"/>
      <c r="F127" s="395"/>
      <c r="G127" s="395"/>
      <c r="H127" s="396"/>
      <c r="I127" s="232" t="s">
        <v>192</v>
      </c>
      <c r="J127" s="233" t="s">
        <v>193</v>
      </c>
      <c r="K127" s="207" t="s">
        <v>194</v>
      </c>
      <c r="L127" s="39"/>
      <c r="M127" s="234"/>
      <c r="O127" s="43"/>
      <c r="W127" s="220">
        <v>3</v>
      </c>
    </row>
    <row r="128" spans="1:23" outlineLevel="1" x14ac:dyDescent="0.35">
      <c r="A128" s="221"/>
      <c r="B128" s="41"/>
      <c r="C128" s="351" t="s">
        <v>195</v>
      </c>
      <c r="D128" s="375"/>
      <c r="E128" s="352"/>
      <c r="F128" s="352"/>
      <c r="G128" s="410">
        <v>0.3</v>
      </c>
      <c r="H128" s="411"/>
      <c r="I128" s="235">
        <v>0</v>
      </c>
      <c r="J128" s="236">
        <v>3</v>
      </c>
      <c r="K128" s="209">
        <v>60</v>
      </c>
      <c r="L128" s="39"/>
      <c r="M128" s="234"/>
      <c r="O128" s="43"/>
      <c r="W128" s="220">
        <v>3</v>
      </c>
    </row>
    <row r="129" spans="1:23" ht="12" outlineLevel="1" thickBot="1" x14ac:dyDescent="0.4">
      <c r="A129" s="221"/>
      <c r="B129" s="41"/>
      <c r="C129" s="430" t="s">
        <v>158</v>
      </c>
      <c r="D129" s="431"/>
      <c r="E129" s="432"/>
      <c r="F129" s="432"/>
      <c r="G129" s="433">
        <f>$E$13</f>
        <v>522182486</v>
      </c>
      <c r="H129" s="434"/>
      <c r="I129" s="235">
        <v>3</v>
      </c>
      <c r="J129" s="236">
        <v>6</v>
      </c>
      <c r="K129" s="209">
        <v>80</v>
      </c>
      <c r="L129" s="39"/>
      <c r="M129" s="234"/>
      <c r="O129" s="43"/>
      <c r="W129" s="220">
        <v>3</v>
      </c>
    </row>
    <row r="130" spans="1:23" ht="12" outlineLevel="1" thickBot="1" x14ac:dyDescent="0.4">
      <c r="A130" s="221"/>
      <c r="B130" s="41"/>
      <c r="C130" s="435" t="s">
        <v>196</v>
      </c>
      <c r="D130" s="436"/>
      <c r="E130" s="437"/>
      <c r="F130" s="437"/>
      <c r="G130" s="437"/>
      <c r="H130" s="438"/>
      <c r="I130" s="235">
        <v>6</v>
      </c>
      <c r="J130" s="236">
        <v>10</v>
      </c>
      <c r="K130" s="209">
        <v>100</v>
      </c>
      <c r="L130" s="39"/>
      <c r="M130" s="234"/>
      <c r="O130" s="43"/>
      <c r="W130" s="220">
        <v>3</v>
      </c>
    </row>
    <row r="131" spans="1:23" ht="12" outlineLevel="1" thickBot="1" x14ac:dyDescent="0.4">
      <c r="A131" s="221"/>
      <c r="B131" s="41"/>
      <c r="C131" s="439" t="s">
        <v>197</v>
      </c>
      <c r="D131" s="440"/>
      <c r="E131" s="440"/>
      <c r="F131" s="440"/>
      <c r="G131" s="363" t="s">
        <v>198</v>
      </c>
      <c r="H131" s="364"/>
      <c r="I131" s="237">
        <v>10</v>
      </c>
      <c r="J131" s="238" t="s">
        <v>199</v>
      </c>
      <c r="K131" s="239">
        <v>120</v>
      </c>
      <c r="L131" s="39"/>
      <c r="M131" s="234"/>
      <c r="O131" s="43"/>
      <c r="W131" s="220">
        <v>3</v>
      </c>
    </row>
    <row r="132" spans="1:23" outlineLevel="1" x14ac:dyDescent="0.35">
      <c r="A132" s="221"/>
      <c r="B132" s="41"/>
      <c r="C132" s="441" t="s">
        <v>200</v>
      </c>
      <c r="D132" s="352"/>
      <c r="E132" s="352"/>
      <c r="F132" s="352"/>
      <c r="G132" s="442">
        <v>4883489000</v>
      </c>
      <c r="H132" s="443"/>
      <c r="I132" s="39"/>
      <c r="J132" s="39"/>
      <c r="K132" s="39"/>
      <c r="L132" s="39"/>
      <c r="M132" s="234"/>
      <c r="O132" s="43"/>
      <c r="W132" s="220">
        <v>3</v>
      </c>
    </row>
    <row r="133" spans="1:23" s="39" customFormat="1" ht="3" customHeight="1" outlineLevel="1" x14ac:dyDescent="0.35">
      <c r="A133" s="221"/>
      <c r="B133" s="41"/>
      <c r="C133" s="351"/>
      <c r="D133" s="352"/>
      <c r="E133" s="352"/>
      <c r="F133" s="352"/>
      <c r="G133" s="458"/>
      <c r="H133" s="459"/>
      <c r="M133" s="234"/>
      <c r="O133" s="43"/>
      <c r="P133" s="41"/>
      <c r="Q133" s="41"/>
      <c r="R133" s="41"/>
      <c r="S133" s="41"/>
      <c r="W133" s="220">
        <v>3</v>
      </c>
    </row>
    <row r="134" spans="1:23" ht="12.75" customHeight="1" outlineLevel="1" thickBot="1" x14ac:dyDescent="0.4">
      <c r="A134" s="221"/>
      <c r="B134" s="41"/>
      <c r="C134" s="355" t="s">
        <v>201</v>
      </c>
      <c r="D134" s="356"/>
      <c r="E134" s="356"/>
      <c r="F134" s="356"/>
      <c r="G134" s="424">
        <f>SUM(G131:H133)</f>
        <v>4883489000</v>
      </c>
      <c r="H134" s="425"/>
      <c r="I134" s="39"/>
      <c r="J134" s="39"/>
      <c r="K134" s="39"/>
      <c r="L134" s="39"/>
      <c r="M134" s="234"/>
      <c r="O134" s="43"/>
      <c r="W134" s="220">
        <v>3</v>
      </c>
    </row>
    <row r="135" spans="1:23" outlineLevel="1" x14ac:dyDescent="0.35">
      <c r="A135" s="221"/>
      <c r="B135" s="41"/>
      <c r="C135" s="426" t="s">
        <v>202</v>
      </c>
      <c r="D135" s="427"/>
      <c r="E135" s="428"/>
      <c r="F135" s="428"/>
      <c r="G135" s="428"/>
      <c r="H135" s="240">
        <f>IF(OR(G128="",G128=0),0,G134/(G129*G128))</f>
        <v>31.173578400457245</v>
      </c>
      <c r="I135" s="39"/>
      <c r="J135" s="39"/>
      <c r="K135" s="39"/>
      <c r="L135" s="39"/>
      <c r="M135" s="234"/>
      <c r="O135" s="43"/>
      <c r="W135" s="220">
        <v>3</v>
      </c>
    </row>
    <row r="136" spans="1:23" ht="12.75" customHeight="1" outlineLevel="1" thickBot="1" x14ac:dyDescent="0.4">
      <c r="A136" s="221"/>
      <c r="B136" s="41"/>
      <c r="C136" s="355" t="s">
        <v>203</v>
      </c>
      <c r="D136" s="429"/>
      <c r="E136" s="356"/>
      <c r="F136" s="356"/>
      <c r="G136" s="356"/>
      <c r="H136" s="241">
        <f>IF(H135&lt;=3,60,IF(H135&lt;=6,80,IF(H135&lt;=10,100,120)))</f>
        <v>120</v>
      </c>
      <c r="I136" s="39"/>
      <c r="J136" s="242"/>
      <c r="K136" s="39"/>
      <c r="L136" s="39"/>
      <c r="M136" s="234"/>
      <c r="O136" s="43"/>
      <c r="W136" s="220">
        <v>3</v>
      </c>
    </row>
    <row r="137" spans="1:23" ht="5.25" customHeight="1" outlineLevel="1" thickBot="1" x14ac:dyDescent="0.4">
      <c r="A137" s="204"/>
      <c r="B137" s="40"/>
      <c r="C137" s="40"/>
      <c r="D137" s="40"/>
      <c r="E137" s="40"/>
      <c r="F137" s="40"/>
      <c r="G137" s="40"/>
      <c r="H137" s="40"/>
      <c r="I137" s="40"/>
      <c r="J137" s="40"/>
      <c r="K137" s="40"/>
      <c r="L137" s="40"/>
      <c r="M137" s="205"/>
      <c r="O137" s="43"/>
      <c r="W137" s="220">
        <v>3</v>
      </c>
    </row>
    <row r="138" spans="1:23" ht="12.75" customHeight="1" outlineLevel="1" x14ac:dyDescent="0.35">
      <c r="A138" s="221"/>
      <c r="B138" s="41"/>
      <c r="C138" s="394" t="s">
        <v>204</v>
      </c>
      <c r="D138" s="395"/>
      <c r="E138" s="395"/>
      <c r="F138" s="395"/>
      <c r="G138" s="395"/>
      <c r="H138" s="396"/>
      <c r="I138" s="232" t="s">
        <v>205</v>
      </c>
      <c r="J138" s="233" t="s">
        <v>206</v>
      </c>
      <c r="K138" s="207" t="s">
        <v>194</v>
      </c>
      <c r="L138" s="39"/>
      <c r="M138" s="234"/>
      <c r="O138" s="43"/>
      <c r="W138" s="220">
        <v>3</v>
      </c>
    </row>
    <row r="139" spans="1:23" outlineLevel="1" x14ac:dyDescent="0.35">
      <c r="A139" s="221"/>
      <c r="B139" s="41"/>
      <c r="C139" s="349" t="s">
        <v>207</v>
      </c>
      <c r="D139" s="350"/>
      <c r="E139" s="350"/>
      <c r="F139" s="350"/>
      <c r="G139" s="350" t="s">
        <v>165</v>
      </c>
      <c r="H139" s="243">
        <v>445813397</v>
      </c>
      <c r="I139" s="244">
        <v>0</v>
      </c>
      <c r="J139" s="245">
        <v>0.5</v>
      </c>
      <c r="K139" s="209">
        <v>20</v>
      </c>
      <c r="L139" s="39"/>
      <c r="M139" s="234"/>
      <c r="O139" s="43"/>
      <c r="W139" s="220">
        <v>3</v>
      </c>
    </row>
    <row r="140" spans="1:23" outlineLevel="1" x14ac:dyDescent="0.35">
      <c r="A140" s="221"/>
      <c r="B140" s="41"/>
      <c r="C140" s="349" t="s">
        <v>208</v>
      </c>
      <c r="D140" s="350"/>
      <c r="E140" s="350"/>
      <c r="F140" s="350"/>
      <c r="G140" s="350"/>
      <c r="H140" s="243">
        <v>75049470</v>
      </c>
      <c r="I140" s="244">
        <v>0.5</v>
      </c>
      <c r="J140" s="245">
        <v>0.75</v>
      </c>
      <c r="K140" s="209">
        <v>25</v>
      </c>
      <c r="L140" s="39"/>
      <c r="M140" s="234"/>
      <c r="O140" s="43"/>
      <c r="W140" s="220">
        <v>3</v>
      </c>
    </row>
    <row r="141" spans="1:23" outlineLevel="1" x14ac:dyDescent="0.35">
      <c r="A141" s="221"/>
      <c r="B141" s="41"/>
      <c r="C141" s="349" t="s">
        <v>209</v>
      </c>
      <c r="D141" s="350"/>
      <c r="E141" s="350"/>
      <c r="F141" s="350"/>
      <c r="G141" s="350"/>
      <c r="H141" s="246">
        <f>IF(H139="",0,H139/H140)</f>
        <v>5.9402604308864539</v>
      </c>
      <c r="I141" s="244">
        <v>0.75</v>
      </c>
      <c r="J141" s="245">
        <v>1</v>
      </c>
      <c r="K141" s="209">
        <v>30</v>
      </c>
      <c r="L141" s="39"/>
      <c r="M141" s="234"/>
      <c r="O141" s="43"/>
      <c r="W141" s="220">
        <v>3</v>
      </c>
    </row>
    <row r="142" spans="1:23" ht="12" outlineLevel="1" thickBot="1" x14ac:dyDescent="0.4">
      <c r="A142" s="221"/>
      <c r="B142" s="41"/>
      <c r="C142" s="355" t="s">
        <v>210</v>
      </c>
      <c r="D142" s="356"/>
      <c r="E142" s="356"/>
      <c r="F142" s="356"/>
      <c r="G142" s="356"/>
      <c r="H142" s="241">
        <f>IF(H141="",0,IF(H141&lt;0.5,20,IF(H141&lt;0.75,25,IF(H141&lt;1,30,IF(H141&lt;1.5,35,40)))))</f>
        <v>40</v>
      </c>
      <c r="I142" s="244">
        <v>1</v>
      </c>
      <c r="J142" s="245">
        <v>1.5</v>
      </c>
      <c r="K142" s="209">
        <v>35</v>
      </c>
      <c r="L142" s="39"/>
      <c r="M142" s="234"/>
      <c r="O142" s="43"/>
      <c r="W142" s="220">
        <v>3</v>
      </c>
    </row>
    <row r="143" spans="1:23" ht="12" outlineLevel="1" thickBot="1" x14ac:dyDescent="0.4">
      <c r="A143" s="221"/>
      <c r="B143" s="41"/>
      <c r="C143" s="39"/>
      <c r="D143" s="39"/>
      <c r="E143" s="39"/>
      <c r="F143" s="39"/>
      <c r="G143" s="39"/>
      <c r="H143" s="39"/>
      <c r="I143" s="247">
        <v>1.5</v>
      </c>
      <c r="J143" s="248" t="s">
        <v>199</v>
      </c>
      <c r="K143" s="239">
        <v>40</v>
      </c>
      <c r="L143" s="39"/>
      <c r="M143" s="234"/>
      <c r="O143" s="43"/>
      <c r="W143" s="220">
        <v>3</v>
      </c>
    </row>
    <row r="144" spans="1:23" ht="12" outlineLevel="1" thickBot="1" x14ac:dyDescent="0.4">
      <c r="A144" s="204"/>
      <c r="B144" s="40"/>
      <c r="C144" s="40"/>
      <c r="D144" s="40"/>
      <c r="E144" s="40"/>
      <c r="F144" s="40"/>
      <c r="G144" s="40"/>
      <c r="H144" s="40"/>
      <c r="I144" s="40"/>
      <c r="J144" s="40"/>
      <c r="K144" s="40"/>
      <c r="L144" s="40"/>
      <c r="M144" s="205"/>
      <c r="O144" s="43"/>
      <c r="W144" s="220">
        <v>3</v>
      </c>
    </row>
    <row r="145" spans="1:23" outlineLevel="1" x14ac:dyDescent="0.35">
      <c r="A145" s="221"/>
      <c r="B145" s="41"/>
      <c r="C145" s="394" t="s">
        <v>211</v>
      </c>
      <c r="D145" s="395"/>
      <c r="E145" s="395"/>
      <c r="F145" s="395"/>
      <c r="G145" s="395"/>
      <c r="H145" s="396"/>
      <c r="I145" s="232" t="s">
        <v>212</v>
      </c>
      <c r="J145" s="233" t="s">
        <v>213</v>
      </c>
      <c r="K145" s="207" t="s">
        <v>194</v>
      </c>
      <c r="L145" s="39"/>
      <c r="M145" s="234"/>
      <c r="O145" s="43"/>
      <c r="W145" s="220">
        <v>3</v>
      </c>
    </row>
    <row r="146" spans="1:23" ht="12" customHeight="1" outlineLevel="1" x14ac:dyDescent="0.35">
      <c r="A146" s="221"/>
      <c r="B146" s="41"/>
      <c r="C146" s="349" t="s">
        <v>214</v>
      </c>
      <c r="D146" s="350"/>
      <c r="E146" s="350"/>
      <c r="F146" s="350"/>
      <c r="G146" s="350" t="s">
        <v>165</v>
      </c>
      <c r="H146" s="249">
        <v>1</v>
      </c>
      <c r="I146" s="250">
        <v>1</v>
      </c>
      <c r="J146" s="251">
        <v>5</v>
      </c>
      <c r="K146" s="209">
        <v>20</v>
      </c>
      <c r="L146" s="39"/>
      <c r="M146" s="234"/>
      <c r="O146" s="43"/>
      <c r="W146" s="220">
        <v>3</v>
      </c>
    </row>
    <row r="147" spans="1:23" ht="12" outlineLevel="1" thickBot="1" x14ac:dyDescent="0.4">
      <c r="A147" s="221"/>
      <c r="B147" s="41"/>
      <c r="C147" s="355" t="s">
        <v>215</v>
      </c>
      <c r="D147" s="356"/>
      <c r="E147" s="356"/>
      <c r="F147" s="356"/>
      <c r="G147" s="356"/>
      <c r="H147" s="241">
        <f>IF(H146&lt;1,0,IF(H146&lt;=5,20,IF(H146&lt;=10,30,40)))</f>
        <v>20</v>
      </c>
      <c r="I147" s="250">
        <v>6</v>
      </c>
      <c r="J147" s="251">
        <v>10</v>
      </c>
      <c r="K147" s="209">
        <v>30</v>
      </c>
      <c r="L147" s="39"/>
      <c r="M147" s="234"/>
      <c r="O147" s="43"/>
      <c r="W147" s="220">
        <v>3</v>
      </c>
    </row>
    <row r="148" spans="1:23" ht="12" outlineLevel="1" thickBot="1" x14ac:dyDescent="0.4">
      <c r="A148" s="221"/>
      <c r="B148" s="41"/>
      <c r="C148" s="39"/>
      <c r="D148" s="39"/>
      <c r="E148" s="39"/>
      <c r="F148" s="39"/>
      <c r="G148" s="39"/>
      <c r="H148" s="39"/>
      <c r="I148" s="252">
        <v>11</v>
      </c>
      <c r="J148" s="248" t="s">
        <v>199</v>
      </c>
      <c r="K148" s="239">
        <v>40</v>
      </c>
      <c r="L148" s="39"/>
      <c r="M148" s="234"/>
      <c r="O148" s="43"/>
      <c r="W148" s="220">
        <v>3</v>
      </c>
    </row>
    <row r="149" spans="1:23" ht="5.25" customHeight="1" outlineLevel="1" thickBot="1" x14ac:dyDescent="0.4">
      <c r="A149" s="204"/>
      <c r="B149" s="40"/>
      <c r="C149" s="40"/>
      <c r="D149" s="40"/>
      <c r="E149" s="40"/>
      <c r="F149" s="40"/>
      <c r="G149" s="40"/>
      <c r="H149" s="40"/>
      <c r="I149" s="40"/>
      <c r="J149" s="40"/>
      <c r="K149" s="40"/>
      <c r="L149" s="40"/>
      <c r="M149" s="205"/>
      <c r="O149" s="43"/>
      <c r="W149" s="220">
        <v>3</v>
      </c>
    </row>
    <row r="150" spans="1:23" ht="12" outlineLevel="1" thickBot="1" x14ac:dyDescent="0.4">
      <c r="A150" s="221"/>
      <c r="B150" s="41"/>
      <c r="C150" s="444" t="s">
        <v>216</v>
      </c>
      <c r="D150" s="445"/>
      <c r="E150" s="445"/>
      <c r="F150" s="445"/>
      <c r="G150" s="445"/>
      <c r="H150" s="445"/>
      <c r="I150" s="445"/>
      <c r="J150" s="445"/>
      <c r="K150" s="445"/>
      <c r="L150" s="445"/>
      <c r="M150" s="446"/>
      <c r="O150" s="43"/>
      <c r="W150" s="220">
        <v>3</v>
      </c>
    </row>
    <row r="151" spans="1:23" ht="12" outlineLevel="1" thickBot="1" x14ac:dyDescent="0.4">
      <c r="A151" s="253"/>
      <c r="B151" s="254"/>
      <c r="C151" s="447" t="s">
        <v>217</v>
      </c>
      <c r="D151" s="448"/>
      <c r="E151" s="448"/>
      <c r="F151" s="448"/>
      <c r="G151" s="448"/>
      <c r="H151" s="448"/>
      <c r="I151" s="448"/>
      <c r="J151" s="448"/>
      <c r="K151" s="448"/>
      <c r="L151" s="448"/>
      <c r="M151" s="449"/>
      <c r="O151" s="43"/>
      <c r="W151" s="220">
        <v>3</v>
      </c>
    </row>
    <row r="152" spans="1:23" ht="23" outlineLevel="1" x14ac:dyDescent="0.35">
      <c r="A152" s="255"/>
      <c r="B152" s="254"/>
      <c r="C152" s="256" t="s">
        <v>218</v>
      </c>
      <c r="D152" s="257" t="s">
        <v>219</v>
      </c>
      <c r="E152" s="258" t="s">
        <v>198</v>
      </c>
      <c r="F152" s="258" t="s">
        <v>220</v>
      </c>
      <c r="G152" s="258" t="s">
        <v>221</v>
      </c>
      <c r="H152" s="258" t="s">
        <v>222</v>
      </c>
      <c r="I152" s="258" t="s">
        <v>223</v>
      </c>
      <c r="J152" s="258" t="s">
        <v>224</v>
      </c>
      <c r="K152" s="258" t="s">
        <v>225</v>
      </c>
      <c r="L152" s="259" t="s">
        <v>226</v>
      </c>
      <c r="M152" s="260" t="s">
        <v>227</v>
      </c>
      <c r="O152" s="43"/>
      <c r="W152" s="220">
        <v>3</v>
      </c>
    </row>
    <row r="153" spans="1:23" outlineLevel="1" x14ac:dyDescent="0.35">
      <c r="A153" s="255"/>
      <c r="B153" s="254"/>
      <c r="C153" s="261">
        <v>1</v>
      </c>
      <c r="D153" s="262">
        <v>0.99</v>
      </c>
      <c r="E153" s="263">
        <v>799239274</v>
      </c>
      <c r="F153" s="264">
        <v>2</v>
      </c>
      <c r="G153" s="265">
        <v>45266</v>
      </c>
      <c r="H153" s="265"/>
      <c r="I153" s="265"/>
      <c r="J153" s="265"/>
      <c r="K153" s="265"/>
      <c r="L153" s="236">
        <f>IF(C153="","",IF(IF(H153&lt;&gt;"",IF(I153&lt;&gt;"",IF(J153&lt;&gt;"",IF(K153&lt;&gt;"",G153+F153*30+(I153-H153)+(K153-J153)-$E$14,G153+#REF!*30+(I153-H153)-J153),G153+F153*30+(I153-H153)-$E$14),G153+F153*30-H153),G153+F153*30-$E$14)&lt;0,0,IF(H153&lt;&gt;"",IF(I153&lt;&gt;"",IF(J153&lt;&gt;"",IF(K153&lt;&gt;"",G153+F153*30+(I153-H153)+(K153-J153)-$E$14,G153+F153*30+(I153-H153)-J153),G153+F153*30+(I153-H153)-$E$14),G153+F153*30-H153),G153+F153*30-$E$14)))</f>
        <v>0</v>
      </c>
      <c r="M153" s="266">
        <f>+IF(C153="","",IF(L153&lt;360,D153*E153*L153/(F153*30),D153*E153*360/(F153*30)))</f>
        <v>0</v>
      </c>
      <c r="O153" s="43"/>
      <c r="W153" s="220">
        <v>3</v>
      </c>
    </row>
    <row r="154" spans="1:23" outlineLevel="1" x14ac:dyDescent="0.35">
      <c r="A154" s="255"/>
      <c r="B154" s="254"/>
      <c r="C154" s="261">
        <v>2</v>
      </c>
      <c r="D154" s="262">
        <v>0.1</v>
      </c>
      <c r="E154" s="263">
        <v>1632641052</v>
      </c>
      <c r="F154" s="264">
        <v>4</v>
      </c>
      <c r="G154" s="265">
        <v>45364</v>
      </c>
      <c r="H154" s="265"/>
      <c r="I154" s="265"/>
      <c r="J154" s="265"/>
      <c r="K154" s="265"/>
      <c r="L154" s="236"/>
      <c r="M154" s="266">
        <f>IF(C154="","",IF(L154&lt;360,D154*E154*L154/(F154*30),D154*E154*360/(F154*30)))</f>
        <v>0</v>
      </c>
      <c r="O154" s="43"/>
      <c r="W154" s="220">
        <v>3</v>
      </c>
    </row>
    <row r="155" spans="1:23" outlineLevel="1" x14ac:dyDescent="0.35">
      <c r="A155" s="255"/>
      <c r="B155" s="254"/>
      <c r="C155" s="277">
        <v>3</v>
      </c>
      <c r="D155" s="262">
        <v>0.1</v>
      </c>
      <c r="E155" s="263">
        <v>680477893</v>
      </c>
      <c r="F155" s="264">
        <v>2.6</v>
      </c>
      <c r="G155" s="265">
        <v>45275</v>
      </c>
      <c r="H155" s="265">
        <v>45442</v>
      </c>
      <c r="I155" s="265"/>
      <c r="J155" s="265"/>
      <c r="K155" s="265"/>
      <c r="L155" s="236"/>
      <c r="M155" s="266">
        <f>IF(C155="","",IF(L155&lt;360,D155*E155*L155/(F155*30),D155*E155*360/(F155*30)))</f>
        <v>0</v>
      </c>
      <c r="O155" s="43"/>
      <c r="W155" s="220">
        <v>3</v>
      </c>
    </row>
    <row r="156" spans="1:23" outlineLevel="1" x14ac:dyDescent="0.35">
      <c r="A156" s="255"/>
      <c r="B156" s="254"/>
      <c r="C156" s="261"/>
      <c r="D156" s="262"/>
      <c r="E156" s="263"/>
      <c r="F156" s="264"/>
      <c r="G156" s="265"/>
      <c r="H156" s="265"/>
      <c r="I156" s="265"/>
      <c r="J156" s="265"/>
      <c r="K156" s="265"/>
      <c r="L156" s="236" t="str">
        <f t="shared" ref="L156:L162" si="1">IF(C156="","",IF(IF(H156&lt;&gt;"",IF(I156&lt;&gt;"",IF(J156&lt;&gt;"",IF(K156&lt;&gt;"",G156+F156*30+(I156-H156)+(K156-J156)-$E$14,G156+F156*30+(I156-H156)-J156),G156+F156*30+(I156-H156)-$E$14),G156+F156*30-H156),G156+F156*30-$E$14)&lt;0,0,IF(H156&lt;&gt;"",IF(I156&lt;&gt;"",IF(J156&lt;&gt;"",IF(K156&lt;&gt;"",G156+F156*30+(I156-H156)+(K156-J156)-$E$14,G156+F156*30+(I156-H156)-J156),G156+F156*30+(I156-H156)-$E$14),G156+F156*30-H156),G156+F156*30-$E$14)))</f>
        <v/>
      </c>
      <c r="M156" s="266"/>
      <c r="O156" s="43"/>
      <c r="W156" s="220">
        <v>3</v>
      </c>
    </row>
    <row r="157" spans="1:23" outlineLevel="1" x14ac:dyDescent="0.35">
      <c r="A157" s="255"/>
      <c r="B157" s="254"/>
      <c r="C157" s="261"/>
      <c r="D157" s="262"/>
      <c r="E157" s="263"/>
      <c r="F157" s="264"/>
      <c r="G157" s="265"/>
      <c r="H157" s="265"/>
      <c r="I157" s="265"/>
      <c r="J157" s="265"/>
      <c r="K157" s="265"/>
      <c r="L157" s="236" t="str">
        <f t="shared" si="1"/>
        <v/>
      </c>
      <c r="M157" s="266"/>
      <c r="O157" s="43"/>
      <c r="W157" s="220">
        <v>3</v>
      </c>
    </row>
    <row r="158" spans="1:23" outlineLevel="1" x14ac:dyDescent="0.35">
      <c r="A158" s="255"/>
      <c r="B158" s="254"/>
      <c r="C158" s="261"/>
      <c r="D158" s="262"/>
      <c r="E158" s="263"/>
      <c r="F158" s="264"/>
      <c r="G158" s="265"/>
      <c r="H158" s="265"/>
      <c r="I158" s="265"/>
      <c r="J158" s="265"/>
      <c r="K158" s="265"/>
      <c r="L158" s="236" t="str">
        <f t="shared" si="1"/>
        <v/>
      </c>
      <c r="M158" s="266" t="str">
        <f>IF(C158="","",IF(L158&lt;360,D158*E158*L158/(F158*30),D158*E158*360/(F158*30)))</f>
        <v/>
      </c>
      <c r="O158" s="43"/>
      <c r="W158" s="220">
        <v>3</v>
      </c>
    </row>
    <row r="159" spans="1:23" outlineLevel="1" x14ac:dyDescent="0.35">
      <c r="A159" s="255"/>
      <c r="B159" s="254"/>
      <c r="C159" s="261"/>
      <c r="D159" s="262"/>
      <c r="E159" s="263"/>
      <c r="F159" s="264"/>
      <c r="G159" s="265"/>
      <c r="H159" s="265"/>
      <c r="I159" s="265"/>
      <c r="J159" s="265"/>
      <c r="K159" s="265"/>
      <c r="L159" s="236" t="str">
        <f t="shared" si="1"/>
        <v/>
      </c>
      <c r="M159" s="266" t="str">
        <f>IF(C159="","",IF(L159&lt;360,D159*E159*L159/(F159*30),D159*E159*360/(F159*30)))</f>
        <v/>
      </c>
      <c r="O159" s="43"/>
      <c r="W159" s="220">
        <v>3</v>
      </c>
    </row>
    <row r="160" spans="1:23" outlineLevel="1" x14ac:dyDescent="0.35">
      <c r="A160" s="255"/>
      <c r="B160" s="254"/>
      <c r="C160" s="261"/>
      <c r="D160" s="262"/>
      <c r="E160" s="263"/>
      <c r="F160" s="264"/>
      <c r="G160" s="265"/>
      <c r="H160" s="265"/>
      <c r="I160" s="265"/>
      <c r="J160" s="265"/>
      <c r="K160" s="265"/>
      <c r="L160" s="236" t="str">
        <f t="shared" si="1"/>
        <v/>
      </c>
      <c r="M160" s="266" t="str">
        <f>IF(C160="","",IF(L160&lt;360,D160*E160*L160/(F160*30),D160*E160*360/(F160*30)))</f>
        <v/>
      </c>
      <c r="O160" s="43"/>
      <c r="W160" s="220">
        <v>3</v>
      </c>
    </row>
    <row r="161" spans="1:23" outlineLevel="1" x14ac:dyDescent="0.35">
      <c r="A161" s="255"/>
      <c r="B161" s="254"/>
      <c r="C161" s="261"/>
      <c r="D161" s="262"/>
      <c r="E161" s="263"/>
      <c r="F161" s="264"/>
      <c r="G161" s="265"/>
      <c r="H161" s="265"/>
      <c r="I161" s="265"/>
      <c r="J161" s="265"/>
      <c r="K161" s="265"/>
      <c r="L161" s="236" t="str">
        <f t="shared" si="1"/>
        <v/>
      </c>
      <c r="M161" s="266" t="str">
        <f>IF(C161="","",IF(L161&lt;360,D161*E161*L161/(F161*30),D161*E161*360/(F161*30)))</f>
        <v/>
      </c>
      <c r="O161" s="43"/>
      <c r="W161" s="220">
        <v>3</v>
      </c>
    </row>
    <row r="162" spans="1:23" outlineLevel="1" x14ac:dyDescent="0.35">
      <c r="A162" s="255"/>
      <c r="B162" s="254"/>
      <c r="C162" s="261"/>
      <c r="D162" s="262"/>
      <c r="E162" s="263"/>
      <c r="F162" s="264"/>
      <c r="G162" s="265"/>
      <c r="H162" s="265"/>
      <c r="I162" s="265"/>
      <c r="J162" s="265"/>
      <c r="K162" s="265"/>
      <c r="L162" s="236" t="str">
        <f t="shared" si="1"/>
        <v/>
      </c>
      <c r="M162" s="266" t="str">
        <f>IF(C162="","",IF(L162&lt;360,D162*E162*L162/(F162*30),D162*E162*360/(F162*30)))</f>
        <v/>
      </c>
      <c r="O162" s="43"/>
      <c r="W162" s="220">
        <v>3</v>
      </c>
    </row>
    <row r="163" spans="1:23" ht="12.75" customHeight="1" outlineLevel="1" thickBot="1" x14ac:dyDescent="0.4">
      <c r="A163" s="255"/>
      <c r="C163" s="450" t="s">
        <v>228</v>
      </c>
      <c r="D163" s="451"/>
      <c r="E163" s="451"/>
      <c r="F163" s="451"/>
      <c r="G163" s="451"/>
      <c r="H163" s="451"/>
      <c r="I163" s="451"/>
      <c r="J163" s="451"/>
      <c r="K163" s="451"/>
      <c r="L163" s="429"/>
      <c r="M163" s="269">
        <f>SUM(M152:M162)</f>
        <v>0</v>
      </c>
      <c r="O163" s="43"/>
      <c r="W163" s="220">
        <v>3</v>
      </c>
    </row>
    <row r="164" spans="1:23" ht="5.25" customHeight="1" outlineLevel="1" x14ac:dyDescent="0.35">
      <c r="C164" s="278"/>
      <c r="D164" s="278"/>
      <c r="E164" s="278"/>
      <c r="F164" s="278"/>
      <c r="G164" s="278"/>
      <c r="H164" s="278"/>
      <c r="I164" s="279"/>
      <c r="O164" s="43"/>
      <c r="W164" s="220">
        <v>3</v>
      </c>
    </row>
    <row r="165" spans="1:23" s="39" customFormat="1" ht="4.5" customHeight="1" outlineLevel="1" thickBot="1" x14ac:dyDescent="0.4">
      <c r="A165" s="270"/>
      <c r="B165" s="271"/>
      <c r="C165" s="272"/>
      <c r="D165" s="272"/>
      <c r="E165" s="272"/>
      <c r="F165" s="272"/>
      <c r="G165" s="272"/>
      <c r="H165" s="272"/>
      <c r="I165" s="272"/>
      <c r="J165" s="271"/>
      <c r="K165" s="271"/>
      <c r="L165" s="271"/>
      <c r="M165" s="273"/>
      <c r="N165" s="43"/>
      <c r="O165" s="43"/>
      <c r="P165" s="41"/>
      <c r="W165" s="220">
        <v>1</v>
      </c>
    </row>
    <row r="166" spans="1:23" s="39" customFormat="1" ht="15.75" customHeight="1" thickBot="1" x14ac:dyDescent="0.4">
      <c r="A166" s="215">
        <v>3</v>
      </c>
      <c r="B166" s="389" t="s">
        <v>94</v>
      </c>
      <c r="C166" s="390"/>
      <c r="D166" s="390"/>
      <c r="E166" s="390"/>
      <c r="F166" s="390"/>
      <c r="G166" s="390"/>
      <c r="H166" s="390"/>
      <c r="I166" s="391"/>
      <c r="J166" s="216" t="s">
        <v>172</v>
      </c>
      <c r="K166" s="392">
        <f>G175*(H186+H192+H197)/100-M211</f>
        <v>22083650357</v>
      </c>
      <c r="L166" s="392"/>
      <c r="M166" s="217" t="str">
        <f>IF(K166&gt;$E$17,"CUMPLE","NO CUMPLE")</f>
        <v>CUMPLE</v>
      </c>
      <c r="N166" s="39">
        <v>1</v>
      </c>
      <c r="O166" s="43"/>
      <c r="P166" s="41"/>
      <c r="Q166" s="218" t="str">
        <f>B166</f>
        <v>MEGACONSTRUCCIONES Y EQUIPOS S.A.S</v>
      </c>
      <c r="R166" s="41"/>
      <c r="W166" s="219">
        <v>1</v>
      </c>
    </row>
    <row r="167" spans="1:23" s="39" customFormat="1" ht="5.25" customHeight="1" outlineLevel="1" thickBot="1" x14ac:dyDescent="0.4">
      <c r="A167" s="204"/>
      <c r="B167" s="40"/>
      <c r="C167" s="40"/>
      <c r="D167" s="40"/>
      <c r="E167" s="40"/>
      <c r="F167" s="40"/>
      <c r="G167" s="40"/>
      <c r="H167" s="40"/>
      <c r="I167" s="40"/>
      <c r="J167" s="40"/>
      <c r="K167" s="40"/>
      <c r="L167" s="40"/>
      <c r="M167" s="205"/>
      <c r="N167" s="40"/>
      <c r="O167" s="43"/>
      <c r="P167" s="41"/>
      <c r="Q167" s="41"/>
      <c r="R167" s="41"/>
      <c r="W167" s="220">
        <v>1</v>
      </c>
    </row>
    <row r="168" spans="1:23" s="39" customFormat="1" outlineLevel="1" x14ac:dyDescent="0.35">
      <c r="A168" s="393"/>
      <c r="B168" s="360"/>
      <c r="C168" s="394" t="s">
        <v>173</v>
      </c>
      <c r="D168" s="395"/>
      <c r="E168" s="395"/>
      <c r="F168" s="395"/>
      <c r="G168" s="395"/>
      <c r="H168" s="396"/>
      <c r="I168" s="397" t="s">
        <v>174</v>
      </c>
      <c r="J168" s="398"/>
      <c r="K168" s="398" t="s">
        <v>175</v>
      </c>
      <c r="L168" s="398"/>
      <c r="M168" s="399"/>
      <c r="O168" s="43"/>
      <c r="P168" s="41"/>
      <c r="Q168" s="41"/>
      <c r="R168" s="41"/>
      <c r="W168" s="220">
        <v>1</v>
      </c>
    </row>
    <row r="169" spans="1:23" s="39" customFormat="1" ht="12.75" customHeight="1" outlineLevel="1" x14ac:dyDescent="0.35">
      <c r="A169" s="221"/>
      <c r="B169" s="41"/>
      <c r="C169" s="351" t="s">
        <v>176</v>
      </c>
      <c r="D169" s="375"/>
      <c r="E169" s="352"/>
      <c r="F169" s="352"/>
      <c r="G169" s="376" t="s">
        <v>165</v>
      </c>
      <c r="H169" s="377"/>
      <c r="I169" s="378" t="s">
        <v>177</v>
      </c>
      <c r="J169" s="379"/>
      <c r="K169" s="379" t="s">
        <v>178</v>
      </c>
      <c r="L169" s="379"/>
      <c r="M169" s="380"/>
      <c r="O169" s="43"/>
      <c r="P169" s="41"/>
      <c r="Q169" s="41"/>
      <c r="R169" s="41"/>
      <c r="W169" s="220">
        <v>1</v>
      </c>
    </row>
    <row r="170" spans="1:23" s="39" customFormat="1" ht="12.75" customHeight="1" outlineLevel="1" x14ac:dyDescent="0.35">
      <c r="A170" s="221"/>
      <c r="B170" s="41"/>
      <c r="C170" s="381" t="s">
        <v>179</v>
      </c>
      <c r="D170" s="382"/>
      <c r="E170" s="382"/>
      <c r="F170" s="375"/>
      <c r="G170" s="383">
        <v>2023</v>
      </c>
      <c r="H170" s="384"/>
      <c r="I170" s="378" t="s">
        <v>180</v>
      </c>
      <c r="J170" s="379"/>
      <c r="K170" s="379" t="s">
        <v>181</v>
      </c>
      <c r="L170" s="379"/>
      <c r="M170" s="380"/>
      <c r="O170" s="43"/>
      <c r="P170" s="41"/>
      <c r="Q170" s="41"/>
      <c r="R170" s="41"/>
      <c r="W170" s="220">
        <v>1</v>
      </c>
    </row>
    <row r="171" spans="1:23" s="39" customFormat="1" ht="12.75" customHeight="1" outlineLevel="1" thickBot="1" x14ac:dyDescent="0.4">
      <c r="A171" s="221"/>
      <c r="B171" s="41"/>
      <c r="C171" s="349" t="str">
        <f>IF(G169="","",IF(G169=$O$13,"Valor umbral Mipyme.","Total Ingresos Operacionales Acreditados"))</f>
        <v>Total Ingresos Operacionales Acreditados</v>
      </c>
      <c r="D171" s="412"/>
      <c r="E171" s="350"/>
      <c r="F171" s="350"/>
      <c r="G171" s="413">
        <v>13781552017</v>
      </c>
      <c r="H171" s="414"/>
      <c r="I171" s="415" t="s">
        <v>182</v>
      </c>
      <c r="J171" s="416"/>
      <c r="K171" s="222" t="s">
        <v>183</v>
      </c>
      <c r="L171" s="417">
        <v>457297264</v>
      </c>
      <c r="M171" s="418"/>
      <c r="O171" s="43"/>
      <c r="P171" s="41"/>
      <c r="Q171" s="41"/>
      <c r="R171" s="41"/>
      <c r="W171" s="220">
        <v>1</v>
      </c>
    </row>
    <row r="172" spans="1:23" s="39" customFormat="1" ht="12.75" customHeight="1" outlineLevel="1" x14ac:dyDescent="0.35">
      <c r="A172" s="221"/>
      <c r="B172" s="41"/>
      <c r="C172" s="419" t="s">
        <v>184</v>
      </c>
      <c r="D172" s="420"/>
      <c r="E172" s="420"/>
      <c r="F172" s="420"/>
      <c r="G172" s="420"/>
      <c r="H172" s="421"/>
      <c r="I172" s="223"/>
      <c r="J172" s="223"/>
      <c r="K172" s="224"/>
      <c r="L172" s="225"/>
      <c r="M172" s="225"/>
      <c r="O172" s="43"/>
      <c r="P172" s="41"/>
      <c r="Q172" s="41"/>
      <c r="R172" s="41"/>
      <c r="W172" s="220">
        <v>1</v>
      </c>
    </row>
    <row r="173" spans="1:23" s="39" customFormat="1" ht="12.75" customHeight="1" outlineLevel="1" x14ac:dyDescent="0.35">
      <c r="A173" s="221"/>
      <c r="B173" s="41"/>
      <c r="C173" s="226" t="s">
        <v>185</v>
      </c>
      <c r="D173" s="400" t="s">
        <v>237</v>
      </c>
      <c r="E173" s="401"/>
      <c r="F173" s="402" t="s">
        <v>187</v>
      </c>
      <c r="G173" s="403"/>
      <c r="H173" s="227" t="s">
        <v>188</v>
      </c>
      <c r="I173" s="404" t="str">
        <f>IF(OR(H173="Vigente",H173=""),"",IF(H173="no aporta","No aporta el certificado de antecedentes disciplinarios del "&amp;PROPER(C173)&amp;" ("&amp;PROPER(D173)&amp;") quien suscribe los estados de resultados de "&amp;B166&amp;". Debe subsanar ese documento.","El certificado de antecedentes disciplinarios del "&amp;PROPER(C173)&amp;" ("&amp;PROPER(D173)&amp;") quien suscribe los estados de resultados de "&amp;B166&amp;", no se encuentran vigentes a la fecha de cierre del proceso. Debe subsanar ese documento."))</f>
        <v/>
      </c>
      <c r="J173" s="405"/>
      <c r="K173" s="405"/>
      <c r="L173" s="405"/>
      <c r="M173" s="406"/>
      <c r="O173" s="43"/>
      <c r="P173" s="41"/>
      <c r="Q173" s="41"/>
      <c r="R173" s="41"/>
      <c r="W173" s="220">
        <v>1</v>
      </c>
    </row>
    <row r="174" spans="1:23" s="39" customFormat="1" ht="12.75" customHeight="1" outlineLevel="1" x14ac:dyDescent="0.35">
      <c r="A174" s="221"/>
      <c r="B174" s="41"/>
      <c r="C174" s="226" t="s">
        <v>189</v>
      </c>
      <c r="D174" s="400" t="s">
        <v>238</v>
      </c>
      <c r="E174" s="401"/>
      <c r="F174" s="402" t="s">
        <v>187</v>
      </c>
      <c r="G174" s="403"/>
      <c r="H174" s="227" t="s">
        <v>188</v>
      </c>
      <c r="I174" s="404" t="str">
        <f>IF(OR(H174="Vigente",H174=""),"",IF(H174="no aporta","No aporta el certificado de antecedentes disciplinarios del "&amp;PROPER(C174)&amp;" ("&amp;PROPER(D174)&amp;") quien suscribe los estados de resultados de "&amp;B166&amp;" Debe subsanar ese documento.","El certificado de antecedentes disciplinarios del "&amp;PROPER(C174)&amp;" ("&amp;PROPER(D174)&amp;") quien suscribe los estados de resultados de "&amp;B166&amp;", no se encuentran vigentes a la fecha de cierre del proceso. Debe subsanar ese documento."))</f>
        <v/>
      </c>
      <c r="J174" s="405"/>
      <c r="K174" s="405"/>
      <c r="L174" s="405"/>
      <c r="M174" s="406"/>
      <c r="O174" s="43"/>
      <c r="P174" s="41"/>
      <c r="Q174" s="41"/>
      <c r="R174" s="41"/>
      <c r="W174" s="220">
        <v>1</v>
      </c>
    </row>
    <row r="175" spans="1:23" s="39" customFormat="1" ht="13.5" customHeight="1" outlineLevel="1" thickBot="1" x14ac:dyDescent="0.4">
      <c r="A175" s="221"/>
      <c r="B175" s="41"/>
      <c r="C175" s="228" t="s">
        <v>191</v>
      </c>
      <c r="D175" s="229"/>
      <c r="E175" s="230"/>
      <c r="F175" s="230"/>
      <c r="G175" s="407">
        <f>IF(OR(H173="SIN VIGENCIA",H173="NO APORTA",H174="SIN VIGENCIA",H174="NO APORTA"),0,IF(G169="",0,IF(G169=$O$13,L171,IF(G171&lt;L171,L171,G171))))</f>
        <v>13781552017</v>
      </c>
      <c r="H175" s="408"/>
      <c r="O175" s="43"/>
      <c r="P175" s="41"/>
      <c r="Q175" s="41"/>
      <c r="R175" s="41"/>
      <c r="W175" s="220">
        <v>1</v>
      </c>
    </row>
    <row r="176" spans="1:23" s="39" customFormat="1" ht="5.25" customHeight="1" outlineLevel="1" thickBot="1" x14ac:dyDescent="0.4">
      <c r="A176" s="204"/>
      <c r="B176" s="40"/>
      <c r="C176" s="40"/>
      <c r="D176" s="40"/>
      <c r="E176" s="40"/>
      <c r="F176" s="40"/>
      <c r="G176" s="40"/>
      <c r="H176" s="40"/>
      <c r="I176" s="40"/>
      <c r="J176" s="40"/>
      <c r="K176" s="40"/>
      <c r="L176" s="40"/>
      <c r="M176" s="205"/>
      <c r="N176" s="40"/>
      <c r="O176" s="43"/>
      <c r="P176" s="41"/>
      <c r="Q176" s="41"/>
      <c r="R176" s="41"/>
      <c r="W176" s="220">
        <v>1</v>
      </c>
    </row>
    <row r="177" spans="1:23" s="39" customFormat="1" outlineLevel="1" x14ac:dyDescent="0.35">
      <c r="A177" s="221"/>
      <c r="B177" s="41"/>
      <c r="C177" s="409" t="s">
        <v>164</v>
      </c>
      <c r="D177" s="395"/>
      <c r="E177" s="395"/>
      <c r="F177" s="395"/>
      <c r="G177" s="395"/>
      <c r="H177" s="396"/>
      <c r="I177" s="232" t="s">
        <v>192</v>
      </c>
      <c r="J177" s="233" t="s">
        <v>193</v>
      </c>
      <c r="K177" s="207" t="s">
        <v>194</v>
      </c>
      <c r="M177" s="234"/>
      <c r="O177" s="43"/>
      <c r="P177" s="41"/>
      <c r="Q177" s="41"/>
      <c r="R177" s="41"/>
      <c r="S177" s="41"/>
      <c r="W177" s="220">
        <v>1</v>
      </c>
    </row>
    <row r="178" spans="1:23" s="39" customFormat="1" outlineLevel="1" x14ac:dyDescent="0.35">
      <c r="A178" s="221"/>
      <c r="B178" s="41"/>
      <c r="C178" s="351" t="s">
        <v>195</v>
      </c>
      <c r="D178" s="375"/>
      <c r="E178" s="352"/>
      <c r="F178" s="352"/>
      <c r="G178" s="410">
        <v>1</v>
      </c>
      <c r="H178" s="411"/>
      <c r="I178" s="235">
        <v>0</v>
      </c>
      <c r="J178" s="236">
        <v>3</v>
      </c>
      <c r="K178" s="209">
        <v>60</v>
      </c>
      <c r="M178" s="234"/>
      <c r="O178" s="43"/>
      <c r="P178" s="41"/>
      <c r="Q178" s="41"/>
      <c r="R178" s="41"/>
      <c r="S178" s="41"/>
      <c r="W178" s="220">
        <v>1</v>
      </c>
    </row>
    <row r="179" spans="1:23" s="39" customFormat="1" ht="12" outlineLevel="1" thickBot="1" x14ac:dyDescent="0.4">
      <c r="A179" s="221"/>
      <c r="B179" s="41"/>
      <c r="C179" s="430" t="s">
        <v>158</v>
      </c>
      <c r="D179" s="431"/>
      <c r="E179" s="432"/>
      <c r="F179" s="432"/>
      <c r="G179" s="433">
        <f>$E$13</f>
        <v>522182486</v>
      </c>
      <c r="H179" s="434"/>
      <c r="I179" s="235">
        <v>3</v>
      </c>
      <c r="J179" s="236">
        <v>6</v>
      </c>
      <c r="K179" s="209">
        <v>80</v>
      </c>
      <c r="M179" s="234"/>
      <c r="O179" s="43"/>
      <c r="P179" s="41"/>
      <c r="Q179" s="41"/>
      <c r="R179" s="41"/>
      <c r="S179" s="41"/>
      <c r="W179" s="220">
        <v>1</v>
      </c>
    </row>
    <row r="180" spans="1:23" s="39" customFormat="1" ht="12" outlineLevel="1" thickBot="1" x14ac:dyDescent="0.4">
      <c r="A180" s="221"/>
      <c r="B180" s="41"/>
      <c r="C180" s="435" t="s">
        <v>196</v>
      </c>
      <c r="D180" s="436"/>
      <c r="E180" s="437"/>
      <c r="F180" s="437"/>
      <c r="G180" s="437"/>
      <c r="H180" s="438"/>
      <c r="I180" s="235">
        <v>6</v>
      </c>
      <c r="J180" s="236">
        <v>10</v>
      </c>
      <c r="K180" s="209">
        <v>100</v>
      </c>
      <c r="M180" s="234"/>
      <c r="O180" s="43"/>
      <c r="P180" s="41"/>
      <c r="Q180" s="41"/>
      <c r="R180" s="41"/>
      <c r="S180" s="41"/>
      <c r="W180" s="220">
        <v>1</v>
      </c>
    </row>
    <row r="181" spans="1:23" s="39" customFormat="1" ht="15.75" customHeight="1" outlineLevel="1" thickBot="1" x14ac:dyDescent="0.4">
      <c r="A181" s="221"/>
      <c r="B181" s="41"/>
      <c r="C181" s="439" t="s">
        <v>197</v>
      </c>
      <c r="D181" s="440"/>
      <c r="E181" s="440"/>
      <c r="F181" s="440"/>
      <c r="G181" s="363" t="s">
        <v>198</v>
      </c>
      <c r="H181" s="364"/>
      <c r="I181" s="237">
        <v>10</v>
      </c>
      <c r="J181" s="238" t="s">
        <v>199</v>
      </c>
      <c r="K181" s="239">
        <v>120</v>
      </c>
      <c r="M181" s="234"/>
      <c r="O181" s="43"/>
      <c r="P181" s="41"/>
      <c r="Q181" s="41"/>
      <c r="R181" s="41"/>
      <c r="S181" s="41"/>
      <c r="W181" s="220">
        <v>1</v>
      </c>
    </row>
    <row r="182" spans="1:23" s="39" customFormat="1" ht="15" customHeight="1" outlineLevel="1" x14ac:dyDescent="0.35">
      <c r="A182" s="221"/>
      <c r="B182" s="41"/>
      <c r="C182" s="441" t="s">
        <v>200</v>
      </c>
      <c r="D182" s="352"/>
      <c r="E182" s="352"/>
      <c r="F182" s="352"/>
      <c r="G182" s="442">
        <v>60790933261581</v>
      </c>
      <c r="H182" s="443"/>
      <c r="M182" s="234"/>
      <c r="O182" s="43"/>
      <c r="P182" s="41"/>
      <c r="Q182" s="41"/>
      <c r="R182" s="41"/>
      <c r="S182" s="41"/>
      <c r="W182" s="220">
        <v>1</v>
      </c>
    </row>
    <row r="183" spans="1:23" s="39" customFormat="1" ht="3" customHeight="1" outlineLevel="1" x14ac:dyDescent="0.35">
      <c r="A183" s="221"/>
      <c r="B183" s="41"/>
      <c r="C183" s="351"/>
      <c r="D183" s="352"/>
      <c r="E183" s="352"/>
      <c r="F183" s="352"/>
      <c r="G183" s="422"/>
      <c r="H183" s="423"/>
      <c r="M183" s="234"/>
      <c r="O183" s="43"/>
      <c r="P183" s="41"/>
      <c r="Q183" s="41"/>
      <c r="R183" s="41"/>
      <c r="S183" s="41"/>
      <c r="W183" s="220">
        <v>1</v>
      </c>
    </row>
    <row r="184" spans="1:23" s="39" customFormat="1" ht="13.5" customHeight="1" outlineLevel="1" thickBot="1" x14ac:dyDescent="0.4">
      <c r="A184" s="221"/>
      <c r="B184" s="41"/>
      <c r="C184" s="355" t="s">
        <v>201</v>
      </c>
      <c r="D184" s="356"/>
      <c r="E184" s="356"/>
      <c r="F184" s="356"/>
      <c r="G184" s="424">
        <f>SUM(G181:H183)</f>
        <v>60790933261581</v>
      </c>
      <c r="H184" s="425"/>
      <c r="M184" s="234"/>
      <c r="O184" s="43"/>
      <c r="P184" s="41"/>
      <c r="Q184" s="41"/>
      <c r="R184" s="41"/>
      <c r="S184" s="41"/>
      <c r="W184" s="220">
        <v>1</v>
      </c>
    </row>
    <row r="185" spans="1:23" s="39" customFormat="1" outlineLevel="1" x14ac:dyDescent="0.35">
      <c r="A185" s="221"/>
      <c r="B185" s="41"/>
      <c r="C185" s="426" t="s">
        <v>202</v>
      </c>
      <c r="D185" s="427"/>
      <c r="E185" s="428"/>
      <c r="F185" s="428"/>
      <c r="G185" s="428"/>
      <c r="H185" s="240">
        <f>IF(OR(G178="",G178=0,G184=0),0,G184/(G179*G178))</f>
        <v>116417.02832136159</v>
      </c>
      <c r="M185" s="234"/>
      <c r="O185" s="43"/>
      <c r="P185" s="41"/>
      <c r="Q185" s="41"/>
      <c r="R185" s="41"/>
      <c r="S185" s="41"/>
      <c r="W185" s="220">
        <v>1</v>
      </c>
    </row>
    <row r="186" spans="1:23" s="39" customFormat="1" ht="13.5" customHeight="1" outlineLevel="1" thickBot="1" x14ac:dyDescent="0.4">
      <c r="A186" s="221"/>
      <c r="B186" s="41"/>
      <c r="C186" s="355" t="s">
        <v>203</v>
      </c>
      <c r="D186" s="429"/>
      <c r="E186" s="356"/>
      <c r="F186" s="356"/>
      <c r="G186" s="356"/>
      <c r="H186" s="241">
        <f>IF(H185&lt;=3,60,IF(H185&lt;=6,80,IF(H185&lt;=10,100,120)))</f>
        <v>120</v>
      </c>
      <c r="J186" s="242"/>
      <c r="M186" s="234"/>
      <c r="O186" s="43"/>
      <c r="P186" s="41"/>
      <c r="Q186" s="41"/>
      <c r="R186" s="41"/>
      <c r="S186" s="41"/>
      <c r="W186" s="220">
        <v>1</v>
      </c>
    </row>
    <row r="187" spans="1:23" s="39" customFormat="1" ht="5.25" customHeight="1" outlineLevel="1" thickBot="1" x14ac:dyDescent="0.4">
      <c r="A187" s="204"/>
      <c r="B187" s="40"/>
      <c r="C187" s="40"/>
      <c r="D187" s="40"/>
      <c r="E187" s="40"/>
      <c r="F187" s="40"/>
      <c r="G187" s="40"/>
      <c r="H187" s="40"/>
      <c r="I187" s="40"/>
      <c r="J187" s="40"/>
      <c r="K187" s="40"/>
      <c r="L187" s="40"/>
      <c r="M187" s="205"/>
      <c r="N187" s="40"/>
      <c r="O187" s="43"/>
      <c r="P187" s="41"/>
      <c r="Q187" s="41"/>
      <c r="R187" s="41"/>
      <c r="W187" s="220">
        <v>1</v>
      </c>
    </row>
    <row r="188" spans="1:23" s="39" customFormat="1" ht="15" customHeight="1" outlineLevel="1" x14ac:dyDescent="0.35">
      <c r="A188" s="221"/>
      <c r="B188" s="41"/>
      <c r="C188" s="394" t="s">
        <v>204</v>
      </c>
      <c r="D188" s="395"/>
      <c r="E188" s="395"/>
      <c r="F188" s="395"/>
      <c r="G188" s="395"/>
      <c r="H188" s="396"/>
      <c r="I188" s="232" t="s">
        <v>205</v>
      </c>
      <c r="J188" s="233" t="s">
        <v>206</v>
      </c>
      <c r="K188" s="207" t="s">
        <v>194</v>
      </c>
      <c r="M188" s="234"/>
      <c r="O188" s="43"/>
      <c r="P188" s="41"/>
      <c r="Q188" s="41"/>
      <c r="R188" s="41"/>
      <c r="S188" s="41"/>
      <c r="W188" s="220">
        <v>1</v>
      </c>
    </row>
    <row r="189" spans="1:23" s="39" customFormat="1" outlineLevel="1" x14ac:dyDescent="0.35">
      <c r="A189" s="221"/>
      <c r="B189" s="41"/>
      <c r="C189" s="349" t="s">
        <v>207</v>
      </c>
      <c r="D189" s="350"/>
      <c r="E189" s="350"/>
      <c r="F189" s="350"/>
      <c r="G189" s="350" t="s">
        <v>165</v>
      </c>
      <c r="H189" s="243">
        <v>4180360835</v>
      </c>
      <c r="I189" s="244">
        <v>0</v>
      </c>
      <c r="J189" s="245">
        <v>0.5</v>
      </c>
      <c r="K189" s="209">
        <v>20</v>
      </c>
      <c r="M189" s="234"/>
      <c r="O189" s="43"/>
      <c r="P189" s="41"/>
      <c r="Q189" s="41"/>
      <c r="R189" s="41"/>
      <c r="S189" s="41"/>
      <c r="W189" s="220">
        <v>1</v>
      </c>
    </row>
    <row r="190" spans="1:23" s="39" customFormat="1" outlineLevel="1" x14ac:dyDescent="0.35">
      <c r="A190" s="221"/>
      <c r="B190" s="41"/>
      <c r="C190" s="349" t="s">
        <v>208</v>
      </c>
      <c r="D190" s="350"/>
      <c r="E190" s="350"/>
      <c r="F190" s="350"/>
      <c r="G190" s="350"/>
      <c r="H190" s="243">
        <v>632572207</v>
      </c>
      <c r="I190" s="244">
        <v>0.5</v>
      </c>
      <c r="J190" s="245">
        <v>0.75</v>
      </c>
      <c r="K190" s="209">
        <v>25</v>
      </c>
      <c r="M190" s="234"/>
      <c r="O190" s="43"/>
      <c r="P190" s="41"/>
      <c r="Q190" s="41"/>
      <c r="R190" s="41"/>
      <c r="S190" s="41"/>
      <c r="W190" s="220">
        <v>1</v>
      </c>
    </row>
    <row r="191" spans="1:23" s="39" customFormat="1" outlineLevel="1" x14ac:dyDescent="0.35">
      <c r="A191" s="221"/>
      <c r="B191" s="41"/>
      <c r="C191" s="349" t="s">
        <v>209</v>
      </c>
      <c r="D191" s="350"/>
      <c r="E191" s="350"/>
      <c r="F191" s="350"/>
      <c r="G191" s="350"/>
      <c r="H191" s="246">
        <f>IF(H189="",0,H189/H190)</f>
        <v>6.6085117062375138</v>
      </c>
      <c r="I191" s="244">
        <v>0.75</v>
      </c>
      <c r="J191" s="245">
        <v>1</v>
      </c>
      <c r="K191" s="209">
        <v>30</v>
      </c>
      <c r="M191" s="234"/>
      <c r="O191" s="43"/>
      <c r="P191" s="41"/>
      <c r="Q191" s="41"/>
      <c r="R191" s="41"/>
      <c r="S191" s="41"/>
      <c r="W191" s="220">
        <v>1</v>
      </c>
    </row>
    <row r="192" spans="1:23" s="39" customFormat="1" ht="13.5" customHeight="1" outlineLevel="1" thickBot="1" x14ac:dyDescent="0.4">
      <c r="A192" s="221"/>
      <c r="B192" s="41"/>
      <c r="C192" s="355" t="s">
        <v>210</v>
      </c>
      <c r="D192" s="356"/>
      <c r="E192" s="356"/>
      <c r="F192" s="356"/>
      <c r="G192" s="356"/>
      <c r="H192" s="241">
        <f>IF(H191="",0,IF(H191&lt;0.5,20,IF(H191&lt;0.75,25,IF(H191&lt;1,30,IF(H191&lt;1.5,35,40)))))</f>
        <v>40</v>
      </c>
      <c r="I192" s="244">
        <v>1</v>
      </c>
      <c r="J192" s="245">
        <v>1.5</v>
      </c>
      <c r="K192" s="209">
        <v>35</v>
      </c>
      <c r="M192" s="234"/>
      <c r="O192" s="43"/>
      <c r="P192" s="41"/>
      <c r="Q192" s="41"/>
      <c r="R192" s="41"/>
      <c r="S192" s="41"/>
      <c r="W192" s="220">
        <v>1</v>
      </c>
    </row>
    <row r="193" spans="1:27" s="39" customFormat="1" ht="12" outlineLevel="1" thickBot="1" x14ac:dyDescent="0.4">
      <c r="A193" s="221"/>
      <c r="B193" s="41"/>
      <c r="I193" s="247">
        <v>1.5</v>
      </c>
      <c r="J193" s="248" t="s">
        <v>199</v>
      </c>
      <c r="K193" s="239">
        <v>40</v>
      </c>
      <c r="M193" s="234"/>
      <c r="O193" s="43"/>
      <c r="P193" s="41"/>
      <c r="Q193" s="41"/>
      <c r="R193" s="41"/>
      <c r="S193" s="41"/>
      <c r="W193" s="220">
        <v>1</v>
      </c>
    </row>
    <row r="194" spans="1:27" s="39" customFormat="1" ht="5.25" customHeight="1" outlineLevel="1" thickBot="1" x14ac:dyDescent="0.4">
      <c r="A194" s="204"/>
      <c r="B194" s="40"/>
      <c r="C194" s="40"/>
      <c r="D194" s="40"/>
      <c r="E194" s="40"/>
      <c r="F194" s="40"/>
      <c r="G194" s="40"/>
      <c r="H194" s="40"/>
      <c r="I194" s="40"/>
      <c r="J194" s="40"/>
      <c r="K194" s="40"/>
      <c r="L194" s="40"/>
      <c r="M194" s="205"/>
      <c r="N194" s="40"/>
      <c r="O194" s="43"/>
      <c r="P194" s="41"/>
      <c r="Q194" s="41"/>
      <c r="R194" s="41"/>
      <c r="W194" s="220">
        <v>1</v>
      </c>
    </row>
    <row r="195" spans="1:27" s="39" customFormat="1" outlineLevel="1" x14ac:dyDescent="0.35">
      <c r="A195" s="221"/>
      <c r="B195" s="41"/>
      <c r="C195" s="394" t="s">
        <v>211</v>
      </c>
      <c r="D195" s="395"/>
      <c r="E195" s="395"/>
      <c r="F195" s="395"/>
      <c r="G195" s="395"/>
      <c r="H195" s="396"/>
      <c r="I195" s="232" t="s">
        <v>212</v>
      </c>
      <c r="J195" s="233" t="s">
        <v>213</v>
      </c>
      <c r="K195" s="207" t="s">
        <v>194</v>
      </c>
      <c r="M195" s="234"/>
      <c r="O195" s="43"/>
      <c r="P195" s="41"/>
      <c r="Q195" s="41"/>
      <c r="R195" s="41"/>
      <c r="S195" s="41"/>
      <c r="W195" s="220">
        <v>1</v>
      </c>
    </row>
    <row r="196" spans="1:27" s="39" customFormat="1" ht="12.75" customHeight="1" outlineLevel="1" x14ac:dyDescent="0.35">
      <c r="A196" s="221"/>
      <c r="B196" s="41"/>
      <c r="C196" s="349" t="s">
        <v>214</v>
      </c>
      <c r="D196" s="350"/>
      <c r="E196" s="350"/>
      <c r="F196" s="350"/>
      <c r="G196" s="350" t="s">
        <v>165</v>
      </c>
      <c r="H196" s="249">
        <v>3</v>
      </c>
      <c r="I196" s="250">
        <v>1</v>
      </c>
      <c r="J196" s="251">
        <v>5</v>
      </c>
      <c r="K196" s="209">
        <v>20</v>
      </c>
      <c r="M196" s="234"/>
      <c r="O196" s="43"/>
      <c r="P196" s="41"/>
      <c r="Q196" s="41"/>
      <c r="R196" s="41"/>
      <c r="S196" s="41"/>
      <c r="W196" s="220">
        <v>1</v>
      </c>
    </row>
    <row r="197" spans="1:27" s="39" customFormat="1" ht="13.5" customHeight="1" outlineLevel="1" thickBot="1" x14ac:dyDescent="0.4">
      <c r="A197" s="221"/>
      <c r="B197" s="41"/>
      <c r="C197" s="355" t="s">
        <v>215</v>
      </c>
      <c r="D197" s="356"/>
      <c r="E197" s="356"/>
      <c r="F197" s="356"/>
      <c r="G197" s="356"/>
      <c r="H197" s="241">
        <f>IF(H196&lt;1,0,IF(H196&lt;=5,20,IF(H196&lt;=10,30,40)))</f>
        <v>20</v>
      </c>
      <c r="I197" s="250">
        <v>6</v>
      </c>
      <c r="J197" s="251">
        <v>10</v>
      </c>
      <c r="K197" s="209">
        <v>30</v>
      </c>
      <c r="M197" s="234"/>
      <c r="O197" s="43"/>
      <c r="P197" s="41"/>
      <c r="Q197" s="41"/>
      <c r="R197" s="41"/>
      <c r="S197" s="41"/>
      <c r="W197" s="220">
        <v>1</v>
      </c>
    </row>
    <row r="198" spans="1:27" s="39" customFormat="1" ht="13.5" customHeight="1" outlineLevel="1" thickBot="1" x14ac:dyDescent="0.4">
      <c r="A198" s="221"/>
      <c r="B198" s="41"/>
      <c r="I198" s="252">
        <v>11</v>
      </c>
      <c r="J198" s="248" t="s">
        <v>199</v>
      </c>
      <c r="K198" s="239">
        <v>40</v>
      </c>
      <c r="M198" s="234"/>
      <c r="O198" s="43"/>
      <c r="P198" s="41"/>
      <c r="Q198" s="41"/>
      <c r="R198" s="41"/>
      <c r="S198" s="41"/>
      <c r="W198" s="220">
        <v>1</v>
      </c>
    </row>
    <row r="199" spans="1:27" s="39" customFormat="1" ht="5.25" customHeight="1" outlineLevel="1" thickBot="1" x14ac:dyDescent="0.4">
      <c r="A199" s="204"/>
      <c r="B199" s="40"/>
      <c r="C199" s="40"/>
      <c r="D199" s="40"/>
      <c r="E199" s="40"/>
      <c r="F199" s="40"/>
      <c r="G199" s="40"/>
      <c r="H199" s="40"/>
      <c r="I199" s="40"/>
      <c r="J199" s="40"/>
      <c r="K199" s="40"/>
      <c r="L199" s="40"/>
      <c r="M199" s="205"/>
      <c r="N199" s="40"/>
      <c r="O199" s="43"/>
      <c r="P199" s="41"/>
      <c r="Q199" s="41"/>
      <c r="R199" s="41"/>
      <c r="W199" s="220">
        <v>1</v>
      </c>
    </row>
    <row r="200" spans="1:27" s="39" customFormat="1" ht="15.75" customHeight="1" outlineLevel="1" thickBot="1" x14ac:dyDescent="0.4">
      <c r="A200" s="221"/>
      <c r="B200" s="41"/>
      <c r="C200" s="444" t="s">
        <v>216</v>
      </c>
      <c r="D200" s="445"/>
      <c r="E200" s="445"/>
      <c r="F200" s="445"/>
      <c r="G200" s="445"/>
      <c r="H200" s="445"/>
      <c r="I200" s="445"/>
      <c r="J200" s="445"/>
      <c r="K200" s="445"/>
      <c r="L200" s="445"/>
      <c r="M200" s="446"/>
      <c r="O200" s="43"/>
      <c r="P200" s="41"/>
      <c r="Q200" s="41"/>
      <c r="R200" s="41"/>
      <c r="S200" s="41"/>
      <c r="W200" s="220">
        <v>1</v>
      </c>
    </row>
    <row r="201" spans="1:27" ht="12.75" customHeight="1" outlineLevel="1" thickBot="1" x14ac:dyDescent="0.4">
      <c r="A201" s="253"/>
      <c r="B201" s="254"/>
      <c r="C201" s="447" t="s">
        <v>217</v>
      </c>
      <c r="D201" s="448"/>
      <c r="E201" s="448"/>
      <c r="F201" s="448"/>
      <c r="G201" s="448"/>
      <c r="H201" s="448"/>
      <c r="I201" s="448"/>
      <c r="J201" s="448"/>
      <c r="K201" s="448"/>
      <c r="L201" s="448"/>
      <c r="M201" s="449"/>
      <c r="O201" s="43"/>
      <c r="P201" s="41"/>
      <c r="W201" s="220">
        <v>1</v>
      </c>
    </row>
    <row r="202" spans="1:27" ht="23" outlineLevel="1" x14ac:dyDescent="0.35">
      <c r="A202" s="255"/>
      <c r="B202" s="254"/>
      <c r="C202" s="256" t="s">
        <v>218</v>
      </c>
      <c r="D202" s="257" t="s">
        <v>219</v>
      </c>
      <c r="E202" s="258" t="s">
        <v>198</v>
      </c>
      <c r="F202" s="258" t="s">
        <v>220</v>
      </c>
      <c r="G202" s="258" t="s">
        <v>221</v>
      </c>
      <c r="H202" s="258" t="s">
        <v>222</v>
      </c>
      <c r="I202" s="258" t="s">
        <v>223</v>
      </c>
      <c r="J202" s="258" t="s">
        <v>224</v>
      </c>
      <c r="K202" s="258" t="s">
        <v>225</v>
      </c>
      <c r="L202" s="259" t="s">
        <v>226</v>
      </c>
      <c r="M202" s="260" t="s">
        <v>227</v>
      </c>
      <c r="O202" s="43"/>
      <c r="P202" s="41"/>
      <c r="W202" s="220">
        <v>1</v>
      </c>
    </row>
    <row r="203" spans="1:27" outlineLevel="1" x14ac:dyDescent="0.35">
      <c r="A203" s="255"/>
      <c r="B203" s="254"/>
      <c r="C203" s="261">
        <v>1</v>
      </c>
      <c r="D203" s="262">
        <v>0.9</v>
      </c>
      <c r="E203" s="263">
        <v>4254911365</v>
      </c>
      <c r="F203" s="264">
        <v>6</v>
      </c>
      <c r="G203" s="265">
        <v>45460</v>
      </c>
      <c r="H203" s="265"/>
      <c r="I203" s="265"/>
      <c r="J203" s="265"/>
      <c r="K203" s="265"/>
      <c r="L203" s="236">
        <f>IF(C203="","",IF(IF(H203&lt;&gt;"",IF(I203&lt;&gt;"",IF(J203&lt;&gt;"",IF(K203&lt;&gt;"",G203+F203*30+(I203-H203)+(K203-J203)-$E$14,G203+F203*30+(I203-H203)-J203),G203+F203*30+(I203-H203)-$E$14),G203+F203*30-H203),G203+F203*30-$E$14)&lt;0,0,IF(H203&lt;&gt;"",IF(I203&lt;&gt;"",IF(J203&lt;&gt;"",IF(K203&lt;&gt;"",G203+F203*30+(I203-H203)+(K203-J203)-$E$14,G203+F203*30+(I203-H203)-J203),G203+F203*30+(I203-H203)-$E$14),G203+F203*30-H203),G203+F203*30-$E$14)))</f>
        <v>128</v>
      </c>
      <c r="M203" s="266">
        <f t="shared" ref="M203:M210" si="2">IF(C203="","",IF(L203&lt;360,D203*E203*L203/(F203*30),D203*E203*360/(F203*30)))</f>
        <v>2723143273.5999999</v>
      </c>
      <c r="O203" s="43"/>
      <c r="P203" s="41"/>
      <c r="W203" s="220">
        <v>1</v>
      </c>
    </row>
    <row r="204" spans="1:27" outlineLevel="1" x14ac:dyDescent="0.35">
      <c r="A204" s="255"/>
      <c r="B204" s="254"/>
      <c r="C204" s="261">
        <v>2</v>
      </c>
      <c r="D204" s="262">
        <v>0.9</v>
      </c>
      <c r="E204" s="263">
        <v>1206619665</v>
      </c>
      <c r="F204" s="264">
        <v>5</v>
      </c>
      <c r="G204" s="265">
        <v>45450</v>
      </c>
      <c r="H204" s="265"/>
      <c r="I204" s="265"/>
      <c r="J204" s="265"/>
      <c r="K204" s="265"/>
      <c r="L204" s="236"/>
      <c r="M204" s="266">
        <f t="shared" si="2"/>
        <v>0</v>
      </c>
      <c r="O204" s="43"/>
      <c r="P204" s="265">
        <v>43693</v>
      </c>
      <c r="Q204" s="265">
        <v>43914</v>
      </c>
      <c r="R204" s="265">
        <v>44025</v>
      </c>
      <c r="S204" s="265">
        <v>44132</v>
      </c>
      <c r="T204" s="265">
        <v>44298</v>
      </c>
      <c r="U204" s="267">
        <v>44323</v>
      </c>
      <c r="V204" s="267">
        <v>44403</v>
      </c>
      <c r="W204" s="220">
        <v>1</v>
      </c>
      <c r="X204" s="267">
        <v>44442</v>
      </c>
      <c r="Y204" s="267">
        <v>44578</v>
      </c>
      <c r="Z204" s="267">
        <v>44650</v>
      </c>
    </row>
    <row r="205" spans="1:27" outlineLevel="1" x14ac:dyDescent="0.35">
      <c r="A205" s="255"/>
      <c r="B205" s="254"/>
      <c r="C205" s="261"/>
      <c r="D205" s="262"/>
      <c r="E205" s="263"/>
      <c r="F205" s="264"/>
      <c r="G205" s="265"/>
      <c r="H205" s="265"/>
      <c r="I205" s="265"/>
      <c r="J205" s="265"/>
      <c r="K205" s="265"/>
      <c r="L205" s="236" t="str">
        <f t="shared" ref="L205:L210" si="3">IF(C205="","",IF(IF(H205&lt;&gt;"",IF(I205&lt;&gt;"",IF(J205&lt;&gt;"",IF(K205&lt;&gt;"",G206+F205*30+(I205-H205)+(K205-J205)-$E$14,G206+F205*30+(I205-H205)-J205),G206+F205*30+(I205-H205)-$E$14),G206+F205*30-H205),G206+F205*30-$E$14)&lt;0,0,IF(H205&lt;&gt;"",IF(I205&lt;&gt;"",IF(J205&lt;&gt;"",IF(K205&lt;&gt;"",G206+F205*30+(I205-H205)+(K205-J205)-$E$14,G206+F205*30+(I205-H205)-J205),G206+F205*30+(I205-H205)-$E$14),G206+F205*30-H205),G206+F205*30-$E$14)))</f>
        <v/>
      </c>
      <c r="M205" s="266" t="str">
        <f t="shared" si="2"/>
        <v/>
      </c>
      <c r="O205" s="43"/>
      <c r="P205" s="268">
        <f>+Q204-P204</f>
        <v>221</v>
      </c>
      <c r="Q205" s="267"/>
      <c r="R205" s="267">
        <f>+S204-R204</f>
        <v>107</v>
      </c>
      <c r="S205" s="267"/>
      <c r="T205" s="267">
        <f>+U204-T204</f>
        <v>25</v>
      </c>
      <c r="U205" s="267"/>
      <c r="V205" s="267">
        <f>+X204-V204</f>
        <v>39</v>
      </c>
      <c r="W205" s="220">
        <v>1</v>
      </c>
      <c r="X205" s="267"/>
      <c r="Y205" s="267">
        <f>+Z204-Y204</f>
        <v>72</v>
      </c>
      <c r="AA205" s="18">
        <f>+P205+R205+T205+V205+Y205</f>
        <v>464</v>
      </c>
    </row>
    <row r="206" spans="1:27" outlineLevel="1" x14ac:dyDescent="0.35">
      <c r="A206" s="255"/>
      <c r="B206" s="254"/>
      <c r="C206" s="261"/>
      <c r="D206" s="262"/>
      <c r="E206" s="263"/>
      <c r="F206" s="264"/>
      <c r="G206" s="265"/>
      <c r="H206" s="265"/>
      <c r="I206" s="265"/>
      <c r="J206" s="265"/>
      <c r="K206" s="265"/>
      <c r="L206" s="236" t="str">
        <f t="shared" si="3"/>
        <v/>
      </c>
      <c r="M206" s="266" t="str">
        <f t="shared" si="2"/>
        <v/>
      </c>
      <c r="O206" s="43"/>
      <c r="P206" s="41"/>
      <c r="W206" s="220">
        <v>1</v>
      </c>
    </row>
    <row r="207" spans="1:27" outlineLevel="1" x14ac:dyDescent="0.35">
      <c r="A207" s="255"/>
      <c r="B207" s="254"/>
      <c r="C207" s="261"/>
      <c r="D207" s="262"/>
      <c r="E207" s="263"/>
      <c r="F207" s="264"/>
      <c r="G207" s="265"/>
      <c r="H207" s="265"/>
      <c r="I207" s="265"/>
      <c r="J207" s="265"/>
      <c r="K207" s="265"/>
      <c r="L207" s="236" t="str">
        <f t="shared" si="3"/>
        <v/>
      </c>
      <c r="M207" s="266" t="str">
        <f t="shared" si="2"/>
        <v/>
      </c>
      <c r="O207" s="43"/>
      <c r="P207" s="41"/>
      <c r="W207" s="220">
        <v>1</v>
      </c>
    </row>
    <row r="208" spans="1:27" outlineLevel="1" x14ac:dyDescent="0.35">
      <c r="A208" s="255"/>
      <c r="B208" s="254"/>
      <c r="C208" s="261"/>
      <c r="D208" s="262"/>
      <c r="E208" s="263"/>
      <c r="F208" s="264"/>
      <c r="G208" s="265"/>
      <c r="H208" s="265"/>
      <c r="I208" s="265"/>
      <c r="J208" s="265"/>
      <c r="K208" s="265"/>
      <c r="L208" s="236" t="str">
        <f t="shared" si="3"/>
        <v/>
      </c>
      <c r="M208" s="266" t="str">
        <f t="shared" si="2"/>
        <v/>
      </c>
      <c r="O208" s="43"/>
      <c r="P208" s="41"/>
      <c r="W208" s="220"/>
    </row>
    <row r="209" spans="1:23" outlineLevel="1" x14ac:dyDescent="0.35">
      <c r="A209" s="255"/>
      <c r="B209" s="254"/>
      <c r="C209" s="261"/>
      <c r="D209" s="262"/>
      <c r="E209" s="263"/>
      <c r="F209" s="264"/>
      <c r="G209" s="265"/>
      <c r="H209" s="265"/>
      <c r="I209" s="265"/>
      <c r="J209" s="265"/>
      <c r="K209" s="265"/>
      <c r="L209" s="236" t="str">
        <f t="shared" si="3"/>
        <v/>
      </c>
      <c r="M209" s="266" t="str">
        <f t="shared" si="2"/>
        <v/>
      </c>
      <c r="O209" s="43"/>
      <c r="P209" s="41"/>
      <c r="W209" s="220"/>
    </row>
    <row r="210" spans="1:23" outlineLevel="1" x14ac:dyDescent="0.35">
      <c r="A210" s="255"/>
      <c r="B210" s="254"/>
      <c r="C210" s="261"/>
      <c r="D210" s="262"/>
      <c r="E210" s="263"/>
      <c r="F210" s="264"/>
      <c r="G210" s="265"/>
      <c r="H210" s="265"/>
      <c r="I210" s="265"/>
      <c r="J210" s="265"/>
      <c r="K210" s="265"/>
      <c r="L210" s="236" t="str">
        <f t="shared" si="3"/>
        <v/>
      </c>
      <c r="M210" s="266" t="str">
        <f t="shared" si="2"/>
        <v/>
      </c>
      <c r="O210" s="43"/>
      <c r="P210" s="41"/>
      <c r="W210" s="220"/>
    </row>
    <row r="211" spans="1:23" ht="13.5" customHeight="1" outlineLevel="1" thickBot="1" x14ac:dyDescent="0.4">
      <c r="A211" s="255"/>
      <c r="C211" s="450" t="s">
        <v>228</v>
      </c>
      <c r="D211" s="451"/>
      <c r="E211" s="451"/>
      <c r="F211" s="451"/>
      <c r="G211" s="451"/>
      <c r="H211" s="451"/>
      <c r="I211" s="451"/>
      <c r="J211" s="451"/>
      <c r="K211" s="451"/>
      <c r="L211" s="429"/>
      <c r="M211" s="269">
        <f>SUM(M202:M210)</f>
        <v>2723143273.5999999</v>
      </c>
      <c r="O211" s="43"/>
      <c r="P211" s="41"/>
      <c r="W211" s="220">
        <v>1</v>
      </c>
    </row>
    <row r="212" spans="1:23" s="39" customFormat="1" ht="4.5" customHeight="1" outlineLevel="1" thickBot="1" x14ac:dyDescent="0.4">
      <c r="A212" s="270"/>
      <c r="B212" s="271"/>
      <c r="C212" s="272"/>
      <c r="D212" s="272"/>
      <c r="E212" s="272"/>
      <c r="F212" s="272"/>
      <c r="G212" s="272"/>
      <c r="H212" s="272"/>
      <c r="I212" s="272"/>
      <c r="J212" s="271"/>
      <c r="K212" s="271"/>
      <c r="L212" s="271"/>
      <c r="M212" s="273"/>
      <c r="N212" s="43"/>
      <c r="O212" s="43"/>
      <c r="P212" s="41"/>
      <c r="W212" s="220">
        <v>1</v>
      </c>
    </row>
    <row r="213" spans="1:23" s="39" customFormat="1" ht="15.75" customHeight="1" thickBot="1" x14ac:dyDescent="0.4">
      <c r="A213" s="215">
        <v>4</v>
      </c>
      <c r="B213" s="389" t="s">
        <v>95</v>
      </c>
      <c r="C213" s="390"/>
      <c r="D213" s="390"/>
      <c r="E213" s="390"/>
      <c r="F213" s="390"/>
      <c r="G213" s="390"/>
      <c r="H213" s="390"/>
      <c r="I213" s="391"/>
      <c r="J213" s="216" t="s">
        <v>172</v>
      </c>
      <c r="K213" s="392">
        <f>G222*(H233+H239+H244)/100-M255</f>
        <v>910800000</v>
      </c>
      <c r="L213" s="392"/>
      <c r="M213" s="217" t="str">
        <f>IF(K213&gt;$E$17,"CUMPLE","NO CUMPLE")</f>
        <v>CUMPLE</v>
      </c>
      <c r="N213" s="39">
        <v>1</v>
      </c>
      <c r="O213" s="43"/>
      <c r="P213" s="41"/>
      <c r="Q213" s="218" t="str">
        <f>B213</f>
        <v>EMPRESA ASOCIATIVA DE TRABAJO UNIDOS AL FUTURO</v>
      </c>
      <c r="R213" s="41"/>
      <c r="W213" s="219">
        <v>1</v>
      </c>
    </row>
    <row r="214" spans="1:23" s="39" customFormat="1" ht="5.25" customHeight="1" outlineLevel="1" thickBot="1" x14ac:dyDescent="0.4">
      <c r="A214" s="204"/>
      <c r="B214" s="40"/>
      <c r="C214" s="40"/>
      <c r="D214" s="40"/>
      <c r="E214" s="40"/>
      <c r="F214" s="40"/>
      <c r="G214" s="40"/>
      <c r="H214" s="40"/>
      <c r="I214" s="40"/>
      <c r="J214" s="40"/>
      <c r="K214" s="40"/>
      <c r="L214" s="40"/>
      <c r="M214" s="205"/>
      <c r="N214" s="40"/>
      <c r="O214" s="43"/>
      <c r="P214" s="41"/>
      <c r="Q214" s="41"/>
      <c r="R214" s="41"/>
      <c r="W214" s="220">
        <v>1</v>
      </c>
    </row>
    <row r="215" spans="1:23" s="39" customFormat="1" outlineLevel="1" x14ac:dyDescent="0.35">
      <c r="A215" s="393"/>
      <c r="B215" s="360"/>
      <c r="C215" s="394" t="s">
        <v>173</v>
      </c>
      <c r="D215" s="395"/>
      <c r="E215" s="395"/>
      <c r="F215" s="395"/>
      <c r="G215" s="395"/>
      <c r="H215" s="396"/>
      <c r="I215" s="397" t="s">
        <v>174</v>
      </c>
      <c r="J215" s="398"/>
      <c r="K215" s="398" t="s">
        <v>175</v>
      </c>
      <c r="L215" s="398"/>
      <c r="M215" s="399"/>
      <c r="O215" s="43"/>
      <c r="P215" s="41"/>
      <c r="Q215" s="41"/>
      <c r="R215" s="41"/>
      <c r="W215" s="220">
        <v>1</v>
      </c>
    </row>
    <row r="216" spans="1:23" s="39" customFormat="1" ht="12.75" customHeight="1" outlineLevel="1" x14ac:dyDescent="0.35">
      <c r="A216" s="221"/>
      <c r="B216" s="41"/>
      <c r="C216" s="351" t="s">
        <v>176</v>
      </c>
      <c r="D216" s="375"/>
      <c r="E216" s="352"/>
      <c r="F216" s="352"/>
      <c r="G216" s="376" t="s">
        <v>165</v>
      </c>
      <c r="H216" s="377"/>
      <c r="I216" s="378" t="s">
        <v>177</v>
      </c>
      <c r="J216" s="379"/>
      <c r="K216" s="379" t="s">
        <v>178</v>
      </c>
      <c r="L216" s="379"/>
      <c r="M216" s="380"/>
      <c r="O216" s="43"/>
      <c r="P216" s="41"/>
      <c r="Q216" s="41"/>
      <c r="R216" s="41"/>
      <c r="W216" s="220">
        <v>1</v>
      </c>
    </row>
    <row r="217" spans="1:23" s="39" customFormat="1" ht="12.75" customHeight="1" outlineLevel="1" x14ac:dyDescent="0.35">
      <c r="A217" s="221"/>
      <c r="B217" s="41"/>
      <c r="C217" s="381" t="s">
        <v>179</v>
      </c>
      <c r="D217" s="382"/>
      <c r="E217" s="382"/>
      <c r="F217" s="375"/>
      <c r="G217" s="383">
        <v>2023</v>
      </c>
      <c r="H217" s="384"/>
      <c r="I217" s="378" t="s">
        <v>180</v>
      </c>
      <c r="J217" s="379"/>
      <c r="K217" s="379" t="s">
        <v>181</v>
      </c>
      <c r="L217" s="379"/>
      <c r="M217" s="380"/>
      <c r="O217" s="43"/>
      <c r="P217" s="41"/>
      <c r="Q217" s="41"/>
      <c r="R217" s="41"/>
      <c r="W217" s="220">
        <v>1</v>
      </c>
    </row>
    <row r="218" spans="1:23" s="39" customFormat="1" ht="12.75" customHeight="1" outlineLevel="1" thickBot="1" x14ac:dyDescent="0.4">
      <c r="A218" s="221"/>
      <c r="B218" s="41"/>
      <c r="C218" s="349" t="str">
        <f>IF(G216="","",IF(G216=$O$13,"Valor umbral Mipyme.","Total Ingresos Operacionales Acreditados"))</f>
        <v>Total Ingresos Operacionales Acreditados</v>
      </c>
      <c r="D218" s="412"/>
      <c r="E218" s="350"/>
      <c r="F218" s="350"/>
      <c r="G218" s="413">
        <v>417885907</v>
      </c>
      <c r="H218" s="414"/>
      <c r="I218" s="415" t="s">
        <v>182</v>
      </c>
      <c r="J218" s="416"/>
      <c r="K218" s="222" t="s">
        <v>183</v>
      </c>
      <c r="L218" s="417">
        <f>4048*125000</f>
        <v>506000000</v>
      </c>
      <c r="M218" s="418"/>
      <c r="O218" s="43"/>
      <c r="P218" s="41"/>
      <c r="Q218" s="41"/>
      <c r="R218" s="41"/>
      <c r="W218" s="220">
        <v>1</v>
      </c>
    </row>
    <row r="219" spans="1:23" s="39" customFormat="1" ht="12.75" customHeight="1" outlineLevel="1" x14ac:dyDescent="0.35">
      <c r="A219" s="221"/>
      <c r="B219" s="41"/>
      <c r="C219" s="419" t="s">
        <v>184</v>
      </c>
      <c r="D219" s="420"/>
      <c r="E219" s="420"/>
      <c r="F219" s="420"/>
      <c r="G219" s="420"/>
      <c r="H219" s="421"/>
      <c r="I219" s="223"/>
      <c r="J219" s="223"/>
      <c r="K219" s="224"/>
      <c r="L219" s="225"/>
      <c r="M219" s="225"/>
      <c r="O219" s="43"/>
      <c r="P219" s="41"/>
      <c r="Q219" s="41"/>
      <c r="R219" s="41"/>
      <c r="W219" s="220">
        <v>1</v>
      </c>
    </row>
    <row r="220" spans="1:23" s="39" customFormat="1" ht="12.75" customHeight="1" outlineLevel="1" x14ac:dyDescent="0.35">
      <c r="A220" s="221"/>
      <c r="B220" s="41"/>
      <c r="C220" s="226" t="s">
        <v>185</v>
      </c>
      <c r="D220" s="400" t="s">
        <v>239</v>
      </c>
      <c r="E220" s="401"/>
      <c r="F220" s="402" t="s">
        <v>187</v>
      </c>
      <c r="G220" s="403"/>
      <c r="H220" s="227" t="s">
        <v>188</v>
      </c>
      <c r="I220" s="404" t="str">
        <f>IF(OR(H220="Vigente",H220=""),"",IF(H220="no aporta","No aporta el certificado de antecedentes disciplinarios del "&amp;PROPER(C220)&amp;" ("&amp;PROPER(D220)&amp;") quien suscribe los estados de resultados de "&amp;B213&amp;". Debe subsanar ese documento.","El certificado de antecedentes disciplinarios del "&amp;PROPER(C220)&amp;" ("&amp;PROPER(D220)&amp;") quien suscribe los estados de resultados de "&amp;B213&amp;", no se encuentran vigentes a la fecha de cierre del proceso. Debe subsanar ese documento."))</f>
        <v/>
      </c>
      <c r="J220" s="405"/>
      <c r="K220" s="405"/>
      <c r="L220" s="405"/>
      <c r="M220" s="406"/>
      <c r="O220" s="43"/>
      <c r="P220" s="41"/>
      <c r="Q220" s="41"/>
      <c r="R220" s="41"/>
      <c r="W220" s="220">
        <v>1</v>
      </c>
    </row>
    <row r="221" spans="1:23" s="39" customFormat="1" ht="12.75" customHeight="1" outlineLevel="1" x14ac:dyDescent="0.35">
      <c r="A221" s="221"/>
      <c r="B221" s="41"/>
      <c r="C221" s="226" t="s">
        <v>189</v>
      </c>
      <c r="D221" s="400" t="s">
        <v>240</v>
      </c>
      <c r="E221" s="401"/>
      <c r="F221" s="402" t="s">
        <v>187</v>
      </c>
      <c r="G221" s="403"/>
      <c r="H221" s="227" t="s">
        <v>188</v>
      </c>
      <c r="I221" s="404" t="str">
        <f>IF(OR(H221="Vigente",H221=""),"",IF(H221="no aporta","No aporta el certificado de antecedentes disciplinarios del "&amp;PROPER(C221)&amp;" ("&amp;PROPER(D221)&amp;") quien suscribe los estados de resultados de "&amp;B213&amp;" Debe subsanar ese documento.","El certificado de antecedentes disciplinarios del "&amp;PROPER(C221)&amp;" ("&amp;PROPER(D221)&amp;") quien suscribe los estados de resultados de "&amp;B213&amp;", no se encuentran vigentes a la fecha de cierre del proceso. Debe subsanar ese documento."))</f>
        <v/>
      </c>
      <c r="J221" s="405"/>
      <c r="K221" s="405"/>
      <c r="L221" s="405"/>
      <c r="M221" s="406"/>
      <c r="O221" s="43"/>
      <c r="P221" s="41"/>
      <c r="Q221" s="41"/>
      <c r="R221" s="41"/>
      <c r="W221" s="220">
        <v>1</v>
      </c>
    </row>
    <row r="222" spans="1:23" s="39" customFormat="1" ht="13.5" customHeight="1" outlineLevel="1" thickBot="1" x14ac:dyDescent="0.4">
      <c r="A222" s="221"/>
      <c r="B222" s="41"/>
      <c r="C222" s="228" t="s">
        <v>191</v>
      </c>
      <c r="D222" s="229"/>
      <c r="E222" s="230"/>
      <c r="F222" s="230"/>
      <c r="G222" s="407">
        <f>IF(OR(H220="SIN VIGENCIA",H220="NO APORTA",H221="SIN VIGENCIA",H221="NO APORTA"),0,IF(G216="",0,IF(G216=$O$13,L218,IF(G218&lt;L218,L218,G218))))</f>
        <v>506000000</v>
      </c>
      <c r="H222" s="408"/>
      <c r="O222" s="43"/>
      <c r="P222" s="41"/>
      <c r="Q222" s="41"/>
      <c r="R222" s="41"/>
      <c r="W222" s="220">
        <v>1</v>
      </c>
    </row>
    <row r="223" spans="1:23" s="39" customFormat="1" ht="5.25" customHeight="1" outlineLevel="1" thickBot="1" x14ac:dyDescent="0.4">
      <c r="A223" s="204"/>
      <c r="B223" s="40"/>
      <c r="C223" s="40"/>
      <c r="D223" s="40"/>
      <c r="E223" s="40"/>
      <c r="F223" s="40"/>
      <c r="G223" s="40"/>
      <c r="H223" s="40"/>
      <c r="I223" s="40"/>
      <c r="J223" s="40"/>
      <c r="K223" s="40"/>
      <c r="L223" s="40"/>
      <c r="M223" s="205"/>
      <c r="N223" s="40"/>
      <c r="O223" s="43"/>
      <c r="P223" s="41"/>
      <c r="Q223" s="41"/>
      <c r="R223" s="41"/>
      <c r="W223" s="220">
        <v>1</v>
      </c>
    </row>
    <row r="224" spans="1:23" s="39" customFormat="1" outlineLevel="1" x14ac:dyDescent="0.35">
      <c r="A224" s="221"/>
      <c r="B224" s="41"/>
      <c r="C224" s="409" t="s">
        <v>164</v>
      </c>
      <c r="D224" s="395"/>
      <c r="E224" s="395"/>
      <c r="F224" s="395"/>
      <c r="G224" s="395"/>
      <c r="H224" s="396"/>
      <c r="I224" s="232" t="s">
        <v>192</v>
      </c>
      <c r="J224" s="233" t="s">
        <v>193</v>
      </c>
      <c r="K224" s="207" t="s">
        <v>194</v>
      </c>
      <c r="M224" s="234"/>
      <c r="O224" s="43"/>
      <c r="P224" s="41"/>
      <c r="Q224" s="41"/>
      <c r="R224" s="41"/>
      <c r="S224" s="41"/>
      <c r="W224" s="220">
        <v>1</v>
      </c>
    </row>
    <row r="225" spans="1:23" s="39" customFormat="1" outlineLevel="1" x14ac:dyDescent="0.35">
      <c r="A225" s="221"/>
      <c r="B225" s="41"/>
      <c r="C225" s="351" t="s">
        <v>195</v>
      </c>
      <c r="D225" s="375"/>
      <c r="E225" s="352"/>
      <c r="F225" s="352"/>
      <c r="G225" s="410">
        <v>1</v>
      </c>
      <c r="H225" s="411"/>
      <c r="I225" s="235">
        <v>0</v>
      </c>
      <c r="J225" s="236">
        <v>3</v>
      </c>
      <c r="K225" s="209">
        <v>60</v>
      </c>
      <c r="M225" s="234"/>
      <c r="O225" s="43"/>
      <c r="P225" s="41"/>
      <c r="Q225" s="41"/>
      <c r="R225" s="41"/>
      <c r="S225" s="41"/>
      <c r="W225" s="220">
        <v>1</v>
      </c>
    </row>
    <row r="226" spans="1:23" s="39" customFormat="1" ht="12" outlineLevel="1" thickBot="1" x14ac:dyDescent="0.4">
      <c r="A226" s="221"/>
      <c r="B226" s="41"/>
      <c r="C226" s="430" t="s">
        <v>158</v>
      </c>
      <c r="D226" s="431"/>
      <c r="E226" s="432"/>
      <c r="F226" s="432"/>
      <c r="G226" s="433">
        <f>$E$13</f>
        <v>522182486</v>
      </c>
      <c r="H226" s="434"/>
      <c r="I226" s="235">
        <v>3</v>
      </c>
      <c r="J226" s="236">
        <v>6</v>
      </c>
      <c r="K226" s="209">
        <v>80</v>
      </c>
      <c r="M226" s="234"/>
      <c r="O226" s="43"/>
      <c r="P226" s="41"/>
      <c r="Q226" s="41"/>
      <c r="R226" s="41"/>
      <c r="S226" s="41"/>
      <c r="W226" s="220">
        <v>1</v>
      </c>
    </row>
    <row r="227" spans="1:23" s="39" customFormat="1" ht="12" outlineLevel="1" thickBot="1" x14ac:dyDescent="0.4">
      <c r="A227" s="221"/>
      <c r="B227" s="41"/>
      <c r="C227" s="435" t="s">
        <v>196</v>
      </c>
      <c r="D227" s="436"/>
      <c r="E227" s="437"/>
      <c r="F227" s="437"/>
      <c r="G227" s="437"/>
      <c r="H227" s="438"/>
      <c r="I227" s="235">
        <v>6</v>
      </c>
      <c r="J227" s="236">
        <v>10</v>
      </c>
      <c r="K227" s="209">
        <v>100</v>
      </c>
      <c r="M227" s="234"/>
      <c r="O227" s="43"/>
      <c r="P227" s="41"/>
      <c r="Q227" s="41"/>
      <c r="R227" s="41"/>
      <c r="S227" s="41"/>
      <c r="W227" s="220">
        <v>1</v>
      </c>
    </row>
    <row r="228" spans="1:23" s="39" customFormat="1" ht="15.75" customHeight="1" outlineLevel="1" thickBot="1" x14ac:dyDescent="0.4">
      <c r="A228" s="221"/>
      <c r="B228" s="41"/>
      <c r="C228" s="439" t="s">
        <v>197</v>
      </c>
      <c r="D228" s="440"/>
      <c r="E228" s="440"/>
      <c r="F228" s="440"/>
      <c r="G228" s="363" t="s">
        <v>198</v>
      </c>
      <c r="H228" s="364"/>
      <c r="I228" s="237">
        <v>10</v>
      </c>
      <c r="J228" s="238" t="s">
        <v>199</v>
      </c>
      <c r="K228" s="239">
        <v>120</v>
      </c>
      <c r="M228" s="234"/>
      <c r="O228" s="43"/>
      <c r="P228" s="41"/>
      <c r="Q228" s="41"/>
      <c r="R228" s="41"/>
      <c r="S228" s="41"/>
      <c r="W228" s="220">
        <v>1</v>
      </c>
    </row>
    <row r="229" spans="1:23" s="39" customFormat="1" ht="15" customHeight="1" outlineLevel="1" x14ac:dyDescent="0.35">
      <c r="A229" s="221"/>
      <c r="B229" s="41"/>
      <c r="C229" s="441" t="s">
        <v>200</v>
      </c>
      <c r="D229" s="352"/>
      <c r="E229" s="352"/>
      <c r="F229" s="352"/>
      <c r="G229" s="442">
        <v>12097518850.090488</v>
      </c>
      <c r="H229" s="443"/>
      <c r="M229" s="234"/>
      <c r="O229" s="43"/>
      <c r="P229" s="41"/>
      <c r="Q229" s="41"/>
      <c r="R229" s="41"/>
      <c r="S229" s="41"/>
      <c r="W229" s="220">
        <v>1</v>
      </c>
    </row>
    <row r="230" spans="1:23" s="39" customFormat="1" ht="3" customHeight="1" outlineLevel="1" x14ac:dyDescent="0.35">
      <c r="A230" s="221"/>
      <c r="B230" s="41"/>
      <c r="C230" s="351"/>
      <c r="D230" s="352"/>
      <c r="E230" s="352"/>
      <c r="F230" s="352"/>
      <c r="G230" s="422"/>
      <c r="H230" s="423"/>
      <c r="M230" s="234"/>
      <c r="O230" s="43"/>
      <c r="P230" s="41"/>
      <c r="Q230" s="41"/>
      <c r="R230" s="41"/>
      <c r="S230" s="41"/>
      <c r="W230" s="220">
        <v>1</v>
      </c>
    </row>
    <row r="231" spans="1:23" s="39" customFormat="1" ht="13.5" customHeight="1" outlineLevel="1" thickBot="1" x14ac:dyDescent="0.4">
      <c r="A231" s="221"/>
      <c r="B231" s="41"/>
      <c r="C231" s="355" t="s">
        <v>201</v>
      </c>
      <c r="D231" s="356"/>
      <c r="E231" s="356"/>
      <c r="F231" s="356"/>
      <c r="G231" s="424">
        <f>SUM(G228:H230)</f>
        <v>12097518850.090488</v>
      </c>
      <c r="H231" s="425"/>
      <c r="M231" s="234"/>
      <c r="O231" s="43"/>
      <c r="P231" s="41"/>
      <c r="Q231" s="41"/>
      <c r="R231" s="41"/>
      <c r="S231" s="41"/>
      <c r="W231" s="220">
        <v>1</v>
      </c>
    </row>
    <row r="232" spans="1:23" s="39" customFormat="1" outlineLevel="1" x14ac:dyDescent="0.35">
      <c r="A232" s="221"/>
      <c r="B232" s="41"/>
      <c r="C232" s="426" t="s">
        <v>202</v>
      </c>
      <c r="D232" s="427"/>
      <c r="E232" s="428"/>
      <c r="F232" s="428"/>
      <c r="G232" s="428"/>
      <c r="H232" s="240">
        <f>IF(OR(G225="",G225=0,G231=0),0,G231/(G226*G225))</f>
        <v>23.167224436727832</v>
      </c>
      <c r="M232" s="234"/>
      <c r="O232" s="43"/>
      <c r="P232" s="41"/>
      <c r="Q232" s="41"/>
      <c r="R232" s="41"/>
      <c r="S232" s="41"/>
      <c r="W232" s="220">
        <v>1</v>
      </c>
    </row>
    <row r="233" spans="1:23" s="39" customFormat="1" ht="13.5" customHeight="1" outlineLevel="1" thickBot="1" x14ac:dyDescent="0.4">
      <c r="A233" s="221"/>
      <c r="B233" s="41"/>
      <c r="C233" s="355" t="s">
        <v>203</v>
      </c>
      <c r="D233" s="429"/>
      <c r="E233" s="356"/>
      <c r="F233" s="356"/>
      <c r="G233" s="356"/>
      <c r="H233" s="241">
        <f>IF(H232&lt;=3,60,IF(H232&lt;=6,80,IF(H232&lt;=10,100,120)))</f>
        <v>120</v>
      </c>
      <c r="J233" s="242"/>
      <c r="M233" s="234"/>
      <c r="O233" s="43"/>
      <c r="P233" s="41"/>
      <c r="Q233" s="41"/>
      <c r="R233" s="41"/>
      <c r="S233" s="41"/>
      <c r="W233" s="220">
        <v>1</v>
      </c>
    </row>
    <row r="234" spans="1:23" s="39" customFormat="1" ht="5.25" customHeight="1" outlineLevel="1" thickBot="1" x14ac:dyDescent="0.4">
      <c r="A234" s="204"/>
      <c r="B234" s="40"/>
      <c r="C234" s="40"/>
      <c r="D234" s="40"/>
      <c r="E234" s="40"/>
      <c r="F234" s="40"/>
      <c r="G234" s="40"/>
      <c r="H234" s="40"/>
      <c r="I234" s="40"/>
      <c r="J234" s="40"/>
      <c r="K234" s="40"/>
      <c r="L234" s="40"/>
      <c r="M234" s="205"/>
      <c r="N234" s="40"/>
      <c r="O234" s="43"/>
      <c r="P234" s="41"/>
      <c r="Q234" s="41"/>
      <c r="R234" s="41"/>
      <c r="W234" s="220">
        <v>1</v>
      </c>
    </row>
    <row r="235" spans="1:23" s="39" customFormat="1" ht="15" customHeight="1" outlineLevel="1" x14ac:dyDescent="0.35">
      <c r="A235" s="221"/>
      <c r="B235" s="41"/>
      <c r="C235" s="394" t="s">
        <v>204</v>
      </c>
      <c r="D235" s="395"/>
      <c r="E235" s="395"/>
      <c r="F235" s="395"/>
      <c r="G235" s="395"/>
      <c r="H235" s="396"/>
      <c r="I235" s="232" t="s">
        <v>205</v>
      </c>
      <c r="J235" s="233" t="s">
        <v>206</v>
      </c>
      <c r="K235" s="207" t="s">
        <v>194</v>
      </c>
      <c r="M235" s="234"/>
      <c r="O235" s="43"/>
      <c r="P235" s="41"/>
      <c r="Q235" s="41"/>
      <c r="R235" s="41"/>
      <c r="S235" s="41"/>
      <c r="W235" s="220">
        <v>1</v>
      </c>
    </row>
    <row r="236" spans="1:23" s="39" customFormat="1" outlineLevel="1" x14ac:dyDescent="0.35">
      <c r="A236" s="221"/>
      <c r="B236" s="41"/>
      <c r="C236" s="349" t="s">
        <v>207</v>
      </c>
      <c r="D236" s="350"/>
      <c r="E236" s="350"/>
      <c r="F236" s="350"/>
      <c r="G236" s="350" t="s">
        <v>165</v>
      </c>
      <c r="H236" s="243">
        <v>865465287</v>
      </c>
      <c r="I236" s="244">
        <v>0</v>
      </c>
      <c r="J236" s="245">
        <v>0.5</v>
      </c>
      <c r="K236" s="209">
        <v>20</v>
      </c>
      <c r="M236" s="234"/>
      <c r="O236" s="43"/>
      <c r="P236" s="41"/>
      <c r="Q236" s="41"/>
      <c r="R236" s="41"/>
      <c r="S236" s="41"/>
      <c r="W236" s="220">
        <v>1</v>
      </c>
    </row>
    <row r="237" spans="1:23" s="39" customFormat="1" outlineLevel="1" x14ac:dyDescent="0.35">
      <c r="A237" s="221"/>
      <c r="B237" s="41"/>
      <c r="C237" s="349" t="s">
        <v>208</v>
      </c>
      <c r="D237" s="350"/>
      <c r="E237" s="350"/>
      <c r="F237" s="350"/>
      <c r="G237" s="350"/>
      <c r="H237" s="243">
        <v>3113115</v>
      </c>
      <c r="I237" s="244">
        <v>0.5</v>
      </c>
      <c r="J237" s="245">
        <v>0.75</v>
      </c>
      <c r="K237" s="209">
        <v>25</v>
      </c>
      <c r="M237" s="234"/>
      <c r="O237" s="43"/>
      <c r="P237" s="41"/>
      <c r="Q237" s="41"/>
      <c r="R237" s="41"/>
      <c r="S237" s="41"/>
      <c r="W237" s="220">
        <v>1</v>
      </c>
    </row>
    <row r="238" spans="1:23" s="39" customFormat="1" outlineLevel="1" x14ac:dyDescent="0.35">
      <c r="A238" s="221"/>
      <c r="B238" s="41"/>
      <c r="C238" s="349" t="s">
        <v>209</v>
      </c>
      <c r="D238" s="350"/>
      <c r="E238" s="350"/>
      <c r="F238" s="350"/>
      <c r="G238" s="350"/>
      <c r="H238" s="246">
        <f>IF(H236="",0,H236/H237)</f>
        <v>278.00620503900433</v>
      </c>
      <c r="I238" s="244">
        <v>0.75</v>
      </c>
      <c r="J238" s="245">
        <v>1</v>
      </c>
      <c r="K238" s="209">
        <v>30</v>
      </c>
      <c r="M238" s="234"/>
      <c r="O238" s="43"/>
      <c r="P238" s="41"/>
      <c r="Q238" s="41"/>
      <c r="R238" s="41"/>
      <c r="S238" s="41"/>
      <c r="W238" s="220">
        <v>1</v>
      </c>
    </row>
    <row r="239" spans="1:23" s="39" customFormat="1" ht="13.5" customHeight="1" outlineLevel="1" thickBot="1" x14ac:dyDescent="0.4">
      <c r="A239" s="221"/>
      <c r="B239" s="41"/>
      <c r="C239" s="355" t="s">
        <v>210</v>
      </c>
      <c r="D239" s="356"/>
      <c r="E239" s="356"/>
      <c r="F239" s="356"/>
      <c r="G239" s="356"/>
      <c r="H239" s="241">
        <f>IF(H238="",0,IF(H238&lt;0.5,20,IF(H238&lt;0.75,25,IF(H238&lt;1,30,IF(H238&lt;1.5,35,40)))))</f>
        <v>40</v>
      </c>
      <c r="I239" s="244">
        <v>1</v>
      </c>
      <c r="J239" s="245">
        <v>1.5</v>
      </c>
      <c r="K239" s="209">
        <v>35</v>
      </c>
      <c r="M239" s="234"/>
      <c r="O239" s="43"/>
      <c r="P239" s="41"/>
      <c r="Q239" s="41"/>
      <c r="R239" s="41"/>
      <c r="S239" s="41"/>
      <c r="W239" s="220">
        <v>1</v>
      </c>
    </row>
    <row r="240" spans="1:23" s="39" customFormat="1" ht="12" outlineLevel="1" thickBot="1" x14ac:dyDescent="0.4">
      <c r="A240" s="221"/>
      <c r="B240" s="41"/>
      <c r="I240" s="247">
        <v>1.5</v>
      </c>
      <c r="J240" s="248" t="s">
        <v>199</v>
      </c>
      <c r="K240" s="239">
        <v>40</v>
      </c>
      <c r="M240" s="234"/>
      <c r="O240" s="43"/>
      <c r="P240" s="41"/>
      <c r="Q240" s="41"/>
      <c r="R240" s="41"/>
      <c r="S240" s="41"/>
      <c r="W240" s="220">
        <v>1</v>
      </c>
    </row>
    <row r="241" spans="1:27" s="39" customFormat="1" ht="5.25" customHeight="1" outlineLevel="1" thickBot="1" x14ac:dyDescent="0.4">
      <c r="A241" s="204"/>
      <c r="B241" s="40"/>
      <c r="C241" s="40"/>
      <c r="D241" s="40"/>
      <c r="E241" s="40"/>
      <c r="F241" s="40"/>
      <c r="G241" s="40"/>
      <c r="H241" s="40"/>
      <c r="I241" s="40"/>
      <c r="J241" s="40"/>
      <c r="K241" s="40"/>
      <c r="L241" s="40"/>
      <c r="M241" s="205"/>
      <c r="N241" s="40"/>
      <c r="O241" s="43"/>
      <c r="P241" s="41"/>
      <c r="Q241" s="41"/>
      <c r="R241" s="41"/>
      <c r="W241" s="220">
        <v>1</v>
      </c>
    </row>
    <row r="242" spans="1:27" s="39" customFormat="1" outlineLevel="1" x14ac:dyDescent="0.35">
      <c r="A242" s="221"/>
      <c r="B242" s="41"/>
      <c r="C242" s="394" t="s">
        <v>211</v>
      </c>
      <c r="D242" s="395"/>
      <c r="E242" s="395"/>
      <c r="F242" s="395"/>
      <c r="G242" s="395"/>
      <c r="H242" s="396"/>
      <c r="I242" s="232" t="s">
        <v>212</v>
      </c>
      <c r="J242" s="233" t="s">
        <v>213</v>
      </c>
      <c r="K242" s="207" t="s">
        <v>194</v>
      </c>
      <c r="M242" s="234"/>
      <c r="O242" s="43"/>
      <c r="P242" s="41"/>
      <c r="Q242" s="41"/>
      <c r="R242" s="41"/>
      <c r="S242" s="41"/>
      <c r="W242" s="220">
        <v>1</v>
      </c>
    </row>
    <row r="243" spans="1:27" s="39" customFormat="1" ht="12.75" customHeight="1" outlineLevel="1" x14ac:dyDescent="0.35">
      <c r="A243" s="221"/>
      <c r="B243" s="41"/>
      <c r="C243" s="349" t="s">
        <v>214</v>
      </c>
      <c r="D243" s="350"/>
      <c r="E243" s="350"/>
      <c r="F243" s="350"/>
      <c r="G243" s="350" t="s">
        <v>165</v>
      </c>
      <c r="H243" s="249">
        <v>1</v>
      </c>
      <c r="I243" s="250">
        <v>1</v>
      </c>
      <c r="J243" s="251">
        <v>5</v>
      </c>
      <c r="K243" s="209">
        <v>20</v>
      </c>
      <c r="M243" s="234"/>
      <c r="O243" s="43"/>
      <c r="P243" s="41"/>
      <c r="Q243" s="41"/>
      <c r="R243" s="41"/>
      <c r="S243" s="41"/>
      <c r="W243" s="220">
        <v>1</v>
      </c>
    </row>
    <row r="244" spans="1:27" s="39" customFormat="1" ht="13.5" customHeight="1" outlineLevel="1" thickBot="1" x14ac:dyDescent="0.4">
      <c r="A244" s="221"/>
      <c r="B244" s="41"/>
      <c r="C244" s="355" t="s">
        <v>215</v>
      </c>
      <c r="D244" s="356"/>
      <c r="E244" s="356"/>
      <c r="F244" s="356"/>
      <c r="G244" s="356"/>
      <c r="H244" s="241">
        <f>IF(H243&lt;1,0,IF(H243&lt;=5,20,IF(H243&lt;=10,30,40)))</f>
        <v>20</v>
      </c>
      <c r="I244" s="250">
        <v>6</v>
      </c>
      <c r="J244" s="251">
        <v>10</v>
      </c>
      <c r="K244" s="209">
        <v>30</v>
      </c>
      <c r="M244" s="234"/>
      <c r="O244" s="43"/>
      <c r="P244" s="41"/>
      <c r="Q244" s="41"/>
      <c r="R244" s="41"/>
      <c r="S244" s="41"/>
      <c r="W244" s="220">
        <v>1</v>
      </c>
    </row>
    <row r="245" spans="1:27" s="39" customFormat="1" ht="13.5" customHeight="1" outlineLevel="1" thickBot="1" x14ac:dyDescent="0.4">
      <c r="A245" s="221"/>
      <c r="B245" s="41"/>
      <c r="I245" s="252">
        <v>11</v>
      </c>
      <c r="J245" s="248" t="s">
        <v>199</v>
      </c>
      <c r="K245" s="239">
        <v>40</v>
      </c>
      <c r="M245" s="234"/>
      <c r="O245" s="43"/>
      <c r="P245" s="41"/>
      <c r="Q245" s="41"/>
      <c r="R245" s="41"/>
      <c r="S245" s="41"/>
      <c r="W245" s="220">
        <v>1</v>
      </c>
    </row>
    <row r="246" spans="1:27" s="39" customFormat="1" ht="5.25" customHeight="1" outlineLevel="1" thickBot="1" x14ac:dyDescent="0.4">
      <c r="A246" s="204"/>
      <c r="B246" s="40"/>
      <c r="C246" s="40"/>
      <c r="D246" s="40"/>
      <c r="E246" s="40"/>
      <c r="F246" s="40"/>
      <c r="G246" s="40"/>
      <c r="H246" s="40"/>
      <c r="I246" s="40"/>
      <c r="J246" s="40"/>
      <c r="K246" s="40"/>
      <c r="L246" s="40"/>
      <c r="M246" s="205"/>
      <c r="N246" s="40"/>
      <c r="O246" s="43"/>
      <c r="P246" s="41"/>
      <c r="Q246" s="41"/>
      <c r="R246" s="41"/>
      <c r="W246" s="220">
        <v>1</v>
      </c>
    </row>
    <row r="247" spans="1:27" s="39" customFormat="1" ht="15.75" customHeight="1" outlineLevel="1" thickBot="1" x14ac:dyDescent="0.4">
      <c r="A247" s="221"/>
      <c r="B247" s="41"/>
      <c r="C247" s="444" t="s">
        <v>216</v>
      </c>
      <c r="D247" s="445"/>
      <c r="E247" s="445"/>
      <c r="F247" s="445"/>
      <c r="G247" s="445"/>
      <c r="H247" s="445"/>
      <c r="I247" s="445"/>
      <c r="J247" s="445"/>
      <c r="K247" s="445"/>
      <c r="L247" s="445"/>
      <c r="M247" s="446"/>
      <c r="O247" s="43"/>
      <c r="P247" s="41"/>
      <c r="Q247" s="41"/>
      <c r="R247" s="41"/>
      <c r="S247" s="41"/>
      <c r="W247" s="220">
        <v>1</v>
      </c>
    </row>
    <row r="248" spans="1:27" ht="12.75" customHeight="1" outlineLevel="1" thickBot="1" x14ac:dyDescent="0.4">
      <c r="A248" s="253"/>
      <c r="B248" s="254"/>
      <c r="C248" s="447" t="s">
        <v>217</v>
      </c>
      <c r="D248" s="448"/>
      <c r="E248" s="448"/>
      <c r="F248" s="448"/>
      <c r="G248" s="448"/>
      <c r="H248" s="448"/>
      <c r="I248" s="448"/>
      <c r="J248" s="448"/>
      <c r="K248" s="448"/>
      <c r="L248" s="448"/>
      <c r="M248" s="449"/>
      <c r="O248" s="43"/>
      <c r="P248" s="41"/>
      <c r="W248" s="220">
        <v>1</v>
      </c>
    </row>
    <row r="249" spans="1:27" ht="23" outlineLevel="1" x14ac:dyDescent="0.35">
      <c r="A249" s="255"/>
      <c r="B249" s="254"/>
      <c r="C249" s="256" t="s">
        <v>218</v>
      </c>
      <c r="D249" s="257" t="s">
        <v>219</v>
      </c>
      <c r="E249" s="258" t="s">
        <v>198</v>
      </c>
      <c r="F249" s="258" t="s">
        <v>220</v>
      </c>
      <c r="G249" s="258" t="s">
        <v>221</v>
      </c>
      <c r="H249" s="258" t="s">
        <v>222</v>
      </c>
      <c r="I249" s="258" t="s">
        <v>223</v>
      </c>
      <c r="J249" s="258" t="s">
        <v>224</v>
      </c>
      <c r="K249" s="258" t="s">
        <v>225</v>
      </c>
      <c r="L249" s="259" t="s">
        <v>226</v>
      </c>
      <c r="M249" s="260" t="s">
        <v>227</v>
      </c>
      <c r="O249" s="43"/>
      <c r="P249" s="41"/>
      <c r="W249" s="220">
        <v>1</v>
      </c>
    </row>
    <row r="250" spans="1:27" outlineLevel="1" x14ac:dyDescent="0.35">
      <c r="A250" s="255"/>
      <c r="B250" s="254"/>
      <c r="C250" s="261"/>
      <c r="D250" s="262"/>
      <c r="E250" s="263"/>
      <c r="F250" s="264"/>
      <c r="G250" s="265"/>
      <c r="H250" s="265"/>
      <c r="I250" s="265"/>
      <c r="J250" s="265"/>
      <c r="K250" s="265"/>
      <c r="L250" s="236"/>
      <c r="M250" s="266"/>
      <c r="O250" s="43"/>
      <c r="P250" s="41"/>
      <c r="W250" s="220">
        <v>1</v>
      </c>
    </row>
    <row r="251" spans="1:27" outlineLevel="1" x14ac:dyDescent="0.35">
      <c r="A251" s="255"/>
      <c r="B251" s="254"/>
      <c r="C251" s="261"/>
      <c r="D251" s="262"/>
      <c r="E251" s="263"/>
      <c r="F251" s="264"/>
      <c r="G251" s="265"/>
      <c r="H251" s="265"/>
      <c r="I251" s="265"/>
      <c r="J251" s="265"/>
      <c r="K251" s="265"/>
      <c r="L251" s="236"/>
      <c r="M251" s="266"/>
      <c r="O251" s="43"/>
      <c r="P251" s="265">
        <v>43693</v>
      </c>
      <c r="Q251" s="265">
        <v>43914</v>
      </c>
      <c r="R251" s="265">
        <v>44025</v>
      </c>
      <c r="S251" s="265">
        <v>44132</v>
      </c>
      <c r="T251" s="265">
        <v>44298</v>
      </c>
      <c r="U251" s="267">
        <v>44323</v>
      </c>
      <c r="V251" s="267">
        <v>44403</v>
      </c>
      <c r="W251" s="220">
        <v>1</v>
      </c>
      <c r="X251" s="267">
        <v>44442</v>
      </c>
      <c r="Y251" s="267">
        <v>44578</v>
      </c>
      <c r="Z251" s="267">
        <v>44650</v>
      </c>
    </row>
    <row r="252" spans="1:27" outlineLevel="1" x14ac:dyDescent="0.35">
      <c r="A252" s="255"/>
      <c r="B252" s="254"/>
      <c r="C252" s="261"/>
      <c r="D252" s="262"/>
      <c r="E252" s="263"/>
      <c r="F252" s="264"/>
      <c r="G252" s="265"/>
      <c r="H252" s="265"/>
      <c r="I252" s="265"/>
      <c r="J252" s="265"/>
      <c r="K252" s="265"/>
      <c r="L252" s="236" t="str">
        <f>IF(C252="","",IF(IF(H252&lt;&gt;"",IF(I252&lt;&gt;"",IF(J252&lt;&gt;"",IF(K252&lt;&gt;"",G252+F252*30+(I252-H252)+(K252-J252)-$E$14,G252+F252*30+(I252-H252)-J252),G252+F252*30+(I252-H252)-$E$14),G252+F252*30-H252),G252+F252*30-$E$14)&lt;0,0,IF(H252&lt;&gt;"",IF(I252&lt;&gt;"",IF(J252&lt;&gt;"",IF(K252&lt;&gt;"",G252+F252*30+(I252-H252)+(K252-J252)-$E$14,G252+F252*30+(I252-H252)-J252),G252+F252*30+(I252-H252)-$E$14),G252+F252*30-H252),G252+F252*30-$E$14)))</f>
        <v/>
      </c>
      <c r="M252" s="266" t="str">
        <f>IF(C252="","",IF(L252&lt;360,D252*E252*L252/(F252*30),D252*E252*360/(F252*30)))</f>
        <v/>
      </c>
      <c r="O252" s="43"/>
      <c r="P252" s="268">
        <f>+Q251-P251</f>
        <v>221</v>
      </c>
      <c r="Q252" s="267"/>
      <c r="R252" s="267">
        <f>+S251-R251</f>
        <v>107</v>
      </c>
      <c r="S252" s="267"/>
      <c r="T252" s="267">
        <f>+U251-T251</f>
        <v>25</v>
      </c>
      <c r="U252" s="267"/>
      <c r="V252" s="267">
        <f>+X251-V251</f>
        <v>39</v>
      </c>
      <c r="W252" s="220">
        <v>1</v>
      </c>
      <c r="X252" s="267"/>
      <c r="Y252" s="267">
        <f>+Z251-Y251</f>
        <v>72</v>
      </c>
      <c r="AA252" s="18">
        <f>+P252+R252+T252+V252+Y252</f>
        <v>464</v>
      </c>
    </row>
    <row r="253" spans="1:27" outlineLevel="1" x14ac:dyDescent="0.35">
      <c r="A253" s="255"/>
      <c r="B253" s="254"/>
      <c r="C253" s="261"/>
      <c r="D253" s="262"/>
      <c r="E253" s="263"/>
      <c r="F253" s="264"/>
      <c r="G253" s="265"/>
      <c r="H253" s="265"/>
      <c r="I253" s="265"/>
      <c r="J253" s="265"/>
      <c r="K253" s="265"/>
      <c r="L253" s="236" t="str">
        <f>IF(C253="","",IF(IF(H253&lt;&gt;"",IF(I253&lt;&gt;"",IF(J253&lt;&gt;"",IF(K253&lt;&gt;"",G253+F253*30+(I253-H253)+(K253-J253)-$E$14,G253+F253*30+(I253-H253)-J253),G253+F253*30+(I253-H253)-$E$14),G253+F253*30-H253),G253+F253*30-$E$14)&lt;0,0,IF(H253&lt;&gt;"",IF(I253&lt;&gt;"",IF(J253&lt;&gt;"",IF(K253&lt;&gt;"",G253+F253*30+(I253-H253)+(K253-J253)-$E$14,G253+F253*30+(I253-H253)-J253),G253+F253*30+(I253-H253)-$E$14),G253+F253*30-H253),G253+F253*30-$E$14)))</f>
        <v/>
      </c>
      <c r="M253" s="266" t="str">
        <f>IF(C253="","",IF(L253&lt;360,D253*E253*L253/(F253*30),D253*E253*360/(F253*30)))</f>
        <v/>
      </c>
      <c r="O253" s="43"/>
      <c r="P253" s="41"/>
      <c r="W253" s="220">
        <v>1</v>
      </c>
    </row>
    <row r="254" spans="1:27" outlineLevel="1" x14ac:dyDescent="0.35">
      <c r="A254" s="255"/>
      <c r="B254" s="254"/>
      <c r="C254" s="261"/>
      <c r="D254" s="262"/>
      <c r="E254" s="263"/>
      <c r="F254" s="264"/>
      <c r="G254" s="265"/>
      <c r="H254" s="265"/>
      <c r="I254" s="265"/>
      <c r="J254" s="265"/>
      <c r="K254" s="265"/>
      <c r="L254" s="236" t="str">
        <f>IF(C254="","",IF(IF(H254&lt;&gt;"",IF(I254&lt;&gt;"",IF(J254&lt;&gt;"",IF(K254&lt;&gt;"",G254+F254*30+(I254-H254)+(K254-J254)-$E$14,G254+F254*30+(I254-H254)-J254),G254+F254*30+(I254-H254)-$E$14),G254+F254*30-H254),G254+F254*30-$E$14)&lt;0,0,IF(H254&lt;&gt;"",IF(I254&lt;&gt;"",IF(J254&lt;&gt;"",IF(K254&lt;&gt;"",G254+F254*30+(I254-H254)+(K254-J254)-$E$14,G254+F254*30+(I254-H254)-J254),G254+F254*30+(I254-H254)-$E$14),G254+F254*30-H254),G254+F254*30-$E$14)))</f>
        <v/>
      </c>
      <c r="M254" s="266" t="str">
        <f>IF(C254="","",IF(L254&lt;360,D254*E254*L254/(F254*30),D254*E254*360/(F254*30)))</f>
        <v/>
      </c>
      <c r="O254" s="43"/>
      <c r="P254" s="41"/>
      <c r="W254" s="220">
        <v>1</v>
      </c>
    </row>
    <row r="255" spans="1:27" ht="13.5" customHeight="1" outlineLevel="1" thickBot="1" x14ac:dyDescent="0.4">
      <c r="A255" s="255"/>
      <c r="C255" s="450" t="s">
        <v>228</v>
      </c>
      <c r="D255" s="451"/>
      <c r="E255" s="451"/>
      <c r="F255" s="451"/>
      <c r="G255" s="451"/>
      <c r="H255" s="451"/>
      <c r="I255" s="451"/>
      <c r="J255" s="451"/>
      <c r="K255" s="451"/>
      <c r="L255" s="429"/>
      <c r="M255" s="269">
        <f>SUM(M249:M254)</f>
        <v>0</v>
      </c>
      <c r="O255" s="43"/>
      <c r="P255" s="41"/>
      <c r="W255" s="220">
        <v>1</v>
      </c>
    </row>
    <row r="256" spans="1:27" ht="13.5" customHeight="1" outlineLevel="1" thickBot="1" x14ac:dyDescent="0.4">
      <c r="A256" s="255"/>
      <c r="C256" s="280"/>
      <c r="D256" s="280"/>
      <c r="E256" s="280"/>
      <c r="F256" s="280"/>
      <c r="G256" s="280"/>
      <c r="H256" s="280"/>
      <c r="I256" s="280"/>
      <c r="J256" s="280"/>
      <c r="K256" s="280"/>
      <c r="L256" s="281"/>
      <c r="M256" s="282"/>
      <c r="O256" s="43"/>
      <c r="P256" s="41"/>
      <c r="W256" s="220"/>
    </row>
    <row r="257" spans="1:23" s="39" customFormat="1" ht="15" customHeight="1" x14ac:dyDescent="0.35">
      <c r="A257" s="283"/>
      <c r="B257" s="283"/>
      <c r="C257" s="283"/>
      <c r="D257" s="283"/>
      <c r="E257" s="283"/>
      <c r="F257" s="283"/>
      <c r="G257" s="283"/>
    </row>
    <row r="258" spans="1:23" ht="12" thickBot="1" x14ac:dyDescent="0.4">
      <c r="O258" s="43"/>
      <c r="W258" s="284">
        <v>2</v>
      </c>
    </row>
    <row r="259" spans="1:23" s="39" customFormat="1" ht="15.75" customHeight="1" thickBot="1" x14ac:dyDescent="0.4">
      <c r="A259" s="215">
        <v>5</v>
      </c>
      <c r="B259" s="389" t="s">
        <v>96</v>
      </c>
      <c r="C259" s="390"/>
      <c r="D259" s="390"/>
      <c r="E259" s="390"/>
      <c r="F259" s="390"/>
      <c r="G259" s="390"/>
      <c r="H259" s="390"/>
      <c r="I259" s="391"/>
      <c r="J259" s="216" t="s">
        <v>172</v>
      </c>
      <c r="K259" s="392">
        <f>G268*(H279+H285+H290)/100-M301</f>
        <v>858212130.55555558</v>
      </c>
      <c r="L259" s="392"/>
      <c r="M259" s="217" t="str">
        <f>IF(K259&gt;$E$17,"CUMPLE","NO CUMPLE")</f>
        <v>CUMPLE</v>
      </c>
      <c r="N259" s="39">
        <v>1</v>
      </c>
      <c r="O259" s="43"/>
      <c r="P259" s="41"/>
      <c r="Q259" s="218" t="str">
        <f>B259</f>
        <v>DYA INGENIERIA SAS</v>
      </c>
      <c r="R259" s="41"/>
      <c r="W259" s="219">
        <v>1</v>
      </c>
    </row>
    <row r="260" spans="1:23" s="39" customFormat="1" ht="5.25" customHeight="1" outlineLevel="1" thickBot="1" x14ac:dyDescent="0.4">
      <c r="A260" s="204"/>
      <c r="B260" s="40"/>
      <c r="C260" s="40"/>
      <c r="D260" s="40"/>
      <c r="E260" s="40"/>
      <c r="F260" s="40"/>
      <c r="G260" s="40"/>
      <c r="H260" s="40"/>
      <c r="I260" s="40"/>
      <c r="J260" s="40"/>
      <c r="K260" s="40"/>
      <c r="L260" s="40"/>
      <c r="M260" s="205"/>
      <c r="N260" s="40"/>
      <c r="O260" s="43"/>
      <c r="P260" s="41"/>
      <c r="Q260" s="41"/>
      <c r="R260" s="41"/>
      <c r="W260" s="220">
        <v>1</v>
      </c>
    </row>
    <row r="261" spans="1:23" s="39" customFormat="1" outlineLevel="1" x14ac:dyDescent="0.35">
      <c r="A261" s="393"/>
      <c r="B261" s="360"/>
      <c r="C261" s="394" t="s">
        <v>173</v>
      </c>
      <c r="D261" s="395"/>
      <c r="E261" s="395"/>
      <c r="F261" s="395"/>
      <c r="G261" s="395"/>
      <c r="H261" s="396"/>
      <c r="I261" s="397" t="s">
        <v>174</v>
      </c>
      <c r="J261" s="398"/>
      <c r="K261" s="398" t="s">
        <v>175</v>
      </c>
      <c r="L261" s="398"/>
      <c r="M261" s="399"/>
      <c r="O261" s="43"/>
      <c r="P261" s="41"/>
      <c r="Q261" s="41"/>
      <c r="R261" s="41"/>
      <c r="W261" s="220">
        <v>1</v>
      </c>
    </row>
    <row r="262" spans="1:23" s="39" customFormat="1" ht="12.75" customHeight="1" outlineLevel="1" x14ac:dyDescent="0.35">
      <c r="A262" s="221"/>
      <c r="B262" s="41"/>
      <c r="C262" s="351" t="s">
        <v>176</v>
      </c>
      <c r="D262" s="375"/>
      <c r="E262" s="352"/>
      <c r="F262" s="352"/>
      <c r="G262" s="376" t="s">
        <v>165</v>
      </c>
      <c r="H262" s="377"/>
      <c r="I262" s="378" t="s">
        <v>177</v>
      </c>
      <c r="J262" s="379"/>
      <c r="K262" s="379" t="s">
        <v>178</v>
      </c>
      <c r="L262" s="379"/>
      <c r="M262" s="380"/>
      <c r="O262" s="43"/>
      <c r="P262" s="41"/>
      <c r="Q262" s="41"/>
      <c r="R262" s="41"/>
      <c r="W262" s="220">
        <v>1</v>
      </c>
    </row>
    <row r="263" spans="1:23" s="39" customFormat="1" ht="12.75" customHeight="1" outlineLevel="1" x14ac:dyDescent="0.35">
      <c r="A263" s="221"/>
      <c r="B263" s="41"/>
      <c r="C263" s="381" t="s">
        <v>179</v>
      </c>
      <c r="D263" s="382"/>
      <c r="E263" s="382"/>
      <c r="F263" s="375"/>
      <c r="G263" s="383">
        <v>2023</v>
      </c>
      <c r="H263" s="384"/>
      <c r="I263" s="378" t="s">
        <v>180</v>
      </c>
      <c r="J263" s="379"/>
      <c r="K263" s="379" t="s">
        <v>181</v>
      </c>
      <c r="L263" s="379"/>
      <c r="M263" s="380"/>
      <c r="O263" s="43"/>
      <c r="P263" s="41"/>
      <c r="Q263" s="41"/>
      <c r="R263" s="41"/>
      <c r="W263" s="220">
        <v>1</v>
      </c>
    </row>
    <row r="264" spans="1:23" s="39" customFormat="1" ht="12.75" customHeight="1" outlineLevel="1" thickBot="1" x14ac:dyDescent="0.4">
      <c r="A264" s="221"/>
      <c r="B264" s="41"/>
      <c r="C264" s="349" t="str">
        <f>IF(G262="","",IF(G262=$O$13,"Valor umbral Mipyme.","Total Ingresos Operacionales Acreditados"))</f>
        <v>Total Ingresos Operacionales Acreditados</v>
      </c>
      <c r="D264" s="412"/>
      <c r="E264" s="350"/>
      <c r="F264" s="350"/>
      <c r="G264" s="413">
        <v>181994231</v>
      </c>
      <c r="H264" s="414"/>
      <c r="I264" s="415" t="s">
        <v>182</v>
      </c>
      <c r="J264" s="416"/>
      <c r="K264" s="222" t="s">
        <v>183</v>
      </c>
      <c r="L264" s="417">
        <f>4048*125000</f>
        <v>506000000</v>
      </c>
      <c r="M264" s="418"/>
      <c r="O264" s="43"/>
      <c r="P264" s="41"/>
      <c r="Q264" s="41"/>
      <c r="R264" s="41"/>
      <c r="W264" s="220">
        <v>1</v>
      </c>
    </row>
    <row r="265" spans="1:23" s="39" customFormat="1" ht="12.75" customHeight="1" outlineLevel="1" x14ac:dyDescent="0.35">
      <c r="A265" s="221"/>
      <c r="B265" s="41"/>
      <c r="C265" s="419" t="s">
        <v>184</v>
      </c>
      <c r="D265" s="420"/>
      <c r="E265" s="420"/>
      <c r="F265" s="420"/>
      <c r="G265" s="420"/>
      <c r="H265" s="421"/>
      <c r="I265" s="223"/>
      <c r="J265" s="223"/>
      <c r="K265" s="224"/>
      <c r="L265" s="225"/>
      <c r="M265" s="225"/>
      <c r="O265" s="43"/>
      <c r="P265" s="41"/>
      <c r="Q265" s="41"/>
      <c r="R265" s="41"/>
      <c r="W265" s="220">
        <v>1</v>
      </c>
    </row>
    <row r="266" spans="1:23" s="39" customFormat="1" ht="12.75" customHeight="1" outlineLevel="1" x14ac:dyDescent="0.35">
      <c r="A266" s="221"/>
      <c r="B266" s="41"/>
      <c r="C266" s="226" t="s">
        <v>185</v>
      </c>
      <c r="D266" s="400" t="s">
        <v>241</v>
      </c>
      <c r="E266" s="401"/>
      <c r="F266" s="402" t="s">
        <v>187</v>
      </c>
      <c r="G266" s="403"/>
      <c r="H266" s="227" t="s">
        <v>188</v>
      </c>
      <c r="I266" s="404" t="str">
        <f>IF(OR(H266="Vigente",H266=""),"",IF(H266="no aporta","No aporta el certificado de antecedentes disciplinarios del "&amp;PROPER(C266)&amp;" ("&amp;PROPER(D266)&amp;") quien suscribe los estados de resultados de "&amp;B259&amp;". Debe subsanar ese documento.","El certificado de antecedentes disciplinarios del "&amp;PROPER(C266)&amp;" ("&amp;PROPER(D266)&amp;") quien suscribe los estados de resultados de "&amp;B259&amp;", no se encuentran vigentes a la fecha de cierre del proceso. Debe subsanar ese documento."))</f>
        <v/>
      </c>
      <c r="J266" s="405"/>
      <c r="K266" s="405"/>
      <c r="L266" s="405"/>
      <c r="M266" s="406"/>
      <c r="O266" s="43"/>
      <c r="P266" s="41"/>
      <c r="Q266" s="41"/>
      <c r="R266" s="41"/>
      <c r="W266" s="220">
        <v>1</v>
      </c>
    </row>
    <row r="267" spans="1:23" s="39" customFormat="1" ht="12.75" customHeight="1" outlineLevel="1" x14ac:dyDescent="0.35">
      <c r="A267" s="221"/>
      <c r="B267" s="41"/>
      <c r="C267" s="226" t="s">
        <v>189</v>
      </c>
      <c r="D267" s="400" t="s">
        <v>242</v>
      </c>
      <c r="E267" s="401"/>
      <c r="F267" s="402" t="s">
        <v>187</v>
      </c>
      <c r="G267" s="403"/>
      <c r="H267" s="227" t="s">
        <v>188</v>
      </c>
      <c r="I267" s="404"/>
      <c r="J267" s="405"/>
      <c r="K267" s="405"/>
      <c r="L267" s="405"/>
      <c r="M267" s="406"/>
      <c r="O267" s="43"/>
      <c r="P267" s="41"/>
      <c r="Q267" s="41"/>
      <c r="R267" s="41"/>
      <c r="W267" s="220">
        <v>1</v>
      </c>
    </row>
    <row r="268" spans="1:23" s="39" customFormat="1" ht="13.5" customHeight="1" outlineLevel="1" thickBot="1" x14ac:dyDescent="0.4">
      <c r="A268" s="221"/>
      <c r="B268" s="41"/>
      <c r="C268" s="228" t="s">
        <v>191</v>
      </c>
      <c r="D268" s="229"/>
      <c r="E268" s="230"/>
      <c r="F268" s="230"/>
      <c r="G268" s="407">
        <f>IF(OR(H266="SIN VIGENCIA",H266="NO APORTA",H267="SIN VIGENCIA",H267="NO APORTA"),0,IF(G262="",0,IF(G262=$O$13,L264,IF(G264&lt;L264,L264,G264))))</f>
        <v>506000000</v>
      </c>
      <c r="H268" s="408"/>
      <c r="O268" s="43"/>
      <c r="P268" s="41"/>
      <c r="Q268" s="41"/>
      <c r="R268" s="41"/>
      <c r="W268" s="220">
        <v>1</v>
      </c>
    </row>
    <row r="269" spans="1:23" s="39" customFormat="1" ht="5.25" customHeight="1" outlineLevel="1" thickBot="1" x14ac:dyDescent="0.4">
      <c r="A269" s="204"/>
      <c r="B269" s="40"/>
      <c r="C269" s="40"/>
      <c r="D269" s="40"/>
      <c r="E269" s="40"/>
      <c r="F269" s="40"/>
      <c r="G269" s="40"/>
      <c r="H269" s="40"/>
      <c r="I269" s="40"/>
      <c r="J269" s="40"/>
      <c r="K269" s="40"/>
      <c r="L269" s="40"/>
      <c r="M269" s="205"/>
      <c r="N269" s="40"/>
      <c r="O269" s="43"/>
      <c r="P269" s="41"/>
      <c r="Q269" s="41"/>
      <c r="R269" s="41"/>
      <c r="W269" s="220">
        <v>1</v>
      </c>
    </row>
    <row r="270" spans="1:23" s="39" customFormat="1" outlineLevel="1" x14ac:dyDescent="0.35">
      <c r="A270" s="221"/>
      <c r="B270" s="41"/>
      <c r="C270" s="409" t="s">
        <v>164</v>
      </c>
      <c r="D270" s="395"/>
      <c r="E270" s="395"/>
      <c r="F270" s="395"/>
      <c r="G270" s="395"/>
      <c r="H270" s="396"/>
      <c r="I270" s="232" t="s">
        <v>192</v>
      </c>
      <c r="J270" s="233" t="s">
        <v>193</v>
      </c>
      <c r="K270" s="207" t="s">
        <v>194</v>
      </c>
      <c r="M270" s="234"/>
      <c r="O270" s="43"/>
      <c r="P270" s="41"/>
      <c r="Q270" s="41"/>
      <c r="R270" s="41"/>
      <c r="S270" s="41"/>
      <c r="W270" s="220">
        <v>1</v>
      </c>
    </row>
    <row r="271" spans="1:23" s="39" customFormat="1" outlineLevel="1" x14ac:dyDescent="0.35">
      <c r="A271" s="221"/>
      <c r="B271" s="41"/>
      <c r="C271" s="351" t="s">
        <v>195</v>
      </c>
      <c r="D271" s="375"/>
      <c r="E271" s="352"/>
      <c r="F271" s="352"/>
      <c r="G271" s="410">
        <v>1</v>
      </c>
      <c r="H271" s="411"/>
      <c r="I271" s="235">
        <v>0</v>
      </c>
      <c r="J271" s="236">
        <v>3</v>
      </c>
      <c r="K271" s="209">
        <v>60</v>
      </c>
      <c r="M271" s="234"/>
      <c r="O271" s="43"/>
      <c r="P271" s="41"/>
      <c r="Q271" s="41"/>
      <c r="R271" s="41"/>
      <c r="S271" s="41"/>
      <c r="W271" s="220">
        <v>1</v>
      </c>
    </row>
    <row r="272" spans="1:23" s="39" customFormat="1" ht="12" outlineLevel="1" thickBot="1" x14ac:dyDescent="0.4">
      <c r="A272" s="221"/>
      <c r="B272" s="41"/>
      <c r="C272" s="430" t="s">
        <v>158</v>
      </c>
      <c r="D272" s="431"/>
      <c r="E272" s="432"/>
      <c r="F272" s="432"/>
      <c r="G272" s="433">
        <f>$E$13</f>
        <v>522182486</v>
      </c>
      <c r="H272" s="434"/>
      <c r="I272" s="235">
        <v>3</v>
      </c>
      <c r="J272" s="236">
        <v>6</v>
      </c>
      <c r="K272" s="209">
        <v>80</v>
      </c>
      <c r="M272" s="234"/>
      <c r="O272" s="43"/>
      <c r="P272" s="41"/>
      <c r="Q272" s="41"/>
      <c r="R272" s="41"/>
      <c r="S272" s="41"/>
      <c r="W272" s="220">
        <v>1</v>
      </c>
    </row>
    <row r="273" spans="1:23" s="39" customFormat="1" ht="12" outlineLevel="1" thickBot="1" x14ac:dyDescent="0.4">
      <c r="A273" s="221"/>
      <c r="B273" s="41"/>
      <c r="C273" s="435" t="s">
        <v>196</v>
      </c>
      <c r="D273" s="436"/>
      <c r="E273" s="437"/>
      <c r="F273" s="437"/>
      <c r="G273" s="437"/>
      <c r="H273" s="438"/>
      <c r="I273" s="235">
        <v>6</v>
      </c>
      <c r="J273" s="236">
        <v>10</v>
      </c>
      <c r="K273" s="209">
        <v>100</v>
      </c>
      <c r="M273" s="234"/>
      <c r="O273" s="43"/>
      <c r="P273" s="41"/>
      <c r="Q273" s="41"/>
      <c r="R273" s="41"/>
      <c r="S273" s="41"/>
      <c r="W273" s="220">
        <v>1</v>
      </c>
    </row>
    <row r="274" spans="1:23" s="39" customFormat="1" ht="15.75" customHeight="1" outlineLevel="1" thickBot="1" x14ac:dyDescent="0.4">
      <c r="A274" s="221"/>
      <c r="B274" s="41"/>
      <c r="C274" s="439" t="s">
        <v>197</v>
      </c>
      <c r="D274" s="440"/>
      <c r="E274" s="440"/>
      <c r="F274" s="440"/>
      <c r="G274" s="363" t="s">
        <v>198</v>
      </c>
      <c r="H274" s="364"/>
      <c r="I274" s="237">
        <v>10</v>
      </c>
      <c r="J274" s="238" t="s">
        <v>199</v>
      </c>
      <c r="K274" s="239">
        <v>120</v>
      </c>
      <c r="M274" s="234"/>
      <c r="O274" s="43"/>
      <c r="P274" s="41"/>
      <c r="Q274" s="41"/>
      <c r="R274" s="41"/>
      <c r="S274" s="41"/>
      <c r="W274" s="220">
        <v>1</v>
      </c>
    </row>
    <row r="275" spans="1:23" s="39" customFormat="1" ht="15" customHeight="1" outlineLevel="1" x14ac:dyDescent="0.35">
      <c r="A275" s="221"/>
      <c r="B275" s="41"/>
      <c r="C275" s="441" t="s">
        <v>200</v>
      </c>
      <c r="D275" s="352"/>
      <c r="E275" s="352"/>
      <c r="F275" s="352"/>
      <c r="G275" s="442">
        <v>12097518850.090488</v>
      </c>
      <c r="H275" s="443"/>
      <c r="M275" s="234"/>
      <c r="O275" s="43"/>
      <c r="P275" s="41"/>
      <c r="Q275" s="41"/>
      <c r="R275" s="41"/>
      <c r="S275" s="41"/>
      <c r="W275" s="220">
        <v>1</v>
      </c>
    </row>
    <row r="276" spans="1:23" s="39" customFormat="1" ht="3" customHeight="1" outlineLevel="1" x14ac:dyDescent="0.35">
      <c r="A276" s="221"/>
      <c r="B276" s="41"/>
      <c r="C276" s="351"/>
      <c r="D276" s="352"/>
      <c r="E276" s="352"/>
      <c r="F276" s="352"/>
      <c r="G276" s="422"/>
      <c r="H276" s="423"/>
      <c r="M276" s="234"/>
      <c r="O276" s="43"/>
      <c r="P276" s="41"/>
      <c r="Q276" s="41"/>
      <c r="R276" s="41"/>
      <c r="S276" s="41"/>
      <c r="W276" s="220">
        <v>1</v>
      </c>
    </row>
    <row r="277" spans="1:23" s="39" customFormat="1" ht="13.5" customHeight="1" outlineLevel="1" thickBot="1" x14ac:dyDescent="0.4">
      <c r="A277" s="221"/>
      <c r="B277" s="41"/>
      <c r="C277" s="355" t="s">
        <v>201</v>
      </c>
      <c r="D277" s="356"/>
      <c r="E277" s="356"/>
      <c r="F277" s="356"/>
      <c r="G277" s="424">
        <f>SUM(G274:H276)</f>
        <v>12097518850.090488</v>
      </c>
      <c r="H277" s="425"/>
      <c r="M277" s="234"/>
      <c r="O277" s="43"/>
      <c r="P277" s="41"/>
      <c r="Q277" s="41"/>
      <c r="R277" s="41"/>
      <c r="S277" s="41"/>
      <c r="W277" s="220">
        <v>1</v>
      </c>
    </row>
    <row r="278" spans="1:23" s="39" customFormat="1" outlineLevel="1" x14ac:dyDescent="0.35">
      <c r="A278" s="221"/>
      <c r="B278" s="41"/>
      <c r="C278" s="426" t="s">
        <v>202</v>
      </c>
      <c r="D278" s="427"/>
      <c r="E278" s="428"/>
      <c r="F278" s="428"/>
      <c r="G278" s="428"/>
      <c r="H278" s="240">
        <f>IF(OR(G271="",G271=0,G277=0),0,G277/(G272*G271))</f>
        <v>23.167224436727832</v>
      </c>
      <c r="M278" s="234"/>
      <c r="O278" s="43"/>
      <c r="P278" s="41"/>
      <c r="Q278" s="41"/>
      <c r="R278" s="41"/>
      <c r="S278" s="41"/>
      <c r="W278" s="220">
        <v>1</v>
      </c>
    </row>
    <row r="279" spans="1:23" s="39" customFormat="1" ht="13.5" customHeight="1" outlineLevel="1" thickBot="1" x14ac:dyDescent="0.4">
      <c r="A279" s="221"/>
      <c r="B279" s="41"/>
      <c r="C279" s="355" t="s">
        <v>203</v>
      </c>
      <c r="D279" s="429"/>
      <c r="E279" s="356"/>
      <c r="F279" s="356"/>
      <c r="G279" s="356"/>
      <c r="H279" s="241">
        <f>IF(H278&lt;=3,60,IF(H278&lt;=6,80,IF(H278&lt;=10,100,120)))</f>
        <v>120</v>
      </c>
      <c r="J279" s="242"/>
      <c r="M279" s="234"/>
      <c r="O279" s="43"/>
      <c r="P279" s="41"/>
      <c r="Q279" s="41"/>
      <c r="R279" s="41"/>
      <c r="S279" s="41"/>
      <c r="W279" s="220">
        <v>1</v>
      </c>
    </row>
    <row r="280" spans="1:23" s="39" customFormat="1" ht="5.25" customHeight="1" outlineLevel="1" thickBot="1" x14ac:dyDescent="0.4">
      <c r="A280" s="204"/>
      <c r="B280" s="40"/>
      <c r="C280" s="40"/>
      <c r="D280" s="40"/>
      <c r="E280" s="40"/>
      <c r="F280" s="40"/>
      <c r="G280" s="40"/>
      <c r="H280" s="40"/>
      <c r="I280" s="40"/>
      <c r="J280" s="40"/>
      <c r="K280" s="40"/>
      <c r="L280" s="40"/>
      <c r="M280" s="205"/>
      <c r="N280" s="40"/>
      <c r="O280" s="43"/>
      <c r="P280" s="41"/>
      <c r="Q280" s="41"/>
      <c r="R280" s="41"/>
      <c r="W280" s="220">
        <v>1</v>
      </c>
    </row>
    <row r="281" spans="1:23" s="39" customFormat="1" ht="15" customHeight="1" outlineLevel="1" x14ac:dyDescent="0.35">
      <c r="A281" s="221"/>
      <c r="B281" s="41"/>
      <c r="C281" s="394" t="s">
        <v>204</v>
      </c>
      <c r="D281" s="395"/>
      <c r="E281" s="395"/>
      <c r="F281" s="395"/>
      <c r="G281" s="395"/>
      <c r="H281" s="396"/>
      <c r="I281" s="232" t="s">
        <v>205</v>
      </c>
      <c r="J281" s="233" t="s">
        <v>206</v>
      </c>
      <c r="K281" s="207" t="s">
        <v>194</v>
      </c>
      <c r="M281" s="234"/>
      <c r="O281" s="43"/>
      <c r="P281" s="41"/>
      <c r="Q281" s="41"/>
      <c r="R281" s="41"/>
      <c r="S281" s="41"/>
      <c r="W281" s="220">
        <v>1</v>
      </c>
    </row>
    <row r="282" spans="1:23" s="39" customFormat="1" outlineLevel="1" x14ac:dyDescent="0.35">
      <c r="A282" s="221"/>
      <c r="B282" s="41"/>
      <c r="C282" s="349" t="s">
        <v>207</v>
      </c>
      <c r="D282" s="350"/>
      <c r="E282" s="350"/>
      <c r="F282" s="350"/>
      <c r="G282" s="350" t="s">
        <v>165</v>
      </c>
      <c r="H282" s="243">
        <v>334698154</v>
      </c>
      <c r="I282" s="244">
        <v>0</v>
      </c>
      <c r="J282" s="245">
        <v>0.5</v>
      </c>
      <c r="K282" s="209">
        <v>20</v>
      </c>
      <c r="M282" s="234"/>
      <c r="O282" s="43"/>
      <c r="P282" s="41"/>
      <c r="Q282" s="41"/>
      <c r="R282" s="41"/>
      <c r="S282" s="41"/>
      <c r="W282" s="220">
        <v>1</v>
      </c>
    </row>
    <row r="283" spans="1:23" s="39" customFormat="1" outlineLevel="1" x14ac:dyDescent="0.35">
      <c r="A283" s="221"/>
      <c r="B283" s="41"/>
      <c r="C283" s="349" t="s">
        <v>208</v>
      </c>
      <c r="D283" s="350"/>
      <c r="E283" s="350"/>
      <c r="F283" s="350"/>
      <c r="G283" s="350"/>
      <c r="H283" s="243">
        <v>157969347</v>
      </c>
      <c r="I283" s="244">
        <v>0.5</v>
      </c>
      <c r="J283" s="245">
        <v>0.75</v>
      </c>
      <c r="K283" s="209">
        <v>25</v>
      </c>
      <c r="M283" s="234"/>
      <c r="O283" s="43"/>
      <c r="P283" s="41"/>
      <c r="Q283" s="41"/>
      <c r="R283" s="41"/>
      <c r="S283" s="41"/>
      <c r="W283" s="220">
        <v>1</v>
      </c>
    </row>
    <row r="284" spans="1:23" s="39" customFormat="1" outlineLevel="1" x14ac:dyDescent="0.35">
      <c r="A284" s="221"/>
      <c r="B284" s="41"/>
      <c r="C284" s="349" t="s">
        <v>209</v>
      </c>
      <c r="D284" s="350"/>
      <c r="E284" s="350"/>
      <c r="F284" s="350"/>
      <c r="G284" s="350"/>
      <c r="H284" s="246">
        <f>IF(H282="",0,H282/H283)</f>
        <v>2.1187537984821829</v>
      </c>
      <c r="I284" s="244">
        <v>0.75</v>
      </c>
      <c r="J284" s="245">
        <v>1</v>
      </c>
      <c r="K284" s="209">
        <v>30</v>
      </c>
      <c r="M284" s="234"/>
      <c r="O284" s="43"/>
      <c r="P284" s="41"/>
      <c r="Q284" s="41"/>
      <c r="R284" s="41"/>
      <c r="S284" s="41"/>
      <c r="W284" s="220">
        <v>1</v>
      </c>
    </row>
    <row r="285" spans="1:23" s="39" customFormat="1" ht="13.5" customHeight="1" outlineLevel="1" thickBot="1" x14ac:dyDescent="0.4">
      <c r="A285" s="221"/>
      <c r="B285" s="41"/>
      <c r="C285" s="355" t="s">
        <v>210</v>
      </c>
      <c r="D285" s="356"/>
      <c r="E285" s="356"/>
      <c r="F285" s="356"/>
      <c r="G285" s="356"/>
      <c r="H285" s="241">
        <f>IF(H284="",0,IF(H284&lt;0.5,20,IF(H284&lt;0.75,25,IF(H284&lt;1,30,IF(H284&lt;1.5,35,40)))))</f>
        <v>40</v>
      </c>
      <c r="I285" s="244">
        <v>1</v>
      </c>
      <c r="J285" s="245">
        <v>1.5</v>
      </c>
      <c r="K285" s="209">
        <v>35</v>
      </c>
      <c r="M285" s="234"/>
      <c r="O285" s="43"/>
      <c r="P285" s="41"/>
      <c r="Q285" s="41"/>
      <c r="R285" s="41"/>
      <c r="S285" s="41"/>
      <c r="W285" s="220">
        <v>1</v>
      </c>
    </row>
    <row r="286" spans="1:23" s="39" customFormat="1" ht="12" outlineLevel="1" thickBot="1" x14ac:dyDescent="0.4">
      <c r="A286" s="221"/>
      <c r="B286" s="41"/>
      <c r="I286" s="247">
        <v>1.5</v>
      </c>
      <c r="J286" s="248" t="s">
        <v>199</v>
      </c>
      <c r="K286" s="239">
        <v>40</v>
      </c>
      <c r="M286" s="234"/>
      <c r="O286" s="43"/>
      <c r="P286" s="41"/>
      <c r="Q286" s="41"/>
      <c r="R286" s="41"/>
      <c r="S286" s="41"/>
      <c r="W286" s="220">
        <v>1</v>
      </c>
    </row>
    <row r="287" spans="1:23" s="39" customFormat="1" ht="5.25" customHeight="1" outlineLevel="1" thickBot="1" x14ac:dyDescent="0.4">
      <c r="A287" s="204"/>
      <c r="B287" s="40"/>
      <c r="C287" s="40"/>
      <c r="D287" s="40"/>
      <c r="E287" s="40"/>
      <c r="F287" s="40"/>
      <c r="G287" s="40"/>
      <c r="H287" s="40"/>
      <c r="I287" s="40"/>
      <c r="J287" s="40"/>
      <c r="K287" s="40"/>
      <c r="L287" s="40"/>
      <c r="M287" s="205"/>
      <c r="N287" s="40"/>
      <c r="O287" s="43"/>
      <c r="P287" s="41"/>
      <c r="Q287" s="41"/>
      <c r="R287" s="41"/>
      <c r="W287" s="220">
        <v>1</v>
      </c>
    </row>
    <row r="288" spans="1:23" s="39" customFormat="1" outlineLevel="1" x14ac:dyDescent="0.35">
      <c r="A288" s="221"/>
      <c r="B288" s="41"/>
      <c r="C288" s="394" t="s">
        <v>211</v>
      </c>
      <c r="D288" s="395"/>
      <c r="E288" s="395"/>
      <c r="F288" s="395"/>
      <c r="G288" s="395"/>
      <c r="H288" s="396"/>
      <c r="I288" s="232" t="s">
        <v>212</v>
      </c>
      <c r="J288" s="233" t="s">
        <v>213</v>
      </c>
      <c r="K288" s="207" t="s">
        <v>194</v>
      </c>
      <c r="M288" s="234"/>
      <c r="O288" s="43"/>
      <c r="P288" s="41"/>
      <c r="Q288" s="41"/>
      <c r="R288" s="41"/>
      <c r="S288" s="41"/>
      <c r="W288" s="220">
        <v>1</v>
      </c>
    </row>
    <row r="289" spans="1:27" s="39" customFormat="1" ht="12.75" customHeight="1" outlineLevel="1" x14ac:dyDescent="0.35">
      <c r="A289" s="221"/>
      <c r="B289" s="41"/>
      <c r="C289" s="349" t="s">
        <v>214</v>
      </c>
      <c r="D289" s="350"/>
      <c r="E289" s="350"/>
      <c r="F289" s="350"/>
      <c r="G289" s="350" t="s">
        <v>165</v>
      </c>
      <c r="H289" s="249">
        <v>1</v>
      </c>
      <c r="I289" s="250">
        <v>1</v>
      </c>
      <c r="J289" s="251">
        <v>5</v>
      </c>
      <c r="K289" s="209">
        <v>20</v>
      </c>
      <c r="M289" s="234"/>
      <c r="O289" s="43"/>
      <c r="P289" s="41"/>
      <c r="Q289" s="41"/>
      <c r="R289" s="41"/>
      <c r="S289" s="41"/>
      <c r="W289" s="220">
        <v>1</v>
      </c>
    </row>
    <row r="290" spans="1:27" s="39" customFormat="1" ht="13.5" customHeight="1" outlineLevel="1" thickBot="1" x14ac:dyDescent="0.4">
      <c r="A290" s="221"/>
      <c r="B290" s="41"/>
      <c r="C290" s="355" t="s">
        <v>215</v>
      </c>
      <c r="D290" s="356"/>
      <c r="E290" s="356"/>
      <c r="F290" s="356"/>
      <c r="G290" s="356"/>
      <c r="H290" s="241">
        <f>IF(H289&lt;1,0,IF(H289&lt;=5,20,IF(H289&lt;=10,30,40)))</f>
        <v>20</v>
      </c>
      <c r="I290" s="250">
        <v>6</v>
      </c>
      <c r="J290" s="251">
        <v>10</v>
      </c>
      <c r="K290" s="209">
        <v>30</v>
      </c>
      <c r="M290" s="234"/>
      <c r="O290" s="43"/>
      <c r="P290" s="41"/>
      <c r="Q290" s="41"/>
      <c r="R290" s="41"/>
      <c r="S290" s="41"/>
      <c r="W290" s="220">
        <v>1</v>
      </c>
    </row>
    <row r="291" spans="1:27" s="39" customFormat="1" ht="13.5" customHeight="1" outlineLevel="1" thickBot="1" x14ac:dyDescent="0.4">
      <c r="A291" s="221"/>
      <c r="B291" s="41"/>
      <c r="I291" s="252">
        <v>11</v>
      </c>
      <c r="J291" s="248" t="s">
        <v>199</v>
      </c>
      <c r="K291" s="239">
        <v>40</v>
      </c>
      <c r="M291" s="234"/>
      <c r="O291" s="43"/>
      <c r="P291" s="41"/>
      <c r="Q291" s="41"/>
      <c r="R291" s="41"/>
      <c r="S291" s="41"/>
      <c r="W291" s="220">
        <v>1</v>
      </c>
    </row>
    <row r="292" spans="1:27" s="39" customFormat="1" ht="5.25" customHeight="1" outlineLevel="1" thickBot="1" x14ac:dyDescent="0.4">
      <c r="A292" s="204"/>
      <c r="B292" s="40"/>
      <c r="C292" s="40"/>
      <c r="D292" s="40"/>
      <c r="E292" s="40"/>
      <c r="F292" s="40"/>
      <c r="G292" s="40"/>
      <c r="H292" s="40"/>
      <c r="I292" s="40"/>
      <c r="J292" s="40"/>
      <c r="K292" s="40"/>
      <c r="L292" s="40"/>
      <c r="M292" s="205"/>
      <c r="N292" s="40"/>
      <c r="O292" s="43"/>
      <c r="P292" s="41"/>
      <c r="Q292" s="41"/>
      <c r="R292" s="41"/>
      <c r="W292" s="220">
        <v>1</v>
      </c>
    </row>
    <row r="293" spans="1:27" s="39" customFormat="1" ht="15.75" customHeight="1" outlineLevel="1" thickBot="1" x14ac:dyDescent="0.4">
      <c r="A293" s="221"/>
      <c r="B293" s="41"/>
      <c r="C293" s="444" t="s">
        <v>216</v>
      </c>
      <c r="D293" s="445"/>
      <c r="E293" s="445"/>
      <c r="F293" s="445"/>
      <c r="G293" s="445"/>
      <c r="H293" s="445"/>
      <c r="I293" s="445"/>
      <c r="J293" s="445"/>
      <c r="K293" s="445"/>
      <c r="L293" s="445"/>
      <c r="M293" s="446"/>
      <c r="O293" s="43"/>
      <c r="P293" s="41"/>
      <c r="Q293" s="41"/>
      <c r="R293" s="41"/>
      <c r="S293" s="41"/>
      <c r="W293" s="220">
        <v>1</v>
      </c>
    </row>
    <row r="294" spans="1:27" ht="12.75" customHeight="1" outlineLevel="1" thickBot="1" x14ac:dyDescent="0.4">
      <c r="A294" s="253"/>
      <c r="B294" s="254"/>
      <c r="C294" s="447" t="s">
        <v>217</v>
      </c>
      <c r="D294" s="448"/>
      <c r="E294" s="448"/>
      <c r="F294" s="448"/>
      <c r="G294" s="448"/>
      <c r="H294" s="448"/>
      <c r="I294" s="448"/>
      <c r="J294" s="448"/>
      <c r="K294" s="448"/>
      <c r="L294" s="448"/>
      <c r="M294" s="449"/>
      <c r="O294" s="43"/>
      <c r="P294" s="41"/>
      <c r="W294" s="220">
        <v>1</v>
      </c>
    </row>
    <row r="295" spans="1:27" ht="23" outlineLevel="1" x14ac:dyDescent="0.35">
      <c r="A295" s="255"/>
      <c r="B295" s="254"/>
      <c r="C295" s="256" t="s">
        <v>218</v>
      </c>
      <c r="D295" s="257" t="s">
        <v>219</v>
      </c>
      <c r="E295" s="258" t="s">
        <v>198</v>
      </c>
      <c r="F295" s="258" t="s">
        <v>220</v>
      </c>
      <c r="G295" s="258" t="s">
        <v>221</v>
      </c>
      <c r="H295" s="258" t="s">
        <v>222</v>
      </c>
      <c r="I295" s="258" t="s">
        <v>223</v>
      </c>
      <c r="J295" s="258" t="s">
        <v>224</v>
      </c>
      <c r="K295" s="258" t="s">
        <v>225</v>
      </c>
      <c r="L295" s="259" t="s">
        <v>226</v>
      </c>
      <c r="M295" s="260" t="s">
        <v>227</v>
      </c>
      <c r="O295" s="43"/>
      <c r="P295" s="41"/>
      <c r="W295" s="220">
        <v>1</v>
      </c>
    </row>
    <row r="296" spans="1:27" outlineLevel="1" x14ac:dyDescent="0.35">
      <c r="A296" s="255"/>
      <c r="B296" s="254"/>
      <c r="C296" s="261">
        <v>1</v>
      </c>
      <c r="D296" s="262">
        <v>1</v>
      </c>
      <c r="E296" s="263">
        <v>176953000</v>
      </c>
      <c r="F296" s="264">
        <v>9</v>
      </c>
      <c r="G296" s="265">
        <v>45149</v>
      </c>
      <c r="H296" s="265">
        <v>45300</v>
      </c>
      <c r="I296" s="265">
        <v>45414</v>
      </c>
      <c r="J296" s="265"/>
      <c r="K296" s="265"/>
      <c r="L296" s="236">
        <f>IF(C296="","",IF(IF(H296&lt;&gt;"",IF(I296&lt;&gt;"",IF(J296&lt;&gt;"",IF(K296&lt;&gt;"",G296+F296*30+(I296-H296)+(K296-J296)-$E$14,G296+F296*30+(I296-H296)-J296),G296+F296*30+(I296-H296)-$E$14),G296+F296*30-H296),G296+F296*30-$E$14)&lt;0,0,IF(H296&lt;&gt;"",IF(I296&lt;&gt;"",IF(J296&lt;&gt;"",IF(K296&lt;&gt;"",G296+F296*30+(I296-H296)+(K296-J296)-$E$14,G296+F296*30+(I296-H296)-J296),G296+F296*30+(I296-H296)-$E$14),G296+F296*30-H296),G296+F296*30-$E$14)))</f>
        <v>21</v>
      </c>
      <c r="M296" s="285">
        <f>IF(C296="","",IF(L296&lt;360,D296*E296*L296/(F296*30),D296*E296*360/(F296*30)))</f>
        <v>13763011.111111112</v>
      </c>
      <c r="O296" s="43"/>
      <c r="P296" s="41"/>
      <c r="W296" s="220">
        <v>1</v>
      </c>
    </row>
    <row r="297" spans="1:27" outlineLevel="1" x14ac:dyDescent="0.35">
      <c r="A297" s="255"/>
      <c r="B297" s="254"/>
      <c r="C297" s="261">
        <v>2</v>
      </c>
      <c r="D297" s="262">
        <v>1</v>
      </c>
      <c r="E297" s="263">
        <v>510334847</v>
      </c>
      <c r="F297" s="264">
        <v>11</v>
      </c>
      <c r="G297" s="265">
        <v>45426</v>
      </c>
      <c r="H297" s="265"/>
      <c r="I297" s="265"/>
      <c r="J297" s="265"/>
      <c r="K297" s="265"/>
      <c r="L297" s="236"/>
      <c r="M297" s="285">
        <f>IF(C297="","",IF(L297&lt;360,D297*E297*L297/(F297*30),D297*E297*360/(F297*30)))</f>
        <v>0</v>
      </c>
      <c r="O297" s="43" t="s">
        <v>243</v>
      </c>
      <c r="P297" s="265">
        <v>43693</v>
      </c>
      <c r="Q297" s="265">
        <v>43914</v>
      </c>
      <c r="R297" s="265">
        <v>44025</v>
      </c>
      <c r="S297" s="265">
        <v>44132</v>
      </c>
      <c r="T297" s="265">
        <v>44298</v>
      </c>
      <c r="U297" s="267">
        <v>44323</v>
      </c>
      <c r="V297" s="267">
        <v>44403</v>
      </c>
      <c r="W297" s="220">
        <v>1</v>
      </c>
      <c r="X297" s="267">
        <v>44442</v>
      </c>
      <c r="Y297" s="267">
        <v>44578</v>
      </c>
      <c r="Z297" s="267">
        <v>44650</v>
      </c>
    </row>
    <row r="298" spans="1:27" outlineLevel="1" x14ac:dyDescent="0.35">
      <c r="A298" s="255"/>
      <c r="B298" s="254"/>
      <c r="C298" s="261">
        <v>3</v>
      </c>
      <c r="D298" s="262">
        <v>1</v>
      </c>
      <c r="E298" s="263">
        <v>137694900</v>
      </c>
      <c r="F298" s="264">
        <v>6</v>
      </c>
      <c r="G298" s="265">
        <v>45337</v>
      </c>
      <c r="H298" s="265"/>
      <c r="I298" s="265"/>
      <c r="J298" s="265"/>
      <c r="K298" s="265"/>
      <c r="L298" s="236">
        <f>IF(C298="","",IF(IF(H298&lt;&gt;"",IF(I298&lt;&gt;"",IF(J298&lt;&gt;"",IF(K298&lt;&gt;"",G298+F298*30+(I298-H298)+(K298-J298)-$E$14,G298+F298*30+(I298-H298)-J298),G298+F298*30+(I298-H298)-$E$14),G298+F298*30-H298),G298+F298*30-$E$14)&lt;0,0,IF(H298&lt;&gt;"",IF(I298&lt;&gt;"",IF(J298&lt;&gt;"",IF(K298&lt;&gt;"",G298+F298*30+(I298-H298)+(K298-J298)-$E$14,G298+F298*30+(I298-H298)-J298),G298+F298*30+(I298-H298)-$E$14),G298+F298*30-H298),G298+F298*30-$E$14)))</f>
        <v>5</v>
      </c>
      <c r="M298" s="266">
        <f>IF(C298="","",IF(L298&lt;360,D298*E298*L298/(F298*30),D298*E298*360/(F298*30)))</f>
        <v>3824858.3333333335</v>
      </c>
      <c r="O298" s="43"/>
      <c r="P298" s="268">
        <f>+Q297-P297</f>
        <v>221</v>
      </c>
      <c r="Q298" s="267"/>
      <c r="R298" s="267">
        <f>+S297-R297</f>
        <v>107</v>
      </c>
      <c r="S298" s="267"/>
      <c r="T298" s="267">
        <f>+U297-T297</f>
        <v>25</v>
      </c>
      <c r="U298" s="267"/>
      <c r="V298" s="267">
        <f>+X297-V297</f>
        <v>39</v>
      </c>
      <c r="W298" s="220">
        <v>1</v>
      </c>
      <c r="X298" s="267"/>
      <c r="Y298" s="267">
        <f>+Z297-Y297</f>
        <v>72</v>
      </c>
      <c r="AA298" s="18">
        <f>+P298+R298+T298+V298+Y298</f>
        <v>464</v>
      </c>
    </row>
    <row r="299" spans="1:27" outlineLevel="1" x14ac:dyDescent="0.35">
      <c r="A299" s="255"/>
      <c r="B299" s="254"/>
      <c r="C299" s="261">
        <v>4</v>
      </c>
      <c r="D299" s="262">
        <v>1</v>
      </c>
      <c r="E299" s="263">
        <v>60000000</v>
      </c>
      <c r="F299" s="264">
        <v>12</v>
      </c>
      <c r="G299" s="265">
        <v>45362</v>
      </c>
      <c r="H299" s="265"/>
      <c r="I299" s="265"/>
      <c r="J299" s="265"/>
      <c r="K299" s="265"/>
      <c r="L299" s="236">
        <f>IF(C299="","",IF(IF(H299&lt;&gt;"",IF(I299&lt;&gt;"",IF(J299&lt;&gt;"",IF(K299&lt;&gt;"",G299+F299*30+(I299-H299)+(K299-J299)-$E$14,G299+F299*30+(I299-H299)-J299),G299+F299*30+(I299-H299)-$E$14),G299+F299*30-H299),G299+F299*30-$E$14)&lt;0,0,IF(H299&lt;&gt;"",IF(I299&lt;&gt;"",IF(J299&lt;&gt;"",IF(K299&lt;&gt;"",G299+F299*30+(I299-H299)+(K299-J299)-$E$14,G299+F299*30+(I299-H299)-J299),G299+F299*30+(I299-H299)-$E$14),G299+F299*30-H299),G299+F299*30-$E$14)))</f>
        <v>210</v>
      </c>
      <c r="M299" s="266">
        <f>IF(C299="","",IF(L299&lt;360,D299*E299*L299/(F299*30),D299*E299*360/(F299*30)))</f>
        <v>35000000</v>
      </c>
      <c r="O299" s="43"/>
      <c r="P299" s="41"/>
      <c r="W299" s="220">
        <v>1</v>
      </c>
    </row>
    <row r="300" spans="1:27" outlineLevel="1" x14ac:dyDescent="0.35">
      <c r="A300" s="255"/>
      <c r="B300" s="254"/>
      <c r="C300" s="261"/>
      <c r="D300" s="262"/>
      <c r="E300" s="263"/>
      <c r="F300" s="264"/>
      <c r="G300" s="265"/>
      <c r="H300" s="265"/>
      <c r="I300" s="265"/>
      <c r="J300" s="265"/>
      <c r="K300" s="265"/>
      <c r="L300" s="236" t="str">
        <f>IF(C300="","",IF(IF(H300&lt;&gt;"",IF(I300&lt;&gt;"",IF(J300&lt;&gt;"",IF(K300&lt;&gt;"",G300+F300*30+(I300-H300)+(K300-J300)-$E$14,G300+F300*30+(I300-H300)-J300),G300+F300*30+(I300-H300)-$E$14),G300+F300*30-H300),G300+F300*30-$E$14)&lt;0,0,IF(H300&lt;&gt;"",IF(I300&lt;&gt;"",IF(J300&lt;&gt;"",IF(K300&lt;&gt;"",G300+F300*30+(I300-H300)+(K300-J300)-$E$14,G300+F300*30+(I300-H300)-J300),G300+F300*30+(I300-H300)-$E$14),G300+F300*30-H300),G300+F300*30-$E$14)))</f>
        <v/>
      </c>
      <c r="M300" s="266" t="str">
        <f>IF(C300="","",IF(L300&lt;360,D300*E300*L300/(F300*30),D300*E300*360/(F300*30)))</f>
        <v/>
      </c>
      <c r="O300" s="43"/>
      <c r="P300" s="41"/>
      <c r="W300" s="220">
        <v>1</v>
      </c>
    </row>
    <row r="301" spans="1:27" ht="13.5" customHeight="1" outlineLevel="1" thickBot="1" x14ac:dyDescent="0.4">
      <c r="A301" s="255"/>
      <c r="C301" s="450" t="s">
        <v>228</v>
      </c>
      <c r="D301" s="451"/>
      <c r="E301" s="451"/>
      <c r="F301" s="451"/>
      <c r="G301" s="451"/>
      <c r="H301" s="451"/>
      <c r="I301" s="451"/>
      <c r="J301" s="451"/>
      <c r="K301" s="451"/>
      <c r="L301" s="429"/>
      <c r="M301" s="269">
        <f>SUM(M295:M300)</f>
        <v>52587869.444444448</v>
      </c>
      <c r="O301" s="43"/>
      <c r="P301" s="41"/>
      <c r="W301" s="220">
        <v>1</v>
      </c>
    </row>
    <row r="302" spans="1:27" x14ac:dyDescent="0.35">
      <c r="O302" s="43"/>
      <c r="P302" s="41"/>
      <c r="W302" s="284">
        <v>1</v>
      </c>
    </row>
    <row r="303" spans="1:27" ht="13.5" customHeight="1" outlineLevel="1" thickBot="1" x14ac:dyDescent="0.4">
      <c r="A303" s="255"/>
      <c r="C303" s="280"/>
      <c r="D303" s="280"/>
      <c r="E303" s="280"/>
      <c r="F303" s="280"/>
      <c r="G303" s="280"/>
      <c r="H303" s="280"/>
      <c r="I303" s="280"/>
      <c r="J303" s="280"/>
      <c r="K303" s="280"/>
      <c r="L303" s="281"/>
      <c r="M303" s="282"/>
      <c r="O303" s="43"/>
      <c r="P303" s="41"/>
      <c r="W303" s="220"/>
    </row>
    <row r="304" spans="1:27" ht="12" outlineLevel="1" thickBot="1" x14ac:dyDescent="0.4">
      <c r="A304" s="270"/>
      <c r="B304" s="271"/>
      <c r="C304" s="272"/>
      <c r="D304" s="272"/>
      <c r="E304" s="272"/>
      <c r="F304" s="272"/>
      <c r="G304" s="272"/>
      <c r="H304" s="272"/>
      <c r="I304" s="272"/>
      <c r="J304" s="271"/>
      <c r="K304" s="271"/>
      <c r="L304" s="271"/>
      <c r="M304" s="273"/>
      <c r="O304" s="43"/>
      <c r="W304" s="220">
        <v>3</v>
      </c>
    </row>
    <row r="305" spans="1:23" ht="11.65" customHeight="1" outlineLevel="1" thickBot="1" x14ac:dyDescent="0.4">
      <c r="A305" s="215">
        <v>6</v>
      </c>
      <c r="B305" s="389" t="s">
        <v>97</v>
      </c>
      <c r="C305" s="390"/>
      <c r="D305" s="390"/>
      <c r="E305" s="390"/>
      <c r="F305" s="390"/>
      <c r="G305" s="390"/>
      <c r="H305" s="390"/>
      <c r="I305" s="391"/>
      <c r="J305" s="216" t="s">
        <v>172</v>
      </c>
      <c r="K305" s="460">
        <f>G314*(H325+H331+H336)/100-M352</f>
        <v>658400000</v>
      </c>
      <c r="L305" s="461"/>
      <c r="M305" s="217" t="str">
        <f>IF(K305&gt;$E$17,"CUMPLE","NO CUMPLE")</f>
        <v>CUMPLE</v>
      </c>
      <c r="O305" s="43"/>
      <c r="W305" s="220">
        <v>3</v>
      </c>
    </row>
    <row r="306" spans="1:23" ht="11.65" customHeight="1" outlineLevel="1" thickBot="1" x14ac:dyDescent="0.4">
      <c r="A306" s="204"/>
      <c r="B306" s="40"/>
      <c r="C306" s="40"/>
      <c r="D306" s="40"/>
      <c r="E306" s="40"/>
      <c r="F306" s="40"/>
      <c r="G306" s="40"/>
      <c r="H306" s="40"/>
      <c r="I306" s="40"/>
      <c r="J306" s="40"/>
      <c r="K306" s="40"/>
      <c r="L306" s="40"/>
      <c r="M306" s="205"/>
      <c r="O306" s="43"/>
      <c r="W306" s="220">
        <v>3</v>
      </c>
    </row>
    <row r="307" spans="1:23" ht="12" customHeight="1" outlineLevel="1" x14ac:dyDescent="0.35">
      <c r="A307" s="393"/>
      <c r="B307" s="360"/>
      <c r="C307" s="394" t="s">
        <v>173</v>
      </c>
      <c r="D307" s="395"/>
      <c r="E307" s="395"/>
      <c r="F307" s="395"/>
      <c r="G307" s="395"/>
      <c r="H307" s="396"/>
      <c r="I307" s="397" t="s">
        <v>174</v>
      </c>
      <c r="J307" s="398"/>
      <c r="K307" s="398" t="s">
        <v>175</v>
      </c>
      <c r="L307" s="398"/>
      <c r="M307" s="399"/>
      <c r="O307" s="43"/>
      <c r="W307" s="220">
        <v>3</v>
      </c>
    </row>
    <row r="308" spans="1:23" ht="12.75" customHeight="1" outlineLevel="1" x14ac:dyDescent="0.35">
      <c r="A308" s="221"/>
      <c r="B308" s="41"/>
      <c r="C308" s="351" t="s">
        <v>176</v>
      </c>
      <c r="D308" s="375"/>
      <c r="E308" s="352"/>
      <c r="F308" s="352"/>
      <c r="G308" s="376" t="s">
        <v>165</v>
      </c>
      <c r="H308" s="377"/>
      <c r="I308" s="378" t="s">
        <v>177</v>
      </c>
      <c r="J308" s="379"/>
      <c r="K308" s="379" t="s">
        <v>178</v>
      </c>
      <c r="L308" s="379"/>
      <c r="M308" s="380"/>
      <c r="O308" s="43"/>
      <c r="W308" s="220">
        <v>3</v>
      </c>
    </row>
    <row r="309" spans="1:23" outlineLevel="1" x14ac:dyDescent="0.35">
      <c r="A309" s="221"/>
      <c r="B309" s="41"/>
      <c r="C309" s="381" t="s">
        <v>179</v>
      </c>
      <c r="D309" s="382"/>
      <c r="E309" s="382"/>
      <c r="F309" s="375"/>
      <c r="G309" s="383">
        <v>2023</v>
      </c>
      <c r="H309" s="384"/>
      <c r="I309" s="378" t="s">
        <v>180</v>
      </c>
      <c r="J309" s="379"/>
      <c r="K309" s="379" t="s">
        <v>181</v>
      </c>
      <c r="L309" s="379"/>
      <c r="M309" s="380"/>
      <c r="O309" s="43"/>
      <c r="W309" s="220">
        <v>3</v>
      </c>
    </row>
    <row r="310" spans="1:23" ht="12" outlineLevel="1" thickBot="1" x14ac:dyDescent="0.4">
      <c r="A310" s="221"/>
      <c r="B310" s="41"/>
      <c r="C310" s="349" t="str">
        <f>IF(G308="","",IF(G308=$O$13,"Valor umbral Mipyme.","Total Ingresos Operacionales Acreditados"))</f>
        <v>Total Ingresos Operacionales Acreditados</v>
      </c>
      <c r="D310" s="412"/>
      <c r="E310" s="350"/>
      <c r="F310" s="350"/>
      <c r="G310" s="413">
        <v>253478000</v>
      </c>
      <c r="H310" s="414"/>
      <c r="I310" s="415" t="s">
        <v>182</v>
      </c>
      <c r="J310" s="416"/>
      <c r="K310" s="222" t="s">
        <v>183</v>
      </c>
      <c r="L310" s="417">
        <f>4048*125000</f>
        <v>506000000</v>
      </c>
      <c r="M310" s="418"/>
      <c r="O310" s="43"/>
      <c r="W310" s="220">
        <v>3</v>
      </c>
    </row>
    <row r="311" spans="1:23" outlineLevel="1" x14ac:dyDescent="0.35">
      <c r="A311" s="221"/>
      <c r="B311" s="41"/>
      <c r="C311" s="419" t="s">
        <v>184</v>
      </c>
      <c r="D311" s="420"/>
      <c r="E311" s="420"/>
      <c r="F311" s="420"/>
      <c r="G311" s="420"/>
      <c r="H311" s="421"/>
      <c r="I311" s="223"/>
      <c r="J311" s="223"/>
      <c r="K311" s="224"/>
      <c r="L311" s="225"/>
      <c r="M311" s="225"/>
      <c r="O311" s="43"/>
      <c r="W311" s="220">
        <v>3</v>
      </c>
    </row>
    <row r="312" spans="1:23" outlineLevel="1" x14ac:dyDescent="0.35">
      <c r="A312" s="221"/>
      <c r="B312" s="41"/>
      <c r="C312" s="226" t="s">
        <v>185</v>
      </c>
      <c r="D312" s="400" t="s">
        <v>244</v>
      </c>
      <c r="E312" s="401"/>
      <c r="F312" s="402" t="s">
        <v>187</v>
      </c>
      <c r="G312" s="403"/>
      <c r="H312" s="227" t="s">
        <v>188</v>
      </c>
      <c r="I312" s="404" t="str">
        <f>IF(OR(H312="Vigente",H312=""),"",IF(H312="no aporta","No aporta el certificado de antecedentes disciplinarios del "&amp;PROPER(C312)&amp;" ("&amp;PROPER(D312)&amp;") quien suscribe los estados de resultados de "&amp;B305&amp;". Debe subsanar ese documento.","El certificado de antecedentes disciplinarios del "&amp;PROPER(C312)&amp;" ("&amp;PROPER(D312)&amp;") quien suscribe los estados de resultados de "&amp;B305&amp;", no se encuentran vigentes a la fecha de cierre del proceso. Debe subsanar ese documento."))</f>
        <v/>
      </c>
      <c r="J312" s="405"/>
      <c r="K312" s="405"/>
      <c r="L312" s="405"/>
      <c r="M312" s="406"/>
      <c r="O312" s="43"/>
      <c r="W312" s="220">
        <v>3</v>
      </c>
    </row>
    <row r="313" spans="1:23" outlineLevel="1" x14ac:dyDescent="0.35">
      <c r="A313" s="221"/>
      <c r="B313" s="41"/>
      <c r="C313" s="226" t="s">
        <v>189</v>
      </c>
      <c r="D313" s="400" t="s">
        <v>245</v>
      </c>
      <c r="E313" s="401"/>
      <c r="F313" s="402" t="s">
        <v>187</v>
      </c>
      <c r="G313" s="403"/>
      <c r="H313" s="227" t="s">
        <v>188</v>
      </c>
      <c r="I313" s="404"/>
      <c r="J313" s="405"/>
      <c r="K313" s="405"/>
      <c r="L313" s="405"/>
      <c r="M313" s="406"/>
      <c r="O313" s="43"/>
      <c r="W313" s="220">
        <v>3</v>
      </c>
    </row>
    <row r="314" spans="1:23" ht="12" outlineLevel="1" thickBot="1" x14ac:dyDescent="0.4">
      <c r="A314" s="221"/>
      <c r="B314" s="41"/>
      <c r="C314" s="228" t="s">
        <v>191</v>
      </c>
      <c r="D314" s="229"/>
      <c r="E314" s="230"/>
      <c r="F314" s="230"/>
      <c r="G314" s="407">
        <f>IF(OR(H312="SIN VIGENCIA",H312="NO APORTA",H313="SIN VIGENCIA",H313="NO APORTA"),0,IF(G308="",0,IF(G308=$O$13,L310,IF(G310&lt;L310,L310,G310))))</f>
        <v>506000000</v>
      </c>
      <c r="H314" s="408"/>
      <c r="I314" s="39"/>
      <c r="J314" s="39"/>
      <c r="K314" s="39"/>
      <c r="L314" s="39"/>
      <c r="M314" s="39"/>
      <c r="O314" s="43"/>
      <c r="W314" s="220">
        <v>3</v>
      </c>
    </row>
    <row r="315" spans="1:23" ht="12" outlineLevel="1" thickBot="1" x14ac:dyDescent="0.4">
      <c r="A315" s="204"/>
      <c r="B315" s="40"/>
      <c r="C315" s="40"/>
      <c r="D315" s="40"/>
      <c r="E315" s="40"/>
      <c r="F315" s="40"/>
      <c r="G315" s="40"/>
      <c r="H315" s="40"/>
      <c r="I315" s="40"/>
      <c r="J315" s="40"/>
      <c r="K315" s="40"/>
      <c r="L315" s="40"/>
      <c r="M315" s="205"/>
      <c r="O315" s="43"/>
      <c r="W315" s="220">
        <v>3</v>
      </c>
    </row>
    <row r="316" spans="1:23" outlineLevel="1" x14ac:dyDescent="0.35">
      <c r="A316" s="221"/>
      <c r="B316" s="41"/>
      <c r="C316" s="409" t="s">
        <v>164</v>
      </c>
      <c r="D316" s="395"/>
      <c r="E316" s="395"/>
      <c r="F316" s="395"/>
      <c r="G316" s="395"/>
      <c r="H316" s="396"/>
      <c r="I316" s="232" t="s">
        <v>192</v>
      </c>
      <c r="J316" s="233" t="s">
        <v>193</v>
      </c>
      <c r="K316" s="207" t="s">
        <v>194</v>
      </c>
      <c r="L316" s="39"/>
      <c r="M316" s="234"/>
      <c r="O316" s="43"/>
      <c r="W316" s="220">
        <v>3</v>
      </c>
    </row>
    <row r="317" spans="1:23" outlineLevel="1" x14ac:dyDescent="0.35">
      <c r="A317" s="221"/>
      <c r="B317" s="41"/>
      <c r="C317" s="351" t="s">
        <v>195</v>
      </c>
      <c r="D317" s="375"/>
      <c r="E317" s="352"/>
      <c r="F317" s="352"/>
      <c r="G317" s="410">
        <v>1</v>
      </c>
      <c r="H317" s="411"/>
      <c r="I317" s="235">
        <v>0</v>
      </c>
      <c r="J317" s="236">
        <v>3</v>
      </c>
      <c r="K317" s="209">
        <v>60</v>
      </c>
      <c r="L317" s="39"/>
      <c r="M317" s="234"/>
      <c r="O317" s="43"/>
      <c r="W317" s="220">
        <v>3</v>
      </c>
    </row>
    <row r="318" spans="1:23" ht="12" outlineLevel="1" thickBot="1" x14ac:dyDescent="0.4">
      <c r="A318" s="221"/>
      <c r="B318" s="41"/>
      <c r="C318" s="430" t="s">
        <v>158</v>
      </c>
      <c r="D318" s="431"/>
      <c r="E318" s="432"/>
      <c r="F318" s="432"/>
      <c r="G318" s="433">
        <f>$E$13</f>
        <v>522182486</v>
      </c>
      <c r="H318" s="434"/>
      <c r="I318" s="235">
        <v>3</v>
      </c>
      <c r="J318" s="236">
        <v>6</v>
      </c>
      <c r="K318" s="209">
        <v>80</v>
      </c>
      <c r="L318" s="39"/>
      <c r="M318" s="234"/>
      <c r="O318" s="43"/>
      <c r="W318" s="220">
        <v>3</v>
      </c>
    </row>
    <row r="319" spans="1:23" ht="12" outlineLevel="1" thickBot="1" x14ac:dyDescent="0.4">
      <c r="A319" s="221"/>
      <c r="B319" s="41"/>
      <c r="C319" s="435" t="s">
        <v>196</v>
      </c>
      <c r="D319" s="436"/>
      <c r="E319" s="437"/>
      <c r="F319" s="437"/>
      <c r="G319" s="437"/>
      <c r="H319" s="438"/>
      <c r="I319" s="235">
        <v>6</v>
      </c>
      <c r="J319" s="236">
        <v>10</v>
      </c>
      <c r="K319" s="209">
        <v>100</v>
      </c>
      <c r="L319" s="39"/>
      <c r="M319" s="234"/>
      <c r="O319" s="43"/>
      <c r="W319" s="220">
        <v>3</v>
      </c>
    </row>
    <row r="320" spans="1:23" s="39" customFormat="1" ht="12" outlineLevel="1" thickBot="1" x14ac:dyDescent="0.4">
      <c r="A320" s="221"/>
      <c r="B320" s="41"/>
      <c r="C320" s="439" t="s">
        <v>197</v>
      </c>
      <c r="D320" s="440"/>
      <c r="E320" s="440"/>
      <c r="F320" s="440"/>
      <c r="G320" s="363" t="s">
        <v>198</v>
      </c>
      <c r="H320" s="364"/>
      <c r="I320" s="237">
        <v>10</v>
      </c>
      <c r="J320" s="238" t="s">
        <v>199</v>
      </c>
      <c r="K320" s="239">
        <v>120</v>
      </c>
      <c r="M320" s="234"/>
      <c r="O320" s="43"/>
      <c r="P320" s="41"/>
      <c r="Q320" s="41"/>
      <c r="R320" s="41"/>
      <c r="S320" s="41"/>
      <c r="W320" s="220">
        <v>3</v>
      </c>
    </row>
    <row r="321" spans="1:23" ht="12.75" customHeight="1" outlineLevel="1" x14ac:dyDescent="0.35">
      <c r="A321" s="221"/>
      <c r="B321" s="41"/>
      <c r="C321" s="441" t="s">
        <v>200</v>
      </c>
      <c r="D321" s="352"/>
      <c r="E321" s="352"/>
      <c r="F321" s="352"/>
      <c r="G321" s="442">
        <v>15883218000</v>
      </c>
      <c r="H321" s="443"/>
      <c r="I321" s="39"/>
      <c r="J321" s="39"/>
      <c r="K321" s="39"/>
      <c r="L321" s="39"/>
      <c r="M321" s="234"/>
      <c r="O321" s="43"/>
      <c r="W321" s="220">
        <v>3</v>
      </c>
    </row>
    <row r="322" spans="1:23" outlineLevel="1" x14ac:dyDescent="0.35">
      <c r="A322" s="221"/>
      <c r="B322" s="41"/>
      <c r="C322" s="351"/>
      <c r="D322" s="352"/>
      <c r="E322" s="352"/>
      <c r="F322" s="352"/>
      <c r="G322" s="422"/>
      <c r="H322" s="423"/>
      <c r="I322" s="39"/>
      <c r="J322" s="39"/>
      <c r="K322" s="39"/>
      <c r="L322" s="39"/>
      <c r="M322" s="234"/>
      <c r="O322" s="43"/>
      <c r="W322" s="220">
        <v>3</v>
      </c>
    </row>
    <row r="323" spans="1:23" ht="12.75" customHeight="1" outlineLevel="1" thickBot="1" x14ac:dyDescent="0.4">
      <c r="A323" s="221"/>
      <c r="B323" s="41"/>
      <c r="C323" s="355" t="s">
        <v>201</v>
      </c>
      <c r="D323" s="356"/>
      <c r="E323" s="356"/>
      <c r="F323" s="356"/>
      <c r="G323" s="424">
        <f>SUM(G320:H322)</f>
        <v>15883218000</v>
      </c>
      <c r="H323" s="425"/>
      <c r="I323" s="39"/>
      <c r="J323" s="39"/>
      <c r="K323" s="39"/>
      <c r="L323" s="39"/>
      <c r="M323" s="234"/>
      <c r="O323" s="43"/>
      <c r="W323" s="220">
        <v>3</v>
      </c>
    </row>
    <row r="324" spans="1:23" outlineLevel="1" x14ac:dyDescent="0.35">
      <c r="A324" s="221"/>
      <c r="B324" s="41"/>
      <c r="C324" s="426" t="s">
        <v>202</v>
      </c>
      <c r="D324" s="427"/>
      <c r="E324" s="428"/>
      <c r="F324" s="428"/>
      <c r="G324" s="428"/>
      <c r="H324" s="240">
        <f>IF(OR(G317="",G317=0,G323=0),0,G323/(G318*G317))</f>
        <v>30.416987213929652</v>
      </c>
      <c r="I324" s="39"/>
      <c r="J324" s="39"/>
      <c r="K324" s="39"/>
      <c r="L324" s="39"/>
      <c r="M324" s="234"/>
      <c r="O324" s="43"/>
      <c r="W324" s="220">
        <v>3</v>
      </c>
    </row>
    <row r="325" spans="1:23" ht="12.75" customHeight="1" outlineLevel="1" thickBot="1" x14ac:dyDescent="0.4">
      <c r="A325" s="221"/>
      <c r="B325" s="41"/>
      <c r="C325" s="355" t="s">
        <v>203</v>
      </c>
      <c r="D325" s="429"/>
      <c r="E325" s="356"/>
      <c r="F325" s="356"/>
      <c r="G325" s="356"/>
      <c r="H325" s="241">
        <f>IF(H324&lt;=3,60,IF(H324&lt;=6,80,IF(H324&lt;=10,100,120)))</f>
        <v>120</v>
      </c>
      <c r="I325" s="39"/>
      <c r="J325" s="242"/>
      <c r="K325" s="39"/>
      <c r="L325" s="39"/>
      <c r="M325" s="234"/>
      <c r="O325" s="43"/>
      <c r="W325" s="220">
        <v>3</v>
      </c>
    </row>
    <row r="326" spans="1:23" ht="12" outlineLevel="1" thickBot="1" x14ac:dyDescent="0.4">
      <c r="A326" s="204"/>
      <c r="B326" s="40"/>
      <c r="C326" s="40"/>
      <c r="D326" s="40"/>
      <c r="E326" s="40"/>
      <c r="F326" s="40"/>
      <c r="G326" s="40"/>
      <c r="H326" s="40"/>
      <c r="I326" s="40"/>
      <c r="J326" s="40"/>
      <c r="K326" s="40"/>
      <c r="L326" s="40"/>
      <c r="M326" s="205"/>
      <c r="O326" s="43"/>
      <c r="W326" s="220">
        <v>3</v>
      </c>
    </row>
    <row r="327" spans="1:23" outlineLevel="1" x14ac:dyDescent="0.35">
      <c r="A327" s="221"/>
      <c r="B327" s="41"/>
      <c r="C327" s="394" t="s">
        <v>204</v>
      </c>
      <c r="D327" s="395"/>
      <c r="E327" s="395"/>
      <c r="F327" s="395"/>
      <c r="G327" s="395"/>
      <c r="H327" s="396"/>
      <c r="I327" s="232" t="s">
        <v>205</v>
      </c>
      <c r="J327" s="233" t="s">
        <v>206</v>
      </c>
      <c r="K327" s="207" t="s">
        <v>194</v>
      </c>
      <c r="L327" s="39"/>
      <c r="M327" s="234"/>
      <c r="O327" s="43"/>
      <c r="W327" s="220">
        <v>3</v>
      </c>
    </row>
    <row r="328" spans="1:23" outlineLevel="1" x14ac:dyDescent="0.35">
      <c r="A328" s="221"/>
      <c r="B328" s="41"/>
      <c r="C328" s="349" t="s">
        <v>207</v>
      </c>
      <c r="D328" s="350"/>
      <c r="E328" s="350"/>
      <c r="F328" s="350"/>
      <c r="G328" s="350" t="s">
        <v>165</v>
      </c>
      <c r="H328" s="243">
        <v>77622000</v>
      </c>
      <c r="I328" s="244">
        <v>0</v>
      </c>
      <c r="J328" s="245">
        <v>0.5</v>
      </c>
      <c r="K328" s="209">
        <v>20</v>
      </c>
      <c r="L328" s="39"/>
      <c r="M328" s="234"/>
      <c r="O328" s="43"/>
      <c r="W328" s="220">
        <v>3</v>
      </c>
    </row>
    <row r="329" spans="1:23" ht="12" customHeight="1" outlineLevel="1" x14ac:dyDescent="0.35">
      <c r="A329" s="221"/>
      <c r="B329" s="41"/>
      <c r="C329" s="349" t="s">
        <v>208</v>
      </c>
      <c r="D329" s="350"/>
      <c r="E329" s="350"/>
      <c r="F329" s="350"/>
      <c r="G329" s="350"/>
      <c r="H329" s="243">
        <v>54077000</v>
      </c>
      <c r="I329" s="244">
        <v>0.5</v>
      </c>
      <c r="J329" s="245">
        <v>0.75</v>
      </c>
      <c r="K329" s="209">
        <v>25</v>
      </c>
      <c r="L329" s="39"/>
      <c r="M329" s="234"/>
      <c r="O329" s="43"/>
      <c r="W329" s="220">
        <v>3</v>
      </c>
    </row>
    <row r="330" spans="1:23" outlineLevel="1" x14ac:dyDescent="0.35">
      <c r="A330" s="221"/>
      <c r="B330" s="41"/>
      <c r="C330" s="349" t="s">
        <v>209</v>
      </c>
      <c r="D330" s="350"/>
      <c r="E330" s="350"/>
      <c r="F330" s="350"/>
      <c r="G330" s="350"/>
      <c r="H330" s="246"/>
      <c r="I330" s="244">
        <v>0.75</v>
      </c>
      <c r="J330" s="245">
        <v>1</v>
      </c>
      <c r="K330" s="209">
        <v>30</v>
      </c>
      <c r="L330" s="39"/>
      <c r="M330" s="234"/>
      <c r="O330" s="43"/>
      <c r="W330" s="220">
        <v>3</v>
      </c>
    </row>
    <row r="331" spans="1:23" ht="12" outlineLevel="1" thickBot="1" x14ac:dyDescent="0.4">
      <c r="A331" s="221"/>
      <c r="B331" s="41"/>
      <c r="C331" s="355" t="s">
        <v>210</v>
      </c>
      <c r="D331" s="356"/>
      <c r="E331" s="356"/>
      <c r="F331" s="356"/>
      <c r="G331" s="356"/>
      <c r="H331" s="241">
        <f>IF(H330="",0,IF(H330&lt;0.5,20,IF(H330&lt;0.75,25,IF(H330&lt;1,30,IF(H330&lt;1.5,35,40)))))</f>
        <v>0</v>
      </c>
      <c r="I331" s="244">
        <v>1</v>
      </c>
      <c r="J331" s="245">
        <v>1.5</v>
      </c>
      <c r="K331" s="209">
        <v>35</v>
      </c>
      <c r="L331" s="39"/>
      <c r="M331" s="234"/>
      <c r="O331" s="43"/>
      <c r="W331" s="220">
        <v>3</v>
      </c>
    </row>
    <row r="332" spans="1:23" ht="12" outlineLevel="1" thickBot="1" x14ac:dyDescent="0.4">
      <c r="A332" s="221"/>
      <c r="B332" s="41"/>
      <c r="C332" s="39"/>
      <c r="D332" s="39"/>
      <c r="E332" s="39"/>
      <c r="F332" s="39"/>
      <c r="G332" s="39"/>
      <c r="H332" s="39"/>
      <c r="I332" s="247">
        <v>1.5</v>
      </c>
      <c r="J332" s="248" t="s">
        <v>199</v>
      </c>
      <c r="K332" s="239">
        <v>40</v>
      </c>
      <c r="L332" s="39"/>
      <c r="M332" s="234"/>
      <c r="O332" s="43"/>
      <c r="W332" s="220">
        <v>3</v>
      </c>
    </row>
    <row r="333" spans="1:23" ht="12" customHeight="1" outlineLevel="1" thickBot="1" x14ac:dyDescent="0.4">
      <c r="A333" s="204"/>
      <c r="B333" s="40"/>
      <c r="C333" s="40"/>
      <c r="D333" s="40"/>
      <c r="E333" s="40"/>
      <c r="F333" s="40"/>
      <c r="G333" s="40"/>
      <c r="H333" s="40"/>
      <c r="I333" s="40"/>
      <c r="J333" s="40"/>
      <c r="K333" s="40"/>
      <c r="L333" s="40"/>
      <c r="M333" s="205"/>
      <c r="O333" s="43"/>
      <c r="W333" s="220">
        <v>3</v>
      </c>
    </row>
    <row r="334" spans="1:23" ht="12" customHeight="1" outlineLevel="1" x14ac:dyDescent="0.35">
      <c r="A334" s="221"/>
      <c r="B334" s="41"/>
      <c r="C334" s="394" t="s">
        <v>211</v>
      </c>
      <c r="D334" s="395"/>
      <c r="E334" s="395"/>
      <c r="F334" s="395"/>
      <c r="G334" s="395"/>
      <c r="H334" s="396"/>
      <c r="I334" s="232" t="s">
        <v>212</v>
      </c>
      <c r="J334" s="233" t="s">
        <v>213</v>
      </c>
      <c r="K334" s="207" t="s">
        <v>194</v>
      </c>
      <c r="L334" s="39"/>
      <c r="M334" s="234"/>
      <c r="O334" s="43"/>
      <c r="W334" s="220">
        <v>3</v>
      </c>
    </row>
    <row r="335" spans="1:23" outlineLevel="1" x14ac:dyDescent="0.35">
      <c r="A335" s="221"/>
      <c r="B335" s="41"/>
      <c r="C335" s="349" t="s">
        <v>214</v>
      </c>
      <c r="D335" s="350"/>
      <c r="E335" s="350"/>
      <c r="F335" s="350"/>
      <c r="G335" s="350" t="s">
        <v>165</v>
      </c>
      <c r="H335" s="249">
        <v>2</v>
      </c>
      <c r="I335" s="250">
        <v>1</v>
      </c>
      <c r="J335" s="251">
        <v>5</v>
      </c>
      <c r="K335" s="209">
        <v>20</v>
      </c>
      <c r="L335" s="39"/>
      <c r="M335" s="234"/>
      <c r="O335" s="43"/>
      <c r="W335" s="220">
        <v>3</v>
      </c>
    </row>
    <row r="336" spans="1:23" ht="12" outlineLevel="1" thickBot="1" x14ac:dyDescent="0.4">
      <c r="A336" s="221"/>
      <c r="B336" s="41"/>
      <c r="C336" s="355" t="s">
        <v>215</v>
      </c>
      <c r="D336" s="356"/>
      <c r="E336" s="356"/>
      <c r="F336" s="356"/>
      <c r="G336" s="356"/>
      <c r="H336" s="241">
        <f>IF(H335&lt;1,0,IF(H335&lt;=5,20,IF(H335&lt;=10,30,40)))</f>
        <v>20</v>
      </c>
      <c r="I336" s="250">
        <v>6</v>
      </c>
      <c r="J336" s="251">
        <v>10</v>
      </c>
      <c r="K336" s="209">
        <v>30</v>
      </c>
      <c r="L336" s="39"/>
      <c r="M336" s="234"/>
      <c r="O336" s="43"/>
      <c r="W336" s="220">
        <v>3</v>
      </c>
    </row>
    <row r="337" spans="1:23" ht="12" outlineLevel="1" thickBot="1" x14ac:dyDescent="0.4">
      <c r="A337" s="221"/>
      <c r="B337" s="41"/>
      <c r="C337" s="39"/>
      <c r="D337" s="39"/>
      <c r="E337" s="39"/>
      <c r="F337" s="39"/>
      <c r="G337" s="39"/>
      <c r="H337" s="39"/>
      <c r="I337" s="252">
        <v>11</v>
      </c>
      <c r="J337" s="248" t="s">
        <v>199</v>
      </c>
      <c r="K337" s="239">
        <v>40</v>
      </c>
      <c r="L337" s="39"/>
      <c r="M337" s="234"/>
      <c r="O337" s="43"/>
      <c r="W337" s="220">
        <v>3</v>
      </c>
    </row>
    <row r="338" spans="1:23" ht="12" outlineLevel="1" thickBot="1" x14ac:dyDescent="0.4">
      <c r="A338" s="204"/>
      <c r="B338" s="40"/>
      <c r="C338" s="40"/>
      <c r="D338" s="40"/>
      <c r="E338" s="40"/>
      <c r="F338" s="40"/>
      <c r="G338" s="40"/>
      <c r="H338" s="40"/>
      <c r="I338" s="40"/>
      <c r="J338" s="40"/>
      <c r="K338" s="40"/>
      <c r="L338" s="40"/>
      <c r="M338" s="205"/>
      <c r="O338" s="43"/>
      <c r="W338" s="220">
        <v>3</v>
      </c>
    </row>
    <row r="339" spans="1:23" ht="12" outlineLevel="1" thickBot="1" x14ac:dyDescent="0.4">
      <c r="A339" s="221"/>
      <c r="B339" s="41"/>
      <c r="C339" s="444" t="s">
        <v>216</v>
      </c>
      <c r="D339" s="445"/>
      <c r="E339" s="445"/>
      <c r="F339" s="445"/>
      <c r="G339" s="445"/>
      <c r="H339" s="445"/>
      <c r="I339" s="445"/>
      <c r="J339" s="445"/>
      <c r="K339" s="445"/>
      <c r="L339" s="445"/>
      <c r="M339" s="446"/>
      <c r="O339" s="43"/>
      <c r="W339" s="220">
        <v>3</v>
      </c>
    </row>
    <row r="340" spans="1:23" ht="12" outlineLevel="1" thickBot="1" x14ac:dyDescent="0.4">
      <c r="A340" s="253"/>
      <c r="B340" s="254"/>
      <c r="C340" s="447" t="s">
        <v>217</v>
      </c>
      <c r="D340" s="448"/>
      <c r="E340" s="448"/>
      <c r="F340" s="448"/>
      <c r="G340" s="448"/>
      <c r="H340" s="448"/>
      <c r="I340" s="448"/>
      <c r="J340" s="448"/>
      <c r="K340" s="448"/>
      <c r="L340" s="448"/>
      <c r="M340" s="449"/>
      <c r="O340" s="43"/>
      <c r="W340" s="220">
        <v>3</v>
      </c>
    </row>
    <row r="341" spans="1:23" ht="23" outlineLevel="1" x14ac:dyDescent="0.35">
      <c r="A341" s="255"/>
      <c r="B341" s="254"/>
      <c r="C341" s="256" t="s">
        <v>218</v>
      </c>
      <c r="D341" s="257" t="s">
        <v>219</v>
      </c>
      <c r="E341" s="258" t="s">
        <v>198</v>
      </c>
      <c r="F341" s="258" t="s">
        <v>220</v>
      </c>
      <c r="G341" s="258" t="s">
        <v>221</v>
      </c>
      <c r="H341" s="258" t="s">
        <v>222</v>
      </c>
      <c r="I341" s="258" t="s">
        <v>223</v>
      </c>
      <c r="J341" s="258" t="s">
        <v>224</v>
      </c>
      <c r="K341" s="258" t="s">
        <v>225</v>
      </c>
      <c r="L341" s="259" t="s">
        <v>226</v>
      </c>
      <c r="M341" s="260" t="s">
        <v>227</v>
      </c>
      <c r="O341" s="43"/>
      <c r="W341" s="220">
        <v>3</v>
      </c>
    </row>
    <row r="342" spans="1:23" outlineLevel="1" x14ac:dyDescent="0.35">
      <c r="A342" s="255"/>
      <c r="B342" s="254"/>
      <c r="C342" s="261">
        <v>1</v>
      </c>
      <c r="D342" s="262">
        <v>1</v>
      </c>
      <c r="E342" s="263">
        <v>45000000</v>
      </c>
      <c r="F342" s="264">
        <v>10</v>
      </c>
      <c r="G342" s="265">
        <v>44716</v>
      </c>
      <c r="H342" s="265"/>
      <c r="I342" s="265"/>
      <c r="J342" s="265"/>
      <c r="K342" s="265"/>
      <c r="L342" s="236">
        <f>IF(C342="","",IF(IF(H342&lt;&gt;"",IF(I342&lt;&gt;"",IF(J342&lt;&gt;"",IF(K342&lt;&gt;"",G342+F342*30+(I342-H342)+(K342-J342)-$E$14,G342+F342*30+(I342-H342)-J342),G342+F342*30+(I342-H342)-$E$14),G342+F342*30-H342),G342+F342*30-$E$14)&lt;0,0,IF(H342&lt;&gt;"",IF(I342&lt;&gt;"",IF(J342&lt;&gt;"",IF(K342&lt;&gt;"",G342+F342*30+(I342-H342)+(K342-J342)-$E$14,G342+F342*30+(I342-H342)-J342),G342+F342*30+(I342-H342)-$E$14),G342+F342*30-H342),G342+F342*30-$E$14)))</f>
        <v>0</v>
      </c>
      <c r="M342" s="266">
        <f>IF(C342="","",IF(L342&lt;360,D342*E342*L342/(F342*30),D342*E342*360/(F342*30)))</f>
        <v>0</v>
      </c>
      <c r="O342" s="43"/>
      <c r="W342" s="220">
        <v>3</v>
      </c>
    </row>
    <row r="343" spans="1:23" outlineLevel="1" x14ac:dyDescent="0.35">
      <c r="A343" s="255"/>
      <c r="B343" s="254"/>
      <c r="C343" s="261">
        <v>2</v>
      </c>
      <c r="D343" s="262">
        <v>1</v>
      </c>
      <c r="E343" s="263">
        <v>180000000</v>
      </c>
      <c r="F343" s="264">
        <v>3</v>
      </c>
      <c r="G343" s="265">
        <v>45447</v>
      </c>
      <c r="H343" s="265"/>
      <c r="I343" s="265"/>
      <c r="J343" s="265"/>
      <c r="K343" s="265"/>
      <c r="L343" s="236">
        <f t="shared" ref="L343:L351" si="4">IF(C343="","",IF(IF(H343&lt;&gt;"",IF(I343&lt;&gt;"",IF(J343&lt;&gt;"",IF(K343&lt;&gt;"",G343+F343*30+(I343-H343)+(K343-J343)-$E$14,G343+F343*30+(I343-H343)-J343),G343+F343*30+(I343-H343)-$E$14),G343+F343*30-H343),G343+F343*30-$E$14)&lt;0,0,IF(H343&lt;&gt;"",IF(I343&lt;&gt;"",IF(J343&lt;&gt;"",IF(K343&lt;&gt;"",G343+F343*30+(I343-H343)+(K343-J343)-$E$14,G343+F343*30+(I343-H343)-J343),G343+F343*30+(I343-H343)-$E$14),G343+F343*30-H343),G343+F343*30-$E$14)))</f>
        <v>25</v>
      </c>
      <c r="M343" s="266">
        <f t="shared" ref="M343:M351" si="5">IF(C343="","",IF(L343&lt;360,D343*E343*L343/(F343*30),D343*E343*360/(F343*30)))</f>
        <v>50000000</v>
      </c>
      <c r="O343" s="43"/>
      <c r="W343" s="220">
        <v>3</v>
      </c>
    </row>
    <row r="344" spans="1:23" outlineLevel="1" x14ac:dyDescent="0.35">
      <c r="A344" s="255"/>
      <c r="B344" s="254"/>
      <c r="C344" s="261"/>
      <c r="D344" s="262"/>
      <c r="E344" s="263"/>
      <c r="F344" s="264"/>
      <c r="G344" s="265"/>
      <c r="H344" s="265"/>
      <c r="I344" s="265"/>
      <c r="J344" s="265"/>
      <c r="K344" s="265"/>
      <c r="L344" s="236" t="str">
        <f t="shared" si="4"/>
        <v/>
      </c>
      <c r="M344" s="266" t="str">
        <f t="shared" si="5"/>
        <v/>
      </c>
      <c r="O344" s="43"/>
      <c r="W344" s="220">
        <v>3</v>
      </c>
    </row>
    <row r="345" spans="1:23" ht="12.75" customHeight="1" outlineLevel="1" x14ac:dyDescent="0.35">
      <c r="A345" s="255"/>
      <c r="B345" s="254"/>
      <c r="C345" s="261"/>
      <c r="D345" s="262"/>
      <c r="E345" s="263"/>
      <c r="F345" s="264"/>
      <c r="G345" s="265"/>
      <c r="H345" s="265"/>
      <c r="I345" s="265"/>
      <c r="J345" s="265"/>
      <c r="K345" s="265"/>
      <c r="L345" s="236" t="str">
        <f t="shared" si="4"/>
        <v/>
      </c>
      <c r="M345" s="266" t="str">
        <f t="shared" si="5"/>
        <v/>
      </c>
      <c r="O345" s="43"/>
      <c r="W345" s="220">
        <v>3</v>
      </c>
    </row>
    <row r="346" spans="1:23" outlineLevel="1" x14ac:dyDescent="0.35">
      <c r="A346" s="255"/>
      <c r="B346" s="254"/>
      <c r="C346" s="261"/>
      <c r="D346" s="262"/>
      <c r="E346" s="263"/>
      <c r="F346" s="264"/>
      <c r="G346" s="265"/>
      <c r="H346" s="265"/>
      <c r="I346" s="265"/>
      <c r="J346" s="265"/>
      <c r="K346" s="265"/>
      <c r="L346" s="236" t="str">
        <f t="shared" si="4"/>
        <v/>
      </c>
      <c r="M346" s="266" t="str">
        <f t="shared" si="5"/>
        <v/>
      </c>
      <c r="O346" s="43"/>
      <c r="W346" s="220">
        <v>3</v>
      </c>
    </row>
    <row r="347" spans="1:23" outlineLevel="1" x14ac:dyDescent="0.35">
      <c r="A347" s="255"/>
      <c r="B347" s="254"/>
      <c r="C347" s="261"/>
      <c r="D347" s="262"/>
      <c r="E347" s="263"/>
      <c r="F347" s="264"/>
      <c r="G347" s="265"/>
      <c r="H347" s="265"/>
      <c r="I347" s="265"/>
      <c r="J347" s="265"/>
      <c r="K347" s="265"/>
      <c r="L347" s="236" t="str">
        <f t="shared" si="4"/>
        <v/>
      </c>
      <c r="M347" s="266" t="str">
        <f t="shared" si="5"/>
        <v/>
      </c>
      <c r="O347" s="43"/>
      <c r="W347" s="220">
        <v>3</v>
      </c>
    </row>
    <row r="348" spans="1:23" outlineLevel="1" x14ac:dyDescent="0.35">
      <c r="A348" s="255"/>
      <c r="B348" s="254"/>
      <c r="C348" s="261"/>
      <c r="D348" s="262"/>
      <c r="E348" s="263"/>
      <c r="F348" s="264"/>
      <c r="G348" s="265"/>
      <c r="H348" s="265"/>
      <c r="I348" s="265"/>
      <c r="J348" s="265"/>
      <c r="K348" s="265"/>
      <c r="L348" s="236" t="str">
        <f t="shared" si="4"/>
        <v/>
      </c>
      <c r="M348" s="266" t="str">
        <f t="shared" si="5"/>
        <v/>
      </c>
      <c r="O348" s="43"/>
      <c r="W348" s="220">
        <v>3</v>
      </c>
    </row>
    <row r="349" spans="1:23" outlineLevel="1" x14ac:dyDescent="0.35">
      <c r="A349" s="255"/>
      <c r="B349" s="254"/>
      <c r="C349" s="261"/>
      <c r="D349" s="262"/>
      <c r="E349" s="263"/>
      <c r="F349" s="264"/>
      <c r="G349" s="265"/>
      <c r="H349" s="265"/>
      <c r="I349" s="265"/>
      <c r="J349" s="265"/>
      <c r="K349" s="265"/>
      <c r="L349" s="236" t="str">
        <f t="shared" si="4"/>
        <v/>
      </c>
      <c r="M349" s="266" t="str">
        <f t="shared" si="5"/>
        <v/>
      </c>
      <c r="O349" s="43"/>
      <c r="W349" s="220"/>
    </row>
    <row r="350" spans="1:23" outlineLevel="1" x14ac:dyDescent="0.35">
      <c r="A350" s="255"/>
      <c r="B350" s="254"/>
      <c r="C350" s="261"/>
      <c r="D350" s="262"/>
      <c r="E350" s="263"/>
      <c r="F350" s="264"/>
      <c r="G350" s="265"/>
      <c r="H350" s="265"/>
      <c r="I350" s="265"/>
      <c r="J350" s="265"/>
      <c r="K350" s="265"/>
      <c r="L350" s="236" t="str">
        <f t="shared" si="4"/>
        <v/>
      </c>
      <c r="M350" s="266" t="str">
        <f t="shared" si="5"/>
        <v/>
      </c>
      <c r="O350" s="43"/>
      <c r="W350" s="220"/>
    </row>
    <row r="351" spans="1:23" outlineLevel="1" x14ac:dyDescent="0.35">
      <c r="A351" s="255"/>
      <c r="B351" s="254"/>
      <c r="C351" s="261"/>
      <c r="D351" s="262"/>
      <c r="E351" s="263"/>
      <c r="F351" s="264"/>
      <c r="G351" s="265"/>
      <c r="H351" s="265"/>
      <c r="I351" s="265"/>
      <c r="J351" s="265"/>
      <c r="K351" s="265"/>
      <c r="L351" s="236" t="str">
        <f t="shared" si="4"/>
        <v/>
      </c>
      <c r="M351" s="266" t="str">
        <f t="shared" si="5"/>
        <v/>
      </c>
      <c r="O351" s="43"/>
      <c r="W351" s="220"/>
    </row>
    <row r="352" spans="1:23" ht="11.65" customHeight="1" outlineLevel="1" thickBot="1" x14ac:dyDescent="0.4">
      <c r="A352" s="255"/>
      <c r="C352" s="450" t="s">
        <v>228</v>
      </c>
      <c r="D352" s="451"/>
      <c r="E352" s="451"/>
      <c r="F352" s="451"/>
      <c r="G352" s="451"/>
      <c r="H352" s="451"/>
      <c r="I352" s="451"/>
      <c r="J352" s="451"/>
      <c r="K352" s="451"/>
      <c r="L352" s="429"/>
      <c r="M352" s="269">
        <f>SUM(M341:M351)</f>
        <v>50000000</v>
      </c>
      <c r="O352" s="43"/>
      <c r="W352" s="220">
        <v>3</v>
      </c>
    </row>
    <row r="353" spans="1:23" ht="11.65" customHeight="1" outlineLevel="1" thickBot="1" x14ac:dyDescent="0.4">
      <c r="A353" s="270"/>
      <c r="B353" s="271"/>
      <c r="C353" s="272"/>
      <c r="D353" s="272"/>
      <c r="E353" s="272"/>
      <c r="F353" s="272"/>
      <c r="G353" s="272"/>
      <c r="H353" s="272"/>
      <c r="I353" s="272"/>
      <c r="J353" s="271"/>
      <c r="K353" s="271"/>
      <c r="L353" s="271"/>
      <c r="M353" s="273"/>
      <c r="O353" s="43"/>
      <c r="W353" s="220">
        <v>3</v>
      </c>
    </row>
    <row r="355" spans="1:23" ht="15.5" x14ac:dyDescent="0.35">
      <c r="A355" s="283"/>
      <c r="B355" s="283"/>
      <c r="C355" s="283"/>
      <c r="D355" s="283"/>
      <c r="E355" s="283"/>
      <c r="F355" s="283"/>
      <c r="G355" s="283"/>
      <c r="H355" s="39"/>
      <c r="I355" s="39"/>
      <c r="J355" s="39"/>
      <c r="K355" s="39"/>
      <c r="L355" s="39"/>
      <c r="M355" s="39"/>
    </row>
    <row r="356" spans="1:23" x14ac:dyDescent="0.35">
      <c r="A356" s="18" t="s">
        <v>8</v>
      </c>
      <c r="B356" s="286" t="s">
        <v>246</v>
      </c>
      <c r="C356" s="18" t="s">
        <v>247</v>
      </c>
    </row>
    <row r="357" spans="1:23" x14ac:dyDescent="0.35">
      <c r="B357" s="286" t="s">
        <v>248</v>
      </c>
      <c r="C357" s="18" t="s">
        <v>249</v>
      </c>
    </row>
    <row r="358" spans="1:23" x14ac:dyDescent="0.35">
      <c r="C358" s="39"/>
    </row>
  </sheetData>
  <sheetProtection algorithmName="SHA-512" hashValue="N8lvA2pOQYNAt4hUADdjPaiZKcHG/AJVQOnYkL4OafyqzfIApB4CLMz1QYAhVZVjdXMVkY4GQnH6CYjIGOsQog==" saltValue="X61wYu/H/qixNLyJPmKLZA==" spinCount="100000" sheet="1" objects="1" scenarios="1"/>
  <mergeCells count="388">
    <mergeCell ref="C335:G335"/>
    <mergeCell ref="C336:G336"/>
    <mergeCell ref="C339:M339"/>
    <mergeCell ref="C340:M340"/>
    <mergeCell ref="C352:L352"/>
    <mergeCell ref="C327:H327"/>
    <mergeCell ref="C328:G328"/>
    <mergeCell ref="C329:G329"/>
    <mergeCell ref="C330:G330"/>
    <mergeCell ref="C331:G331"/>
    <mergeCell ref="C334:H334"/>
    <mergeCell ref="C322:F322"/>
    <mergeCell ref="G322:H322"/>
    <mergeCell ref="C323:F323"/>
    <mergeCell ref="G323:H323"/>
    <mergeCell ref="C324:G324"/>
    <mergeCell ref="C325:G325"/>
    <mergeCell ref="C318:F318"/>
    <mergeCell ref="G318:H318"/>
    <mergeCell ref="C319:H319"/>
    <mergeCell ref="C320:F320"/>
    <mergeCell ref="G320:H320"/>
    <mergeCell ref="C321:F321"/>
    <mergeCell ref="G321:H321"/>
    <mergeCell ref="D313:E313"/>
    <mergeCell ref="F313:G313"/>
    <mergeCell ref="I313:M313"/>
    <mergeCell ref="G314:H314"/>
    <mergeCell ref="C316:H316"/>
    <mergeCell ref="C317:F317"/>
    <mergeCell ref="G317:H317"/>
    <mergeCell ref="C310:F310"/>
    <mergeCell ref="G310:H310"/>
    <mergeCell ref="I310:J310"/>
    <mergeCell ref="L310:M310"/>
    <mergeCell ref="C311:H311"/>
    <mergeCell ref="D312:E312"/>
    <mergeCell ref="F312:G312"/>
    <mergeCell ref="I312:M312"/>
    <mergeCell ref="C308:F308"/>
    <mergeCell ref="G308:H308"/>
    <mergeCell ref="I308:J308"/>
    <mergeCell ref="K308:M308"/>
    <mergeCell ref="C309:F309"/>
    <mergeCell ref="G309:H309"/>
    <mergeCell ref="I309:J309"/>
    <mergeCell ref="K309:M309"/>
    <mergeCell ref="C293:M293"/>
    <mergeCell ref="C294:M294"/>
    <mergeCell ref="C301:L301"/>
    <mergeCell ref="B305:I305"/>
    <mergeCell ref="K305:L305"/>
    <mergeCell ref="A307:B307"/>
    <mergeCell ref="C307:H307"/>
    <mergeCell ref="I307:J307"/>
    <mergeCell ref="K307:M307"/>
    <mergeCell ref="C283:G283"/>
    <mergeCell ref="C284:G284"/>
    <mergeCell ref="C285:G285"/>
    <mergeCell ref="C288:H288"/>
    <mergeCell ref="C289:G289"/>
    <mergeCell ref="C290:G290"/>
    <mergeCell ref="C277:F277"/>
    <mergeCell ref="G277:H277"/>
    <mergeCell ref="C278:G278"/>
    <mergeCell ref="C279:G279"/>
    <mergeCell ref="C281:H281"/>
    <mergeCell ref="C282:G282"/>
    <mergeCell ref="C273:H273"/>
    <mergeCell ref="C274:F274"/>
    <mergeCell ref="G274:H274"/>
    <mergeCell ref="C275:F275"/>
    <mergeCell ref="G275:H275"/>
    <mergeCell ref="C276:F276"/>
    <mergeCell ref="G276:H276"/>
    <mergeCell ref="G268:H268"/>
    <mergeCell ref="C270:H270"/>
    <mergeCell ref="C271:F271"/>
    <mergeCell ref="G271:H271"/>
    <mergeCell ref="C272:F272"/>
    <mergeCell ref="G272:H272"/>
    <mergeCell ref="C265:H265"/>
    <mergeCell ref="D266:E266"/>
    <mergeCell ref="F266:G266"/>
    <mergeCell ref="I266:M266"/>
    <mergeCell ref="D267:E267"/>
    <mergeCell ref="F267:G267"/>
    <mergeCell ref="I267:M267"/>
    <mergeCell ref="C263:F263"/>
    <mergeCell ref="G263:H263"/>
    <mergeCell ref="I263:J263"/>
    <mergeCell ref="K263:M263"/>
    <mergeCell ref="C264:F264"/>
    <mergeCell ref="G264:H264"/>
    <mergeCell ref="I264:J264"/>
    <mergeCell ref="L264:M264"/>
    <mergeCell ref="A261:B261"/>
    <mergeCell ref="C261:H261"/>
    <mergeCell ref="I261:J261"/>
    <mergeCell ref="K261:M261"/>
    <mergeCell ref="C262:F262"/>
    <mergeCell ref="G262:H262"/>
    <mergeCell ref="I262:J262"/>
    <mergeCell ref="K262:M262"/>
    <mergeCell ref="C243:G243"/>
    <mergeCell ref="C244:G244"/>
    <mergeCell ref="C247:M247"/>
    <mergeCell ref="C248:M248"/>
    <mergeCell ref="C255:L255"/>
    <mergeCell ref="B259:I259"/>
    <mergeCell ref="K259:L259"/>
    <mergeCell ref="C235:H235"/>
    <mergeCell ref="C236:G236"/>
    <mergeCell ref="C237:G237"/>
    <mergeCell ref="C238:G238"/>
    <mergeCell ref="C239:G239"/>
    <mergeCell ref="C242:H242"/>
    <mergeCell ref="C230:F230"/>
    <mergeCell ref="G230:H230"/>
    <mergeCell ref="C231:F231"/>
    <mergeCell ref="G231:H231"/>
    <mergeCell ref="C232:G232"/>
    <mergeCell ref="C233:G233"/>
    <mergeCell ref="C226:F226"/>
    <mergeCell ref="G226:H226"/>
    <mergeCell ref="C227:H227"/>
    <mergeCell ref="C228:F228"/>
    <mergeCell ref="G228:H228"/>
    <mergeCell ref="C229:F229"/>
    <mergeCell ref="G229:H229"/>
    <mergeCell ref="D221:E221"/>
    <mergeCell ref="F221:G221"/>
    <mergeCell ref="I221:M221"/>
    <mergeCell ref="G222:H222"/>
    <mergeCell ref="C224:H224"/>
    <mergeCell ref="C225:F225"/>
    <mergeCell ref="G225:H225"/>
    <mergeCell ref="C218:F218"/>
    <mergeCell ref="G218:H218"/>
    <mergeCell ref="I218:J218"/>
    <mergeCell ref="L218:M218"/>
    <mergeCell ref="C219:H219"/>
    <mergeCell ref="D220:E220"/>
    <mergeCell ref="F220:G220"/>
    <mergeCell ref="I220:M220"/>
    <mergeCell ref="C216:F216"/>
    <mergeCell ref="G216:H216"/>
    <mergeCell ref="I216:J216"/>
    <mergeCell ref="K216:M216"/>
    <mergeCell ref="C217:F217"/>
    <mergeCell ref="G217:H217"/>
    <mergeCell ref="I217:J217"/>
    <mergeCell ref="K217:M217"/>
    <mergeCell ref="C200:M200"/>
    <mergeCell ref="C201:M201"/>
    <mergeCell ref="C211:L211"/>
    <mergeCell ref="B213:I213"/>
    <mergeCell ref="K213:L213"/>
    <mergeCell ref="A215:B215"/>
    <mergeCell ref="C215:H215"/>
    <mergeCell ref="I215:J215"/>
    <mergeCell ref="K215:M215"/>
    <mergeCell ref="C190:G190"/>
    <mergeCell ref="C191:G191"/>
    <mergeCell ref="C192:G192"/>
    <mergeCell ref="C195:H195"/>
    <mergeCell ref="C196:G196"/>
    <mergeCell ref="C197:G197"/>
    <mergeCell ref="C184:F184"/>
    <mergeCell ref="G184:H184"/>
    <mergeCell ref="C185:G185"/>
    <mergeCell ref="C186:G186"/>
    <mergeCell ref="C188:H188"/>
    <mergeCell ref="C189:G189"/>
    <mergeCell ref="C180:H180"/>
    <mergeCell ref="C181:F181"/>
    <mergeCell ref="G181:H181"/>
    <mergeCell ref="C182:F182"/>
    <mergeCell ref="G182:H182"/>
    <mergeCell ref="C183:F183"/>
    <mergeCell ref="G183:H183"/>
    <mergeCell ref="G175:H175"/>
    <mergeCell ref="C177:H177"/>
    <mergeCell ref="C178:F178"/>
    <mergeCell ref="G178:H178"/>
    <mergeCell ref="C179:F179"/>
    <mergeCell ref="G179:H179"/>
    <mergeCell ref="C172:H172"/>
    <mergeCell ref="D173:E173"/>
    <mergeCell ref="F173:G173"/>
    <mergeCell ref="I173:M173"/>
    <mergeCell ref="D174:E174"/>
    <mergeCell ref="F174:G174"/>
    <mergeCell ref="I174:M174"/>
    <mergeCell ref="C170:F170"/>
    <mergeCell ref="G170:H170"/>
    <mergeCell ref="I170:J170"/>
    <mergeCell ref="K170:M170"/>
    <mergeCell ref="C171:F171"/>
    <mergeCell ref="G171:H171"/>
    <mergeCell ref="I171:J171"/>
    <mergeCell ref="L171:M171"/>
    <mergeCell ref="A168:B168"/>
    <mergeCell ref="C168:H168"/>
    <mergeCell ref="I168:J168"/>
    <mergeCell ref="K168:M168"/>
    <mergeCell ref="C169:F169"/>
    <mergeCell ref="G169:H169"/>
    <mergeCell ref="I169:J169"/>
    <mergeCell ref="K169:M169"/>
    <mergeCell ref="C146:G146"/>
    <mergeCell ref="C147:G147"/>
    <mergeCell ref="C150:M150"/>
    <mergeCell ref="C151:M151"/>
    <mergeCell ref="C163:L163"/>
    <mergeCell ref="B166:I166"/>
    <mergeCell ref="K166:L166"/>
    <mergeCell ref="C138:H138"/>
    <mergeCell ref="C139:G139"/>
    <mergeCell ref="C140:G140"/>
    <mergeCell ref="C141:G141"/>
    <mergeCell ref="C142:G142"/>
    <mergeCell ref="C145:H145"/>
    <mergeCell ref="C133:F133"/>
    <mergeCell ref="G133:H133"/>
    <mergeCell ref="C134:F134"/>
    <mergeCell ref="G134:H134"/>
    <mergeCell ref="C135:G135"/>
    <mergeCell ref="C136:G136"/>
    <mergeCell ref="C129:F129"/>
    <mergeCell ref="G129:H129"/>
    <mergeCell ref="C130:H130"/>
    <mergeCell ref="C131:F131"/>
    <mergeCell ref="G131:H131"/>
    <mergeCell ref="C132:F132"/>
    <mergeCell ref="G132:H132"/>
    <mergeCell ref="D124:E124"/>
    <mergeCell ref="F124:G124"/>
    <mergeCell ref="I124:M124"/>
    <mergeCell ref="G125:H125"/>
    <mergeCell ref="C127:H127"/>
    <mergeCell ref="C128:F128"/>
    <mergeCell ref="G128:H128"/>
    <mergeCell ref="C121:F121"/>
    <mergeCell ref="G121:H121"/>
    <mergeCell ref="I121:J121"/>
    <mergeCell ref="L121:M121"/>
    <mergeCell ref="C122:H122"/>
    <mergeCell ref="D123:E123"/>
    <mergeCell ref="F123:G123"/>
    <mergeCell ref="I123:M123"/>
    <mergeCell ref="C119:F119"/>
    <mergeCell ref="G119:H119"/>
    <mergeCell ref="I119:J119"/>
    <mergeCell ref="K119:M119"/>
    <mergeCell ref="C120:F120"/>
    <mergeCell ref="G120:H120"/>
    <mergeCell ref="I120:J120"/>
    <mergeCell ref="K120:M120"/>
    <mergeCell ref="C102:M102"/>
    <mergeCell ref="C103:M103"/>
    <mergeCell ref="C114:L114"/>
    <mergeCell ref="K116:L116"/>
    <mergeCell ref="A118:B118"/>
    <mergeCell ref="C118:H118"/>
    <mergeCell ref="I118:J118"/>
    <mergeCell ref="K118:M118"/>
    <mergeCell ref="C92:G92"/>
    <mergeCell ref="C93:G93"/>
    <mergeCell ref="C94:G94"/>
    <mergeCell ref="C97:H97"/>
    <mergeCell ref="C98:G98"/>
    <mergeCell ref="C99:G99"/>
    <mergeCell ref="C86:F86"/>
    <mergeCell ref="G86:H86"/>
    <mergeCell ref="C87:G87"/>
    <mergeCell ref="C88:G88"/>
    <mergeCell ref="C90:H90"/>
    <mergeCell ref="C91:G91"/>
    <mergeCell ref="C82:H82"/>
    <mergeCell ref="C83:F83"/>
    <mergeCell ref="G83:H83"/>
    <mergeCell ref="C84:F84"/>
    <mergeCell ref="G84:H84"/>
    <mergeCell ref="C85:F85"/>
    <mergeCell ref="G85:H85"/>
    <mergeCell ref="G77:H77"/>
    <mergeCell ref="C79:H79"/>
    <mergeCell ref="C80:F80"/>
    <mergeCell ref="G80:H80"/>
    <mergeCell ref="C81:F81"/>
    <mergeCell ref="G81:H81"/>
    <mergeCell ref="C74:H74"/>
    <mergeCell ref="D75:E75"/>
    <mergeCell ref="F75:G75"/>
    <mergeCell ref="I75:M75"/>
    <mergeCell ref="D76:E76"/>
    <mergeCell ref="F76:G76"/>
    <mergeCell ref="I76:M76"/>
    <mergeCell ref="C72:F72"/>
    <mergeCell ref="G72:H72"/>
    <mergeCell ref="I72:J72"/>
    <mergeCell ref="K72:M72"/>
    <mergeCell ref="C73:F73"/>
    <mergeCell ref="G73:H73"/>
    <mergeCell ref="I73:J73"/>
    <mergeCell ref="L73:M73"/>
    <mergeCell ref="K68:L68"/>
    <mergeCell ref="A70:B70"/>
    <mergeCell ref="C70:H70"/>
    <mergeCell ref="I70:J70"/>
    <mergeCell ref="K70:M70"/>
    <mergeCell ref="C71:F71"/>
    <mergeCell ref="G71:H71"/>
    <mergeCell ref="I71:J71"/>
    <mergeCell ref="K71:M71"/>
    <mergeCell ref="C51:G51"/>
    <mergeCell ref="C52:G52"/>
    <mergeCell ref="C55:M55"/>
    <mergeCell ref="C56:M56"/>
    <mergeCell ref="C63:L63"/>
    <mergeCell ref="B66:I66"/>
    <mergeCell ref="K66:L66"/>
    <mergeCell ref="C43:H43"/>
    <mergeCell ref="C44:G44"/>
    <mergeCell ref="C45:G45"/>
    <mergeCell ref="C46:G46"/>
    <mergeCell ref="C47:G47"/>
    <mergeCell ref="C50:H50"/>
    <mergeCell ref="C38:F38"/>
    <mergeCell ref="G38:H38"/>
    <mergeCell ref="C39:F39"/>
    <mergeCell ref="G39:H39"/>
    <mergeCell ref="C40:G40"/>
    <mergeCell ref="C41:G41"/>
    <mergeCell ref="C34:F34"/>
    <mergeCell ref="G34:H34"/>
    <mergeCell ref="C35:H35"/>
    <mergeCell ref="C36:F36"/>
    <mergeCell ref="G36:H36"/>
    <mergeCell ref="C37:F37"/>
    <mergeCell ref="G37:H37"/>
    <mergeCell ref="D29:E29"/>
    <mergeCell ref="F29:G29"/>
    <mergeCell ref="I29:M29"/>
    <mergeCell ref="G30:H30"/>
    <mergeCell ref="C32:H32"/>
    <mergeCell ref="C33:F33"/>
    <mergeCell ref="G33:H33"/>
    <mergeCell ref="C26:F26"/>
    <mergeCell ref="G26:H26"/>
    <mergeCell ref="I26:J26"/>
    <mergeCell ref="L26:M26"/>
    <mergeCell ref="C27:H27"/>
    <mergeCell ref="D28:E28"/>
    <mergeCell ref="F28:G28"/>
    <mergeCell ref="I28:M28"/>
    <mergeCell ref="C24:F24"/>
    <mergeCell ref="G24:H24"/>
    <mergeCell ref="I24:J24"/>
    <mergeCell ref="K24:M24"/>
    <mergeCell ref="C25:F25"/>
    <mergeCell ref="G25:H25"/>
    <mergeCell ref="I25:J25"/>
    <mergeCell ref="K25:M25"/>
    <mergeCell ref="A19:K20"/>
    <mergeCell ref="B21:I21"/>
    <mergeCell ref="K21:L21"/>
    <mergeCell ref="A23:B23"/>
    <mergeCell ref="C23:H23"/>
    <mergeCell ref="I23:J23"/>
    <mergeCell ref="K23:M23"/>
    <mergeCell ref="A15:D15"/>
    <mergeCell ref="K15:L15"/>
    <mergeCell ref="A16:D16"/>
    <mergeCell ref="K16:L16"/>
    <mergeCell ref="A17:D17"/>
    <mergeCell ref="K17:L17"/>
    <mergeCell ref="A6:M6"/>
    <mergeCell ref="A7:M7"/>
    <mergeCell ref="A9:M9"/>
    <mergeCell ref="A11:M11"/>
    <mergeCell ref="A13:D13"/>
    <mergeCell ref="F13:G17"/>
    <mergeCell ref="H13:J17"/>
    <mergeCell ref="K13:L13"/>
    <mergeCell ref="A14:D14"/>
    <mergeCell ref="K14:L14"/>
  </mergeCells>
  <conditionalFormatting sqref="G25:H25">
    <cfRule type="cellIs" dxfId="18" priority="12" operator="equal">
      <formula>""</formula>
    </cfRule>
  </conditionalFormatting>
  <conditionalFormatting sqref="G170:H170">
    <cfRule type="cellIs" dxfId="17" priority="10" operator="equal">
      <formula>""</formula>
    </cfRule>
  </conditionalFormatting>
  <conditionalFormatting sqref="G217:H217">
    <cfRule type="cellIs" dxfId="16" priority="8" operator="equal">
      <formula>""</formula>
    </cfRule>
  </conditionalFormatting>
  <conditionalFormatting sqref="G309:H309">
    <cfRule type="cellIs" dxfId="15" priority="5" operator="equal">
      <formula>""</formula>
    </cfRule>
  </conditionalFormatting>
  <conditionalFormatting sqref="M21">
    <cfRule type="cellIs" dxfId="14" priority="11" operator="equal">
      <formula>"CUMPLE"</formula>
    </cfRule>
  </conditionalFormatting>
  <conditionalFormatting sqref="M66">
    <cfRule type="cellIs" dxfId="13" priority="3" operator="equal">
      <formula>"CUMPLE"</formula>
    </cfRule>
  </conditionalFormatting>
  <conditionalFormatting sqref="M68">
    <cfRule type="cellIs" dxfId="12" priority="1" operator="equal">
      <formula>"CUMPLE"</formula>
    </cfRule>
  </conditionalFormatting>
  <conditionalFormatting sqref="M116">
    <cfRule type="cellIs" dxfId="11" priority="2" operator="equal">
      <formula>"CUMPLE"</formula>
    </cfRule>
  </conditionalFormatting>
  <conditionalFormatting sqref="M166">
    <cfRule type="cellIs" dxfId="10" priority="9" operator="equal">
      <formula>"CUMPLE"</formula>
    </cfRule>
  </conditionalFormatting>
  <conditionalFormatting sqref="M213">
    <cfRule type="cellIs" dxfId="9" priority="7" operator="equal">
      <formula>"CUMPLE"</formula>
    </cfRule>
  </conditionalFormatting>
  <conditionalFormatting sqref="M259">
    <cfRule type="cellIs" dxfId="8" priority="6" operator="equal">
      <formula>"CUMPLE"</formula>
    </cfRule>
  </conditionalFormatting>
  <conditionalFormatting sqref="M305">
    <cfRule type="cellIs" dxfId="7" priority="4" operator="equal">
      <formula>"CUMPLE"</formula>
    </cfRule>
  </conditionalFormatting>
  <dataValidations disablePrompts="1" count="5">
    <dataValidation type="whole" operator="greaterThan" showInputMessage="1" showErrorMessage="1" sqref="G263:H263 G25:H25 G170:H170 G217:H217 G309:H309 G72:H72 G120:H120" xr:uid="{00000000-0002-0000-0200-000000000000}">
      <formula1>0</formula1>
    </dataValidation>
    <dataValidation type="list" showInputMessage="1" showErrorMessage="1" sqref="H267 H29 H174 H221 H313 H76 H124" xr:uid="{00000000-0002-0000-0200-000001000000}">
      <formula1>"VIGENTE,SIN VIGENCIA,NO APORTA,N/A"</formula1>
    </dataValidation>
    <dataValidation type="list" showInputMessage="1" showErrorMessage="1" sqref="H266 H28 H173 H220 H312 H123 H75" xr:uid="{00000000-0002-0000-0200-000002000000}">
      <formula1>"VIGENTE,SIN VIGENCIA,NO APORTA"</formula1>
    </dataValidation>
    <dataValidation type="list" allowBlank="1" showInputMessage="1" showErrorMessage="1" sqref="G282 G289 G44 G51 G189 G196 G236 G243 G328 G335 G91 G139 G98 G146" xr:uid="{00000000-0002-0000-0200-000003000000}">
      <formula1>$O$13:$O$14</formula1>
    </dataValidation>
    <dataValidation type="list" showInputMessage="1" showErrorMessage="1" sqref="G262:H262 G24:H24 G169:H169 G216:H216 G308:H308 G71:H71 G119:H119" xr:uid="{00000000-0002-0000-0200-000004000000}">
      <formula1>$O$12:$O$14</formula1>
    </dataValidation>
  </dataValidations>
  <printOptions horizontalCentered="1"/>
  <pageMargins left="0.19685039370078741" right="0.19685039370078741" top="0.59055118110236227" bottom="0.78740157480314965" header="0" footer="0"/>
  <pageSetup paperSize="3" scale="64" orientation="landscape" r:id="rId1"/>
  <headerFooter alignWithMargins="0">
    <oddFooter>&amp;CPágina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6"/>
  <dimension ref="A2:P25"/>
  <sheetViews>
    <sheetView tabSelected="1" zoomScale="110" zoomScaleNormal="110" zoomScaleSheetLayoutView="100" workbookViewId="0">
      <selection activeCell="G21" sqref="G21"/>
    </sheetView>
  </sheetViews>
  <sheetFormatPr baseColWidth="10" defaultColWidth="11.453125" defaultRowHeight="12.5" x14ac:dyDescent="0.35"/>
  <cols>
    <col min="1" max="1" width="4.81640625" style="1" customWidth="1"/>
    <col min="2" max="2" width="52.81640625" style="2" customWidth="1"/>
    <col min="3" max="5" width="15" style="2" customWidth="1"/>
    <col min="6" max="6" width="23.7265625" style="2" hidden="1" customWidth="1"/>
    <col min="7" max="7" width="35.54296875" style="2" hidden="1" customWidth="1"/>
    <col min="8" max="8" width="35.54296875" style="3" customWidth="1"/>
    <col min="9" max="9" width="2.26953125" style="3" customWidth="1"/>
    <col min="10" max="10" width="28.26953125" style="3" hidden="1" customWidth="1"/>
    <col min="11" max="11" width="4.7265625" style="3" hidden="1" customWidth="1"/>
    <col min="12" max="12" width="5.26953125" style="2" hidden="1" customWidth="1"/>
    <col min="13" max="13" width="0" style="2" hidden="1" customWidth="1"/>
    <col min="14" max="15" width="11.453125" style="2"/>
    <col min="16" max="16" width="112.26953125" style="2" customWidth="1"/>
    <col min="17" max="16384" width="11.453125" style="2"/>
  </cols>
  <sheetData>
    <row r="2" spans="1:16" ht="15.75" customHeight="1" x14ac:dyDescent="0.35"/>
    <row r="6" spans="1:16" s="5" customFormat="1" ht="13" x14ac:dyDescent="0.35">
      <c r="A6" s="291" t="s">
        <v>9</v>
      </c>
      <c r="B6" s="462"/>
      <c r="C6" s="462"/>
      <c r="D6" s="462"/>
      <c r="E6" s="462"/>
      <c r="F6" s="462"/>
      <c r="G6" s="462"/>
      <c r="H6" s="462"/>
      <c r="I6" s="4"/>
      <c r="J6" s="4"/>
      <c r="K6" s="4"/>
    </row>
    <row r="7" spans="1:16" s="5" customFormat="1" ht="7.5" customHeight="1" x14ac:dyDescent="0.35">
      <c r="A7" s="4"/>
      <c r="B7" s="4"/>
      <c r="C7" s="4"/>
      <c r="D7" s="4"/>
      <c r="E7" s="4"/>
      <c r="F7" s="4"/>
      <c r="G7" s="4"/>
      <c r="H7" s="4"/>
      <c r="I7" s="4"/>
      <c r="J7" s="4"/>
      <c r="K7" s="4"/>
    </row>
    <row r="8" spans="1:16" s="5" customFormat="1" ht="13" x14ac:dyDescent="0.35">
      <c r="A8" s="292" t="str">
        <f>+PROPONENTES!A8</f>
        <v>SELECCIÓN ABREVIADA DE MENOR CUANTÍA No. 9015314</v>
      </c>
      <c r="B8" s="292"/>
      <c r="C8" s="292"/>
      <c r="D8" s="292"/>
      <c r="E8" s="292"/>
      <c r="F8" s="292"/>
      <c r="G8" s="292"/>
      <c r="H8" s="292"/>
      <c r="I8" s="6"/>
      <c r="J8" s="6"/>
      <c r="K8" s="6"/>
    </row>
    <row r="9" spans="1:16" s="5" customFormat="1" ht="7.5" customHeight="1" x14ac:dyDescent="0.35">
      <c r="A9" s="4"/>
      <c r="B9" s="4"/>
      <c r="C9" s="4"/>
      <c r="D9" s="4"/>
      <c r="E9" s="4"/>
      <c r="F9" s="4"/>
      <c r="G9" s="4"/>
      <c r="H9" s="4"/>
      <c r="I9" s="4"/>
      <c r="J9" s="4"/>
      <c r="K9" s="4"/>
    </row>
    <row r="10" spans="1:16" s="5" customFormat="1" ht="13" x14ac:dyDescent="0.35">
      <c r="A10" s="292" t="str">
        <f>+PROPONENTES!A11</f>
        <v>"Construir obras complementarias del alcantarillado de la centralidad del corregimiento San Sebastián de Palmitas"</v>
      </c>
      <c r="B10" s="292"/>
      <c r="C10" s="292"/>
      <c r="D10" s="292"/>
      <c r="E10" s="292"/>
      <c r="F10" s="292"/>
      <c r="G10" s="292"/>
      <c r="H10" s="463"/>
      <c r="I10" s="7"/>
      <c r="J10" s="7"/>
      <c r="K10" s="7"/>
      <c r="P10" s="149" t="str">
        <f>A10</f>
        <v>"Construir obras complementarias del alcantarillado de la centralidad del corregimiento San Sebastián de Palmitas"</v>
      </c>
    </row>
    <row r="11" spans="1:16" s="5" customFormat="1" ht="6.75" customHeight="1" x14ac:dyDescent="0.35">
      <c r="A11" s="4"/>
      <c r="B11" s="4"/>
      <c r="C11" s="4"/>
      <c r="D11" s="4"/>
      <c r="E11" s="4"/>
      <c r="F11" s="4"/>
      <c r="G11" s="4"/>
      <c r="H11" s="4"/>
      <c r="I11" s="4"/>
      <c r="J11" s="4"/>
      <c r="K11" s="4"/>
    </row>
    <row r="12" spans="1:16" s="5" customFormat="1" ht="13" x14ac:dyDescent="0.35">
      <c r="A12" s="292" t="s">
        <v>63</v>
      </c>
      <c r="B12" s="292"/>
      <c r="C12" s="292"/>
      <c r="D12" s="292"/>
      <c r="E12" s="292"/>
      <c r="F12" s="292"/>
      <c r="G12" s="292"/>
      <c r="H12" s="292"/>
      <c r="I12" s="6"/>
      <c r="J12" s="6"/>
      <c r="K12" s="6"/>
    </row>
    <row r="13" spans="1:16" s="5" customFormat="1" ht="13.5" thickBot="1" x14ac:dyDescent="0.4">
      <c r="A13" s="4"/>
      <c r="B13" s="4"/>
      <c r="C13" s="4"/>
      <c r="D13" s="4"/>
      <c r="E13" s="4"/>
      <c r="F13" s="4"/>
      <c r="G13" s="4"/>
      <c r="H13" s="4"/>
      <c r="I13" s="4"/>
      <c r="J13" s="4"/>
      <c r="K13" s="4"/>
    </row>
    <row r="14" spans="1:16" s="5" customFormat="1" ht="26.25" customHeight="1" x14ac:dyDescent="0.35">
      <c r="A14" s="464"/>
      <c r="B14" s="466" t="s">
        <v>1</v>
      </c>
      <c r="C14" s="468" t="s">
        <v>10</v>
      </c>
      <c r="D14" s="470" t="s">
        <v>47</v>
      </c>
      <c r="E14" s="472" t="s">
        <v>48</v>
      </c>
      <c r="F14" s="476" t="s">
        <v>60</v>
      </c>
      <c r="G14" s="476" t="s">
        <v>61</v>
      </c>
      <c r="H14" s="474" t="s">
        <v>32</v>
      </c>
      <c r="I14" s="9"/>
      <c r="J14" s="9"/>
      <c r="K14" s="9"/>
    </row>
    <row r="15" spans="1:16" s="10" customFormat="1" ht="16.5" customHeight="1" thickBot="1" x14ac:dyDescent="0.4">
      <c r="A15" s="465"/>
      <c r="B15" s="467"/>
      <c r="C15" s="469"/>
      <c r="D15" s="471"/>
      <c r="E15" s="473"/>
      <c r="F15" s="477"/>
      <c r="G15" s="477"/>
      <c r="H15" s="475"/>
      <c r="I15" s="9"/>
      <c r="J15" s="130" t="s">
        <v>59</v>
      </c>
      <c r="K15" s="130" t="s">
        <v>57</v>
      </c>
      <c r="L15" s="131" t="s">
        <v>58</v>
      </c>
    </row>
    <row r="16" spans="1:16" s="10" customFormat="1" x14ac:dyDescent="0.35">
      <c r="A16" s="155">
        <v>1</v>
      </c>
      <c r="B16" s="156" t="str">
        <f>LOOKUP(A16,PROPONENTES!$A$16:$A$23,PROPONENTES!$B$16:$B$23)</f>
        <v>C.T. 2 CONSTRUCCIONES S.A.S</v>
      </c>
      <c r="C16" s="174" t="s">
        <v>250</v>
      </c>
      <c r="D16" s="163" t="str">
        <f>LOOKUP(A16,'EXP. ACREDITADA'!P:P,'EXP. ACREDITADA'!N:N)</f>
        <v>CUMPLE</v>
      </c>
      <c r="E16" s="163" t="str">
        <f t="shared" ref="E16:E21" si="0">IF(COUNTIF(C16:D16,"NO CUMPLE")&gt;0,"NO CUMPLE","CUMPLE")</f>
        <v>CUMPLE</v>
      </c>
      <c r="F16" s="164"/>
      <c r="G16" s="165"/>
      <c r="H16" s="157"/>
      <c r="I16" s="100"/>
      <c r="J16" s="133"/>
      <c r="K16" s="132"/>
      <c r="L16" s="131"/>
    </row>
    <row r="17" spans="1:12" s="10" customFormat="1" ht="12.75" customHeight="1" x14ac:dyDescent="0.35">
      <c r="A17" s="166">
        <v>2</v>
      </c>
      <c r="B17" s="126" t="str">
        <f>LOOKUP(A17,PROPONENTES!$A$16:$A$23,PROPONENTES!$B$16:$B$23)</f>
        <v>CONSORCIO OBRAS MC (COINAR - CONSULTORES INGENIEROS Y ARQUITECTOS LTDA (70%) y MATMAR CONSTRUCCIONES S.A.S. (30%))</v>
      </c>
      <c r="C17" s="174" t="s">
        <v>250</v>
      </c>
      <c r="D17" s="127" t="str">
        <f>LOOKUP(A17,'EXP. ACREDITADA'!P:P,'EXP. ACREDITADA'!N:N)</f>
        <v>CUMPLE</v>
      </c>
      <c r="E17" s="127" t="str">
        <f t="shared" si="0"/>
        <v>CUMPLE</v>
      </c>
      <c r="F17" s="160"/>
      <c r="G17" s="161"/>
      <c r="H17" s="143"/>
      <c r="I17" s="100"/>
      <c r="J17" s="133"/>
      <c r="K17" s="132"/>
      <c r="L17" s="131"/>
    </row>
    <row r="18" spans="1:12" s="10" customFormat="1" x14ac:dyDescent="0.35">
      <c r="A18" s="166">
        <v>3</v>
      </c>
      <c r="B18" s="126" t="str">
        <f>LOOKUP(A18,PROPONENTES!$A$16:$A$23,PROPONENTES!$B$16:$B$23)</f>
        <v>MEGACONSTRUCCIONES Y EQUIPOS S.A.S</v>
      </c>
      <c r="C18" s="174" t="s">
        <v>250</v>
      </c>
      <c r="D18" s="127" t="str">
        <f>LOOKUP(A18,'EXP. ACREDITADA'!P:P,'EXP. ACREDITADA'!N:N)</f>
        <v>CUMPLE</v>
      </c>
      <c r="E18" s="127" t="str">
        <f t="shared" si="0"/>
        <v>CUMPLE</v>
      </c>
      <c r="F18" s="162"/>
      <c r="G18" s="161"/>
      <c r="H18" s="143"/>
      <c r="I18" s="100"/>
      <c r="J18" s="140"/>
      <c r="K18" s="132"/>
      <c r="L18" s="131"/>
    </row>
    <row r="19" spans="1:12" s="10" customFormat="1" x14ac:dyDescent="0.35">
      <c r="A19" s="166">
        <v>4</v>
      </c>
      <c r="B19" s="126" t="str">
        <f>LOOKUP(A19,PROPONENTES!$A$16:$A$23,PROPONENTES!$B$16:$B$23)</f>
        <v>EMPRESA ASOCIATIVA DE TRABAJO UNIDOS AL FUTURO</v>
      </c>
      <c r="C19" s="174" t="s">
        <v>250</v>
      </c>
      <c r="D19" s="127" t="str">
        <f>LOOKUP(A19,'EXP. ACREDITADA'!P:P,'EXP. ACREDITADA'!N:N)</f>
        <v>CUMPLE</v>
      </c>
      <c r="E19" s="127" t="str">
        <f t="shared" si="0"/>
        <v>CUMPLE</v>
      </c>
      <c r="F19" s="162"/>
      <c r="G19" s="161"/>
      <c r="H19" s="143"/>
      <c r="I19" s="100"/>
      <c r="J19" s="140"/>
      <c r="K19" s="132"/>
      <c r="L19" s="131"/>
    </row>
    <row r="20" spans="1:12" s="10" customFormat="1" ht="384.5" x14ac:dyDescent="0.35">
      <c r="A20" s="166">
        <v>5</v>
      </c>
      <c r="B20" s="126" t="str">
        <f>LOOKUP(A20,PROPONENTES!$A$16:$A$23,PROPONENTES!$B$16:$B$23)</f>
        <v>DYA INGENIERIA SAS</v>
      </c>
      <c r="C20" s="174" t="s">
        <v>250</v>
      </c>
      <c r="D20" s="127" t="str">
        <f>LOOKUP(A20,'EXP. ACREDITADA'!P:P,'EXP. ACREDITADA'!N:N)</f>
        <v>NO CUMPLE</v>
      </c>
      <c r="E20" s="127" t="str">
        <f t="shared" si="0"/>
        <v>NO CUMPLE</v>
      </c>
      <c r="F20" s="162"/>
      <c r="G20" s="161"/>
      <c r="H20" s="167" t="s">
        <v>252</v>
      </c>
      <c r="I20" s="100"/>
      <c r="J20" s="140"/>
      <c r="K20" s="132"/>
      <c r="L20" s="131"/>
    </row>
    <row r="21" spans="1:12" s="10" customFormat="1" ht="112.5" x14ac:dyDescent="0.35">
      <c r="A21" s="166">
        <v>6</v>
      </c>
      <c r="B21" s="126" t="str">
        <f>LOOKUP(A21,PROPONENTES!$A$16:$A$23,PROPONENTES!$B$16:$B$23)</f>
        <v>ESTORAQUES 20 SAS</v>
      </c>
      <c r="C21" s="174" t="s">
        <v>250</v>
      </c>
      <c r="D21" s="127" t="str">
        <f>LOOKUP(A21,'EXP. ACREDITADA'!P:P,'EXP. ACREDITADA'!N:N)</f>
        <v>NO CUMPLE</v>
      </c>
      <c r="E21" s="127" t="str">
        <f t="shared" si="0"/>
        <v>NO CUMPLE</v>
      </c>
      <c r="F21" s="162"/>
      <c r="G21" s="161"/>
      <c r="H21" s="167" t="s">
        <v>251</v>
      </c>
      <c r="I21" s="100"/>
      <c r="J21" s="140"/>
      <c r="K21" s="132"/>
      <c r="L21" s="131"/>
    </row>
    <row r="22" spans="1:12" s="10" customFormat="1" ht="6.75" customHeight="1" thickBot="1" x14ac:dyDescent="0.4">
      <c r="A22" s="101"/>
      <c r="B22" s="168"/>
      <c r="C22" s="14"/>
      <c r="D22" s="14"/>
      <c r="E22" s="14"/>
      <c r="F22" s="14"/>
      <c r="G22" s="14"/>
      <c r="H22" s="102"/>
      <c r="I22" s="16"/>
      <c r="J22" s="16"/>
      <c r="K22" s="16"/>
    </row>
    <row r="24" spans="1:12" x14ac:dyDescent="0.35">
      <c r="A24" s="17" t="s">
        <v>8</v>
      </c>
      <c r="B24" s="2" t="str">
        <f>+PROPONENTES!B27</f>
        <v>Elaboró: Diego Alberto Acosta Betancur - Natalia Zapata Puerta</v>
      </c>
    </row>
    <row r="25" spans="1:12" x14ac:dyDescent="0.35">
      <c r="B25" s="2" t="str">
        <f>+PROPONENTES!B28</f>
        <v xml:space="preserve">Cargo: Profesional Universitario - Ingeniero Contratista </v>
      </c>
    </row>
  </sheetData>
  <sheetProtection algorithmName="SHA-512" hashValue="K723Udcb28eyEduW7LG1m0QrRdzuTTNtpvmtr3gacOFTzKmABs46/My5qrXNScXhu6HbzkhSlH1bCjdLcWei5Q==" saltValue="Pp6tnqdqh4dI0ijD6A2FBA==" spinCount="100000" sheet="1" objects="1" scenarios="1"/>
  <mergeCells count="12">
    <mergeCell ref="A6:H6"/>
    <mergeCell ref="A8:H8"/>
    <mergeCell ref="A10:H10"/>
    <mergeCell ref="A12:H12"/>
    <mergeCell ref="A14:A15"/>
    <mergeCell ref="B14:B15"/>
    <mergeCell ref="C14:C15"/>
    <mergeCell ref="D14:D15"/>
    <mergeCell ref="E14:E15"/>
    <mergeCell ref="H14:H15"/>
    <mergeCell ref="F14:F15"/>
    <mergeCell ref="G14:G15"/>
  </mergeCells>
  <conditionalFormatting sqref="C16:G22">
    <cfRule type="cellIs" dxfId="6" priority="4" operator="equal">
      <formula>"NO CUMPLE"</formula>
    </cfRule>
  </conditionalFormatting>
  <conditionalFormatting sqref="F18:F21">
    <cfRule type="cellIs" dxfId="5" priority="51" operator="equal">
      <formula>"NO CUMPLE"</formula>
    </cfRule>
  </conditionalFormatting>
  <printOptions horizontalCentered="1"/>
  <pageMargins left="0.19685039370078741" right="0.19685039370078741" top="0.59055118110236227" bottom="0.78740157480314965" header="0" footer="0"/>
  <pageSetup paperSize="3" scale="64" orientation="landscape" r:id="rId1"/>
  <headerFooter alignWithMargins="0">
    <oddFooter>&amp;CPágina &amp;P de &amp;N</odd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dimension ref="A1:O29"/>
  <sheetViews>
    <sheetView tabSelected="1" view="pageBreakPreview" zoomScaleNormal="100" zoomScaleSheetLayoutView="100" workbookViewId="0">
      <selection activeCell="G21" sqref="G21"/>
    </sheetView>
  </sheetViews>
  <sheetFormatPr baseColWidth="10" defaultRowHeight="14.5" x14ac:dyDescent="0.35"/>
  <cols>
    <col min="1" max="1" width="5.81640625" customWidth="1"/>
    <col min="2" max="2" width="54" customWidth="1"/>
    <col min="3" max="3" width="13.7265625" customWidth="1"/>
    <col min="4" max="4" width="10.1796875" customWidth="1"/>
    <col min="5" max="5" width="31.453125" customWidth="1"/>
    <col min="6" max="6" width="10.1796875" customWidth="1"/>
    <col min="7" max="7" width="42.81640625" customWidth="1"/>
    <col min="8" max="8" width="10.54296875" customWidth="1"/>
  </cols>
  <sheetData>
    <row r="1" spans="1:15" x14ac:dyDescent="0.35">
      <c r="A1" s="81"/>
      <c r="B1" s="81"/>
      <c r="C1" s="81"/>
      <c r="D1" s="81"/>
      <c r="E1" s="81"/>
      <c r="F1" s="81"/>
      <c r="G1" s="81"/>
      <c r="H1" s="81"/>
    </row>
    <row r="2" spans="1:15" x14ac:dyDescent="0.35">
      <c r="A2" s="81"/>
      <c r="B2" s="81"/>
      <c r="C2" s="81"/>
      <c r="D2" s="81"/>
      <c r="E2" s="81"/>
      <c r="F2" s="81"/>
      <c r="G2" s="81"/>
      <c r="H2" s="81"/>
    </row>
    <row r="3" spans="1:15" x14ac:dyDescent="0.35">
      <c r="A3" s="81"/>
      <c r="B3" s="81"/>
      <c r="C3" s="81"/>
      <c r="D3" s="81"/>
      <c r="E3" s="81"/>
      <c r="F3" s="81"/>
      <c r="G3" s="81"/>
      <c r="H3" s="81"/>
    </row>
    <row r="4" spans="1:15" x14ac:dyDescent="0.35">
      <c r="A4" s="81"/>
      <c r="B4" s="81"/>
      <c r="C4" s="81"/>
      <c r="D4" s="81"/>
      <c r="E4" s="81"/>
      <c r="F4" s="81"/>
      <c r="G4" s="81"/>
      <c r="H4" s="81"/>
    </row>
    <row r="5" spans="1:15" ht="15.5" x14ac:dyDescent="0.35">
      <c r="A5" s="82"/>
      <c r="B5" s="82"/>
      <c r="C5" s="82"/>
      <c r="D5" s="82"/>
      <c r="E5" s="82"/>
      <c r="F5" s="82"/>
      <c r="G5" s="83"/>
      <c r="H5" s="82"/>
    </row>
    <row r="6" spans="1:15" s="5" customFormat="1" ht="12.75" customHeight="1" x14ac:dyDescent="0.35">
      <c r="A6" s="291" t="s">
        <v>9</v>
      </c>
      <c r="B6" s="291"/>
      <c r="C6" s="291"/>
      <c r="D6" s="291"/>
      <c r="E6" s="291"/>
      <c r="F6" s="291"/>
      <c r="G6" s="291"/>
      <c r="H6" s="291"/>
      <c r="I6" s="4"/>
    </row>
    <row r="7" spans="1:15" s="5" customFormat="1" ht="7.5" customHeight="1" x14ac:dyDescent="0.35">
      <c r="A7" s="4"/>
      <c r="B7" s="4"/>
      <c r="C7" s="4"/>
      <c r="D7" s="4"/>
      <c r="E7" s="4"/>
      <c r="F7" s="4"/>
      <c r="G7" s="4"/>
      <c r="H7" s="4"/>
      <c r="I7" s="4"/>
    </row>
    <row r="8" spans="1:15" s="5" customFormat="1" ht="13" x14ac:dyDescent="0.35">
      <c r="A8" s="292" t="str">
        <f>+PROPONENTES!A8</f>
        <v>SELECCIÓN ABREVIADA DE MENOR CUANTÍA No. 9015314</v>
      </c>
      <c r="B8" s="292"/>
      <c r="C8" s="292"/>
      <c r="D8" s="292"/>
      <c r="E8" s="292"/>
      <c r="F8" s="292"/>
      <c r="G8" s="292"/>
      <c r="H8" s="292"/>
      <c r="I8" s="6"/>
    </row>
    <row r="9" spans="1:15" s="5" customFormat="1" ht="7.5" customHeight="1" x14ac:dyDescent="0.35">
      <c r="A9" s="4"/>
      <c r="B9" s="4"/>
      <c r="C9" s="4"/>
      <c r="D9" s="4"/>
      <c r="E9" s="4"/>
      <c r="F9" s="4"/>
      <c r="G9" s="4"/>
      <c r="H9" s="4"/>
      <c r="I9" s="4"/>
    </row>
    <row r="10" spans="1:15" s="5" customFormat="1" ht="12.75" customHeight="1" x14ac:dyDescent="0.35">
      <c r="A10" s="292" t="str">
        <f>+PROPONENTES!A11</f>
        <v>"Construir obras complementarias del alcantarillado de la centralidad del corregimiento San Sebastián de Palmitas"</v>
      </c>
      <c r="B10" s="292"/>
      <c r="C10" s="292"/>
      <c r="D10" s="292"/>
      <c r="E10" s="292"/>
      <c r="F10" s="292"/>
      <c r="G10" s="292"/>
      <c r="H10" s="292"/>
      <c r="I10" s="7"/>
      <c r="O10" s="8"/>
    </row>
    <row r="11" spans="1:15" s="5" customFormat="1" ht="6.75" customHeight="1" x14ac:dyDescent="0.35">
      <c r="A11" s="4"/>
      <c r="B11" s="4"/>
      <c r="C11" s="4"/>
      <c r="D11" s="4"/>
      <c r="E11" s="4"/>
      <c r="F11" s="4"/>
      <c r="G11" s="4"/>
      <c r="H11" s="4"/>
      <c r="I11" s="4"/>
    </row>
    <row r="12" spans="1:15" s="5" customFormat="1" ht="12.75" customHeight="1" x14ac:dyDescent="0.35">
      <c r="A12" s="292" t="s">
        <v>90</v>
      </c>
      <c r="B12" s="292"/>
      <c r="C12" s="292"/>
      <c r="D12" s="292"/>
      <c r="E12" s="292"/>
      <c r="F12" s="292"/>
      <c r="G12" s="292"/>
      <c r="H12" s="292"/>
      <c r="I12" s="6"/>
    </row>
    <row r="13" spans="1:15" s="5" customFormat="1" ht="12.75" customHeight="1" x14ac:dyDescent="0.35">
      <c r="A13" s="6"/>
      <c r="B13" s="478" t="s">
        <v>34</v>
      </c>
      <c r="C13" s="479"/>
      <c r="D13" s="84" t="s">
        <v>35</v>
      </c>
      <c r="E13" s="6"/>
      <c r="F13" s="6"/>
      <c r="G13" s="6"/>
      <c r="H13" s="6"/>
      <c r="I13" s="6"/>
    </row>
    <row r="14" spans="1:15" s="5" customFormat="1" ht="12.75" customHeight="1" x14ac:dyDescent="0.35">
      <c r="A14" s="6"/>
      <c r="B14" s="478" t="s">
        <v>86</v>
      </c>
      <c r="C14" s="479"/>
      <c r="D14" s="85">
        <v>190</v>
      </c>
      <c r="E14" s="6"/>
      <c r="F14" s="6"/>
      <c r="G14" s="6"/>
      <c r="H14" s="6"/>
      <c r="I14" s="6"/>
    </row>
    <row r="15" spans="1:15" s="5" customFormat="1" ht="13.5" thickBot="1" x14ac:dyDescent="0.4">
      <c r="A15" s="4"/>
      <c r="B15" s="4"/>
      <c r="C15" s="4"/>
      <c r="D15" s="4"/>
      <c r="E15" s="4"/>
      <c r="F15" s="4"/>
      <c r="G15" s="4"/>
      <c r="H15" s="4"/>
      <c r="I15" s="4"/>
    </row>
    <row r="16" spans="1:15" s="5" customFormat="1" ht="29.25" customHeight="1" x14ac:dyDescent="0.3">
      <c r="A16" s="480" t="s">
        <v>36</v>
      </c>
      <c r="B16" s="483" t="s">
        <v>1</v>
      </c>
      <c r="C16" s="486" t="str">
        <f>+B14</f>
        <v>Formato Experiencia y formación adicional del Personal evaluable</v>
      </c>
      <c r="D16" s="487"/>
      <c r="E16" s="488"/>
      <c r="F16" s="500" t="s">
        <v>37</v>
      </c>
      <c r="G16" s="501"/>
      <c r="H16" s="489" t="s">
        <v>38</v>
      </c>
      <c r="I16" s="4"/>
    </row>
    <row r="17" spans="1:9" s="5" customFormat="1" ht="21.75" customHeight="1" x14ac:dyDescent="0.35">
      <c r="A17" s="481"/>
      <c r="B17" s="484"/>
      <c r="C17" s="492" t="s">
        <v>39</v>
      </c>
      <c r="D17" s="494" t="s">
        <v>40</v>
      </c>
      <c r="E17" s="496" t="s">
        <v>41</v>
      </c>
      <c r="F17" s="498" t="s">
        <v>40</v>
      </c>
      <c r="G17" s="496" t="s">
        <v>41</v>
      </c>
      <c r="H17" s="490"/>
      <c r="I17" s="4"/>
    </row>
    <row r="18" spans="1:9" ht="21.75" customHeight="1" thickBot="1" x14ac:dyDescent="0.4">
      <c r="A18" s="482"/>
      <c r="B18" s="485"/>
      <c r="C18" s="493"/>
      <c r="D18" s="495"/>
      <c r="E18" s="497"/>
      <c r="F18" s="499"/>
      <c r="G18" s="497"/>
      <c r="H18" s="491"/>
    </row>
    <row r="19" spans="1:9" ht="25" x14ac:dyDescent="0.35">
      <c r="A19" s="98">
        <v>1</v>
      </c>
      <c r="B19" s="99" t="str">
        <f>LOOKUP(A19,PROPONENTES!$A$16:$A$23,PROPONENTES!$B$16:$B$23)</f>
        <v>C.T. 2 CONSTRUCCIONES S.A.S</v>
      </c>
      <c r="C19" s="86" t="s">
        <v>79</v>
      </c>
      <c r="D19" s="87">
        <f t="shared" ref="D19:D24" si="0">IFERROR(IF(C19="S",$D$14,0),0)</f>
        <v>190</v>
      </c>
      <c r="E19" s="147" t="s">
        <v>85</v>
      </c>
      <c r="F19" s="173">
        <v>0</v>
      </c>
      <c r="G19" s="147" t="s">
        <v>80</v>
      </c>
      <c r="H19" s="88">
        <f t="shared" ref="H19:H24" si="1">+D19+F19</f>
        <v>190</v>
      </c>
    </row>
    <row r="20" spans="1:9" ht="37.5" x14ac:dyDescent="0.35">
      <c r="A20" s="98">
        <v>2</v>
      </c>
      <c r="B20" s="99" t="str">
        <f>LOOKUP(A20,PROPONENTES!$A$16:$A$23,PROPONENTES!$B$16:$B$23)</f>
        <v>CONSORCIO OBRAS MC (COINAR - CONSULTORES INGENIEROS Y ARQUITECTOS LTDA (70%) y MATMAR CONSTRUCCIONES S.A.S. (30%))</v>
      </c>
      <c r="C20" s="86" t="s">
        <v>79</v>
      </c>
      <c r="D20" s="87">
        <f t="shared" si="0"/>
        <v>190</v>
      </c>
      <c r="E20" s="147" t="s">
        <v>85</v>
      </c>
      <c r="F20" s="173">
        <v>0</v>
      </c>
      <c r="G20" s="147" t="s">
        <v>80</v>
      </c>
      <c r="H20" s="88">
        <f t="shared" si="1"/>
        <v>190</v>
      </c>
    </row>
    <row r="21" spans="1:9" ht="25" x14ac:dyDescent="0.35">
      <c r="A21" s="98">
        <v>3</v>
      </c>
      <c r="B21" s="99" t="str">
        <f>LOOKUP(A21,PROPONENTES!$A$16:$A$23,PROPONENTES!$B$16:$B$23)</f>
        <v>MEGACONSTRUCCIONES Y EQUIPOS S.A.S</v>
      </c>
      <c r="C21" s="186" t="s">
        <v>143</v>
      </c>
      <c r="D21" s="87">
        <f t="shared" si="0"/>
        <v>0</v>
      </c>
      <c r="E21" s="147" t="s">
        <v>85</v>
      </c>
      <c r="F21" s="173">
        <v>0</v>
      </c>
      <c r="G21" s="147" t="s">
        <v>80</v>
      </c>
      <c r="H21" s="88">
        <f t="shared" si="1"/>
        <v>0</v>
      </c>
    </row>
    <row r="22" spans="1:9" ht="25" x14ac:dyDescent="0.35">
      <c r="A22" s="98">
        <v>4</v>
      </c>
      <c r="B22" s="99" t="str">
        <f>LOOKUP(A22,PROPONENTES!$A$16:$A$23,PROPONENTES!$B$16:$B$23)</f>
        <v>EMPRESA ASOCIATIVA DE TRABAJO UNIDOS AL FUTURO</v>
      </c>
      <c r="C22" s="86" t="s">
        <v>79</v>
      </c>
      <c r="D22" s="87">
        <f t="shared" si="0"/>
        <v>190</v>
      </c>
      <c r="E22" s="147" t="s">
        <v>85</v>
      </c>
      <c r="F22" s="173">
        <v>0</v>
      </c>
      <c r="G22" s="147" t="s">
        <v>80</v>
      </c>
      <c r="H22" s="88">
        <f t="shared" si="1"/>
        <v>190</v>
      </c>
    </row>
    <row r="23" spans="1:9" ht="25" x14ac:dyDescent="0.35">
      <c r="A23" s="98">
        <v>5</v>
      </c>
      <c r="B23" s="99" t="str">
        <f>LOOKUP(A23,PROPONENTES!$A$16:$A$23,PROPONENTES!$B$16:$B$23)</f>
        <v>DYA INGENIERIA SAS</v>
      </c>
      <c r="C23" s="86" t="s">
        <v>79</v>
      </c>
      <c r="D23" s="87">
        <f t="shared" si="0"/>
        <v>190</v>
      </c>
      <c r="E23" s="147" t="s">
        <v>85</v>
      </c>
      <c r="F23" s="173">
        <v>0</v>
      </c>
      <c r="G23" s="147" t="s">
        <v>80</v>
      </c>
      <c r="H23" s="88">
        <f t="shared" si="1"/>
        <v>190</v>
      </c>
    </row>
    <row r="24" spans="1:9" ht="25" x14ac:dyDescent="0.35">
      <c r="A24" s="98">
        <v>6</v>
      </c>
      <c r="B24" s="99" t="str">
        <f>LOOKUP(A24,PROPONENTES!$A$16:$A$23,PROPONENTES!$B$16:$B$23)</f>
        <v>ESTORAQUES 20 SAS</v>
      </c>
      <c r="C24" s="86" t="s">
        <v>79</v>
      </c>
      <c r="D24" s="87">
        <f t="shared" si="0"/>
        <v>190</v>
      </c>
      <c r="E24" s="147" t="s">
        <v>85</v>
      </c>
      <c r="F24" s="173">
        <v>0</v>
      </c>
      <c r="G24" s="147" t="s">
        <v>80</v>
      </c>
      <c r="H24" s="88">
        <f t="shared" si="1"/>
        <v>190</v>
      </c>
    </row>
    <row r="25" spans="1:9" s="10" customFormat="1" ht="6.75" customHeight="1" thickBot="1" x14ac:dyDescent="0.4">
      <c r="A25" s="89"/>
      <c r="B25" s="90"/>
      <c r="C25" s="91"/>
      <c r="D25" s="14"/>
      <c r="E25" s="15"/>
      <c r="F25" s="91"/>
      <c r="G25" s="15"/>
      <c r="H25" s="92"/>
      <c r="I25" s="16"/>
    </row>
    <row r="28" spans="1:9" x14ac:dyDescent="0.35">
      <c r="A28" s="17" t="s">
        <v>8</v>
      </c>
      <c r="B28" t="str">
        <f>+PROPONENTES!B27</f>
        <v>Elaboró: Diego Alberto Acosta Betancur - Natalia Zapata Puerta</v>
      </c>
    </row>
    <row r="29" spans="1:9" x14ac:dyDescent="0.35">
      <c r="B29" t="str">
        <f>+PROPONENTES!B28</f>
        <v xml:space="preserve">Cargo: Profesional Universitario - Ingeniero Contratista </v>
      </c>
    </row>
  </sheetData>
  <sheetProtection algorithmName="SHA-512" hashValue="u6ToH5zK040g8iS7Za0gG0+EIAiTJr8hLbWRLM+ynEZZPdDLX68I3B2jgOy9MmdS/zv+1zpGnVblHGbzRKvqdw==" saltValue="LmdBmcUmUm6XH+Pxe9fT+g==" spinCount="100000" sheet="1" objects="1" scenarios="1"/>
  <mergeCells count="16">
    <mergeCell ref="A16:A18"/>
    <mergeCell ref="B16:B18"/>
    <mergeCell ref="C16:E16"/>
    <mergeCell ref="H16:H18"/>
    <mergeCell ref="C17:C18"/>
    <mergeCell ref="D17:D18"/>
    <mergeCell ref="E17:E18"/>
    <mergeCell ref="F17:F18"/>
    <mergeCell ref="G17:G18"/>
    <mergeCell ref="F16:G16"/>
    <mergeCell ref="B14:C14"/>
    <mergeCell ref="A6:H6"/>
    <mergeCell ref="A8:H8"/>
    <mergeCell ref="A12:H12"/>
    <mergeCell ref="B13:C13"/>
    <mergeCell ref="A10:H10"/>
  </mergeCells>
  <conditionalFormatting sqref="C25:D25 F25">
    <cfRule type="cellIs" dxfId="4" priority="3" operator="equal">
      <formula>"NO CUMPLE"</formula>
    </cfRule>
  </conditionalFormatting>
  <conditionalFormatting sqref="H25">
    <cfRule type="cellIs" dxfId="3" priority="2" operator="equal">
      <formula>"NO CUMPLE"</formula>
    </cfRule>
  </conditionalFormatting>
  <printOptions horizontalCentered="1"/>
  <pageMargins left="0.19685039370078741" right="0.19685039370078741" top="0.59055118110236227" bottom="0.78740157480314965" header="0" footer="0"/>
  <pageSetup paperSize="3" scale="64" orientation="landscape" r:id="rId1"/>
  <headerFooter alignWithMargins="0">
    <oddFooter>&amp;CPágina &amp;P de &amp;N</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29"/>
  <sheetViews>
    <sheetView tabSelected="1" view="pageBreakPreview" zoomScaleNormal="100" zoomScaleSheetLayoutView="100" workbookViewId="0">
      <selection activeCell="G21" sqref="G21"/>
    </sheetView>
  </sheetViews>
  <sheetFormatPr baseColWidth="10" defaultRowHeight="14.5" x14ac:dyDescent="0.35"/>
  <cols>
    <col min="1" max="1" width="5.81640625" customWidth="1"/>
    <col min="2" max="2" width="54" customWidth="1"/>
    <col min="3" max="3" width="13.7265625" customWidth="1"/>
    <col min="4" max="4" width="10.1796875" customWidth="1"/>
    <col min="5" max="5" width="31.453125" customWidth="1"/>
    <col min="6" max="6" width="10.54296875" customWidth="1"/>
  </cols>
  <sheetData>
    <row r="1" spans="1:13" x14ac:dyDescent="0.35">
      <c r="A1" s="81"/>
      <c r="B1" s="81"/>
      <c r="C1" s="81"/>
      <c r="D1" s="81"/>
      <c r="E1" s="81"/>
      <c r="F1" s="81"/>
    </row>
    <row r="2" spans="1:13" x14ac:dyDescent="0.35">
      <c r="A2" s="81"/>
      <c r="B2" s="81"/>
      <c r="C2" s="81"/>
      <c r="D2" s="81"/>
      <c r="E2" s="81"/>
      <c r="F2" s="81"/>
    </row>
    <row r="3" spans="1:13" x14ac:dyDescent="0.35">
      <c r="A3" s="81"/>
      <c r="B3" s="81"/>
      <c r="C3" s="81"/>
      <c r="D3" s="81"/>
      <c r="E3" s="81"/>
      <c r="F3" s="81"/>
    </row>
    <row r="4" spans="1:13" x14ac:dyDescent="0.35">
      <c r="A4" s="81"/>
      <c r="B4" s="81"/>
      <c r="C4" s="81"/>
      <c r="D4" s="81"/>
      <c r="E4" s="81"/>
      <c r="F4" s="81"/>
    </row>
    <row r="5" spans="1:13" ht="15.5" x14ac:dyDescent="0.35">
      <c r="A5" s="82"/>
      <c r="B5" s="82"/>
      <c r="C5" s="82"/>
      <c r="D5" s="82"/>
      <c r="E5" s="82"/>
      <c r="F5" s="82"/>
    </row>
    <row r="6" spans="1:13" s="5" customFormat="1" ht="12.75" customHeight="1" x14ac:dyDescent="0.35">
      <c r="A6" s="291" t="s">
        <v>9</v>
      </c>
      <c r="B6" s="291"/>
      <c r="C6" s="291"/>
      <c r="D6" s="291"/>
      <c r="E6" s="291"/>
      <c r="F6" s="291"/>
      <c r="G6" s="4"/>
    </row>
    <row r="7" spans="1:13" s="5" customFormat="1" ht="7.5" customHeight="1" x14ac:dyDescent="0.35">
      <c r="A7" s="4"/>
      <c r="B7" s="4"/>
      <c r="C7" s="4"/>
      <c r="D7" s="4"/>
      <c r="E7" s="4"/>
      <c r="F7" s="4"/>
      <c r="G7" s="4"/>
    </row>
    <row r="8" spans="1:13" s="5" customFormat="1" ht="13" x14ac:dyDescent="0.35">
      <c r="A8" s="292" t="str">
        <f>+PROPONENTES!A8</f>
        <v>SELECCIÓN ABREVIADA DE MENOR CUANTÍA No. 9015314</v>
      </c>
      <c r="B8" s="292"/>
      <c r="C8" s="292"/>
      <c r="D8" s="292"/>
      <c r="E8" s="292"/>
      <c r="F8" s="292"/>
      <c r="G8" s="6"/>
    </row>
    <row r="9" spans="1:13" s="5" customFormat="1" ht="7.5" customHeight="1" x14ac:dyDescent="0.35">
      <c r="A9" s="4"/>
      <c r="B9" s="4"/>
      <c r="C9" s="4"/>
      <c r="D9" s="4"/>
      <c r="E9" s="4"/>
      <c r="F9" s="4"/>
      <c r="G9" s="4"/>
    </row>
    <row r="10" spans="1:13" s="5" customFormat="1" ht="12.75" customHeight="1" x14ac:dyDescent="0.35">
      <c r="A10" s="292" t="str">
        <f>+PROPONENTES!A11</f>
        <v>"Construir obras complementarias del alcantarillado de la centralidad del corregimiento San Sebastián de Palmitas"</v>
      </c>
      <c r="B10" s="292"/>
      <c r="C10" s="292"/>
      <c r="D10" s="292"/>
      <c r="E10" s="292"/>
      <c r="F10" s="292"/>
      <c r="G10" s="7"/>
      <c r="M10" s="8"/>
    </row>
    <row r="11" spans="1:13" s="5" customFormat="1" ht="6.75" customHeight="1" x14ac:dyDescent="0.35">
      <c r="A11" s="4"/>
      <c r="B11" s="4"/>
      <c r="C11" s="4"/>
      <c r="D11" s="4"/>
      <c r="E11" s="4"/>
      <c r="F11" s="4"/>
      <c r="G11" s="4"/>
    </row>
    <row r="12" spans="1:13" s="5" customFormat="1" ht="12.75" customHeight="1" x14ac:dyDescent="0.35">
      <c r="A12" s="292" t="s">
        <v>91</v>
      </c>
      <c r="B12" s="292"/>
      <c r="C12" s="292"/>
      <c r="D12" s="292"/>
      <c r="E12" s="292"/>
      <c r="F12" s="292"/>
      <c r="G12" s="6"/>
    </row>
    <row r="13" spans="1:13" s="5" customFormat="1" ht="12.75" customHeight="1" x14ac:dyDescent="0.35">
      <c r="A13" s="6"/>
      <c r="B13" s="478" t="s">
        <v>34</v>
      </c>
      <c r="C13" s="479"/>
      <c r="D13" s="84" t="s">
        <v>35</v>
      </c>
      <c r="E13" s="6"/>
      <c r="F13" s="6"/>
      <c r="G13" s="6"/>
    </row>
    <row r="14" spans="1:13" s="5" customFormat="1" ht="12.75" customHeight="1" x14ac:dyDescent="0.35">
      <c r="A14" s="6"/>
      <c r="B14" s="478" t="s">
        <v>87</v>
      </c>
      <c r="C14" s="479"/>
      <c r="D14" s="85">
        <v>10</v>
      </c>
      <c r="E14" s="6"/>
      <c r="F14" s="6"/>
      <c r="G14" s="6"/>
    </row>
    <row r="15" spans="1:13" s="5" customFormat="1" ht="13.5" thickBot="1" x14ac:dyDescent="0.4">
      <c r="A15" s="4"/>
      <c r="B15" s="4"/>
      <c r="C15" s="4"/>
      <c r="D15" s="4"/>
      <c r="E15" s="4"/>
      <c r="F15" s="4"/>
      <c r="G15" s="4"/>
    </row>
    <row r="16" spans="1:13" s="5" customFormat="1" ht="29.25" customHeight="1" x14ac:dyDescent="0.35">
      <c r="A16" s="480" t="s">
        <v>36</v>
      </c>
      <c r="B16" s="483" t="s">
        <v>1</v>
      </c>
      <c r="C16" s="486" t="str">
        <f>+B14</f>
        <v>Formato de compromiso fomento al impacto social</v>
      </c>
      <c r="D16" s="487"/>
      <c r="E16" s="488"/>
      <c r="F16" s="489" t="s">
        <v>38</v>
      </c>
      <c r="G16" s="4"/>
    </row>
    <row r="17" spans="1:7" s="5" customFormat="1" ht="21.75" customHeight="1" x14ac:dyDescent="0.35">
      <c r="A17" s="481"/>
      <c r="B17" s="484"/>
      <c r="C17" s="492" t="s">
        <v>39</v>
      </c>
      <c r="D17" s="494" t="s">
        <v>40</v>
      </c>
      <c r="E17" s="496" t="s">
        <v>41</v>
      </c>
      <c r="F17" s="490"/>
      <c r="G17" s="4"/>
    </row>
    <row r="18" spans="1:7" ht="21.75" customHeight="1" thickBot="1" x14ac:dyDescent="0.4">
      <c r="A18" s="482"/>
      <c r="B18" s="485"/>
      <c r="C18" s="493"/>
      <c r="D18" s="495"/>
      <c r="E18" s="497"/>
      <c r="F18" s="491"/>
    </row>
    <row r="19" spans="1:7" ht="25" x14ac:dyDescent="0.35">
      <c r="A19" s="98">
        <v>1</v>
      </c>
      <c r="B19" s="99" t="str">
        <f>LOOKUP(A19,PROPONENTES!$A$16:$A$23,PROPONENTES!$B$16:$B$23)</f>
        <v>C.T. 2 CONSTRUCCIONES S.A.S</v>
      </c>
      <c r="C19" s="86" t="s">
        <v>79</v>
      </c>
      <c r="D19" s="87">
        <f t="shared" ref="D19:D24" si="0">IFERROR(IF(C19="S",$D$14,0),0)</f>
        <v>10</v>
      </c>
      <c r="E19" s="147" t="s">
        <v>88</v>
      </c>
      <c r="F19" s="88">
        <f t="shared" ref="F19:F24" si="1">+D19</f>
        <v>10</v>
      </c>
    </row>
    <row r="20" spans="1:7" ht="37.5" x14ac:dyDescent="0.35">
      <c r="A20" s="98">
        <v>2</v>
      </c>
      <c r="B20" s="99" t="str">
        <f>LOOKUP(A20,PROPONENTES!$A$16:$A$23,PROPONENTES!$B$16:$B$23)</f>
        <v>CONSORCIO OBRAS MC (COINAR - CONSULTORES INGENIEROS Y ARQUITECTOS LTDA (70%) y MATMAR CONSTRUCCIONES S.A.S. (30%))</v>
      </c>
      <c r="C20" s="86" t="s">
        <v>79</v>
      </c>
      <c r="D20" s="87">
        <f t="shared" si="0"/>
        <v>10</v>
      </c>
      <c r="E20" s="147" t="s">
        <v>88</v>
      </c>
      <c r="F20" s="88">
        <f t="shared" si="1"/>
        <v>10</v>
      </c>
    </row>
    <row r="21" spans="1:7" ht="25" x14ac:dyDescent="0.35">
      <c r="A21" s="98">
        <v>3</v>
      </c>
      <c r="B21" s="99" t="str">
        <f>LOOKUP(A21,PROPONENTES!$A$16:$A$23,PROPONENTES!$B$16:$B$23)</f>
        <v>MEGACONSTRUCCIONES Y EQUIPOS S.A.S</v>
      </c>
      <c r="C21" s="186" t="s">
        <v>143</v>
      </c>
      <c r="D21" s="87">
        <f t="shared" si="0"/>
        <v>0</v>
      </c>
      <c r="E21" s="147" t="s">
        <v>88</v>
      </c>
      <c r="F21" s="88">
        <f t="shared" si="1"/>
        <v>0</v>
      </c>
    </row>
    <row r="22" spans="1:7" ht="25" x14ac:dyDescent="0.35">
      <c r="A22" s="98">
        <v>4</v>
      </c>
      <c r="B22" s="99" t="str">
        <f>LOOKUP(A22,PROPONENTES!$A$16:$A$23,PROPONENTES!$B$16:$B$23)</f>
        <v>EMPRESA ASOCIATIVA DE TRABAJO UNIDOS AL FUTURO</v>
      </c>
      <c r="C22" s="86" t="s">
        <v>79</v>
      </c>
      <c r="D22" s="87">
        <f t="shared" si="0"/>
        <v>10</v>
      </c>
      <c r="E22" s="147" t="s">
        <v>88</v>
      </c>
      <c r="F22" s="88">
        <f t="shared" si="1"/>
        <v>10</v>
      </c>
    </row>
    <row r="23" spans="1:7" ht="25" x14ac:dyDescent="0.35">
      <c r="A23" s="98">
        <v>5</v>
      </c>
      <c r="B23" s="99" t="str">
        <f>LOOKUP(A23,PROPONENTES!$A$16:$A$23,PROPONENTES!$B$16:$B$23)</f>
        <v>DYA INGENIERIA SAS</v>
      </c>
      <c r="C23" s="186" t="s">
        <v>143</v>
      </c>
      <c r="D23" s="87">
        <f t="shared" si="0"/>
        <v>0</v>
      </c>
      <c r="E23" s="147" t="s">
        <v>88</v>
      </c>
      <c r="F23" s="88">
        <f t="shared" si="1"/>
        <v>0</v>
      </c>
    </row>
    <row r="24" spans="1:7" ht="25" x14ac:dyDescent="0.35">
      <c r="A24" s="98">
        <v>6</v>
      </c>
      <c r="B24" s="99" t="str">
        <f>LOOKUP(A24,PROPONENTES!$A$16:$A$23,PROPONENTES!$B$16:$B$23)</f>
        <v>ESTORAQUES 20 SAS</v>
      </c>
      <c r="C24" s="186" t="s">
        <v>143</v>
      </c>
      <c r="D24" s="87">
        <f t="shared" si="0"/>
        <v>0</v>
      </c>
      <c r="E24" s="147" t="s">
        <v>88</v>
      </c>
      <c r="F24" s="88">
        <f t="shared" si="1"/>
        <v>0</v>
      </c>
    </row>
    <row r="25" spans="1:7" s="10" customFormat="1" ht="6.75" customHeight="1" thickBot="1" x14ac:dyDescent="0.4">
      <c r="A25" s="89"/>
      <c r="B25" s="90"/>
      <c r="C25" s="91"/>
      <c r="D25" s="14"/>
      <c r="E25" s="15"/>
      <c r="F25" s="92"/>
      <c r="G25" s="16"/>
    </row>
    <row r="28" spans="1:7" x14ac:dyDescent="0.35">
      <c r="A28" s="17" t="s">
        <v>8</v>
      </c>
      <c r="B28" t="str">
        <f>+PROPONENTES!B27</f>
        <v>Elaboró: Diego Alberto Acosta Betancur - Natalia Zapata Puerta</v>
      </c>
    </row>
    <row r="29" spans="1:7" x14ac:dyDescent="0.35">
      <c r="B29" t="str">
        <f>+PROPONENTES!B28</f>
        <v xml:space="preserve">Cargo: Profesional Universitario - Ingeniero Contratista </v>
      </c>
    </row>
  </sheetData>
  <sheetProtection algorithmName="SHA-512" hashValue="H5ReThFado3uEqi9DPrRaYrLyQrWO9ic6yz5WQH5BAhPE2ZGmO3XcPbBbPhBb/LluDV6A9a/YIERWkONOFNf0A==" saltValue="hRvC1vo7AlGv25/Qxi0uew==" spinCount="100000" sheet="1" objects="1" scenarios="1"/>
  <mergeCells count="13">
    <mergeCell ref="A16:A18"/>
    <mergeCell ref="B16:B18"/>
    <mergeCell ref="C16:E16"/>
    <mergeCell ref="F16:F18"/>
    <mergeCell ref="C17:C18"/>
    <mergeCell ref="D17:D18"/>
    <mergeCell ref="E17:E18"/>
    <mergeCell ref="B14:C14"/>
    <mergeCell ref="A6:F6"/>
    <mergeCell ref="A8:F8"/>
    <mergeCell ref="A10:F10"/>
    <mergeCell ref="A12:F12"/>
    <mergeCell ref="B13:C13"/>
  </mergeCells>
  <conditionalFormatting sqref="C25:D25">
    <cfRule type="cellIs" dxfId="2" priority="2" operator="equal">
      <formula>"NO CUMPLE"</formula>
    </cfRule>
  </conditionalFormatting>
  <conditionalFormatting sqref="F25">
    <cfRule type="cellIs" dxfId="1" priority="1" operator="equal">
      <formula>"NO CUMPLE"</formula>
    </cfRule>
  </conditionalFormatting>
  <printOptions horizontalCentered="1"/>
  <pageMargins left="0.19685039370078741" right="0.19685039370078741" top="0.59055118110236227" bottom="0.78740157480314965" header="0" footer="0"/>
  <pageSetup paperSize="3" scale="64" orientation="landscape" r:id="rId1"/>
  <headerFooter alignWithMargins="0">
    <oddFooter>&amp;CPágina &amp;P de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dimension ref="A1:R26"/>
  <sheetViews>
    <sheetView tabSelected="1" view="pageBreakPreview" zoomScale="90" zoomScaleNormal="100" zoomScaleSheetLayoutView="90" workbookViewId="0">
      <selection activeCell="G21" sqref="G21"/>
    </sheetView>
  </sheetViews>
  <sheetFormatPr baseColWidth="10" defaultRowHeight="14.5" x14ac:dyDescent="0.35"/>
  <cols>
    <col min="1" max="1" width="5.81640625" customWidth="1"/>
    <col min="2" max="2" width="54.1796875" customWidth="1"/>
    <col min="3" max="3" width="21.54296875" customWidth="1"/>
    <col min="4" max="4" width="24.81640625" customWidth="1"/>
    <col min="5" max="5" width="13.1796875" customWidth="1"/>
    <col min="6" max="6" width="10.453125" bestFit="1" customWidth="1"/>
    <col min="7" max="7" width="30.1796875" customWidth="1"/>
    <col min="8" max="8" width="11.453125" customWidth="1"/>
    <col min="9" max="9" width="31" customWidth="1"/>
    <col min="10" max="10" width="54.1796875" customWidth="1"/>
  </cols>
  <sheetData>
    <row r="1" spans="1:18" x14ac:dyDescent="0.35">
      <c r="A1" s="81"/>
      <c r="B1" s="81"/>
      <c r="C1" s="81"/>
      <c r="D1" s="81"/>
      <c r="E1" s="81"/>
      <c r="F1" s="81"/>
      <c r="G1" s="81"/>
      <c r="H1" s="81"/>
      <c r="I1" s="81"/>
      <c r="J1" s="93" t="s">
        <v>42</v>
      </c>
      <c r="K1" s="94" t="s">
        <v>43</v>
      </c>
    </row>
    <row r="2" spans="1:18" x14ac:dyDescent="0.35">
      <c r="A2" s="81"/>
      <c r="B2" s="81"/>
      <c r="C2" s="81"/>
      <c r="D2" s="81"/>
      <c r="E2" s="81"/>
      <c r="F2" s="81"/>
      <c r="G2" s="81"/>
      <c r="H2" s="81"/>
      <c r="I2" s="81"/>
      <c r="J2" t="s">
        <v>44</v>
      </c>
      <c r="K2" s="95">
        <v>20</v>
      </c>
    </row>
    <row r="3" spans="1:18" x14ac:dyDescent="0.35">
      <c r="A3" s="81"/>
      <c r="B3" s="81"/>
      <c r="C3" s="81"/>
      <c r="D3" s="81"/>
      <c r="E3" s="81"/>
      <c r="F3" s="81"/>
      <c r="G3" s="81"/>
      <c r="H3" s="81"/>
      <c r="I3" s="81"/>
      <c r="J3" t="s">
        <v>45</v>
      </c>
      <c r="K3" s="95">
        <v>5</v>
      </c>
    </row>
    <row r="4" spans="1:18" x14ac:dyDescent="0.35">
      <c r="A4" s="81"/>
      <c r="B4" s="81"/>
      <c r="C4" s="81"/>
      <c r="D4" s="81"/>
      <c r="E4" s="81"/>
      <c r="F4" s="81"/>
      <c r="G4" s="81"/>
      <c r="H4" s="81"/>
      <c r="I4" s="81"/>
    </row>
    <row r="5" spans="1:18" ht="15.5" x14ac:dyDescent="0.35">
      <c r="A5" s="82"/>
      <c r="B5" s="82"/>
      <c r="C5" s="82"/>
      <c r="D5" s="82"/>
      <c r="E5" s="82"/>
      <c r="F5" s="82"/>
      <c r="G5" s="82"/>
      <c r="H5" s="83"/>
      <c r="I5" s="83"/>
    </row>
    <row r="6" spans="1:18" s="5" customFormat="1" ht="12.75" customHeight="1" x14ac:dyDescent="0.35">
      <c r="A6" s="291" t="s">
        <v>9</v>
      </c>
      <c r="B6" s="291"/>
      <c r="C6" s="291"/>
      <c r="D6" s="291"/>
      <c r="E6" s="291"/>
      <c r="F6" s="291"/>
      <c r="G6" s="291"/>
      <c r="H6" s="291"/>
      <c r="I6" s="291"/>
      <c r="J6" s="4"/>
      <c r="K6" s="4"/>
      <c r="L6" s="4"/>
    </row>
    <row r="7" spans="1:18" s="5" customFormat="1" ht="7.5" customHeight="1" x14ac:dyDescent="0.35">
      <c r="A7" s="4"/>
      <c r="B7" s="4"/>
      <c r="C7" s="4"/>
      <c r="D7" s="4"/>
      <c r="E7" s="4"/>
      <c r="F7" s="4"/>
      <c r="G7" s="4"/>
      <c r="H7" s="4"/>
      <c r="I7" s="4"/>
      <c r="J7" s="4"/>
      <c r="K7" s="4"/>
      <c r="L7" s="4"/>
    </row>
    <row r="8" spans="1:18" s="5" customFormat="1" ht="13" x14ac:dyDescent="0.35">
      <c r="A8" s="291" t="str">
        <f>+PROPONENTES!A8</f>
        <v>SELECCIÓN ABREVIADA DE MENOR CUANTÍA No. 9015314</v>
      </c>
      <c r="B8" s="291"/>
      <c r="C8" s="291"/>
      <c r="D8" s="291"/>
      <c r="E8" s="291"/>
      <c r="F8" s="291"/>
      <c r="G8" s="291"/>
      <c r="H8" s="291"/>
      <c r="I8" s="291"/>
      <c r="J8" s="6"/>
      <c r="K8" s="6"/>
      <c r="L8" s="6"/>
    </row>
    <row r="9" spans="1:18" s="5" customFormat="1" ht="7.5" customHeight="1" x14ac:dyDescent="0.35">
      <c r="A9" s="4"/>
      <c r="B9" s="4"/>
      <c r="C9" s="4"/>
      <c r="D9" s="4"/>
      <c r="E9" s="4"/>
      <c r="F9" s="4"/>
      <c r="G9" s="4"/>
      <c r="H9" s="4"/>
      <c r="I9" s="4"/>
      <c r="J9" s="4"/>
      <c r="K9" s="4"/>
      <c r="L9" s="4"/>
    </row>
    <row r="10" spans="1:18" s="5" customFormat="1" ht="13" x14ac:dyDescent="0.35">
      <c r="A10" s="291" t="str">
        <f>+PROPONENTES!A11</f>
        <v>"Construir obras complementarias del alcantarillado de la centralidad del corregimiento San Sebastián de Palmitas"</v>
      </c>
      <c r="B10" s="291"/>
      <c r="C10" s="291"/>
      <c r="D10" s="291"/>
      <c r="E10" s="291"/>
      <c r="F10" s="291"/>
      <c r="G10" s="291"/>
      <c r="H10" s="291"/>
      <c r="I10" s="291"/>
      <c r="J10" s="7"/>
      <c r="K10" s="7"/>
      <c r="L10" s="7"/>
      <c r="R10" s="8"/>
    </row>
    <row r="11" spans="1:18" s="5" customFormat="1" ht="6.75" customHeight="1" x14ac:dyDescent="0.35">
      <c r="A11" s="4"/>
      <c r="B11" s="4"/>
      <c r="C11" s="4"/>
      <c r="D11" s="4"/>
      <c r="E11" s="4"/>
      <c r="F11" s="4"/>
      <c r="G11" s="4"/>
      <c r="H11" s="4"/>
      <c r="I11" s="4"/>
      <c r="J11" s="4"/>
      <c r="K11" s="4"/>
      <c r="L11" s="4"/>
    </row>
    <row r="12" spans="1:18" s="5" customFormat="1" ht="12.75" customHeight="1" x14ac:dyDescent="0.35">
      <c r="A12" s="291" t="s">
        <v>46</v>
      </c>
      <c r="B12" s="291"/>
      <c r="C12" s="291"/>
      <c r="D12" s="291"/>
      <c r="E12" s="291"/>
      <c r="F12" s="291"/>
      <c r="G12" s="291"/>
      <c r="H12" s="291"/>
      <c r="I12" s="291"/>
      <c r="J12" s="6"/>
      <c r="K12" s="6"/>
      <c r="L12" s="6"/>
    </row>
    <row r="13" spans="1:18" s="5" customFormat="1" ht="13" x14ac:dyDescent="0.35">
      <c r="A13" s="4"/>
      <c r="B13" s="4"/>
      <c r="C13" s="4"/>
      <c r="D13" s="4"/>
      <c r="E13" s="4"/>
      <c r="F13" s="4"/>
      <c r="G13" s="4"/>
      <c r="H13" s="4"/>
      <c r="I13" s="4"/>
      <c r="J13" s="4"/>
      <c r="K13" s="4"/>
      <c r="L13" s="4"/>
    </row>
    <row r="14" spans="1:18" s="5" customFormat="1" ht="35.25" customHeight="1" x14ac:dyDescent="0.35">
      <c r="A14" s="502" t="s">
        <v>36</v>
      </c>
      <c r="B14" s="504" t="s">
        <v>1</v>
      </c>
      <c r="C14" s="507" t="s">
        <v>92</v>
      </c>
      <c r="D14" s="507"/>
      <c r="E14" s="507"/>
      <c r="F14" s="507"/>
      <c r="G14" s="508" t="s">
        <v>93</v>
      </c>
      <c r="H14" s="508"/>
      <c r="I14" s="506" t="s">
        <v>32</v>
      </c>
      <c r="J14" s="4"/>
      <c r="K14" s="4"/>
      <c r="L14" s="4"/>
    </row>
    <row r="15" spans="1:18" ht="54.75" customHeight="1" x14ac:dyDescent="0.35">
      <c r="A15" s="503"/>
      <c r="B15" s="505"/>
      <c r="C15" s="158" t="s">
        <v>55</v>
      </c>
      <c r="D15" s="158" t="s">
        <v>89</v>
      </c>
      <c r="E15" s="117" t="s">
        <v>67</v>
      </c>
      <c r="F15" s="117" t="s">
        <v>40</v>
      </c>
      <c r="G15" s="118" t="s">
        <v>56</v>
      </c>
      <c r="H15" s="119" t="s">
        <v>40</v>
      </c>
      <c r="I15" s="506"/>
    </row>
    <row r="16" spans="1:18" ht="25" x14ac:dyDescent="0.35">
      <c r="A16" s="159">
        <v>1</v>
      </c>
      <c r="B16" s="126" t="str">
        <f>LOOKUP(A16,PROPONENTES!$A$16:$A$23,PROPONENTES!$B$16:$B$23)</f>
        <v>C.T. 2 CONSTRUCCIONES S.A.S</v>
      </c>
      <c r="C16" s="120" t="s">
        <v>79</v>
      </c>
      <c r="D16" s="121" t="s">
        <v>79</v>
      </c>
      <c r="E16" s="128">
        <v>0.8</v>
      </c>
      <c r="F16" s="152">
        <f t="shared" ref="F16:F21" si="0">+IF(AND(C16="S",D16="S",E16&gt;=80%),100,0)</f>
        <v>100</v>
      </c>
      <c r="G16" s="122"/>
      <c r="H16" s="123">
        <f t="shared" ref="H16:H21" si="1">+IF(G16&gt;=0.9,50,0)</f>
        <v>0</v>
      </c>
      <c r="I16" s="124" t="s">
        <v>88</v>
      </c>
      <c r="J16" s="129"/>
    </row>
    <row r="17" spans="1:12" ht="37.5" x14ac:dyDescent="0.35">
      <c r="A17" s="159">
        <v>2</v>
      </c>
      <c r="B17" s="126" t="str">
        <f>LOOKUP(A17,PROPONENTES!$A$16:$A$23,PROPONENTES!$B$16:$B$23)</f>
        <v>CONSORCIO OBRAS MC (COINAR - CONSULTORES INGENIEROS Y ARQUITECTOS LTDA (70%) y MATMAR CONSTRUCCIONES S.A.S. (30%))</v>
      </c>
      <c r="C17" s="120" t="s">
        <v>79</v>
      </c>
      <c r="D17" s="121" t="s">
        <v>79</v>
      </c>
      <c r="E17" s="128">
        <v>0.8</v>
      </c>
      <c r="F17" s="152">
        <f t="shared" si="0"/>
        <v>100</v>
      </c>
      <c r="G17" s="122"/>
      <c r="H17" s="123">
        <f t="shared" si="1"/>
        <v>0</v>
      </c>
      <c r="I17" s="124" t="s">
        <v>88</v>
      </c>
      <c r="J17" s="129"/>
    </row>
    <row r="18" spans="1:12" ht="25" x14ac:dyDescent="0.35">
      <c r="A18" s="159">
        <v>3</v>
      </c>
      <c r="B18" s="126" t="str">
        <f>LOOKUP(A18,PROPONENTES!$A$16:$A$23,PROPONENTES!$B$16:$B$23)</f>
        <v>MEGACONSTRUCCIONES Y EQUIPOS S.A.S</v>
      </c>
      <c r="C18" s="120" t="s">
        <v>79</v>
      </c>
      <c r="D18" s="187" t="s">
        <v>143</v>
      </c>
      <c r="E18" s="128">
        <v>0.8</v>
      </c>
      <c r="F18" s="152">
        <f t="shared" si="0"/>
        <v>0</v>
      </c>
      <c r="G18" s="122"/>
      <c r="H18" s="123">
        <f t="shared" si="1"/>
        <v>0</v>
      </c>
      <c r="I18" s="124" t="s">
        <v>88</v>
      </c>
      <c r="J18" s="129"/>
    </row>
    <row r="19" spans="1:12" ht="25" x14ac:dyDescent="0.35">
      <c r="A19" s="159">
        <v>4</v>
      </c>
      <c r="B19" s="126" t="str">
        <f>LOOKUP(A19,PROPONENTES!$A$16:$A$23,PROPONENTES!$B$16:$B$23)</f>
        <v>EMPRESA ASOCIATIVA DE TRABAJO UNIDOS AL FUTURO</v>
      </c>
      <c r="C19" s="120" t="s">
        <v>79</v>
      </c>
      <c r="D19" s="121" t="s">
        <v>79</v>
      </c>
      <c r="E19" s="128">
        <v>0.8</v>
      </c>
      <c r="F19" s="152">
        <f t="shared" si="0"/>
        <v>100</v>
      </c>
      <c r="G19" s="122"/>
      <c r="H19" s="123">
        <f t="shared" si="1"/>
        <v>0</v>
      </c>
      <c r="I19" s="124" t="s">
        <v>88</v>
      </c>
      <c r="J19" s="129"/>
    </row>
    <row r="20" spans="1:12" ht="25" x14ac:dyDescent="0.35">
      <c r="A20" s="159">
        <v>5</v>
      </c>
      <c r="B20" s="126" t="str">
        <f>LOOKUP(A20,PROPONENTES!$A$16:$A$23,PROPONENTES!$B$16:$B$23)</f>
        <v>DYA INGENIERIA SAS</v>
      </c>
      <c r="C20" s="120" t="s">
        <v>79</v>
      </c>
      <c r="D20" s="121" t="s">
        <v>79</v>
      </c>
      <c r="E20" s="128">
        <v>0.8</v>
      </c>
      <c r="F20" s="152">
        <f t="shared" si="0"/>
        <v>100</v>
      </c>
      <c r="G20" s="122"/>
      <c r="H20" s="123">
        <f t="shared" si="1"/>
        <v>0</v>
      </c>
      <c r="I20" s="124" t="s">
        <v>88</v>
      </c>
      <c r="J20" s="129"/>
    </row>
    <row r="21" spans="1:12" ht="25" x14ac:dyDescent="0.35">
      <c r="A21" s="159">
        <v>6</v>
      </c>
      <c r="B21" s="126" t="str">
        <f>LOOKUP(A21,PROPONENTES!$A$16:$A$23,PROPONENTES!$B$16:$B$23)</f>
        <v>ESTORAQUES 20 SAS</v>
      </c>
      <c r="C21" s="120" t="s">
        <v>79</v>
      </c>
      <c r="D21" s="121" t="s">
        <v>79</v>
      </c>
      <c r="E21" s="128">
        <v>0.8</v>
      </c>
      <c r="F21" s="152">
        <f t="shared" si="0"/>
        <v>100</v>
      </c>
      <c r="G21" s="122"/>
      <c r="H21" s="123">
        <f t="shared" si="1"/>
        <v>0</v>
      </c>
      <c r="I21" s="124" t="s">
        <v>88</v>
      </c>
      <c r="J21" s="96" t="str">
        <f>B21</f>
        <v>ESTORAQUES 20 SAS</v>
      </c>
    </row>
    <row r="22" spans="1:12" s="10" customFormat="1" ht="6.75" customHeight="1" x14ac:dyDescent="0.35">
      <c r="A22" s="125"/>
      <c r="B22" s="126"/>
      <c r="C22" s="127"/>
      <c r="D22" s="127"/>
      <c r="E22" s="127"/>
      <c r="F22" s="127"/>
      <c r="G22" s="127"/>
      <c r="H22" s="127"/>
      <c r="I22" s="127"/>
      <c r="J22" s="16"/>
      <c r="K22" s="16"/>
      <c r="L22" s="16"/>
    </row>
    <row r="25" spans="1:12" x14ac:dyDescent="0.35">
      <c r="A25" s="11" t="s">
        <v>8</v>
      </c>
      <c r="B25" s="97" t="str">
        <f>+PROPONENTES!B27</f>
        <v>Elaboró: Diego Alberto Acosta Betancur - Natalia Zapata Puerta</v>
      </c>
    </row>
    <row r="26" spans="1:12" x14ac:dyDescent="0.35">
      <c r="A26" s="97"/>
      <c r="B26" s="97" t="str">
        <f>+PROPONENTES!B28</f>
        <v xml:space="preserve">Cargo: Profesional Universitario - Ingeniero Contratista </v>
      </c>
    </row>
  </sheetData>
  <sheetProtection algorithmName="SHA-512" hashValue="w6zGFPBoYrvvVuBkWJQu/Gt7JeWU6uvA3v9JHTokAhIEbW6GmXxPrSawcdmmJnn16IOn+e98EnQ0DoZtDI/77g==" saltValue="ERWQJ33VIX8UgPafFrqRXg==" spinCount="100000" sheet="1" objects="1" scenarios="1"/>
  <mergeCells count="9">
    <mergeCell ref="A6:I6"/>
    <mergeCell ref="A8:I8"/>
    <mergeCell ref="A10:I10"/>
    <mergeCell ref="A12:I12"/>
    <mergeCell ref="A14:A15"/>
    <mergeCell ref="B14:B15"/>
    <mergeCell ref="I14:I15"/>
    <mergeCell ref="C14:F14"/>
    <mergeCell ref="G14:H14"/>
  </mergeCells>
  <conditionalFormatting sqref="C22:I22">
    <cfRule type="cellIs" dxfId="0" priority="1" operator="equal">
      <formula>"NO CUMPLE"</formula>
    </cfRule>
  </conditionalFormatting>
  <printOptions horizontalCentered="1"/>
  <pageMargins left="0.19685039370078741" right="0.19685039370078741" top="0.59055118110236227" bottom="0.78740157480314965" header="0" footer="0"/>
  <pageSetup paperSize="3" scale="64" orientation="landscape" r:id="rId1"/>
  <headerFooter alignWithMargins="0">
    <oddFooter>&amp;CPágina &amp;P de &amp;N</oddFooter>
  </headerFooter>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L20"/>
  <sheetViews>
    <sheetView tabSelected="1" view="pageBreakPreview" zoomScaleNormal="100" zoomScaleSheetLayoutView="100" workbookViewId="0">
      <selection activeCell="G21" sqref="G21"/>
    </sheetView>
  </sheetViews>
  <sheetFormatPr baseColWidth="10" defaultColWidth="11.453125" defaultRowHeight="12.5" x14ac:dyDescent="0.35"/>
  <cols>
    <col min="1" max="1" width="4.81640625" style="1" customWidth="1"/>
    <col min="2" max="2" width="52.81640625" style="2" customWidth="1"/>
    <col min="3" max="3" width="24.81640625" style="2" customWidth="1"/>
    <col min="4" max="5" width="20.81640625" style="2" customWidth="1"/>
    <col min="6" max="16384" width="11.453125" style="2"/>
  </cols>
  <sheetData>
    <row r="2" spans="1:12" ht="15.75" customHeight="1" x14ac:dyDescent="0.35"/>
    <row r="6" spans="1:12" s="5" customFormat="1" ht="12.75" customHeight="1" x14ac:dyDescent="0.35">
      <c r="A6" s="291" t="str">
        <f>+[1]PROPONENTES!A6</f>
        <v>SECRETARÍA DE SUMINISTROS Y SERVICIOS</v>
      </c>
      <c r="B6" s="291"/>
      <c r="C6" s="291"/>
      <c r="D6" s="291"/>
      <c r="E6" s="291"/>
    </row>
    <row r="7" spans="1:12" s="5" customFormat="1" ht="7.5" customHeight="1" x14ac:dyDescent="0.35">
      <c r="A7" s="4"/>
      <c r="B7" s="4"/>
      <c r="C7" s="4"/>
      <c r="D7" s="4"/>
      <c r="E7" s="4"/>
    </row>
    <row r="8" spans="1:12" s="5" customFormat="1" ht="13" x14ac:dyDescent="0.35">
      <c r="A8" s="292" t="str">
        <f>+PROPONENTES!A8</f>
        <v>SELECCIÓN ABREVIADA DE MENOR CUANTÍA No. 9015314</v>
      </c>
      <c r="B8" s="292"/>
      <c r="C8" s="292"/>
      <c r="D8" s="292"/>
      <c r="E8" s="292"/>
    </row>
    <row r="9" spans="1:12" s="5" customFormat="1" ht="7.5" customHeight="1" x14ac:dyDescent="0.35">
      <c r="A9" s="4"/>
      <c r="B9" s="4"/>
      <c r="C9" s="4"/>
      <c r="D9" s="4"/>
      <c r="E9" s="4"/>
    </row>
    <row r="10" spans="1:12" s="5" customFormat="1" ht="13" x14ac:dyDescent="0.35">
      <c r="A10" s="292" t="str">
        <f>+PROPONENTES!A11</f>
        <v>"Construir obras complementarias del alcantarillado de la centralidad del corregimiento San Sebastián de Palmitas"</v>
      </c>
      <c r="B10" s="292"/>
      <c r="C10" s="292"/>
      <c r="D10" s="292"/>
      <c r="E10" s="292"/>
    </row>
    <row r="11" spans="1:12" s="5" customFormat="1" ht="6.75" customHeight="1" x14ac:dyDescent="0.35">
      <c r="A11" s="4"/>
      <c r="B11" s="4"/>
      <c r="C11" s="4"/>
      <c r="D11" s="4"/>
      <c r="E11" s="4"/>
    </row>
    <row r="12" spans="1:12" s="5" customFormat="1" ht="12.75" customHeight="1" x14ac:dyDescent="0.35">
      <c r="A12" s="292" t="s">
        <v>49</v>
      </c>
      <c r="B12" s="292"/>
      <c r="C12" s="292"/>
      <c r="D12" s="292"/>
      <c r="E12" s="292"/>
    </row>
    <row r="13" spans="1:12" s="5" customFormat="1" ht="13" x14ac:dyDescent="0.35">
      <c r="A13" s="4"/>
      <c r="B13" s="4"/>
      <c r="C13" s="4"/>
      <c r="D13" s="4"/>
      <c r="E13" s="4"/>
    </row>
    <row r="14" spans="1:12" s="5" customFormat="1" ht="20.25" customHeight="1" x14ac:dyDescent="0.35">
      <c r="A14" s="294" t="s">
        <v>36</v>
      </c>
      <c r="B14" s="294" t="s">
        <v>1</v>
      </c>
      <c r="C14" s="294" t="s">
        <v>50</v>
      </c>
      <c r="D14" s="294" t="s">
        <v>51</v>
      </c>
      <c r="E14" s="294" t="s">
        <v>52</v>
      </c>
      <c r="F14" s="2"/>
    </row>
    <row r="15" spans="1:12" s="5" customFormat="1" ht="20.25" customHeight="1" x14ac:dyDescent="0.35">
      <c r="A15" s="294"/>
      <c r="B15" s="294"/>
      <c r="C15" s="473"/>
      <c r="D15" s="473"/>
      <c r="E15" s="473"/>
      <c r="F15" s="2"/>
    </row>
    <row r="16" spans="1:12" s="13" customFormat="1" ht="20" x14ac:dyDescent="0.35">
      <c r="A16" s="509">
        <v>2</v>
      </c>
      <c r="B16" s="511" t="str">
        <f>LOOKUP(A16,PROPONENTES!$A$16:$A$23,PROPONENTES!$B$16:$B$23)</f>
        <v>CONSORCIO OBRAS MC (COINAR - CONSULTORES INGENIEROS Y ARQUITECTOS LTDA (70%) y MATMAR CONSTRUCCIONES S.A.S. (30%))</v>
      </c>
      <c r="C16" s="135" t="str">
        <f>IFERROR(INDEX('EXP. ACREDITADA'!R:Y,MATCH(CONSORCIOS!J16,'EXP. ACREDITADA'!Y:Y,0),1),"")</f>
        <v>MATMAR CONSTRUCCIONES S.A.S.</v>
      </c>
      <c r="D16" s="151">
        <f>IFERROR(INDEX('EXP. ACREDITADA'!R:Y,MATCH(CONSORCIOS!J16,'EXP. ACREDITADA'!Y:Y,0),3),"")</f>
        <v>1193.5349999999999</v>
      </c>
      <c r="E16" s="148">
        <f>IFERROR(INDEX('EXP. ACREDITADA'!R:Y,MATCH(CONSORCIOS!J16,'EXP. ACREDITADA'!Y:Y,0),4),"")</f>
        <v>2.9713664123158656</v>
      </c>
      <c r="J16" s="12" t="str">
        <f>K16&amp;"-"&amp;L16</f>
        <v>2-1</v>
      </c>
      <c r="K16" s="12">
        <f>IF(A16="",K15,A16)</f>
        <v>2</v>
      </c>
      <c r="L16" s="150">
        <f>IF(A16="",L15+1,1)</f>
        <v>1</v>
      </c>
    </row>
    <row r="17" spans="1:12" s="13" customFormat="1" ht="30" x14ac:dyDescent="0.35">
      <c r="A17" s="510"/>
      <c r="B17" s="512"/>
      <c r="C17" s="135" t="str">
        <f>IFERROR(INDEX('EXP. ACREDITADA'!R:Y,MATCH(CONSORCIOS!J17,'EXP. ACREDITADA'!Y:Y,0),1),"")</f>
        <v>COINAR . CONSULTORES  INGENIEROS Y ARQUITECTOS LTDA</v>
      </c>
      <c r="D17" s="151">
        <f>IFERROR(INDEX('EXP. ACREDITADA'!R:Y,MATCH(CONSORCIOS!J17,'EXP. ACREDITADA'!Y:Y,0),3),"")</f>
        <v>890.65340000000003</v>
      </c>
      <c r="E17" s="148">
        <f>IFERROR(INDEX('EXP. ACREDITADA'!R:Y,MATCH(CONSORCIOS!J17,'EXP. ACREDITADA'!Y:Y,0),4),"")</f>
        <v>2.2173271816703557</v>
      </c>
      <c r="J17" s="12" t="str">
        <f>K17&amp;"-"&amp;L17</f>
        <v>2-2</v>
      </c>
      <c r="K17" s="12">
        <f>IF(A17="",K16,A17)</f>
        <v>2</v>
      </c>
      <c r="L17" s="150">
        <f>IF(A17="",L16+1,1)</f>
        <v>2</v>
      </c>
    </row>
    <row r="18" spans="1:12" s="13" customFormat="1" ht="11.25" customHeight="1" x14ac:dyDescent="0.35">
      <c r="A18" s="153"/>
      <c r="B18" s="154"/>
      <c r="C18" s="135" t="str">
        <f>IFERROR(INDEX('EXP. ACREDITADA'!R:Y,MATCH(CONSORCIOS!J18,'EXP. ACREDITADA'!Y:Y,0),1),"")</f>
        <v/>
      </c>
      <c r="D18" s="151" t="str">
        <f>IFERROR(INDEX('EXP. ACREDITADA'!R:Y,MATCH(CONSORCIOS!J18,'EXP. ACREDITADA'!Y:Y,0),3),"")</f>
        <v/>
      </c>
      <c r="E18" s="148" t="str">
        <f>IFERROR(INDEX('EXP. ACREDITADA'!R:Y,MATCH(CONSORCIOS!J18,'EXP. ACREDITADA'!Y:Y,0),4),"")</f>
        <v/>
      </c>
      <c r="J18" s="12"/>
      <c r="K18" s="12"/>
      <c r="L18" s="150"/>
    </row>
    <row r="19" spans="1:12" x14ac:dyDescent="0.35">
      <c r="J19" s="12"/>
      <c r="K19" s="12"/>
      <c r="L19" s="150"/>
    </row>
    <row r="20" spans="1:12" x14ac:dyDescent="0.35">
      <c r="J20" s="12"/>
      <c r="K20" s="12"/>
      <c r="L20" s="150"/>
    </row>
  </sheetData>
  <sheetProtection algorithmName="SHA-512" hashValue="ZNf7SCFxbv1oMB5tVmBh5JsKPi8+3FWvRiLGn/Eyh11CjQ3yxs2pXcSKnyuPFPXwZgVOr7gFlLBIUQPfTf5ebw==" saltValue="dZKrLNq0c8hD+n5yRBU7sg==" spinCount="100000" sheet="1" objects="1" scenarios="1"/>
  <mergeCells count="11">
    <mergeCell ref="A16:A17"/>
    <mergeCell ref="B16:B17"/>
    <mergeCell ref="A6:E6"/>
    <mergeCell ref="A8:E8"/>
    <mergeCell ref="A10:E10"/>
    <mergeCell ref="A12:E12"/>
    <mergeCell ref="A14:A15"/>
    <mergeCell ref="B14:B15"/>
    <mergeCell ref="C14:C15"/>
    <mergeCell ref="D14:D15"/>
    <mergeCell ref="E14:E15"/>
  </mergeCells>
  <printOptions horizontalCentered="1"/>
  <pageMargins left="0.19685039370078741" right="0.19685039370078741" top="0.59055118110236227" bottom="0.78740157480314965" header="0" footer="0"/>
  <pageSetup paperSize="3" scale="66" orientation="portrait" r:id="rId1"/>
  <headerFooter alignWithMargins="0">
    <oddFooter>&amp;CPágina &amp;P de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4"/>
  <dimension ref="A1:O47"/>
  <sheetViews>
    <sheetView tabSelected="1" workbookViewId="0">
      <selection activeCell="G21" sqref="G21"/>
    </sheetView>
  </sheetViews>
  <sheetFormatPr baseColWidth="10" defaultColWidth="11.453125" defaultRowHeight="12.5" x14ac:dyDescent="0.25"/>
  <cols>
    <col min="1" max="2" width="17.7265625" style="105" customWidth="1"/>
    <col min="3" max="16384" width="11.453125" style="105"/>
  </cols>
  <sheetData>
    <row r="1" spans="1:2" ht="13" thickBot="1" x14ac:dyDescent="0.3">
      <c r="A1" s="103" t="s">
        <v>53</v>
      </c>
      <c r="B1" s="104" t="s">
        <v>54</v>
      </c>
    </row>
    <row r="2" spans="1:2" ht="14.5" x14ac:dyDescent="0.35">
      <c r="A2" s="106">
        <v>1980</v>
      </c>
      <c r="B2" s="107">
        <v>4500</v>
      </c>
    </row>
    <row r="3" spans="1:2" ht="14.5" x14ac:dyDescent="0.35">
      <c r="A3" s="108">
        <v>1981</v>
      </c>
      <c r="B3" s="109">
        <v>5700</v>
      </c>
    </row>
    <row r="4" spans="1:2" ht="14.5" x14ac:dyDescent="0.35">
      <c r="A4" s="110">
        <v>1982</v>
      </c>
      <c r="B4" s="109">
        <v>7410</v>
      </c>
    </row>
    <row r="5" spans="1:2" ht="14.5" x14ac:dyDescent="0.35">
      <c r="A5" s="108">
        <v>1983</v>
      </c>
      <c r="B5" s="109">
        <v>9261</v>
      </c>
    </row>
    <row r="6" spans="1:2" ht="14.5" x14ac:dyDescent="0.35">
      <c r="A6" s="110">
        <v>1984</v>
      </c>
      <c r="B6" s="109">
        <v>11298</v>
      </c>
    </row>
    <row r="7" spans="1:2" ht="14.5" x14ac:dyDescent="0.35">
      <c r="A7" s="108">
        <v>1985</v>
      </c>
      <c r="B7" s="109">
        <v>13558</v>
      </c>
    </row>
    <row r="8" spans="1:2" ht="14.5" x14ac:dyDescent="0.35">
      <c r="A8" s="110">
        <v>1986</v>
      </c>
      <c r="B8" s="109">
        <v>16811</v>
      </c>
    </row>
    <row r="9" spans="1:2" ht="14.5" x14ac:dyDescent="0.35">
      <c r="A9" s="108">
        <v>1987</v>
      </c>
      <c r="B9" s="109">
        <v>20510</v>
      </c>
    </row>
    <row r="10" spans="1:2" ht="14.5" x14ac:dyDescent="0.35">
      <c r="A10" s="110">
        <v>1988</v>
      </c>
      <c r="B10" s="109">
        <v>25637</v>
      </c>
    </row>
    <row r="11" spans="1:2" ht="14.5" x14ac:dyDescent="0.35">
      <c r="A11" s="108">
        <v>1989</v>
      </c>
      <c r="B11" s="109">
        <v>32560</v>
      </c>
    </row>
    <row r="12" spans="1:2" ht="14.5" x14ac:dyDescent="0.35">
      <c r="A12" s="110">
        <v>1990</v>
      </c>
      <c r="B12" s="109">
        <v>41025</v>
      </c>
    </row>
    <row r="13" spans="1:2" ht="14.5" x14ac:dyDescent="0.35">
      <c r="A13" s="108">
        <v>1991</v>
      </c>
      <c r="B13" s="109">
        <v>51720</v>
      </c>
    </row>
    <row r="14" spans="1:2" ht="14.5" x14ac:dyDescent="0.35">
      <c r="A14" s="110">
        <v>1992</v>
      </c>
      <c r="B14" s="109">
        <v>65190</v>
      </c>
    </row>
    <row r="15" spans="1:2" ht="14.5" x14ac:dyDescent="0.35">
      <c r="A15" s="108">
        <v>1993</v>
      </c>
      <c r="B15" s="109">
        <v>81510</v>
      </c>
    </row>
    <row r="16" spans="1:2" ht="14.5" x14ac:dyDescent="0.35">
      <c r="A16" s="110">
        <v>1994</v>
      </c>
      <c r="B16" s="109">
        <v>98700</v>
      </c>
    </row>
    <row r="17" spans="1:10" ht="14.5" x14ac:dyDescent="0.35">
      <c r="A17" s="108">
        <v>1995</v>
      </c>
      <c r="B17" s="109">
        <v>118934</v>
      </c>
    </row>
    <row r="18" spans="1:10" ht="14.5" x14ac:dyDescent="0.35">
      <c r="A18" s="110">
        <v>1996</v>
      </c>
      <c r="B18" s="109">
        <v>142125</v>
      </c>
    </row>
    <row r="19" spans="1:10" ht="14.5" x14ac:dyDescent="0.35">
      <c r="A19" s="108">
        <v>1997</v>
      </c>
      <c r="B19" s="109">
        <v>172005</v>
      </c>
    </row>
    <row r="20" spans="1:10" ht="14.5" x14ac:dyDescent="0.35">
      <c r="A20" s="110">
        <v>1998</v>
      </c>
      <c r="B20" s="111">
        <v>203826</v>
      </c>
    </row>
    <row r="21" spans="1:10" ht="14.5" x14ac:dyDescent="0.35">
      <c r="A21" s="110">
        <v>1999</v>
      </c>
      <c r="B21" s="111">
        <v>236438</v>
      </c>
    </row>
    <row r="22" spans="1:10" ht="14.5" x14ac:dyDescent="0.35">
      <c r="A22" s="110">
        <v>2000</v>
      </c>
      <c r="B22" s="111">
        <v>260106</v>
      </c>
    </row>
    <row r="23" spans="1:10" ht="14.5" x14ac:dyDescent="0.35">
      <c r="A23" s="110">
        <v>2001</v>
      </c>
      <c r="B23" s="111">
        <v>286000</v>
      </c>
    </row>
    <row r="24" spans="1:10" ht="14.5" x14ac:dyDescent="0.35">
      <c r="A24" s="110">
        <v>2002</v>
      </c>
      <c r="B24" s="111">
        <v>309000</v>
      </c>
    </row>
    <row r="25" spans="1:10" ht="14.5" x14ac:dyDescent="0.35">
      <c r="A25" s="110">
        <v>2003</v>
      </c>
      <c r="B25" s="111">
        <v>332000</v>
      </c>
    </row>
    <row r="26" spans="1:10" ht="14.5" x14ac:dyDescent="0.35">
      <c r="A26" s="110">
        <v>2004</v>
      </c>
      <c r="B26" s="111">
        <v>358000</v>
      </c>
    </row>
    <row r="27" spans="1:10" ht="14.5" x14ac:dyDescent="0.35">
      <c r="A27" s="110">
        <v>2005</v>
      </c>
      <c r="B27" s="111">
        <v>381500</v>
      </c>
    </row>
    <row r="28" spans="1:10" ht="14.5" x14ac:dyDescent="0.35">
      <c r="A28" s="110">
        <v>2006</v>
      </c>
      <c r="B28" s="111">
        <v>408000</v>
      </c>
    </row>
    <row r="29" spans="1:10" ht="14.5" x14ac:dyDescent="0.35">
      <c r="A29" s="110">
        <v>2007</v>
      </c>
      <c r="B29" s="111">
        <v>433700</v>
      </c>
      <c r="D29" s="112"/>
    </row>
    <row r="30" spans="1:10" ht="14.5" x14ac:dyDescent="0.35">
      <c r="A30" s="110">
        <v>2008</v>
      </c>
      <c r="B30" s="111">
        <v>461500</v>
      </c>
    </row>
    <row r="31" spans="1:10" ht="14.5" x14ac:dyDescent="0.35">
      <c r="A31" s="110">
        <v>2009</v>
      </c>
      <c r="B31" s="111">
        <v>496900</v>
      </c>
      <c r="J31" s="112"/>
    </row>
    <row r="32" spans="1:10" ht="14.5" x14ac:dyDescent="0.35">
      <c r="A32" s="110">
        <v>2010</v>
      </c>
      <c r="B32" s="111">
        <v>515000</v>
      </c>
      <c r="J32" s="112"/>
    </row>
    <row r="33" spans="1:15" ht="14.5" x14ac:dyDescent="0.35">
      <c r="A33" s="110">
        <v>2011</v>
      </c>
      <c r="B33" s="111">
        <v>535600</v>
      </c>
      <c r="J33" s="112"/>
    </row>
    <row r="34" spans="1:15" ht="14.5" x14ac:dyDescent="0.35">
      <c r="A34" s="110">
        <v>2012</v>
      </c>
      <c r="B34" s="111">
        <v>566700</v>
      </c>
      <c r="J34" s="112"/>
    </row>
    <row r="35" spans="1:15" ht="14.5" x14ac:dyDescent="0.35">
      <c r="A35" s="110">
        <v>2013</v>
      </c>
      <c r="B35" s="111">
        <v>589500</v>
      </c>
      <c r="J35" s="112"/>
    </row>
    <row r="36" spans="1:15" ht="14.5" x14ac:dyDescent="0.35">
      <c r="A36" s="110">
        <v>2014</v>
      </c>
      <c r="B36" s="113">
        <v>616000</v>
      </c>
      <c r="J36" s="112"/>
    </row>
    <row r="37" spans="1:15" ht="14.5" x14ac:dyDescent="0.35">
      <c r="A37" s="110">
        <v>2015</v>
      </c>
      <c r="B37" s="113">
        <v>644350</v>
      </c>
    </row>
    <row r="38" spans="1:15" ht="14.5" x14ac:dyDescent="0.35">
      <c r="A38" s="110">
        <v>2016</v>
      </c>
      <c r="B38" s="113">
        <v>689454</v>
      </c>
    </row>
    <row r="39" spans="1:15" ht="14.5" x14ac:dyDescent="0.35">
      <c r="A39" s="114">
        <v>2017</v>
      </c>
      <c r="B39" s="113">
        <v>737717</v>
      </c>
      <c r="J39" s="112"/>
      <c r="K39" s="112"/>
      <c r="L39" s="112"/>
      <c r="M39" s="112"/>
      <c r="N39" s="112"/>
      <c r="O39" s="112"/>
    </row>
    <row r="40" spans="1:15" ht="14.5" x14ac:dyDescent="0.35">
      <c r="A40" s="114">
        <v>2018</v>
      </c>
      <c r="B40" s="113">
        <v>781242</v>
      </c>
    </row>
    <row r="41" spans="1:15" ht="14.5" x14ac:dyDescent="0.35">
      <c r="A41" s="114">
        <v>2019</v>
      </c>
      <c r="B41" s="113">
        <v>828116</v>
      </c>
    </row>
    <row r="42" spans="1:15" ht="14.5" x14ac:dyDescent="0.35">
      <c r="A42" s="114">
        <v>2020</v>
      </c>
      <c r="B42" s="113">
        <v>877802</v>
      </c>
    </row>
    <row r="43" spans="1:15" ht="14.5" x14ac:dyDescent="0.35">
      <c r="A43" s="114">
        <v>2021</v>
      </c>
      <c r="B43" s="113">
        <v>908526</v>
      </c>
    </row>
    <row r="44" spans="1:15" ht="14.5" x14ac:dyDescent="0.35">
      <c r="A44" s="114">
        <v>2022</v>
      </c>
      <c r="B44" s="113">
        <v>1000000</v>
      </c>
    </row>
    <row r="45" spans="1:15" ht="14.5" x14ac:dyDescent="0.35">
      <c r="A45" s="114">
        <v>2023</v>
      </c>
      <c r="B45" s="113">
        <v>1160000</v>
      </c>
    </row>
    <row r="46" spans="1:15" ht="14.5" x14ac:dyDescent="0.35">
      <c r="A46" s="114">
        <v>2024</v>
      </c>
      <c r="B46" s="113">
        <v>1300000</v>
      </c>
    </row>
    <row r="47" spans="1:15" ht="15" thickBot="1" x14ac:dyDescent="0.4">
      <c r="A47" s="115">
        <v>3000</v>
      </c>
      <c r="B47" s="116">
        <v>0</v>
      </c>
    </row>
  </sheetData>
  <sheetProtection algorithmName="SHA-512" hashValue="K8X+G3IQIet4hJ2qa4JgjnZBAtLWiQL4FdZNMorvSS7DFBnZ+cdLOxaeMzd/eN6IfLJOgGKV9E6R6Fb9jioZyQ==" saltValue="ZJo2snjqWWA+qZEp/sFK3g==" spinCount="100000" sheet="1" objects="1" scenarios="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16</vt:i4>
      </vt:variant>
    </vt:vector>
  </HeadingPairs>
  <TitlesOfParts>
    <vt:vector size="25" baseType="lpstr">
      <vt:lpstr>PROPONENTES</vt:lpstr>
      <vt:lpstr>EXP. ACREDITADA</vt:lpstr>
      <vt:lpstr>CAPACIDAD RESIDUAL </vt:lpstr>
      <vt:lpstr>RESUMEN</vt:lpstr>
      <vt:lpstr>EQUIPO</vt:lpstr>
      <vt:lpstr>IMPACTO SOCIAL</vt:lpstr>
      <vt:lpstr>INDUSTRIA NACIONAL</vt:lpstr>
      <vt:lpstr>CONSORCIOS</vt:lpstr>
      <vt:lpstr>SMML</vt:lpstr>
      <vt:lpstr>'CAPACIDAD RESIDUAL '!Área_de_impresión</vt:lpstr>
      <vt:lpstr>CONSORCIOS!Área_de_impresión</vt:lpstr>
      <vt:lpstr>EQUIPO!Área_de_impresión</vt:lpstr>
      <vt:lpstr>'EXP. ACREDITADA'!Área_de_impresión</vt:lpstr>
      <vt:lpstr>'IMPACTO SOCIAL'!Área_de_impresión</vt:lpstr>
      <vt:lpstr>'INDUSTRIA NACIONAL'!Área_de_impresión</vt:lpstr>
      <vt:lpstr>PROPONENTES!Área_de_impresión</vt:lpstr>
      <vt:lpstr>RESUMEN!Área_de_impresión</vt:lpstr>
      <vt:lpstr>'CAPACIDAD RESIDUAL '!Títulos_a_imprimir</vt:lpstr>
      <vt:lpstr>CONSORCIOS!Títulos_a_imprimir</vt:lpstr>
      <vt:lpstr>EQUIPO!Títulos_a_imprimir</vt:lpstr>
      <vt:lpstr>'EXP. ACREDITADA'!Títulos_a_imprimir</vt:lpstr>
      <vt:lpstr>'IMPACTO SOCIAL'!Títulos_a_imprimir</vt:lpstr>
      <vt:lpstr>'INDUSTRIA NACIONAL'!Títulos_a_imprimir</vt:lpstr>
      <vt:lpstr>PROPONENTES!Títulos_a_imprimir</vt:lpstr>
      <vt:lpstr>RESUMEN!Títulos_a_imprimir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 David Londono Zapata</dc:creator>
  <cp:lastModifiedBy>N8NXCV03103331B</cp:lastModifiedBy>
  <cp:lastPrinted>2024-08-13T21:34:01Z</cp:lastPrinted>
  <dcterms:created xsi:type="dcterms:W3CDTF">2022-03-30T22:16:19Z</dcterms:created>
  <dcterms:modified xsi:type="dcterms:W3CDTF">2024-08-13T21:36:58Z</dcterms:modified>
</cp:coreProperties>
</file>